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scargas" sheetId="1" r:id="rId4"/>
    <sheet state="visible" name="Descargas - Preprocessing" sheetId="2" r:id="rId5"/>
    <sheet state="visible" name="Results" sheetId="3" r:id="rId6"/>
    <sheet state="visible" name="Registros" sheetId="4" r:id="rId7"/>
    <sheet state="visible" name="Registros - No nuevos" sheetId="5" r:id="rId8"/>
    <sheet state="visible" name="Registros - Estados" sheetId="6" r:id="rId9"/>
    <sheet state="visible" name="ViewResults" sheetId="7" r:id="rId10"/>
  </sheets>
  <definedNames/>
  <calcPr/>
  <pivotCaches>
    <pivotCache cacheId="0" r:id="rId11"/>
    <pivotCache cacheId="1" r:id="rId12"/>
    <pivotCache cacheId="2" r:id="rId13"/>
    <pivotCache cacheId="3" r:id="rId14"/>
  </pivotCaches>
</workbook>
</file>

<file path=xl/sharedStrings.xml><?xml version="1.0" encoding="utf-8"?>
<sst xmlns="http://schemas.openxmlformats.org/spreadsheetml/2006/main" count="11676" uniqueCount="5776">
  <si>
    <t>Email_pseudo</t>
  </si>
  <si>
    <t>Date</t>
  </si>
  <si>
    <t>Conversion Page</t>
  </si>
  <si>
    <t>Search</t>
  </si>
  <si>
    <t>Conversion Page - def</t>
  </si>
  <si>
    <t>1@gmail.com</t>
  </si>
  <si>
    <t>https://resources.simonelectric.com/simon-ebook-vehiculo-electrico?utm_referrer=https%3A%2F%2Fwww.simonelectric.com%2Fblog%2Fel-vehiculo-electrico-elementos-principales-y-funcionamiento</t>
  </si>
  <si>
    <t>2@yahoo.es</t>
  </si>
  <si>
    <t>https://resources.simonelectric.com/simon-ebook-vehiculo-electrico?hsCtaTracking=d79bdc0f-20ca-4fac-a6da-206243df8249%7Cd4de1798-eb74-43e7-a4eb-707b8dca8f55</t>
  </si>
  <si>
    <t>3@gmail.com</t>
  </si>
  <si>
    <t>https://resources.simonelectric.com/simon-catalogo-vehiculo-electrico</t>
  </si>
  <si>
    <t>4@gmail.com</t>
  </si>
  <si>
    <t>https://resources.simonelectric.com/simon-ebook-vehiculo-electrico?utm_campaign=SIC%20-%20Veh%C3%ADculo%20El%C3%A9ctrico&amp;utm_medium=email&amp;_hsenc=p2ANqtz-98b0C5Tuw25x8yHHcaFPwy3ISf-mwMbwkVgtvy2yAraB7IbSN_KKJuZLnMrR9HBHDtx7t8_q8h59Vvph9DHSc-_QKMNg&amp;_hsmi=71033675&amp;utm_source=hs_automation&amp;utm_content=71033675&amp;hsCtaTracking=2e94ebfc-d414-4389-870c-d2f266a9420b%7C587ac4dc-a49a-4bdc-b449-e36f5d95395b</t>
  </si>
  <si>
    <t>5@infortel.es</t>
  </si>
  <si>
    <t>https://resources.simonelectric.com/simon-material-formativo-vehiculo-electrico?utm_campaign=SIC%20-%20Veh%C3%ADculo%20El%C3%A9ctrico&amp;utm_medium=email&amp;_hsenc=p2ANqtz--MJqkqoCpAThvZjoeCu5H79b1tVD8fvIhecu29_xUm43i2yDZVsxLUZBGXb4OPGNx-WdPa_O_JKXcSr47_3wHdkLf4xA&amp;_hsmi=88328232&amp;utm_source=hs_email&amp;utm_content=88328407&amp;hsCtaTracking=f8a31ce8-daf1-4d69-a5d6-c3349f3aab91%7C75f9b9fd-a2b2-4ad4-9d4a-0dcb7c99194f</t>
  </si>
  <si>
    <t>6@yahoo.es</t>
  </si>
  <si>
    <t>7@unizar.es</t>
  </si>
  <si>
    <t>8@gomezmoreno.com</t>
  </si>
  <si>
    <t>9@chacontch.com</t>
  </si>
  <si>
    <t>https://resources.simonelectric.com/simon-ebook-vehiculo-electrico?utm_campaign=SIC%20-%20Veh%C3%ADculo%20El%C3%A9ctrico&amp;utm_medium=email&amp;_hsenc=p2ANqtz-8hczcb3Ld-rsrbysbIkjEQKIhcT-1DCQCJyt6Cyq0XlSdEaWg8jZQRYH-T2dW2Dn4TUMyx5MSTbB2W297kmvEFHCOLdw&amp;_hsmi=71033675&amp;utm_content=71033675&amp;utm_source=hs_automation&amp;hsCtaTracking=2e94ebfc-d414-4389-870c-d2f266a9420b%7C587ac4dc-a49a-4bdc-b449-e36f5d95395b</t>
  </si>
  <si>
    <t>10@hotmail.com</t>
  </si>
  <si>
    <t>https://resources.simonelectric.com/simon-catalogo-vehiculo-electrico?utm_campaign=SIC%20-%20Veh%C3%ADculo%20El%C3%A9ctrico&amp;utm_medium=email&amp;_hsmi=71034014&amp;_hsenc=p2ANqtz-_LZyy61P_l7FLhR1jx25LrI8hekBRH1zpWqGCVA-AQxXOnwvYJlUlPQOLe3kUVruYsXl9GUXA1-NkDKpYcW74oN5vKlg&amp;utm_content=71034014&amp;utm_source=hs_automation</t>
  </si>
  <si>
    <t>https://resources.simonelectric.com/simon-ebook-vehiculo-electrico?utm_campaign=SIC%20-%20Veh%C3%ADculo%20El%C3%A9ctrico&amp;utm_medium=email&amp;_hsenc=p2ANqtz-8BMxg715msSisa_DsXOS-V01MEpl7eC9gosoeDtzzNf8abhze_4DyC35EliSgtECOSkcGnNZRW4_pJv-uQDz3erhiKvw&amp;_hsmi=71033675&amp;utm_content=71033675&amp;utm_source=hs_automation&amp;hsCtaTracking=2e94ebfc-d414-4389-870c-d2f266a9420b%7C587ac4dc-a49a-4bdc-b449-e36f5d95395b</t>
  </si>
  <si>
    <t>11@gmail.com</t>
  </si>
  <si>
    <t>12@gmail.com</t>
  </si>
  <si>
    <t>13@inel.es</t>
  </si>
  <si>
    <t>https://resources.simonelectric.com/simon-catalogo-vehiculo-electrico?utm_campaign=SIC%20-%20Veh%C3%ADculo%20El%C3%A9ctrico&amp;utm_medium=email&amp;_hsenc=p2ANqtz-83cFyJ4dEgq4V4YLxyJpAN192wGBFHD-IQP25dWO_qdKnM_RoVROWjYHLIMO4-yxDZ-B8x&amp;_hsmi=87085302&amp;utm_content=87085302&amp;utm_source=hs_email&amp;hsCtaTracking=6fedf137-fd90-4f17-bfb4-d61f710ec7f8%7Cf2771843-6636-4969-9010-2d8d0389b89c</t>
  </si>
  <si>
    <t>14@enerparking.com</t>
  </si>
  <si>
    <t>https://resources.simonelectric.com/simon-ebook-vehiculo-electrico</t>
  </si>
  <si>
    <t>15@apba.es</t>
  </si>
  <si>
    <t>16@cambrabcn.org</t>
  </si>
  <si>
    <t>https://resources.simonelectric.com/simon-ebook-vehiculo-electrico?hsCtaTracking=4ffb3aa1-677f-463b-8339-fc65a1da68db%7C5790d3b1-fbc3-4c32-a016-744222ad1cdc</t>
  </si>
  <si>
    <t>17@gmail.com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</si>
  <si>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medium%3Demail%26_hsmi%3D71033828%26_hsenc%3Dp2ANqtz-8GEnvNcn5nT8E3wIXOAMdSaxn9oiK1Mk3OqKjAF4rj9sTMEHeDQvEXvIMHAkmP-_23_VEGSYn3LOn1hlA4IcP3ClIutg%26utm_content%3D71033828%26utm_source%3Dhs_automation</t>
  </si>
  <si>
    <t>18@urv.cat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</si>
  <si>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medium%3Demail%26_hsmi%3D71033828%26_hsenc%3Dp2ANqtz--TpRQUBrape-aY5XZfDaHEyYarnga6b1N6aLJ2FLhmw6SFyp0xNWTeu8Cmzz-gjcD-d97AAv7KLe7G-6qUs8zoS0zytA%26utm_content%3D71033828%26utm_source%3Dhs_automation</t>
  </si>
  <si>
    <t>19@grupoespacioindustrial.com</t>
  </si>
  <si>
    <t>https://resources.simonelectric.com/simon-ebook-vehiculo-electrico?utm_campaign=SIC%20-%20Veh%C3%ADculo%20El%C3%A9ctrico&amp;utm_medium=email&amp;_hsenc=p2ANqtz-9eIdR8hu3baNEpRtmY8TLpKbvwb_FiPBGMi1fsAOuD0VZB8gr-ERJW7ujFTM6a5ULD53O8KbIRATEck1AZJCW7gnRC0L5h0Z9MIl4y5wv0Rn2omks&amp;_hsmi=71033675&amp;utm_content=71033675&amp;utm_source=hs_automation&amp;hsCtaTracking=2e94ebfc-d414-4389-870c-d2f266a9420b%7C587ac4dc-a49a-4bdc-b449-e36f5d95395b</t>
  </si>
  <si>
    <t>20@gmail.com</t>
  </si>
  <si>
    <t>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</t>
  </si>
  <si>
    <t>21@iteser.com</t>
  </si>
  <si>
    <t>https://resources.simonelectric.com/simon-ebook-vehiculo-electrico?utm_referrer=https%3A%2F%2Fwww.simonelectric.com%2Fblog%2Fvehiculo-electrico-instalar-punto-de-recarga-en-garaje-comunitario%3Futm_campaign%3DSIC%2520-%2520Veh%25C3%25ADculo%2520El%25C3%25A9ctrico%26utm_medium%3Demail%26_hsmi%3D71033828%26_hsenc%3Dp2ANqtz-9Sk3wogZoI8KivDY1yxwMri30TLzKGuISvD-Ul4sKEPrblyitzeNymofbreGk2mqxGTxn0gSCXkSniE89COLKsD3EMIQ%26utm_content%3D71033828%26utm_source%3Dhs_automation</t>
  </si>
  <si>
    <t>22@gmail.com</t>
  </si>
  <si>
    <t>23@gmail.com</t>
  </si>
  <si>
    <t>https://resources.simonelectric.com/simon-catalogo-vehiculo-electrico?utm_campaign=SIC%20-%20Veh%C3%ADculo%20El%C3%A9ctrico&amp;utm_medium=email&amp;_hsmi=71034014&amp;_hsenc=p2ANqtz--Ip2djDiZYpxNjVRvTgsRBAN-e4zkZaVWWEtzRkkNwIIxxIxe0X9IUnz1KAzixQtyV7EGZR_6xPQeddTsv5BNONFJloaNbeu7iSjzp9FC23B7RW6I&amp;utm_content=71034014&amp;utm_source=hs_automation</t>
  </si>
  <si>
    <t>24@gmail.com</t>
  </si>
  <si>
    <t>https://resources.simonelectric.com/simon-catalogo-vehiculo-electrico?utm_campaign=SIC%20-%20Veh%C3%ADculo%20El%C3%A9ctrico&amp;utm_medium=email&amp;_hsmi=71034014&amp;_hsenc=p2ANqtz-9A0fyzxG0cgil2y4TXWNM0NnxN5arDJUPnbLmPd__XlpPlYJD4zXBTEYwjgXLsE4jFaU8VY8W9lphvSHqN0ZN6S6zGGAEUXN9hbPJ2VwOUBQeTvx4&amp;utm_content=71034014&amp;utm_source=hs_automation</t>
  </si>
  <si>
    <t>25@gmail.com</t>
  </si>
  <si>
    <t>https://resources.simonelectric.com/simon-ebook-vehiculo-electrico?hsCtaTracking=7baf6bd9-69ee-43d3-acd5-7ab185abe9e0%7C96f86d1e-4782-4927-8e67-fc6e25bb696b</t>
  </si>
  <si>
    <t>26@mktg.com</t>
  </si>
  <si>
    <t>27@hotmail.com</t>
  </si>
  <si>
    <t>https://resources.simonelectric.com/simon-ebook-vehiculo-electrico-ppc?utm_source=facebook&amp;utm_medium=social_ads&amp;utm_campaign=vehiculo_electrico&amp;hsa_acc=674369516233597&amp;hsa_cam=23844272034270156&amp;hsa_grp=23844272034300156&amp;hsa_ad=23844569909940156&amp;hsa_src=fb&amp;hsa_net=facebook&amp;hsa_ver=3</t>
  </si>
  <si>
    <t>28@gmail.com</t>
  </si>
  <si>
    <t>https://resources.simonelectric.com/simon-material-formativo-vehiculo-electrico?utm_campaign=SIC%20-%20Veh%C3%ADculo%20El%C3%A9ctrico&amp;utm_medium=email&amp;_hsmi=89784488&amp;_hsenc=p2ANqtz-95Xj1k6xNS1ScxF2vvIfW5ZMSihnGVcR0HhKDVVzqUBgOcf9Yh-lOrKRSiSKQ2ujvB10XYufWy6WeSUIdrzgA_b0jCSA&amp;utm_content=89784488&amp;utm_source=hs_email</t>
  </si>
  <si>
    <t>29@gmail.com</t>
  </si>
  <si>
    <t>https://resources.simonelectric.com/simon-ebook-vehiculo-electrico-ppc?utm_source=facebook&amp;utm_medium=social_ads&amp;utm_campaign=vehiculo_electrico</t>
  </si>
  <si>
    <t>30@gmail.com</t>
  </si>
  <si>
    <t>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&amp;fbclid=IwAR1TQrIbcD2Ag5EkHe341RMzHf1eMcN6WJWw91h3L69GDRnfuhn4eU86JR8</t>
  </si>
  <si>
    <t>31@gmail.com</t>
  </si>
  <si>
    <t>32@gmail.com</t>
  </si>
  <si>
    <t>33@gmail.com</t>
  </si>
  <si>
    <t>34@gmail.com</t>
  </si>
  <si>
    <t>https://resources.simonelectric.com/simon-catalogo-vehiculo-electrico?utm_campaign=SIC%20-%20Veh%C3%ADculo%20El%C3%A9ctrico&amp;utm_medium=email&amp;_hsmi=71034014&amp;_hsenc=p2ANqtz--6ek7ooB22HYahQ7W1AMzycj4_csxqhUfaswd4JbbH3RfzeP6Y6MvqaW-RdG_TWjDY1xPzFsHS5dH6vys3AKX-JO_OgQ&amp;utm_content=71034014&amp;utm_source=hs_automation</t>
  </si>
  <si>
    <t>35@gmail.com</t>
  </si>
  <si>
    <t>https://resources.simonelectric.com/simon-catalogo-vehiculo-electrico?utm_campaign=SIC%20-%20Veh%C3%ADculo%20El%C3%A9ctrico&amp;utm_medium=email&amp;_hsmi=71034014&amp;_hsenc=p2ANqtz-9p8pGJB0jJq4snR0xOtTwNiakgVcYgVTQfmFAieOB-_Bo4y4UVFd6u0tox1l0I2qn0oqI3PZT5KVulzNtvQGYTuCKbtw&amp;utm_content=71034014&amp;utm_source=hs_automation</t>
  </si>
  <si>
    <t>36@visaonomada.pt</t>
  </si>
  <si>
    <t>37@intienergia.com</t>
  </si>
  <si>
    <t>https://resources.simonelectric.com/simon-ebook-vehiculo-electrico?utm_campaign=SIC%20-%20Veh%C3%ADculo%20El%C3%A9ctrico&amp;utm_medium=email&amp;_hsenc=p2ANqtz--OJTWY_NuEBEccvItGVkG1_B4imYWN_lrY9APUCRyqqWx7dqeNxTOfmjxJIrYnWDSBS-6SF059i_xtq_0-qvW8F5paBg&amp;_hsmi=71033675&amp;utm_content=71033675&amp;utm_source=hs_automation&amp;hsCtaTracking=2e94ebfc-d414-4389-870c-d2f266a9420b%7C587ac4dc-a49a-4bdc-b449-e36f5d95395b</t>
  </si>
  <si>
    <t>38@telefonica.net</t>
  </si>
  <si>
    <t>https://resources.simonelectric.com/simon-catalogo-vehiculo-electrico?utm_campaign=SIC%20-%20Veh%C3%ADculo%20El%C3%A9ctrico&amp;utm_medium=email&amp;_hsmi=71034014&amp;_hsenc=p2ANqtz-_ZSHjRCrbQCSO6JWn88SrVFZhXdDBzB2XJpebnY2eLKLCQeIvzI9g5rV0x_uNorAAgW5rWfl6QID4n2rWvutzTC06r8g&amp;utm_content=71034014&amp;utm_source=hs_automation</t>
  </si>
  <si>
    <t>39@idom.com</t>
  </si>
  <si>
    <t>https://resources.simonelectric.com/simon-ebook-vehiculo-electrico?utm_campaign=SIC%20-%20Veh%C3%ADculo%20El%C3%A9ctrico&amp;utm_medium=email&amp;_hsmi=71033675&amp;_hsenc=p2ANqtz-9L2MNnJYjBFTT8lRDL7RLGrei00VDJKfWoUXmg1i8CjrzUf5jX1NpMIYuejGXeOVLREVrZlAR1E8vtnsr4R8FUECGL9A&amp;utm_content=71033675&amp;utm_source=hs_automation</t>
  </si>
  <si>
    <t>40@hotmail.com</t>
  </si>
  <si>
    <t>41@gmail.com</t>
  </si>
  <si>
    <t>42@gmail.com</t>
  </si>
  <si>
    <t>https://resources.simonelectric.com/simon-ebook-vehiculo-electrico?hsCtaTracking=2e94ebfc-d414-4389-870c-d2f266a9420b%7C587ac4dc-a49a-4bdc-b449-e36f5d95395b</t>
  </si>
  <si>
    <t>43@electricidadjoselucas.com</t>
  </si>
  <si>
    <t>44@gmail.com</t>
  </si>
  <si>
    <t>45@acotech.es</t>
  </si>
  <si>
    <t>https://resources.simonelectric.com/simon-ebook-vehiculo-electrico?utm_campaign=SIC%20-%20Veh%C3%ADculo%20El%C3%A9ctrico&amp;utm_medium=email&amp;_hsmi=71033675&amp;_hsenc=p2ANqtz--irBI0_txJqmavqXHTFqXyDmcWuMzuTbBg5mi1s1e1db5y3o-5TyZGEgigsNm08HDbBK9hcdzRyudPaMWhxwVlMIm8vg&amp;utm_content=71033675&amp;utm_source=hs_automation</t>
  </si>
  <si>
    <t>46@hotmail.com</t>
  </si>
  <si>
    <t>47@marpemac.com</t>
  </si>
  <si>
    <t>48@legebiltzarra.eus</t>
  </si>
  <si>
    <t>https://resources.simonelectric.com/simon-ebook-vehiculo-electrico?utm_campaign=SIC%20-%20Veh%C3%ADculo%20El%C3%A9ctrico&amp;utm_medium=email&amp;_hsenc=p2ANqtz-9JuOCkldR_xLpYR9zgkeZwgckM_P5gMjZeqroGo00guOwgMrk0Ax51_lVEGjNErLTqxeNBqvu_GHRaw8mrcnhkVJqNvoYzR624_Lvppn5Dph-JGhU&amp;_hsmi=71033675&amp;utm_content=71033675&amp;utm_source=hs_automation&amp;hsCtaTracking=2e94ebfc-d414-4389-870c-d2f266a9420b%7C587ac4dc-a49a-4bdc-b449-e36f5d95395b</t>
  </si>
  <si>
    <t>49@grupocaeiro.es</t>
  </si>
  <si>
    <t>50@gmail.com</t>
  </si>
  <si>
    <t>https://resources.simonelectric.com/simon-ebook-vehiculo-electrico?utm_campaign=SIC%20-%20Veh%C3%ADculo%20El%C3%A9ctrico&amp;utm_medium=email&amp;_hsmi=71033675&amp;_hsenc=p2ANqtz-8f6etk_dqhaJUFBZZNzKZAXtLvqCXsDer81mbJDzrm20NsFJ37uOJaS2uOQdl7Lv6zNYAtuHgV43tCzEn6f-EdBs8AYw&amp;utm_content=71033675&amp;utm_source=hs_automation</t>
  </si>
  <si>
    <t>51@yahoo.es</t>
  </si>
  <si>
    <t>52@tdi-sistemas.com</t>
  </si>
  <si>
    <t>https://resources.simonelectric.com/simon-material-formativo-vehiculo-electrico?utm_campaign=SIC%20-%20Veh%C3%ADculo%20El%C3%A9ctrico&amp;utm_medium=email&amp;_hsmi=89784488&amp;_hsenc=p2ANqtz-8z7t3eRFBxSNuwPwv5niZtN-utjObqkZfyXxSNW27jZW617DVFOpExnI7syKn4eP9FzDMwD-tLvx7RVT9siIm99KfpDA&amp;utm_content=89784488&amp;utm_source=hs_email</t>
  </si>
  <si>
    <t>https://resources.simonelectric.com/simon-material-formativo-vehiculo-electrico?utm_campaign=SIC%20-%20Veh%C3%ADculo%20El%C3%A9ctrico&amp;utm_medium=email&amp;_hsmi=89784488&amp;_hsenc=p2ANqtz-8xqrqsaxP8ccc8kODNySDrP2E4NBX6QljuVCujRSmW4ScVNF-K26O36Jm-BDazcw_IK_Y5RDvQe8_IPzfq-WLzeUwNoQ&amp;utm_content=89784488&amp;utm_source=hs_email</t>
  </si>
  <si>
    <t>53@dicara.es</t>
  </si>
  <si>
    <t>https://resources.simonelectric.com/simon-material-formativo-vehiculo-electrico?utm_campaign=SIC%20-%20Veh%C3%ADculo%20El%C3%A9ctrico&amp;utm_medium=email&amp;_hsenc=p2ANqtz--pfqhpHhnvP-hXBvoy0QeQyq_Jp3PBpd5mkNdx210NeMvcDs7P6UuwwImJVqtwNCp3Oqq9H_QUOwkhe-jjDXRiC31jMw&amp;_hsmi=89784488&amp;utm_content=89784488&amp;utm_source=hs_email&amp;hsCtaTracking=f8a31ce8-daf1-4d69-a5d6-c3349f3aab91%7C75f9b9fd-a2b2-4ad4-9d4a-0dcb7c99194f</t>
  </si>
  <si>
    <t>54@abengoa.com</t>
  </si>
  <si>
    <t>55@hotmail.com</t>
  </si>
  <si>
    <t>https://resources.simonelectric.com/simon-catalogo-vehiculo-electrico?utm_campaign=SIC%20-%20Veh%C3%ADculo%20El%C3%A9ctrico&amp;utm_medium=email&amp;_hsmi=71034014&amp;_hsenc=p2ANqtz-_oejrRKUDFam2bP8YxOTBcC88jIzRmlImVbVIw8t_vDHZDj-SS03G9fvf5bqDcSt_T5Vd6m9CcwnaoBW6l-auK6DT-AQ&amp;utm_content=71034014&amp;utm_source=hs_automation</t>
  </si>
  <si>
    <t>56@iesmurgi.org</t>
  </si>
  <si>
    <t>https://resources.simonelectric.com/simon-ebook-vehiculo-electrico?utm_campaign=SIC%20-%20Veh%C3%ADculo%20El%C3%A9ctrico&amp;utm_medium=email&amp;_hsenc=p2ANqtz--8Nh2cJeLQT2NSQxxtEKDWYU14K69IDATceOxXIQ19V2lwK5IJ2kAly8IBfzlDAXT5L3O9AqKIVLt__USXLYX4j6PtTBE8vaesaMfEF3d8ta-EXwk&amp;_hsmi=71033675&amp;utm_content=71033675&amp;utm_source=hs_automation&amp;hsCtaTracking=2e94ebfc-d414-4389-870c-d2f266a9420b%7C587ac4dc-a49a-4bdc-b449-e36f5d95395b</t>
  </si>
  <si>
    <t>57@gmail.com</t>
  </si>
  <si>
    <t>58@gabyl.com</t>
  </si>
  <si>
    <t>59@gmail.com</t>
  </si>
  <si>
    <t>60@rocketmail.com</t>
  </si>
  <si>
    <t>61@elektra-sa.es</t>
  </si>
  <si>
    <t>62@hotmail.com</t>
  </si>
  <si>
    <t>63@semael.com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</si>
  <si>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-0KyVwDdJiqr8HEE6bop5wZkwmhjWnzx7pvykj7C1Fc_0BfSRkUUOXGQaDM8LWzd8KKG6Kxq-HgdB2GxUzvT4SW7cWJg%26_hsmi%3D71033828</t>
  </si>
  <si>
    <t>64@gmail.com</t>
  </si>
  <si>
    <t>https://resources.simonelectric.com/simon-ebook-vehiculo-electrico?utm_campaign=%23Simonentucasa&amp;utm_medium=email&amp;_hsenc=p2ANqtz-_JFhs2QwRQSeTnLLVibnt9EH_QbPFohaj0aTDtV17YIh6VnY75sfCaKpGsP2rDSkJj28H9pj5-QXTTdOl4V4ums6U8yw&amp;_hsmi=85165037&amp;utm_source=hs_email&amp;utm_content=85165037&amp;hsCtaTracking=7e048f91-fedd-4131-939d-25771a4a2d12%7Cf6d6f061-2319-4b5b-89f8-8c89fca06239</t>
  </si>
  <si>
    <t>65@copitima.com</t>
  </si>
  <si>
    <t>66@dgingenieros.es</t>
  </si>
  <si>
    <t>https://resources.simonelectric.com/simon-ebook-vehiculo-electrico?utm_campaign=SIC%20-%20Veh%C3%ADculo%20El%C3%A9ctrico&amp;utm_medium=email&amp;_hsenc=p2ANqtz-94PTb0W0spx5r-c7EX4W5HVMOMLsrZw_LyHZX7BAynC0oCAPLCuVuRNMOhQ-a_MuP-as9J0hFPHs1TNrAAD8bAK6zwRw&amp;_hsmi=71033675&amp;utm_content=71033675&amp;utm_source=hs_automation&amp;hsCtaTracking=2e94ebfc-d414-4389-870c-d2f266a9420b%7C587ac4dc-a49a-4bdc-b449-e36f5d95395b</t>
  </si>
  <si>
    <t>67@becibiza.es</t>
  </si>
  <si>
    <t>https://resources.simonelectric.com/simon-ebook-vehiculo-electrico?utm_campaign=SIC%20-%20Veh%C3%ADculo%20El%C3%A9ctrico&amp;utm_medium=email&amp;_hsenc=p2ANqtz--5jLmC1JWVAkAy58xWO_Y10IhaQ_VJE_C7Od1MTkvTwlZOUmeNv5U0BV01GaPwHV4ofMfNLpwy3PLz665pz9clQ71TOA&amp;_hsmi=71033675&amp;utm_content=71033675&amp;utm_source=hs_automation&amp;hsCtaTracking=2e94ebfc-d414-4389-870c-d2f266a9420b%7C587ac4dc-a49a-4bdc-b449-e36f5d95395b</t>
  </si>
  <si>
    <t>68@ingeosolar.com</t>
  </si>
  <si>
    <t>69@gmail.com</t>
  </si>
  <si>
    <t>70@gmail.com</t>
  </si>
  <si>
    <t>https://resources.simonelectric.com/simon-ebook-vehiculo-electrico?utm_campaign=SIC%20-%20Veh%C3%ADculo%20El%C3%A9ctrico&amp;utm_medium=email&amp;_hsenc=p2ANqtz-8vYZLcPTL6wCQtu46a1vDV6xinLovDlgp6mXxcEYbHIJsLR7LiGDPjazoVPczxEr1wDpeGw5hjn7gMVH-RVmrl0orKNQ&amp;_hsmi=71033675&amp;utm_content=71033675&amp;utm_source=hs_automation&amp;hsCtaTracking=2e94ebfc-d414-4389-870c-d2f266a9420b%7C587ac4dc-a49a-4bdc-b449-e36f5d95395b</t>
  </si>
  <si>
    <t>71@hotmail.com</t>
  </si>
  <si>
    <t>https://resources.simonelectric.com/simon-material-formativo-vehiculo-electrico?utm_campaign=SIC%20-%20Veh%C3%ADculo%20El%C3%A9ctrico&amp;utm_medium=email&amp;_hsenc=p2ANqtz--u3kCrOxc25o5TqQ9eviIMVSE_-Oy6XcqCmflNdCcvZOGgNW85tueuRSLpqfTVyjEKk7QUxtvuWDK6uK9pSOFUmhxJkA&amp;_hsmi=89784488&amp;utm_content=89784488&amp;utm_source=hs_email&amp;hsCtaTracking=f8a31ce8-daf1-4d69-a5d6-c3349f3aab91%7C75f9b9fd-a2b2-4ad4-9d4a-0dcb7c99194f</t>
  </si>
  <si>
    <t>72@grupoelectrostocks.com</t>
  </si>
  <si>
    <t>https://resources.simonelectric.com/simon-catalogo-vehiculo-electrico?utm_campaign=SIC%20-%20Veh%C3%ADculo%20El%C3%A9ctrico&amp;utm_medium=email&amp;_hsenc=p2ANqtz--WkvxgY5aiRNQyWAolPGkDwSng9UNicT6eDgx7ye7_PiH4w0wb2ZIlbtVO9Dzxsmx9jdO9&amp;_hsmi=87085363&amp;utm_content=87085363&amp;utm_source=hs_email&amp;hsCtaTracking=6fedf137-fd90-4f17-bfb4-d61f710ec7f8%7Cf2771843-6636-4969-9010-2d8d0389b89c</t>
  </si>
  <si>
    <t>73@hotmail.com</t>
  </si>
  <si>
    <t>https://resources.simonelectric.com/simon-ebook-vehiculo-electrico?utm_campaign=SIC%20-%20Veh%C3%ADculo%20El%C3%A9ctrico&amp;utm_medium=email&amp;_hsenc=p2ANqtz-8qEPiaofCeC0xjB2htxdRvJTlcVrk1DJbwAv-sYX012Kd7A41bDhJq-rGSQos2K3r-eBIx70tdLxzVTIwAuBe2YvJM7Q&amp;_hsmi=71033675&amp;utm_content=71033675&amp;utm_source=hs_automation&amp;hsCtaTracking=2e94ebfc-d414-4389-870c-d2f266a9420b%7C587ac4dc-a49a-4bdc-b449-e36f5d95395b</t>
  </si>
  <si>
    <t>74@electricidadguerra.com</t>
  </si>
  <si>
    <t>75@telefonica.net</t>
  </si>
  <si>
    <t>https://resources.simonelectric.com/simon-ebook-vehiculo-electrico?utm_campaign=SIC%20-%20Veh%C3%ADculo%20El%C3%A9ctrico&amp;utm_medium=email&amp;_hsmi=71033675&amp;_hsenc=p2ANqtz-89u3g_aAv-ZFjfo5w32bRPhO7B6VHTmIyYI4Kb47Y_HNVwH5wG191BEvvkIeBZBOao3FiDBDa36WM84uT-hXEPffcKEPriCgxXyM5xMLLpH0Lv3RI&amp;utm_content=71033675&amp;utm_source=hs_automation</t>
  </si>
  <si>
    <t>76@gmail.com</t>
  </si>
  <si>
    <t>77@comsa.com</t>
  </si>
  <si>
    <t>https://resources.simonelectric.com/simon-ebook-vehiculo-electrico?utm_campaign=SIC%20-%20Veh%C3%ADculo%20El%C3%A9ctrico&amp;utm_medium=email&amp;_hsenc=p2ANqtz--e0wisTSZv-jYAgbdP30-YHJd-ZATBaF3cV8blxQOKAB5AtCz1qbRxwOwKxJW7sf4RXFkIYQ3MW3WfXB0GJtEZNUcwN67zslwd481QREUkt0i8sUA&amp;_hsmi=71033675&amp;utm_content=71033675&amp;utm_source=hs_automation&amp;hsCtaTracking=2e94ebfc-d414-4389-870c-d2f266a9420b%7C587ac4dc-a49a-4bdc-b449-e36f5d95395b</t>
  </si>
  <si>
    <t>https://resources.simonelectric.com/simon-material-formativo-vehiculo-electrico?utm_campaign=SIC%20-%20Veh%C3%ADculo%20El%C3%A9ctrico&amp;utm_medium=email&amp;_hsenc=p2ANqtz-_fWAaxvy_5iLdOzGtMvNDUtj279Wjm9UdoKtoOCkwPDAVaVPaznH21HE1GnTUX2b8xa5a51g9i8JaqA5gBMrflqNktlUyZUG0CXZbW0NJa1J4zFkI&amp;_hsmi=89784488&amp;utm_content=89784488&amp;utm_source=hs_email&amp;hsCtaTracking=f8a31ce8-daf1-4d69-a5d6-c3349f3aab91%7C75f9b9fd-a2b2-4ad4-9d4a-0dcb7c99194f</t>
  </si>
  <si>
    <t>78@gmail.com</t>
  </si>
  <si>
    <t>79@sonepar.es</t>
  </si>
  <si>
    <t>https://resources.simonelectric.com/simon-catalogo-vehiculo-electrico?utm_campaign=SIC%20-%20Veh%C3%ADculo%20El%C3%A9ctrico&amp;utm_medium=email&amp;_hsmi=71034014&amp;_hsenc=p2ANqtz-9-RxDq-PaTTBBf_y03vEpaP_ks4tNwyCCApoZnbnp9Wm0bcIpuBcItSlbuh0USjWKhGUe9GfS9fBgMwRGXwFGlI8mdBWJQ6svju5-OH49ghnUZoTo&amp;utm_content=71034014&amp;utm_source=hs_automation</t>
  </si>
  <si>
    <t>80@enginyerstarragona.cat</t>
  </si>
  <si>
    <t>https://resources.simonelectric.com/simon-ebook-vehiculo-electrico?utm_campaign=SIC%20-%20Veh%C3%ADculo%20El%C3%A9ctrico&amp;utm_medium=email&amp;_hsenc=p2ANqtz-__aEmAGWo0D2n3fBUYIygI1JYgNeIhhVX0-XLyMY046QqdZz_VkiBu8AlzoNypmfd-B-JW9HZBpLLE7ASr263QmoHawx-PAtHPCDtRA1y_aejwPhk&amp;_hsmi=71033675&amp;utm_content=71033675&amp;utm_source=hs_automation&amp;hsCtaTracking=2e94ebfc-d414-4389-870c-d2f266a9420b%7C587ac4dc-a49a-4bdc-b449-e36f5d95395b</t>
  </si>
  <si>
    <t>81@gmail.com</t>
  </si>
  <si>
    <t>https://resources.simonelectric.com/simon-ebook-vehiculo-electrico?utm_campaign=SIC%20-%20Veh%C3%ADculo%20El%C3%A9ctrico&amp;utm_medium=email&amp;_hsenc=p2ANqtz-8YWYKokqS-qHXSkU6EbD-jN2FsQHAXX321ec3vzlW2q1gROCFRLkU5NWdq2amIPFCs_NgryZqV98ts3R8yZrLs_zm5lA&amp;_hsmi=71033675&amp;utm_content=71033675&amp;utm_source=hs_automation&amp;hsCtaTracking=2e94ebfc-d414-4389-870c-d2f266a9420b%7C587ac4dc-a49a-4bdc-b449-e36f5d95395b</t>
  </si>
  <si>
    <t>82@sedes.es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</si>
  <si>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medium%3Demail%26_hsmi%3D71033828%26_hsenc%3Dp2ANqtz-_W804BNNPrF0Wn_0yHHJNspeHIeFbUFGjhYRMGJyqdOL0WioJ9lZz4fZ7GqXFF2xULb4HtrIYHO0He8OPusrG14pJneg%26utm_content%3D71033828%26utm_source%3Dhs_automation</t>
  </si>
  <si>
    <t>83@eduardoaleman.es</t>
  </si>
  <si>
    <t>84@electromontajesroldan.com</t>
  </si>
  <si>
    <t>85@gmail.com</t>
  </si>
  <si>
    <t>https://resources.simonelectric.com/simon-ebook-vehiculo-electrico?utm_campaign=SIC%20-%20Veh%C3%ADculo%20El%C3%A9ctrico&amp;utm_medium=email&amp;_hsenc=p2ANqtz-_2YeCA471Wfs8AuGFg6tQmrf8BTWBzQ7tr-K1CiYAPXw3A-6kVs6o-O3EGQxYgqyHLEBYGmpG41E--RNxY4eLrjkhxng&amp;_hsmi=71033675&amp;utm_content=71033675&amp;utm_source=hs_automation&amp;hsCtaTracking=2e94ebfc-d414-4389-870c-d2f266a9420b%7C587ac4dc-a49a-4bdc-b449-e36f5d95395b</t>
  </si>
  <si>
    <t>86@ingbuero-group.de</t>
  </si>
  <si>
    <t>https://resources.simonelectric.com/simon-ebook-vehiculo-electrico?utm_campaign=SIC%20-%20Veh%C3%ADculo%20El%C3%A9ctrico&amp;utm_medium=email&amp;_hsenc=p2ANqtz-8d2lFw2UouKAajJcQ8B2iiRnYOBsUnich38g5wxITxpNzBcNcaINSsnvll5438UUD3xN-ACApWSPPJOwyiqLmaD1JNXb29wmoN9AqV7uW6ZFptrUU&amp;_hsmi=71033675&amp;utm_content=71033675&amp;utm_source=hs_automation&amp;hsCtaTracking=2e94ebfc-d414-4389-870c-d2f266a9420b%7C587ac4dc-a49a-4bdc-b449-e36f5d95395b</t>
  </si>
  <si>
    <t>87@comsa.com</t>
  </si>
  <si>
    <t>https://resources.simonelectric.com/simon-ebook-vehiculo-electrico?utm_campaign=SIC%20-%20Veh%C3%ADculo%20El%C3%A9ctrico&amp;utm_medium=email&amp;_hsenc=p2ANqtz-9W-e-8r44vgtRdqqpEkJ-ryHjMU5QN5hbComOXFLHOFyqzAeCMOxcg4n2K5SbI9KlPSAtYrrzyuDK8dObwn4yBoCk4_Q&amp;_hsmi=71033675&amp;utm_content=71033675&amp;utm_source=hs_automation&amp;hsCtaTracking=2e94ebfc-d414-4389-870c-d2f266a9420b%7C587ac4dc-a49a-4bdc-b449-e36f5d95395b</t>
  </si>
  <si>
    <t>88@ingenierosvigo.com</t>
  </si>
  <si>
    <t>https://resources.simonelectric.com/simon-ebook-vehiculo-electrico?utm_campaign=SIC%20-%20Veh%C3%ADculo%20El%C3%A9ctrico&amp;utm_medium=email&amp;_hsenc=p2ANqtz-9cXZng31wVescWOquMV7kFLRE28jgZyxFfzvJlw-mPvzjIkn1SjJQnJSopvssYLVmF6osw_LLfmZuDgUCOoJulFzoETpQQQRAJWpd81PqYguj8H_o&amp;_hsmi=71033675&amp;utm_content=71033675&amp;utm_source=hs_automation&amp;hsCtaTracking=2e94ebfc-d414-4389-870c-d2f266a9420b%7C587ac4dc-a49a-4bdc-b449-e36f5d95395b</t>
  </si>
  <si>
    <t>89@ipsumindustrial.com</t>
  </si>
  <si>
    <t>https://resources.simonelectric.com/simon-material-formativo-vehiculo-electrico?utm_campaign=SIC%20-%20Veh%C3%ADculo%20El%C3%A9ctrico&amp;utm_medium=email&amp;_hsenc=p2ANqtz--pmAFdNTLv5RF0HAJ2sVzAn86Zyoxjle-mUs4sqgaoN1Ovct3YzQm78xOKSRML9-ICjURPYH_jpWdqS5_ae48hDmqzi2KOFz1BesclvPsRpim_krY&amp;_hsmi=89784488&amp;utm_content=89784488&amp;utm_source=hs_email&amp;hsCtaTracking=f8a31ce8-daf1-4d69-a5d6-c3349f3aab91%7C75f9b9fd-a2b2-4ad4-9d4a-0dcb7c99194f</t>
  </si>
  <si>
    <t>90@telefonica.net</t>
  </si>
  <si>
    <t>https://resources.simonelectric.com/simon-ebook-vehiculo-electrico?utm_campaign=SIC%20-%20Veh%C3%ADculo%20El%C3%A9ctrico&amp;utm_medium=email&amp;_hsenc=p2ANqtz--EqEVNejKUZDyMUccz6b6N_fQsE8CPeMgbT7RFy_CDmu_Rpu-z2DCK9SGDkhEtxN7VXutW7YUXGABt3gbED4HUT1tZXA&amp;_hsmi=71033675&amp;utm_content=71033675&amp;utm_source=hs_automation&amp;hsCtaTracking=2e94ebfc-d414-4389-870c-d2f266a9420b%7C587ac4dc-a49a-4bdc-b449-e36f5d95395b</t>
  </si>
  <si>
    <t>91@valmet.com</t>
  </si>
  <si>
    <t>https://resources.simonelectric.com/simon-ebook-vehiculo-electrico?utm_campaign=SIC%20-%20Veh%C3%ADculo%20El%C3%A9ctrico&amp;utm_medium=email&amp;_hsenc=p2ANqtz-8LwgOuaryJ3urjOAuhiaIXQpPzcOmrD1e1VjKI9C_hc0lonkFQiCnEpbXCRSFqG5ptFsg3jpP7N4IRmrt2rTT_syUGwg&amp;_hsmi=71033675&amp;utm_content=71033675&amp;utm_source=hs_automation&amp;hsCtaTracking=2e94ebfc-d414-4389-870c-d2f266a9420b%7C587ac4dc-a49a-4bdc-b449-e36f5d95395b</t>
  </si>
  <si>
    <t>92@gmail.com</t>
  </si>
  <si>
    <t>https://resources.simonelectric.com/simon-ebook-vehiculo-electrico?utm_campaign=SIC%20-%20Veh%C3%ADculo%20El%C3%A9ctrico&amp;utm_medium=email&amp;_hsenc=p2ANqtz-8LAH49wwGVzo9gEBCZurS5A3FLWd4OUrPTulJ8BMmg1n08ooQF5Z74rOL2f1cQKk8UfgT0FKHSVoNpP4mN6pEr2ZRDgQ&amp;_hsmi=71033675&amp;utm_content=71033675&amp;utm_source=hs_automation&amp;hsCtaTracking=2e94ebfc-d414-4389-870c-d2f266a9420b%7C587ac4dc-a49a-4bdc-b449-e36f5d95395b</t>
  </si>
  <si>
    <t>93@gmail.com</t>
  </si>
  <si>
    <t>https://resources.simonelectric.com/simon-ebook-vehiculo-electrico?utm_campaign=SIC%20-%20Veh%C3%ADculo%20El%C3%A9ctrico&amp;utm_medium=email&amp;_hsenc=p2ANqtz-_h__pc1zOcXC2UpQmJtquqGU4knQHNbK3w5PsnfRSS9hFOntRowQDG8BG7Z0ZhmiD-B-ZtrCtBXdnnQFkvpvYuCyHt2Q&amp;_hsmi=71033675&amp;utm_content=71033675&amp;utm_source=hs_automation&amp;hsCtaTracking=2e94ebfc-d414-4389-870c-d2f266a9420b%7C587ac4dc-a49a-4bdc-b449-e36f5d95395b</t>
  </si>
  <si>
    <t>94@grupocobra.com</t>
  </si>
  <si>
    <t>https://resources.simonelectric.com/simon-ebook-vehiculo-electrico?utm_campaign=SIC%20-%20Veh%C3%ADculo%20El%C3%A9ctrico&amp;utm_medium=email&amp;_hsenc=p2ANqtz-8_kTW4tuQj3Vg2NkuLyU_GfvjIdh3cZI4-CLGObAggCbqvB0ZPfW0BjFYMk_u2S9Cn6QDS58Spk2OfKz_TUITNuQlncw&amp;_hsmi=71033675&amp;utm_content=71033675&amp;utm_source=hs_automation&amp;hsCtaTracking=2e94ebfc-d414-4389-870c-d2f266a9420b%7C587ac4dc-a49a-4bdc-b449-e36f5d95395b</t>
  </si>
  <si>
    <t>95@gmail.com</t>
  </si>
  <si>
    <t>https://resources.simonelectric.com/simon-ebook-vehiculo-electrico?utm_campaign=SIC%20-%20Veh%C3%ADculo%20El%C3%A9ctrico&amp;utm_medium=email&amp;_hsenc=p2ANqtz-8-g7SYHnfEaZu20D11o6MbtcpBHlx2aebcraWOQw8C-NP--66brhmXJD8snqBCgwUSGCWFg0QGCczAOj4UVMYHca7lbg&amp;_hsmi=71033675&amp;utm_content=71033675&amp;utm_source=hs_automation&amp;hsCtaTracking=2e94ebfc-d414-4389-870c-d2f266a9420b%7C587ac4dc-a49a-4bdc-b449-e36f5d95395b</t>
  </si>
  <si>
    <t>96@hotmail.com</t>
  </si>
  <si>
    <t>https://resources.simonelectric.com/simon-ebook-vehiculo-electrico?utm_campaign=SIC%20-%20Veh%C3%ADculo%20El%C3%A9ctrico&amp;utm_medium=email&amp;_hsenc=p2ANqtz-_weZbP8FcEo1JH3Yyi9GrdAiedBrHKCTQI-BSCX9vWVZxiAvaJZIFxjZmZr_E0wH7r2g4Wrs405UkomPL-m3Hlg2RpJKUEfPH22yQ1tkpGXuXVoPU&amp;_hsmi=71033675&amp;utm_content=71033675&amp;utm_source=hs_automation&amp;hsCtaTracking=2e94ebfc-d414-4389-870c-d2f266a9420b%7C587ac4dc-a49a-4bdc-b449-e36f5d95395b</t>
  </si>
  <si>
    <t>97@igpingenieria.com</t>
  </si>
  <si>
    <t>https://resources.simonelectric.com/simon-ebook-vehiculo-electrico?utm_campaign=SIC%20-%20Veh%C3%ADculo%20El%C3%A9ctrico&amp;utm_medium=email&amp;_hsmi=71033675&amp;_hsenc=p2ANqtz-9eR6NiQnkeRQTK0mVD9bkq5dsTXhzAFL1H7X7F9BuisIqa4Wk7qkHgzufTpZRVIEA8b6CXFosTtRQg3QliHuvgEZC7zgn_EywUjbIeUnQeTY2TEdc&amp;utm_content=71033675&amp;utm_source=hs_automation</t>
  </si>
  <si>
    <t>98@davidjdiaz.es</t>
  </si>
  <si>
    <t>https://resources.simonelectric.com/simon-ebook-vehiculo-electrico?utm_campaign=SIC%20-%20Veh%C3%ADculo%20El%C3%A9ctrico&amp;utm_medium=email&amp;_hsmi=71033675&amp;_hsenc=p2ANqtz-8Kv5zmY8Kw84nVuUgE6IoT4bc-VVdUzebnaC-crzEiMAr1c0oOOSi3vFVrHmKklR6tFSzZ6RFWDz9vyYPvt9Ax7HDtHA&amp;utm_content=71033675&amp;utm_source=hs_automation</t>
  </si>
  <si>
    <t>99@coitir.com</t>
  </si>
  <si>
    <t>https://resources.simonelectric.com/simon-ebook-vehiculo-electrico?utm_campaign=SIC%20-%20Veh%C3%ADculo%20El%C3%A9ctrico&amp;utm_medium=email&amp;_hsenc=p2ANqtz-8B1E6a75Jm6a5F0mb8aHxLj1bM1k9AAyV_1w5fvSAISV2tpBmtoe1aSZVknpmNpzPX_M-8vEQCATxXUU51tAtBFbMBaQ&amp;_hsmi=71033675&amp;utm_content=71033675&amp;utm_source=hs_automation&amp;hsCtaTracking=2e94ebfc-d414-4389-870c-d2f266a9420b%7C587ac4dc-a49a-4bdc-b449-e36f5d95395b</t>
  </si>
  <si>
    <t>100@hotmail.com</t>
  </si>
  <si>
    <t>https://resources.simonelectric.com/simon-ebook-vehiculo-electrico?utm_campaign=SIC%20-%20Veh%C3%ADculo%20El%C3%A9ctrico&amp;utm_medium=email&amp;_hsenc=p2ANqtz--bT5qCi8PvvSCHLA72eO2p7bqTOc-Qql0xlg8qAdlry6Qz-VjnVnzZJ1F_2OMa7uPJetfFr90QZrGb1MZhlWvos-bysg&amp;_hsmi=71033675&amp;utm_content=71033675&amp;utm_source=hs_automation&amp;hsCtaTracking=2e94ebfc-d414-4389-870c-d2f266a9420b%7C587ac4dc-a49a-4bdc-b449-e36f5d95395b</t>
  </si>
  <si>
    <t>https://resources.simonelectric.com/simon-ebook-vehiculo-electrico?utm_campaign=SIC%20-%20Veh%C3%ADculo%20El%C3%A9ctrico&amp;utm_medium=email&amp;_hsenc=p2ANqtz-9YnL1dFGDKhup-Vgmbsz24Y4_wxJ-oztesYYsTHf6UzA2UZUDneIux0qc8emG-uG3m4ui05oGAw3mILgsToW9UmUejAA&amp;_hsmi=71033675&amp;utm_content=71033675&amp;utm_source=hs_automation&amp;hsCtaTracking=2e94ebfc-d414-4389-870c-d2f266a9420b%7C587ac4dc-a49a-4bdc-b449-e36f5d95395b</t>
  </si>
  <si>
    <t>101@coiirm.es</t>
  </si>
  <si>
    <t>https://resources.simonelectric.com/simon-ebook-vehiculo-electrico?utm_campaign=SIC%20-%20Veh%C3%ADculo%20El%C3%A9ctrico&amp;utm_medium=email&amp;_hsenc=p2ANqtz--xIc0Dnkny4BKWDGNHc9yX_b0RVOSrxedbmbQhxZtZcxanwPUcsEKu_JwNvddu5LCuFDJVup-5chGv4kx0ZlOe7urFEw&amp;_hsmi=71033675&amp;utm_content=71033675&amp;utm_source=hs_automation&amp;hsCtaTracking=2e94ebfc-d414-4389-870c-d2f266a9420b%7C587ac4dc-a49a-4bdc-b449-e36f5d95395b</t>
  </si>
  <si>
    <t>102@telefonica.net</t>
  </si>
  <si>
    <t>https://resources.simonelectric.com/simon-ebook-vehiculo-electrico?utm_campaign=SIC%20-%20Veh%C3%ADculo%20El%C3%A9ctrico&amp;utm_medium=email&amp;_hsmi=71033675&amp;_hsenc=p2ANqtz-_-_eOX1BzwuAXNh8Bf3PgtbWG1IFSokffALM85-7a0hJp7aipWAostV366BR6yI7A5yzrKPtutkClZ2XZeBpqzYvUOFg&amp;utm_content=71033675&amp;utm_source=hs_automation</t>
  </si>
  <si>
    <t>103@ciccp.es</t>
  </si>
  <si>
    <t>https://resources.simonelectric.com/simon-ebook-vehiculo-electrico?utm_campaign=SIC%20-%20Veh%C3%ADculo%20El%C3%A9ctrico&amp;utm_medium=email&amp;_hsenc=p2ANqtz-9GHBYZqkM3xzZi9Y14-p9vIgKb9hYydUpAyMeEC8Tfw5Trhq4wQwPqXNjI6Snhxp5HjdN1YjLEJMo8rEED-JvMHPnw7Q&amp;_hsmi=71033675&amp;utm_content=71033675&amp;utm_source=hs_automation&amp;hsCtaTracking=2e94ebfc-d414-4389-870c-d2f266a9420b%7C587ac4dc-a49a-4bdc-b449-e36f5d95395b</t>
  </si>
  <si>
    <t>104@spiningenieros.com</t>
  </si>
  <si>
    <t>https://resources.simonelectric.com/simon-ebook-vehiculo-electrico?utm_campaign=SIC%20-%20Veh%C3%ADculo%20El%C3%A9ctrico&amp;utm_medium=email&amp;_hsmi=71033675&amp;_hsenc=p2ANqtz-8FnhuQ7jgMFBTlLCq2_EOo8Ninf08sDMvBi-6xa81OPR3Sfre2zY_X0xf2IyJjvQ4DgUtg0rQLyVOGCvy7wQX6NZN0ER7D_aNVWuhWqi86sB7WNqM&amp;utm_content=71033675&amp;utm_source=hs_automation</t>
  </si>
  <si>
    <t>105@gmail.com</t>
  </si>
  <si>
    <t>https://resources.simonelectric.com/simon-ebook-vehiculo-electrico?utm_campaign=SIC%20-%20Veh%C3%ADculo%20El%C3%A9ctrico&amp;utm_medium=email&amp;_hsenc=p2ANqtz-_4Uz_Ch7gos8Vewt384XJ518GSvadd37j4oYzNmkVsy1lVpiXIE4g_gNJKbq2p-In9W7ln6WKzhU6XTIdersXTFxjZkA&amp;_hsmi=71033675&amp;utm_content=71033675&amp;utm_source=hs_automation&amp;hsCtaTracking=2e94ebfc-d414-4389-870c-d2f266a9420b%7C587ac4dc-a49a-4bdc-b449-e36f5d95395b</t>
  </si>
  <si>
    <t>106@ucm.es</t>
  </si>
  <si>
    <t>https://resources.simonelectric.com/simon-ebook-vehiculo-electrico?utm_campaign=SIC%20-%20Veh%C3%ADculo%20El%C3%A9ctrico&amp;utm_medium=email&amp;_hsenc=p2ANqtz-9AUyC9w0RayESU6VHjrNqLq2OSIFeCMkFvfE7UgApg2id6SlOu3FwJDW1CBnoLMWVQBrrEd-bDJoXPWPZ_UgbY1gIorw&amp;_hsmi=71033675&amp;utm_content=71033675&amp;utm_source=hs_automation&amp;hsCtaTracking=2e94ebfc-d414-4389-870c-d2f266a9420b%7C587ac4dc-a49a-4bdc-b449-e36f5d95395b</t>
  </si>
  <si>
    <t>107@dipucr.es</t>
  </si>
  <si>
    <t>https://resources.simonelectric.com/simon-ebook-vehiculo-electrico?utm_campaign=SIC%20-%20Veh%C3%ADculo%20El%C3%A9ctrico&amp;utm_medium=email&amp;_hsenc=p2ANqtz-8fnFo15BIzMsxwVN_N2_yxw3Ai3CrWBk2D0d_1YI58XnuNzrWBahR4oq5H07kW8W3DDCCF7oCtHcDR7Y9GTYtV5wWpZw&amp;_hsmi=71033675&amp;utm_content=71033675&amp;utm_source=hs_automation&amp;hsCtaTracking=2e94ebfc-d414-4389-870c-d2f266a9420b%7C587ac4dc-a49a-4bdc-b449-e36f5d95395b</t>
  </si>
  <si>
    <t>108@salesianos.edu</t>
  </si>
  <si>
    <t>https://resources.simonelectric.com/simon-ebook-vehiculo-electrico?utm_campaign=SIC%20-%20Veh%C3%ADculo%20El%C3%A9ctrico&amp;utm_medium=email&amp;_hsmi=71033675&amp;_hsenc=p2ANqtz-8aOVFtcoG1dEx4S6puS4_bhf6lHs8dWn3NXPZzTJ1op3HhwumLeJSgzyE_JrwXexxbjm96x4RnnXwW4Wp1IrXO_sQlGdvM9f0oHIz2eibOnrdQxhs&amp;utm_content=71033675&amp;utm_source=hs_automation</t>
  </si>
  <si>
    <t>109@gmail.com</t>
  </si>
  <si>
    <t>https://resources.simonelectric.com/simon-ebook-vehiculo-electrico?utm_campaign=SIC%20-%20Veh%C3%ADculo%20El%C3%A9ctrico&amp;utm_medium=email&amp;_hsenc=p2ANqtz-8v_nq8kBt3GJhCQwyd08hYzm_ZGOTy_bp4f_CEYIDG-20qrye_luJd4vw1xLse5lPQQtEVTcEMg0poyLZ03eYKF1Z5sw&amp;_hsmi=71033675&amp;utm_content=71033675&amp;utm_source=hs_automation&amp;hsCtaTracking=2e94ebfc-d414-4389-870c-d2f266a9420b%7C587ac4dc-a49a-4bdc-b449-e36f5d95395b</t>
  </si>
  <si>
    <t>110@3epsilonsolutions.com</t>
  </si>
  <si>
    <t>https://resources.simonelectric.com/simon-ebook-vehiculo-electrico?utm_campaign=SIC%20-%20Veh%C3%ADculo%20El%C3%A9ctrico&amp;utm_medium=email&amp;_hsenc=p2ANqtz-_vS0VfeWKN9MlCqamBcHrYKdjs_0uWmDprAxPFD-4iXajmx_6W_0eJ5jGSkD1lILtQy5VmhnpbgxLHkOKJQx89VGQ2Pzj0FLuNSHAwieXKh5XFxy0&amp;_hsmi=71033675&amp;utm_content=71033675&amp;utm_source=hs_automation&amp;hsCtaTracking=2e94ebfc-d414-4389-870c-d2f266a9420b%7C587ac4dc-a49a-4bdc-b449-e36f5d95395b</t>
  </si>
  <si>
    <t>111@murciaeduca.es</t>
  </si>
  <si>
    <t>https://resources.simonelectric.com/simon-ebook-vehiculo-electrico?utm_campaign=SIC%20-%20Veh%C3%ADculo%20El%C3%A9ctrico&amp;utm_medium=email&amp;_hsenc=p2ANqtz-9pU849HTliHTpUGpObA7AO3_1QCRskZ7X0dsru9AW_dJ0i7EJuSF_SqBgQ_UgTNeXecMorze85_zHeVme-xNt0-yNvixeMdKElXGJ7EpWDaaIr1lM&amp;_hsmi=71033675&amp;utm_content=71033675&amp;utm_source=hs_automation&amp;hsCtaTracking=2e94ebfc-d414-4389-870c-d2f266a9420b%7C587ac4dc-a49a-4bdc-b449-e36f5d95395b</t>
  </si>
  <si>
    <t>112@gmail.com</t>
  </si>
  <si>
    <t>https://resources.simonelectric.com/simon-ebook-vehiculo-electrico?utm_campaign=SIC%20-%20Veh%C3%ADculo%20El%C3%A9ctrico&amp;utm_medium=email&amp;_hsmi=71033675&amp;_hsenc=p2ANqtz-9C8U52YMIrOktXzP5hQFyLWj4uWLcLeVs7f3O6XoB0rUTtHzSwvBrNsI_i72_Pxob56Sdwnct70hq5OdQj_PjNN7Lb0Q&amp;utm_content=71033675&amp;utm_source=hs_automation</t>
  </si>
  <si>
    <t>113@gmail.com</t>
  </si>
  <si>
    <t>https://resources.simonelectric.com/simon-ebook-vehiculo-electrico?utm_campaign=SIC%20-%20Veh%C3%ADculo%20El%C3%A9ctrico&amp;utm_medium=email&amp;_hsmi=71033675&amp;_hsenc=p2ANqtz-82zBLHVfnth_vT7t6Tf-C2XXvX2qB7_64t-gsxTvi162bajTO_8gvLk8mDor6cZ6B2w2gsrkorlseWs6TwOBoCSbj6nQ&amp;utm_content=71033675&amp;utm_source=hs_automation</t>
  </si>
  <si>
    <t>114@hotmail.com</t>
  </si>
  <si>
    <t>https://resources.simonelectric.com/simon-ebook-vehiculo-electrico?utm_campaign=SIC%20-%20Veh%C3%ADculo%20El%C3%A9ctrico&amp;utm_medium=email&amp;_hsmi=71033675&amp;_hsenc=p2ANqtz-_BbmpaP6a343SLXAMSh8P4H7MEGnzft5Anz9nEXLQUtQEUswt1ZWJ0qk2PucniqmTMHHVhlCnv2Qvn8x7NwZlO2VeBVA&amp;utm_content=71033675&amp;utm_source=hs_automation</t>
  </si>
  <si>
    <t>115@yahoo.es</t>
  </si>
  <si>
    <t>https://resources.simonelectric.com/simon-ebook-vehiculo-electrico?utm_referrer=https%3A%2F%2Fwww.simonelectric.com%2Fblog%2Fvehiculo-electrico-instalar-punto-de-recarga-en-garaje-comunitario%3Futm_campaign%3DSIC%2520-%2520Veh%25C3%25ADculo%2520El%25C3%25A9ctrico%26utm_medium%3Demail%26_hsmi%3D71033828%26_hsenc%3Dp2ANqtz-8DYB_s2GLly-mc_jqZKiYR_as8e8XzAp9A_qiaDg_NN4yss248zxLkfg7zHkD0V6wXSsAb91_8zE8vph1lHzLUT8VQQQ%26utm_content%3D71033828%26utm_source%3Dhs_automation</t>
  </si>
  <si>
    <t>116@sgs.com</t>
  </si>
  <si>
    <t>https://resources.simonelectric.com/simon-ebook-vehiculo-electrico?utm_campaign=SIC%20-%20Veh%C3%ADculo%20El%C3%A9ctrico&amp;utm_medium=email&amp;_hsmi=71033675&amp;_hsenc=p2ANqtz-_tYbA-KTsUZPEJCtWwgx-2SSQHudQYJqDZwUeH4S0G9NqaAGJIfEdjPtv6B0WuoizdUfg6jgd5z1yEzKEPzWWTD_yWVC9zwcDbGnn_QUrniZw8wmM&amp;utm_content=71033675&amp;utm_source=hs_automation</t>
  </si>
  <si>
    <t>117@telefonica.net</t>
  </si>
  <si>
    <t>https://resources.simonelectric.com/simon-ebook-vehiculo-electrico?utm_campaign=SIC%20-%20Veh%C3%ADculo%20El%C3%A9ctrico&amp;utm_medium=email&amp;_hsenc=p2ANqtz--FAygpjC0D3Py_kRksZlFrts2W_X_C02ibEY84yA1vknPY09dWymXyRs5UUlcGHxbtXhB04aO7wIb2U9IE96OSFvZOKQ&amp;_hsmi=71033675&amp;utm_content=71033675&amp;utm_source=hs_automation&amp;hsCtaTracking=2e94ebfc-d414-4389-870c-d2f266a9420b%7C587ac4dc-a49a-4bdc-b449-e36f5d95395b</t>
  </si>
  <si>
    <t>118@legebiltzarra.eus</t>
  </si>
  <si>
    <t>https://resources.simonelectric.com/simon-ebook-vehiculo-electrico?utm_campaign=SIC%20-%20Veh%C3%ADculo%20El%C3%A9ctrico&amp;utm_medium=email&amp;_hsmi=71033675&amp;_hsenc=p2ANqtz-903TRQE5q6ou38Jj0AB5QaENrpDa1KIPh7r8W-GWLIlftY57bCZm1aHXXDP0eP7wDqVJMwI3VgWf2Dsck6aO1U6feKh9FJ0uAyVKBYQ-Qvpumu_wM&amp;utm_content=71033675&amp;utm_source=hs_automation</t>
  </si>
  <si>
    <t>119@ideaingenieria.es</t>
  </si>
  <si>
    <t>https://resources.simonelectric.com/simon-ebook-vehiculo-electrico?utm_campaign=SIC%20-%20Veh%C3%ADculo%20El%C3%A9ctrico&amp;utm_medium=email&amp;_hsenc=p2ANqtz--oX0MnIhLQ_IlhTp4ESZuL5O0heg2sXB-kWt72PPOhV7fuMEE1Z54XEfs-KQxXMCok8Fn9NoqDurjn7BcNA6Elyag-mUMOp2v9z8eYUzFzMuFP4hg&amp;_hsmi=71033675&amp;utm_content=71033675&amp;utm_source=hs_automation&amp;hsCtaTracking=2e94ebfc-d414-4389-870c-d2f266a9420b%7C587ac4dc-a49a-4bdc-b449-e36f5d95395b</t>
  </si>
  <si>
    <t>120@yahoo.com</t>
  </si>
  <si>
    <t>https://resources.simonelectric.com/simon-ebook-vehiculo-electrico?utm_campaign=SIC%20-%20Veh%C3%ADculo%20El%C3%A9ctrico&amp;utm_medium=email&amp;_hsenc=p2ANqtz-8ppoDtlQEGgkqQ3caUQOypCC0eZu8Dyg-xNPHVgBlxzaswv5gCJ_56yJDISp_PxFD-SM2awsgfJkYG9MfaLC_p2WGPiQ&amp;_hsmi=71033675&amp;utm_content=71033675&amp;utm_source=hs_automation&amp;hsCtaTracking=2e94ebfc-d414-4389-870c-d2f266a9420b%7C587ac4dc-a49a-4bdc-b449-e36f5d95395b</t>
  </si>
  <si>
    <t>121@gmail.com</t>
  </si>
  <si>
    <t>https://resources.simonelectric.com/simon-ebook-vehiculo-electrico?utm_campaign=SIC%20-%20Veh%C3%ADculo%20El%C3%A9ctrico&amp;utm_medium=email&amp;_hsenc=p2ANqtz-__mMLvQWHMiQrC1gyzTnV1C-V9Rv29w7ZYQ1IDpiEqA2wAqlpFDDFom2qSZ5UeDuLxFtMsfVh_pztRzSd7GmS4o-YjXA&amp;_hsmi=71033675&amp;utm_content=71033675&amp;utm_source=hs_automation&amp;hsCtaTracking=2e94ebfc-d414-4389-870c-d2f266a9420b%7C587ac4dc-a49a-4bdc-b449-e36f5d95395b</t>
  </si>
  <si>
    <t>122@tecnimed.net</t>
  </si>
  <si>
    <t>https://resources.simonelectric.com/simon-catalogo-vehiculo-electrico?utm_campaign=SIC%20-%20Veh%C3%ADculo%20El%C3%A9ctrico&amp;utm_medium=email&amp;_hsmi=71034014&amp;_hsenc=p2ANqtz--0o_WIdhkx5Wfi6bxL5bcX-j7NSIppgSKNxn4fwwsADVsyTfCc8JIziMH-XGW_QD8kAqhH1AhPiiN8yvEW6-JabQn9mA&amp;utm_content=71034014&amp;utm_source=hs_automation</t>
  </si>
  <si>
    <t>123@grupocuerva.com</t>
  </si>
  <si>
    <t>https://resources.simonelectric.com/simon-ebook-vehiculo-electrico?utm_campaign=SIC%20-%20Veh%C3%ADculo%20El%C3%A9ctrico&amp;utm_medium=email&amp;_hsmi=71033675&amp;_hsenc=p2ANqtz-_qO_Gfj6p0eeUJu7iwAhcP7jKPGqSWB9ISnB0MWlaDvHrQNCQm2VJ0YDeQ0jXzcl2zP02MRGhPe7_1W61V5bSHGb63gA&amp;utm_content=71033675&amp;utm_source=hs_automation</t>
  </si>
  <si>
    <t>124@betenergia.es</t>
  </si>
  <si>
    <t>https://resources.simonelectric.com/simon-ebook-vehiculo-electrico?utm_campaign=SIC%20-%20Veh%C3%ADculo%20El%C3%A9ctrico&amp;utm_medium=email&amp;_hsmi=71033675&amp;_hsenc=p2ANqtz-9hhSfUBsjpyHSvOVRQaoElpf8-eH0uhVMkgWFsKrS4fQ0OiZtg2n_-6j2Wk3ABEDDrpAC5SxvgrDhugQ560wBpGGyVhw&amp;utm_content=71033675&amp;utm_source=hs_automation</t>
  </si>
  <si>
    <t>125@gmail.com</t>
  </si>
  <si>
    <t>https://resources.simonelectric.com/simon-ebook-vehiculo-electrico-0?gclid=Cj0KCQjwirz3BRD_ARIsAImf7LPVg1pClDCDHDngZ8I-KOh1j0b0XxfT_iRx8PiLOh-H5u4nTRNXOfAaAoGEEALw_wcB</t>
  </si>
  <si>
    <t>126@gmail.com</t>
  </si>
  <si>
    <t>127@prevae.com</t>
  </si>
  <si>
    <t>https://resources.simonelectric.com/simon-material-formativo-vehiculo-electrico?utm_campaign=SIC%20-%20Veh%C3%ADculo%20El%C3%A9ctrico&amp;utm_medium=email&amp;_hsenc=p2ANqtz-8JAgV0iNVYkf6ouiBJDipylnPtGiYg54OrI-L-QJu8uIiYgBb7yaQni968nAmGZQZ1nMjRk_7UqJcP4MOAx5PSH5Uo7Q&amp;utm_source=hs_email&amp;utm_content=89784488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</si>
  <si>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-9dXeyQz2KVn4i8BC31A6clbMG14R9GParGyPj_zNCs9kKESX0L1UV3uKxd0Eh-Bsfw2dr01ZIwg4JlbA1-8o8h_a0_0w&amp;utm_source=hs_email&amp;utm_content=89784488&amp;hsCtaTracking=f8a31ce8-daf1-4d69-a5d6-c3349f3aab91%7C75f9b9fd-a2b2-4ad4-9d4a-0dcb7c99194f</t>
  </si>
  <si>
    <t>128@gmail.com</t>
  </si>
  <si>
    <t>https://resources.simonelectric.com/simon-material-formativo-vehiculo-electrico?utm_campaign=SIC%20-%20Veh%C3%ADculo%20El%C3%A9ctrico&amp;utm_medium=email&amp;_hsenc=p2ANqtz-9tYFzpqAiiiVnCHMkKfa5834FDaTBQBvEMVHxgP8quekYdRcSuLhOriJJXzWvBkNVNAhzmFfCxgKxWv6ul8RcNArrj0EL8PM8eY81EWoSq4RXObKE&amp;_hsmi=89784488&amp;utm_content=89784488&amp;utm_source=hs_email&amp;hsCtaTracking=f8a31ce8-daf1-4d69-a5d6-c3349f3aab91%7C75f9b9fd-a2b2-4ad4-9d4a-0dcb7c99194f</t>
  </si>
  <si>
    <t>129@inypro.com</t>
  </si>
  <si>
    <t>https://resources.simonelectric.com/simon-ebook-vehiculo-electrico?utm_referrer=https%3A%2F%2Fwww.simonelectric.com%2Fblog%2Fvehiculo-electrico-instalar-punto-de-recarga-en-garaje-comunitario</t>
  </si>
  <si>
    <t>130@gmail.com</t>
  </si>
  <si>
    <t>131@hotmail.com</t>
  </si>
  <si>
    <t>https://resources.simonelectric.com/simon-material-formativo-vehiculo-electrico?utm_campaign=SIC%20-%20Veh%C3%ADculo%20El%C3%A9ctrico&amp;utm_medium=email&amp;_hsenc=p2ANqtz--E1ImSq4t8X8iq1KDILclm-rHvXWOEHOrfwpjhUEkLFkod3zmX7rM8Q_ZmbaOq2PaBzhx8LZoLehfn-xbA-5g4-atGew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</si>
  <si>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-XNdEMnPGkvtozkbPfVlZNVbgHUPng1xhVLc_MYdCoJYFUhrF2mcAq1LPBxIUbQ_VIXaCuD4VX8Jf9wbWkJ66X-rMh9Q&amp;_hsmi=89784488&amp;utm_content=89784488&amp;utm_source=hs_email&amp;hsCtaTracking=f8a31ce8-daf1-4d69-a5d6-c3349f3aab91%7C75f9b9fd-a2b2-4ad4-9d4a-0dcb7c99194f</t>
  </si>
  <si>
    <t>132@gmail.com</t>
  </si>
  <si>
    <t>133@fasfas.com</t>
  </si>
  <si>
    <t>134@gmail.com</t>
  </si>
  <si>
    <t>https://resources.simonelectric.com/simon-ebook-vehiculo-electrico-0?gclid=EAIaIQobChMI9c2e6IaR6gIVgkzlCh3V5ww-EAEYASAAEgIWUPD_BwE</t>
  </si>
  <si>
    <t>135@telefonica.net</t>
  </si>
  <si>
    <t>https://resources.simonelectric.com/simon-material-formativo-vehiculo-electrico?utm_campaign=SIC%20-%20Veh%C3%ADculo%20El%C3%A9ctrico&amp;utm_medium=email&amp;_hsenc=p2ANqtz--ecXDnsU5v3XVc02t5MXAEUQQ3W8xxUvpKpAEncniu0HF7Cyisv_BWWPDQy1nM-TA6YyDUCv6d7midgt2qk1unpGZHvVJLhNiCfn513xT3JVk17VM&amp;_hsmi=89784488&amp;utm_content=89784488&amp;utm_source=hs_email&amp;hsCtaTracking=f8a31ce8-daf1-4d69-a5d6-c3349f3aab91%7C75f9b9fd-a2b2-4ad4-9d4a-0dcb7c99194f</t>
  </si>
  <si>
    <t>136@gmail.com</t>
  </si>
  <si>
    <t>https://resources.simonelectric.com/simon-material-formativo-vehiculo-electrico?utm_campaign=SIC%20-%20Veh%C3%ADculo%20El%C3%A9ctrico&amp;utm_medium=email&amp;_hsmi=89784488&amp;_hsenc=p2ANqtz-_XOK4IzcKxt-miyXx-A5fMwCYZHn5mTIIrq1DJocofBHytNRxSzIkSwPJzI9p-WJ7Lj2JgCKS_bs_xe09ZOyYAsIKAI6o3BNdxu-3cCmZrHicFlZs&amp;utm_content=89784488&amp;utm_source=hs_email</t>
  </si>
  <si>
    <t>137@alcar2000.com</t>
  </si>
  <si>
    <t>138@grupocobra.com</t>
  </si>
  <si>
    <t>https://resources.simonelectric.com/simon-material-formativo-vehiculo-electrico?utm_campaign=SIC%20-%20Veh%C3%ADculo%20El%C3%A9ctrico&amp;utm_medium=email&amp;_hsenc=p2ANqtz-9SvIkvhEWhzApPPPos_k4GVi28ZxLqYQChKrdtIKUjWtCfIZZSWPzgQVfwSgpuNwDCp_cue2Dt3p3mC615dJLLNZQlVA&amp;_hsmi=89784488&amp;utm_content=89784488&amp;utm_source=hs_email&amp;hsCtaTracking=f8a31ce8-daf1-4d69-a5d6-c3349f3aab91%7C75f9b9fd-a2b2-4ad4-9d4a-0dcb7c99194f</t>
  </si>
  <si>
    <t>139@yahoo.es</t>
  </si>
  <si>
    <t>https://resources.simonelectric.com/simon-material-formativo-vehiculo-electrico?utm_campaign=SIC%20-%20Veh%C3%ADculo%20El%C3%A9ctrico&amp;utm_medium=email&amp;_hsenc=p2ANqtz-9KGQGpuAlYEjO_fN4KJS7_eouxMX7D8WXws2-u6eBbqfSF5RsOAIttEPylnldDXl7ypx5RxT8rujFeCESLKsnnFv6plg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</si>
  <si>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mi=89784488&amp;_hsenc=p2ANqtz-9_YNHBkYnNLGUojWy4ORurdgSVb4Yri5R9oLbHbpixKWmvuy4G0EW-4D9d_udVwBcdcL5SoJ-tWXa-Hg4iakC7Sw2JRRPotbcqX6ea4ZAWUlAMF1Q&amp;utm_content=89784488&amp;utm_source=hs_email</t>
  </si>
  <si>
    <t>140@yahoo.es</t>
  </si>
  <si>
    <t>141@gmail.com</t>
  </si>
  <si>
    <t>https://resources.simonelectric.com/simon-ebook-vehiculo-electrico-0?gclid=CjwKCAjwxLH3BRApEiwAqX9arcEP_TtEENU0VQn-vp5krOr_9QXQpLZckVAJYIBSwNuRxZA84G645hoC4g8QAvD_BwE</t>
  </si>
  <si>
    <t>142@gmail.com</t>
  </si>
  <si>
    <t>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&amp;fbclid=IwAR28PWu_Sc9bjXZrL8oWoy2mTjEj9h_BUc_OBngaDdgF1JzjyJLLEAGIRx8</t>
  </si>
  <si>
    <t>https://resources.simonelectric.com/simon-material-formativo-vehiculo-electrico?utm_campaign=SIC%20-%20Veh%C3%ADculo%20El%C3%A9ctrico&amp;utm_medium=email&amp;_hsenc=p2ANqtz-8oPLAG1XMXz4FanXnAJvgeN4W5K-VaP04rpNIFt5CiU39BAeU1cO6L9z2x8VhKcGGVoz_yabygmFTTm-wC_uTkvx44OA&amp;_hsmi=89784488&amp;utm_content=89784488&amp;utm_source=hs_email&amp;hsCtaTracking=f8a31ce8-daf1-4d69-a5d6-c3349f3aab91%7C75f9b9fd-a2b2-4ad4-9d4a-0dcb7c99194f</t>
  </si>
  <si>
    <t>143@gmail.com</t>
  </si>
  <si>
    <t>https://resources.simonelectric.com/simon-catalogo-vehiculo-electrico?utm_campaign=SIC%20-%20Veh%C3%ADculo%20El%C3%A9ctrico&amp;utm_medium=email&amp;_hsmi=71034014&amp;_hsenc=p2ANqtz-9cmk95lKCw6R4G9opNlukandEsulxIG2oFhpRQXHLgfGF2WFS6vZnZuJHNnh83SPdVI4i5kcwXyRtEeR54Wnv0oiwD0g&amp;utm_content=71034014&amp;utm_source=hs_automation</t>
  </si>
  <si>
    <t>144@gmail.com</t>
  </si>
  <si>
    <t>145@coitihuelva.com</t>
  </si>
  <si>
    <t>146@instalacionsigualada.com</t>
  </si>
  <si>
    <t>147@hotmail.es</t>
  </si>
  <si>
    <t>https://resources.simonelectric.com/simon-material-formativo-vehiculo-electrico?utm_campaign=SIC%20-%20Veh%C3%ADculo%20El%C3%A9ctrico&amp;utm_medium=email&amp;_hsenc=p2ANqtz-8abAGbENpDF5pWAFEkyC4-f3FjBsH0-UsLwsjKL1exPtaOrBuViNK4YE3iuMzjhXdnyRUEuqXrPBSKfDrLExLeWpqlBg&amp;_hsmi=89784488&amp;utm_content=89784488&amp;utm_source=hs_email&amp;hsCtaTracking=f8a31ce8-daf1-4d69-a5d6-c3349f3aab91%7C75f9b9fd-a2b2-4ad4-9d4a-0dcb7c99194f</t>
  </si>
  <si>
    <t>148@gmail.com</t>
  </si>
  <si>
    <t>https://resources.simonelectric.com/simon-material-formativo-vehiculo-electrico?utm_campaign=SIC%20-%20Veh%C3%ADculo%20El%C3%A9ctrico&amp;utm_medium=email&amp;_hsenc=p2ANqtz-96wPl2AebKnBkB_eSFsG4MRDxpYzA77XtPN0D_y82wOVAciur-mybBlcbgN2bktovJzSMNzQeMGhXqFaWfIg4Us1QOZA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</si>
  <si>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-9z0cyEa4F_dPQsyCziVLxanPz3nzFRaYQIxyp4m37K18mPjOAUHzr-LQJ-KG2lUg6fsvKHpROULfkm8a2s0HCLQuG-8w&amp;_hsmi=89784488&amp;utm_content=89784488&amp;utm_source=hs_email&amp;hsCtaTracking=f8a31ce8-daf1-4d69-a5d6-c3349f3aab91%7C75f9b9fd-a2b2-4ad4-9d4a-0dcb7c99194f</t>
  </si>
  <si>
    <t>149@gmail.com</t>
  </si>
  <si>
    <t>150@atla.es</t>
  </si>
  <si>
    <t>https://resources.simonelectric.com/simon-material-formativo-vehiculo-electrico?utm_campaign=SIC%20-%20Veh%C3%ADculo%20El%C3%A9ctrico&amp;utm_medium=email&amp;_hsenc=p2ANqtz-_9U4kgsA7HF74XmYvQlekN2dGHaQECy0dCzLTs6-oCtLiSUwlzRWv8jHLEV2i9zcwVHZyp9mcvd26kNYBlRCRd8UmaFg&amp;_hsmi=89784488&amp;utm_content=89784488&amp;utm_source=hs_email&amp;hsCtaTracking=f8a31ce8-daf1-4d69-a5d6-c3349f3aab91%7C75f9b9fd-a2b2-4ad4-9d4a-0dcb7c99194f</t>
  </si>
  <si>
    <t>151@gmail.com</t>
  </si>
  <si>
    <t>152@gmail.com</t>
  </si>
  <si>
    <t>https://resources.simonelectric.com/simon-catalogo-vehiculo-electrico?utm_campaign=SIC%20-%20Veh%C3%ADculo%20El%C3%A9ctrico&amp;utm_medium=email&amp;_hsmi=71034014&amp;_hsenc=p2ANqtz--6woRO7KvpK_IWuWvzyyDDBIh_70C00Ftl-_EpGX44d5zW2P6GfXEmldE14CacfYbNcFkOqSriaSoJrQrb2YuUQOWAUw&amp;utm_content=71034014&amp;utm_source=hs_automation</t>
  </si>
  <si>
    <t>153@telefonica.net</t>
  </si>
  <si>
    <t>https://resources.simonelectric.com/simon-catalogo-vehiculo-electrico?utm_campaign=SIC%20-%20Veh%C3%ADculo%20El%C3%A9ctrico&amp;utm_medium=email&amp;_hsmi=71034014&amp;_hsenc=p2ANqtz-_ab_kHFWONQ7eEsDw356DHjE-2vcpMjdLhiAY6YS-bSPGsJZREg_TvDLYtfH_b0B6EkCDyKFNOvJeIIY_P3oBe5AjLRg&amp;utm_content=71034014&amp;utm_source=hs_automation</t>
  </si>
  <si>
    <t>154@jorditamayo.com</t>
  </si>
  <si>
    <t>155@arcbcn.cat</t>
  </si>
  <si>
    <t>https://resources.simonelectric.com/simon-material-formativo-vehiculo-electrico?utm_campaign=SIC%20-%20Veh%C3%ADculo%20El%C3%A9ctrico&amp;utm_medium=email&amp;_hsenc=p2ANqtz-8jPWww88_KhjQzmgOIw-wlvmq5_MIOR1hy1uY6vH9OC_C3UbvWhtTTKeiiHaIfqwJ-JcIsfscYk92bAMZxkV6SS2PyeQ&amp;_hsmi=89784488&amp;utm_content=89784488&amp;utm_source=hs_email&amp;hsCtaTracking=f8a31ce8-daf1-4d69-a5d6-c3349f3aab91%7C75f9b9fd-a2b2-4ad4-9d4a-0dcb7c99194f</t>
  </si>
  <si>
    <t>156@riosrenovables.com</t>
  </si>
  <si>
    <t>157@hotmail.com</t>
  </si>
  <si>
    <t>https://resources.simonelectric.com/simon-material-formativo-vehiculo-electrico?utm_campaign=SIC%20-%20Veh%C3%ADculo%20El%C3%A9ctrico&amp;utm_medium=email&amp;_hsmi=89784488&amp;_hsenc=p2ANqtz-9m0_lCCBxJY_7UaR_TqBPtbYVypBZMouRoOy922wnoYNOCA4NkdldXgBeQd5MO1p97jUAMSDn4lz6lE2JcQ-l51DvNYg&amp;utm_content=89784488&amp;utm_source=hs_email</t>
  </si>
  <si>
    <t>158@acollconsulting.es</t>
  </si>
  <si>
    <t>https://resources.simonelectric.com/simon-material-formativo-vehiculo-electrico?utm_campaign=SIC%20-%20Veh%C3%ADculo%20El%C3%A9ctrico&amp;utm_medium=email&amp;_hsmi=89784488&amp;_hsenc=p2ANqtz--LWAI-O44QRcyDM_Wu_mjMOxy7SjsPbhfyDUR3rZADJN2uGNulToPs3qjgWCpB5HaAKCaCVUPLedRKmddcYQqyfmTv6g&amp;utm_content=89784488&amp;utm_source=hs_email</t>
  </si>
  <si>
    <t>159@gmail.com</t>
  </si>
  <si>
    <t>https://resources.simonelectric.com/simon-material-formativo-vehiculo-electrico?utm_campaign=SIC%20-%20Veh%C3%ADculo%20El%C3%A9ctrico&amp;utm_medium=email&amp;_hsmi=89784488&amp;_hsenc=p2ANqtz-8Lw9CVoLD4Qi-j4u-2jPSdf_Krh1t-EW2O2oq1drrkmYb5Spx7mc7d5BnSBqBiZHNDoStyIbRtSljvcOiNlH9tOeKByQ&amp;utm_content=89784488&amp;utm_source=hs_email</t>
  </si>
  <si>
    <t>160@hotmail.com</t>
  </si>
  <si>
    <t>https://resources.simonelectric.com/simon-catalogo-vehiculo-electrico?utm_campaign=SIC%20-%20Veh%C3%ADculo%20El%C3%A9ctrico&amp;utm_medium=email&amp;_hsmi=71034014&amp;_hsenc=p2ANqtz--s3ay7y3jE-U6J1arIBQwU1sRQZ095B36ZTe2Z8ctFQvUziib1o9NMf59SzzlUtJgBqX8UPFiOCBU4HbAZiYdi1N-UVg&amp;utm_content=71034014&amp;utm_source=hs_automation</t>
  </si>
  <si>
    <t>https://resources.simonelectric.com/simon-material-formativo-vehiculo-electrico?utm_campaign=SIC%20-%20Veh%C3%ADculo%20El%C3%A9ctrico&amp;utm_medium=email&amp;_hsmi=89784488&amp;_hsenc=p2ANqtz-_T1oaxfa1l0JAMOUbEPlXwimZ6BtHZZ8CA_AK_cmMW-U5Y_x8YWHlmMwHpAYi1QqoUNri7p9SHWNsaPWJ4-jYp4UVGYQ&amp;utm_content=89784488&amp;utm_source=hs_email</t>
  </si>
  <si>
    <t>161@gmail.com</t>
  </si>
  <si>
    <t>162@gmail.com</t>
  </si>
  <si>
    <t>https://resources.simonelectric.com/simon-material-formativo-vehiculo-electrico?utm_campaign=SIC%20-%20Veh%C3%ADculo%20El%C3%A9ctrico&amp;utm_medium=email&amp;_hsenc=p2ANqtz--RYNbXo41L87u1zlajJKYdqLUoiUQHHDGgWm5tVxmLrduIOqt8KlWpHBx_pv2kHL6MqBRlnsVEk54KwFaSu-w3MU6dFA-_imo5rYSX9RK7zx-k9aA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</si>
  <si>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-TWwSDDFFI7qaPlNKHVTXDckPcylXZM0uLPpevXcoDaEBpNGOvyPTHps04OWad1QuL92qc_ln-3DZ7nX2U55_YE2E-YA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</si>
  <si>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mi=89784488&amp;_hsenc=p2ANqtz--suSgOoegXZfGYan-9syIWGB2liKAVixFuClSh-7glVRsBCutuzKH_rmCarPmRkN469Q1aQ2PlQ9IDcbDGcyio-qY5Lw&amp;utm_content=89784488&amp;utm_source=hs_email</t>
  </si>
  <si>
    <t>163@gmail.com</t>
  </si>
  <si>
    <t>https://resources.simonelectric.com/simon-material-formativo-vehiculo-electrico?utm_campaign=SIC%20-%20Veh%C3%ADculo%20El%C3%A9ctrico&amp;utm_medium=email&amp;_hsmi=89784488&amp;_hsenc=p2ANqtz-_0EGhyTH52sJ2priH3xsE2adYZ2XKCClNgWxz9bh4M3VrAIRjweHVEFfdUpfrNwzxJMSNspslx2eIhyM_sAWuG7u8GN600jPgR1IB7oSs7cTIDHsA&amp;utm_content=89784488&amp;utm_source=hs_email</t>
  </si>
  <si>
    <t>164@telefonica.net</t>
  </si>
  <si>
    <t>https://resources.simonelectric.com/simon-catalogo-vehiculo-electrico?utm_campaign=SIC%20-%20Veh%C3%ADculo%20El%C3%A9ctrico&amp;utm_medium=email&amp;_hsmi=71034014&amp;_hsenc=p2ANqtz---H7_xRawJGXugH34Prx1EjCLs2Rfj9MQPuqDe7jP9EGNjwJ-zksQd39DDKc23BZsRfhT5MKVdOvi-kWFV7FE9uBG_lnzYH2PsAC7PEsu_utbGyso&amp;utm_content=71034014&amp;utm_source=hs_automation</t>
  </si>
  <si>
    <t>165@dobontech.com</t>
  </si>
  <si>
    <t>https://resources.simonelectric.com/simon-material-formativo-vehiculo-electrico?utm_campaign=SIC%20-%20Veh%C3%ADculo%20El%C3%A9ctrico&amp;utm_medium=email&amp;_hsenc=p2ANqtz-9aN7ZXW___iexx8crHqu2DnxZuySr4K4_Xb82HtRXFJOQb_0XTfjcbO_hTqbb0_uUqFEkFoT6j7tvTt05dTessYV10NA&amp;_hsmi=89784488&amp;utm_content=89784488&amp;utm_source=hs_email&amp;hsCtaTracking=f8a31ce8-daf1-4d69-a5d6-c3349f3aab91%7C75f9b9fd-a2b2-4ad4-9d4a-0dcb7c99194f</t>
  </si>
  <si>
    <t>166@napols.net</t>
  </si>
  <si>
    <t>https://resources.simonelectric.com/simon-material-formativo-vehiculo-electrico</t>
  </si>
  <si>
    <t>167@me.com</t>
  </si>
  <si>
    <t>168@hc-ingenieros.com</t>
  </si>
  <si>
    <t>https://resources.simonelectric.com/simon-material-formativo-vehiculo-electrico?utm_campaign=SIC%20-%20Veh%C3%ADculo%20El%C3%A9ctrico&amp;utm_medium=email&amp;_hsmi=89784488&amp;_hsenc=p2ANqtz-_ugGYgu7_d4qlan06wdR2qaFgnR0otkHl2HpFWNWnhgtSS95iUAOq-HuwTePqEwUyOGRE6qrTIyzaCwd1sJBlvWpBDc6WW1tETxxUrl8DFuvwsKhM&amp;utm_content=89784488&amp;utm_source=hs_email</t>
  </si>
  <si>
    <t>https://resources.simonelectric.com/simon-material-formativo-vehiculo-electrico?utm_campaign=SIC%20-%20Veh%C3%ADculo%20El%C3%A9ctrico&amp;utm_medium=email&amp;_hsenc=p2ANqtz-99c5Q4CMpdVwc268cW8thP0hmAZkmk5LKaknpRxOiV2eZfSHoKx6dCzd-_0bKRFRZke95lCXfoYNMkersTgF9YI1lW0w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</si>
  <si>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mi=89784488&amp;_hsenc=p2ANqtz-_1vvH7oYgnmC7hID54imOJw1aLAwz4KgvQ4gKfgBl8DfpiKZJtXgBJGc-tUSRwaoM4nH-FP1rza_LP4QbmqHryfRk4GXpPJD11ryNDhQmIphH691o&amp;utm_content=89784488&amp;utm_source=hs_email</t>
  </si>
  <si>
    <t>https://resources.simonelectric.com/simon-material-formativo-vehiculo-electrico?utm_campaign=SIC%20-%20Veh%C3%ADculo%20El%C3%A9ctrico&amp;utm_medium=email&amp;_hsenc=p2ANqtz-9czJCs6kcI6vaBUVzDhSgKmWfokGobuEjcwYRvPO-f2SWTBYQQVZOrteKBJ7GFFcUABabDYQdJ18gyH1maKvCUfMNdrA&amp;_hsmi=89784488&amp;utm_content=89784488&amp;utm_source=hs_email&amp;hsCtaTracking=f8a31ce8-daf1-4d69-a5d6-c3349f3aab91%7C75f9b9fd-a2b2-4ad4-9d4a-0dcb7c99194f</t>
  </si>
  <si>
    <t>169@gmail.com</t>
  </si>
  <si>
    <t>https://resources.simonelectric.com/simon-material-formativo-vehiculo-electrico?utm_campaign=SIC%20-%20Veh%C3%ADculo%20El%C3%A9ctrico&amp;utm_medium=email&amp;_hsmi=89784488&amp;_hsenc=p2ANqtz-_ka8w3hV684I_hsSdHeGal3WZlNMKzev8hEREfNeUGW2r1LkjRWkxj7svapqfOnjXLcTm0Rk78Zz6O0XrkQ65phAp0tA&amp;utm_content=89784488&amp;utm_source=hs_email</t>
  </si>
  <si>
    <t>170@ciudaddelosmuchachos.com</t>
  </si>
  <si>
    <t>https://resources.simonelectric.com/simon-material-formativo-vehiculo-electrico?utm_campaign=SIC%20-%20Veh%C3%ADculo%20El%C3%A9ctrico&amp;utm_medium=email&amp;_hsenc=p2ANqtz-_Vls8WIh_7g4LuYOXyXBUKHuPr2ponYB9ynA-UlHOXM5gGU8R6NxJLp5PDxGAUH0fHHJr41cUT5fQC1MVnuLB3lcv2hCRnnVkT5oMfiY7vs_ZsbLY&amp;_hsmi=89784488&amp;utm_content=89784488&amp;utm_source=hs_email&amp;hsCtaTracking=f8a31ce8-daf1-4d69-a5d6-c3349f3aab91%7C75f9b9fd-a2b2-4ad4-9d4a-0dcb7c99194f</t>
  </si>
  <si>
    <t>171@gmail.com</t>
  </si>
  <si>
    <t>https://resources.simonelectric.com/simon-catalogo-vehiculo-electrico?utm_campaign=SIC%20-%20Veh%C3%ADculo%20El%C3%A9ctrico&amp;utm_medium=email&amp;_hsmi=71034014&amp;_hsenc=p2ANqtz--vP4bs4WoJIOw--JGOULDIIsbozkD214bZ9gZo1saNPg8e09AiWicz74f_L5V3E2itQk4RaY_Q3suDrMzcGdUzXSjasA&amp;utm_content=71034014&amp;utm_source=hs_automation</t>
  </si>
  <si>
    <t>https://resources.simonelectric.com/simon-material-formativo-vehiculo-electrico?utm_campaign=SIC%20-%20Veh%C3%ADculo%20El%C3%A9ctrico&amp;utm_medium=email&amp;_hsmi=89784488&amp;_hsenc=p2ANqtz-_qJJz6gYPT0PJKDQHIjBMFDjmbYXPX_Hu9UYyeDND8TcGtEgO6dwL41iKoPmXCRUc0XGmp0hNHiVV8A_J26gOYJqWMo56LhRxo5SoZKagze5kpeV0&amp;utm_content=89784488&amp;utm_source=hs_email</t>
  </si>
  <si>
    <t>https://resources.simonelectric.com/simon-material-formativo-vehiculo-electrico?utm_campaign=SIC%20-%20Veh%C3%ADculo%20El%C3%A9ctrico&amp;utm_medium=email&amp;_hsmi=89784488&amp;_hsenc=p2ANqtz-90bsvUJ239DkatnjBhOid4dk2pmCWftDzBYQbrB9Jx6OpYKzKYptzRZbdn7Iplnu22Vlg4w7dkiH2RoEPQGpef8YBjtQ&amp;utm_content=89784488&amp;utm_source=hs_email</t>
  </si>
  <si>
    <t>172@ardisenginyeria.com</t>
  </si>
  <si>
    <t>https://resources.simonelectric.com/simon-material-formativo-vehiculo-electrico?utm_campaign=SIC%20-%20Veh%C3%ADculo%20El%C3%A9ctrico&amp;utm_medium=email&amp;_hsenc=p2ANqtz-_EGZQQ3_ZUJIBbG_Fkq-ttjcuIj0IhWAVIJfprlg4IAS8VJ9UFNRPgtPdJAfNLb-UqWxJowrDn1YWjGERpL8mcROphww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</si>
  <si>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-8xXvXEBH4Yxful_G8lMYQfehD-qXPjWM7kI_I8BRPrEkODHHT0Dw_PPBhvIDfylFfXZIuLMB3waPZFefJTBpVmHDoyNg&amp;_hsmi=89784488&amp;utm_content=89784488&amp;utm_source=hs_email&amp;hsCtaTracking=f8a31ce8-daf1-4d69-a5d6-c3349f3aab91%7C75f9b9fd-a2b2-4ad4-9d4a-0dcb7c99194f</t>
  </si>
  <si>
    <t>173@gmail.com</t>
  </si>
  <si>
    <t>https://resources.simonelectric.com/simon-material-formativo-vehiculo-electrico?utm_campaign=SIC%20-%20Veh%C3%ADculo%20El%C3%A9ctrico&amp;utm_medium=email&amp;_hsmi=89784488&amp;_hsenc=p2ANqtz-9e72c_UZD1lT1DY_tJr6dx_2yRqpSSNmw0cY8JSPaLj6CW4IAswi8K6FUV_5lCePkien6NEqRE68kmG5OrerG13GWejus8QtYBEpkbtKGb8QG-K0k&amp;utm_content=89784488&amp;utm_source=hs_email</t>
  </si>
  <si>
    <t>https://resources.simonelectric.com/simon-material-formativo-vehiculo-electrico?utm_campaign=SIC%20-%20Veh%C3%ADculo%20El%C3%A9ctrico&amp;utm_medium=email&amp;_hsenc=p2ANqtz--ZiU0W0yRkd0ei2jWk-MGODSJ-OvfWYK5tYIYE7zMGKuFXXnhh4n00lItBDmKErTfeCRMs0YZGPULf3U_WYWkEqWfgZsuT8gd7jHfvPISd2Jjo-bQ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</si>
  <si>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mi=89784488&amp;_hsenc=p2ANqtz--yl65CHrNL-M9a8KinB6WzQ4fKehW03VNVR4Yrit_uJZ3ft4Wb3G1gIF1VzQToOlxBELkmbSMikq1RxagPTN_RQPTO4A&amp;utm_content=89784488&amp;utm_source=hs_email</t>
  </si>
  <si>
    <t>https://resources.simonelectric.com/simon-material-formativo-vehiculo-electrico?utm_campaign=SIC%20-%20Veh%C3%ADculo%20El%C3%A9ctrico&amp;utm_medium=email&amp;_hsenc=p2ANqtz-84ELoUVOddi5FtJPXabnZCKuwbgHFLi5eUIVNoXOWHB5b7R8M0O8_THQuEtwyuSaFwCezv6pySOJPBBvnjDrXqlbHCTw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</si>
  <si>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-9Rbv7FNynkl6yRPJU2ygcsa8ctwjowG3Z_jm0LooRNxCsgThp0hm8He7jWvs-DWKbip9_cmDXqoLK_chSsToImSMoEn8GWHNymNhu6O9MhKpqwoyY&amp;_hsmi=89784488&amp;utm_content=89784488&amp;utm_source=hs_email&amp;hsCtaTracking=f8a31ce8-daf1-4d69-a5d6-c3349f3aab91%7C75f9b9fd-a2b2-4ad4-9d4a-0dcb7c99194f</t>
  </si>
  <si>
    <t>174@hotmail.com</t>
  </si>
  <si>
    <t>https://resources.simonelectric.com/simon-material-formativo-vehiculo-electrico?utm_campaign=SIC%20-%20Veh%C3%ADculo%20El%C3%A9ctrico&amp;utm_medium=email&amp;_hsmi=89784488&amp;_hsenc=p2ANqtz--i3kIzIbSxkOYJZD7QS23jZRMDS4XtNNUnI_Jc9oJrcQQdeRVw5FjvmX0lwEeaQDnL_scPGDWYVsyomJe1Or73gwgzYMubTXHSsxDSl-AhKABqWto&amp;utm_content=89784488&amp;utm_source=hs_email</t>
  </si>
  <si>
    <t>175@gobesa.com</t>
  </si>
  <si>
    <t>https://resources.simonelectric.com/simon-catalogo-vehiculo-electrico?utm_campaign=SIC%20-%20Veh%C3%ADculo%20El%C3%A9ctrico&amp;utm_medium=email&amp;_hsmi=71034014&amp;_hsenc=p2ANqtz--ZNeJMC1ugZ5dSuH8Uc5ttD2wnwz6hgFNfCuoQqR-4luv1jUmokFWu6iuYCNOZns2nCdgMSVU7SBwa_nD_veIbl4xnpg&amp;utm_content=71034014&amp;utm_source=hs_automation</t>
  </si>
  <si>
    <t>176@aia.cat</t>
  </si>
  <si>
    <t>https://resources.simonelectric.com/simon-catalogo-vehiculo-electrico?utm_campaign=SIC%20-%20Veh%C3%ADculo%20El%C3%A9ctrico&amp;utm_medium=email&amp;_hsmi=71034014&amp;_hsenc=p2ANqtz--5XRcERhBlsRPFfllzFBvlE9BHLNMSCam01UsOcNbx4wIi3iNGMgLxzwu2gWfzmuHStbrkEU11DIcecky64oab4NRUQg&amp;utm_content=71034014&amp;utm_source=hs_automation</t>
  </si>
  <si>
    <t>177@mobcn.org</t>
  </si>
  <si>
    <t>https://resources.simonelectric.com/simon-catalogo-vehiculo-electrico?utm_campaign=SIC%20-%20Veh%C3%ADculo%20El%C3%A9ctrico&amp;utm_medium=email&amp;_hsmi=71034014&amp;_hsenc=p2ANqtz--blk9fa4id1zqM1HolTz0prsYr8ykG65DQIwH8JBGmBGi7WFpW4hR97yrvZ7Y4R13wk6A6-kzsvXqsYSSz7A2CTs-NTA&amp;utm_content=71034014&amp;utm_source=hs_automation</t>
  </si>
  <si>
    <t>https://resources.simonelectric.com/simon-material-formativo-vehiculo-electrico?utm_campaign=SIC%20-%20Veh%C3%ADculo%20El%C3%A9ctrico&amp;utm_medium=email&amp;_hsenc=p2ANqtz-_25OswONZpYfJhzLCpb-oXdnz02IRVfHh6FD-r4PZ0-iLbUGiGwc5EFO-NzvG1CFQ0LxpGFVZAtG2xGhY8obeu8PNjSg&amp;_hsmi=89784488&amp;utm_content=89784488&amp;utm_source=hs_email&amp;hsCtaTracking=f8a31ce8-daf1-4d69-a5d6-c3349f3aab91%7C75f9b9fd-a2b2-4ad4-9d4a-0dcb7c99194f</t>
  </si>
  <si>
    <t>178@tec-engineering.es</t>
  </si>
  <si>
    <t>https://resources.simonelectric.com/simon-catalogo-vehiculo-electrico?utm_campaign=SIC%20-%20Veh%C3%ADculo%20El%C3%A9ctrico&amp;utm_medium=email&amp;_hsmi=71034014&amp;_hsenc=p2ANqtz---dr8gnJtd8uHD6357AUeSTt6tnjJy0FehAv9Lot9vK0ldla_GlJxIpsKhS9yruYEt67Aq6Lvb8ZfYql8Wdt2d1jsN1FYBivD1_f8OmMJeX84Onj8&amp;utm_content=71034014&amp;utm_source=hs_automation</t>
  </si>
  <si>
    <t>179@mundo-r.com</t>
  </si>
  <si>
    <t>https://resources.simonelectric.com/simon-catalogo-vehiculo-electrico?utm_campaign=SIC%20-%20Veh%C3%ADculo%20El%C3%A9ctrico&amp;utm_medium=email&amp;_hsmi=71034014&amp;_hsenc=p2ANqtz-_-vZxjD2nEpBO0K3ga-3dRoSrxypksQ3cmtlr9t8j3BiN8PSO2THUFj7NGwGIjjNIv5zuLnh-lUwwM6sSaL5DyY2fOCQ&amp;utm_content=71034014&amp;utm_source=hs_automation</t>
  </si>
  <si>
    <t>180@aquambiente.es</t>
  </si>
  <si>
    <t>https://resources.simonelectric.com/simon-catalogo-vehiculo-electrico?utm_campaign=SIC%20-%20Veh%C3%ADculo%20El%C3%A9ctrico&amp;utm_medium=email&amp;_hsmi=71034014&amp;_hsenc=p2ANqtz-9yqgNwibWW9YWAJ30XiRIWLLu8MIehanDsMFnvfUB_z8F62SqJFx_uea_Th4mrt0wXLhHT9V0iC6gBzUhvAETGzAEfbg&amp;utm_content=71034014&amp;utm_source=hs_automation</t>
  </si>
  <si>
    <t>181@juntaex.es</t>
  </si>
  <si>
    <t>https://resources.simonelectric.com/simon-material-formativo-vehiculo-electrico?utm_campaign=SIC%20-%20Veh%C3%ADculo%20El%C3%A9ctrico&amp;utm_medium=email&amp;_hsenc=p2ANqtz-8S9_yN7rDrUlHd5HlobQEJUUXctJxGdGERHwFFnTuxtSmhBFCqcD4duB5bpcAmEb53PCs88zfNoP4voEGwrNpGR-jeLQ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</si>
  <si>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-9KmaOxAkQ1lqGkC0estJsAfj3LPWgd3rwNX9EZhnSOtTsl_ooASd8mWyOXhtMRDwmKjFoKnDMeYi4uNAvtP9Xn24SOHbo8trWy2PTSjjm42wFaYZY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</si>
  <si>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mi=89784488&amp;_hsenc=p2ANqtz-9iI6Lc5-SBWzaPIdAd9AdoMthSTtadqZ5IkOCtR4Sao23bdzq0iAg2732CPHK4lzUf-jsALPUemVmPKYVKa6MUHSLH_HxKolhy0-lftydabxb9ohQ&amp;utm_content=89784488&amp;utm_source=hs_email</t>
  </si>
  <si>
    <t>https://resources.simonelectric.com/simon-material-formativo-vehiculo-electrico?utm_campaign=SIC%20-%20Veh%C3%ADculo%20El%C3%A9ctrico&amp;utm_medium=email&amp;_hsmi=89784488&amp;_hsenc=p2ANqtz-9XC0rnRSsHv974wW1ny2IJ4hQRRFPAabo-9qlcIh8CkIPybGgzs2vkwDJGCBQsYQpCdY1DkIQbWVWsN5ZwLhgOljr5dg&amp;utm_content=89784488&amp;utm_source=hs_email</t>
  </si>
  <si>
    <t>182@usal.es</t>
  </si>
  <si>
    <t>https://resources.simonelectric.com/simon-material-formativo-vehiculo-electrico?utm_campaign=SIC%20-%20Veh%C3%ADculo%20El%C3%A9ctrico&amp;utm_medium=email&amp;_hsenc=p2ANqtz--3YTB0g8TsCNNy-a8cfIdxqEEal07V9wpM8tXd-fUPGBfoklY2nrRPWNp2T6V4RzwvY5xAgwh23DcYK1-rLvxCKOeyDw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</si>
  <si>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-9Xs7mGbjh8jkt5BY1SVHjN06gRzRstcQua_zLdBgkrtWrjeo6I9XivxgmQ7fub1NYOu4xE39nDwArvDpuHOLuS5MA1Yg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</si>
  <si>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-XxYoopgXiqT82SGCZ_WnDE9lDS78aZy-LaWnJGpGgCZ2fmsxJVKFnrb6jwjhxmEwcZ4n6ADzAwHCFxUHe2BbBZOA_6vpLnoysb3iYOVgopgKUjuI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</si>
  <si>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_AUT7-Enf6IJjQOyq1pZUW_IhDnsRez13uDygvsNYGXu3G-Tga1CpD4C8P2hmGhYrUHc-pL_Xv4YJdxnD905zSi0tudbcu9PUzSIc9clHXlk28Bko&amp;_hsmi=89784488&amp;utm_content=89784488&amp;utm_source=hs_email&amp;hsCtaTracking=f8a31ce8-daf1-4d69-a5d6-c3349f3aab91%7C75f9b9fd-a2b2-4ad4-9d4a-0dcb7c99194f</t>
  </si>
  <si>
    <t>183@arquired.es</t>
  </si>
  <si>
    <t>https://resources.simonelectric.com/simon-material-formativo-vehiculo-electrico?utm_campaign=SIC%20-%20Veh%C3%ADculo%20El%C3%A9ctrico&amp;utm_medium=email&amp;_hsmi=89784488&amp;_hsenc=p2ANqtz-9rzeShI2RFVKEYCEA2y6_eANLvBxdLkT8PuKLPImU-0RD-ZyDwtSXm35OjLwX6WZeKt1vOhuHFlBrIGqA2y4foJEszmQ&amp;utm_content=89784488&amp;utm_source=hs_email</t>
  </si>
  <si>
    <t>184@telefonica.net</t>
  </si>
  <si>
    <t>https://resources.simonelectric.com/simon-material-formativo-vehiculo-electrico?utm_campaign=SIC%20-%20Veh%C3%ADculo%20El%C3%A9ctrico&amp;utm_medium=email&amp;_hsenc=p2ANqtz-_-NbfTxOQF_2tTktWlMFyWoVjzXIJPCPcjQgCdu7JHWzBphfUTsPZopgOR2FWTvqlfhFhRGYIbVcmpXN5aMFSaoEogKA&amp;_hsmi=89784488&amp;utm_content=89784488&amp;utm_source=hs_email&amp;hsCtaTracking=f8a31ce8-daf1-4d69-a5d6-c3349f3aab91%7C75f9b9fd-a2b2-4ad4-9d4a-0dcb7c99194f</t>
  </si>
  <si>
    <t>185@asintec.info</t>
  </si>
  <si>
    <t>https://resources.simonelectric.com/simon-material-formativo-vehiculo-electrico?utm_campaign=SIC%20-%20Veh%C3%ADculo%20El%C3%A9ctrico&amp;utm_medium=email&amp;_hsenc=p2ANqtz--pE20wuF0SzWBgg3xaGZnd96uNrD4VWxTSH8ZBWlmlcDU3SfISnSlKpLt9ZIremrqM_3-bDzJRl0n7C-XUO2y1QXOzgqekG4_zb-EnFb8GwC2XaRc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</si>
  <si>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-87qG-YyYn77rbOJJqw6uhGwDLlNkBqu2IP1Jcy3mYxWffOG1CuMz6Wp1I8WZkcPLf3f7RaHIpcFEhAoUbGpRgRbyupHg&amp;_hsmi=89784488&amp;utm_content=89784488&amp;utm_source=hs_email&amp;hsCtaTracking=f8a31ce8-daf1-4d69-a5d6-c3349f3aab91%7C75f9b9fd-a2b2-4ad4-9d4a-0dcb7c99194f</t>
  </si>
  <si>
    <t>186@msn.com</t>
  </si>
  <si>
    <t>https://resources.simonelectric.com/simon-material-formativo-vehiculo-electrico?utm_campaign=SIC%20-%20Veh%C3%ADculo%20El%C3%A9ctrico&amp;utm_medium=email&amp;_hsmi=89784488&amp;_hsenc=p2ANqtz--X7WLOOrfI4PIzKylVvVUdXZ06T24xFDYfNx92u_OOKDYvoBZ9g3UHwFtqQWlbFb58u0D2HWuZNUh9EWqAqSvM3quZBA&amp;utm_content=89784488&amp;utm_source=hs_email</t>
  </si>
  <si>
    <t>187@castelyfernandez.es</t>
  </si>
  <si>
    <t>https://resources.simonelectric.com/simon-material-formativo-vehiculo-electrico?utm_campaign=SIC%20-%20Veh%C3%ADculo%20El%C3%A9ctrico&amp;utm_medium=email&amp;_hsmi=89784488&amp;_hsenc=p2ANqtz-886gaV9uNAIhXwy_FHu9o273fB6H4nIAbVrHVr-RSamcbO1BamBuTbyKYPiYpNHWH9U6Iq4qmIuZIzLhB7QDvQCmSskbvDvsmy-9GeFF_TjPqzbtQ&amp;utm_content=89784488&amp;utm_source=hs_email</t>
  </si>
  <si>
    <t>https://resources.simonelectric.com/simon-material-formativo-vehiculo-electrico?utm_campaign=SIC%20-%20Veh%C3%ADculo%20El%C3%A9ctrico&amp;utm_medium=email&amp;_hsmi=89784488&amp;_hsenc=p2ANqtz--sqiPGedZM1mqL7fETP8YxJR3MSd0OTCQIeba_ROB1RODJDQyjOCo2EMfmIHrcsqLl2DlnmLOve9F8kxL-edsDRaB9gw&amp;utm_content=89784488&amp;utm_source=hs_email</t>
  </si>
  <si>
    <t>https://resources.simonelectric.com/simon-material-formativo-vehiculo-electrico?utm_campaign=SIC%20-%20Veh%C3%ADculo%20El%C3%A9ctrico&amp;utm_medium=email&amp;_hsenc=p2ANqtz-9uLu0g7koc7zmHixBUNmOI6RXCsOiJ3KoTLs974z36_VUzllppAaiCID5Zih_FR2JS6UxKy-CkYhrFpJk2WGoCFtUK4w&amp;_hsmi=89784488&amp;utm_content=89784488&amp;utm_source=hs_email&amp;hsCtaTracking=f8a31ce8-daf1-4d69-a5d6-c3349f3aab91%7C75f9b9fd-a2b2-4ad4-9d4a-0dcb7c99194f</t>
  </si>
  <si>
    <t>188@gmail.com</t>
  </si>
  <si>
    <t>https://resources.simonelectric.com/simon-material-formativo-vehiculo-electrico?utm_campaign=SIC%20-%20Veh%C3%ADculo%20El%C3%A9ctrico&amp;utm_medium=email&amp;_hsenc=p2ANqtz--TNNqevGCCe_E1TwAWmdUEMf7PYD_Qsp9QykDHUWxDbtVCmdeFAF3CCPMoo44jJm-4ezWe5gPe_npD_jkdI2eKCVn5Iw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</si>
  <si>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-wsgYBvEwG-1qjyMZXPNVV5rUNzZjhl-JVkUw_Oe8LHMiCBDMJsS5pxHdVN7rRg1QLJD1SsuUJ7TE6vpfi2aAaBPFYFg&amp;_hsmi=89784488&amp;utm_content=89784488&amp;utm_source=hs_email&amp;hsCtaTracking=f8a31ce8-daf1-4d69-a5d6-c3349f3aab91%7C75f9b9fd-a2b2-4ad4-9d4a-0dcb7c99194f</t>
  </si>
  <si>
    <t>189@gmail.com</t>
  </si>
  <si>
    <t>https://resources.simonelectric.com/simon-material-formativo-vehiculo-electrico?utm_campaign=SIC%20-%20Veh%C3%ADculo%20El%C3%A9ctrico&amp;utm_medium=email&amp;_hsenc=p2ANqtz--dOKT8WBLaFy3TSQXTxrh2NfvnRTq2KfUgomhYKAIr2Lx3UrlX6anH1W6i_oeRIoegidu_M_pxa-n33WKjH5nzYQ97Lg&amp;_hsmi=89784488&amp;utm_content=89784488&amp;utm_source=hs_email&amp;hsCtaTracking=f8a31ce8-daf1-4d69-a5d6-c3349f3aab91%7C75f9b9fd-a2b2-4ad4-9d4a-0dcb7c99194f</t>
  </si>
  <si>
    <t>190@idom.com</t>
  </si>
  <si>
    <t>https://resources.simonelectric.com/simon-material-formativo-vehiculo-electrico?utm_campaign=SIC%20-%20Veh%C3%ADculo%20El%C3%A9ctrico&amp;utm_medium=email&amp;_hsmi=89784488&amp;_hsenc=p2ANqtz-_yAtIkp7y1faRjz2HZI_OfosugmoFts_YJv-6o9Gsy6v1dyOdxurvaxFURxRBdsPwPZ_OjI-cOX-xn6Rncol6T7-HZWA&amp;utm_content=89784488&amp;utm_source=hs_email</t>
  </si>
  <si>
    <t>191@gruposinelec.com</t>
  </si>
  <si>
    <t>https://resources.simonelectric.com/simon-material-formativo-vehiculo-electrico?utm_campaign=SIC%20-%20Veh%C3%ADculo%20El%C3%A9ctrico&amp;utm_medium=email&amp;_hsenc=p2ANqtz-8helK_q7dAiIiq4ab8lZiPKplGpf-nca3eE7aDt1ylqCNwsYETu2ciieSsL3T3LiPkfiAefoT9jr4cjU1uYP9PQdTKR_MjSDejj1misbvQQ9i4cUU&amp;_hsmi=89784488&amp;utm_content=89784488&amp;utm_source=hs_email&amp;hsCtaTracking=f8a31ce8-daf1-4d69-a5d6-c3349f3aab91%7C75f9b9fd-a2b2-4ad4-9d4a-0dcb7c99194f</t>
  </si>
  <si>
    <t>192@gmail.com</t>
  </si>
  <si>
    <t>https://resources.simonelectric.com/simon-material-formativo-vehiculo-electrico?utm_campaign=SIC%20-%20Veh%C3%ADculo%20El%C3%A9ctrico&amp;utm_medium=email&amp;_hsenc=p2ANqtz-9IxYDJUKVr8nBW3GBO82aThQ1CKfWdhGOxXUw5GpMIom8-G4yrmdNfURkx3VH3yZQ2SeB8KVua642kNkZNmwPb1emkGGjwtLsxJA8Pb-uh5LSA3lA&amp;_hsmi=89784488&amp;utm_content=89784488&amp;utm_source=hs_email&amp;hsCtaTracking=f8a31ce8-daf1-4d69-a5d6-c3349f3aab91%7C75f9b9fd-a2b2-4ad4-9d4a-0dcb7c99194f</t>
  </si>
  <si>
    <t>193@triangulo.com.es</t>
  </si>
  <si>
    <t>https://resources.simonelectric.com/simon-material-formativo-vehiculo-electrico?utm_campaign=SIC%20-%20Veh%C3%ADculo%20El%C3%A9ctrico&amp;utm_medium=email&amp;_hsenc=p2ANqtz-9R5SUm3jWhbcaq2PJ6dT64mMeS-79L2ElFn7EOOXWIGdS5qeImpjol8ppBBgOSWQG67Dh2Qm19kh6sAoqoFGsIjAU-Vw&amp;_hsmi=89784488&amp;utm_content=89784488&amp;utm_source=hs_email&amp;hsCtaTracking=f8a31ce8-daf1-4d69-a5d6-c3349f3aab91%7C75f9b9fd-a2b2-4ad4-9d4a-0dcb7c99194f</t>
  </si>
  <si>
    <t>194@hotmail.com</t>
  </si>
  <si>
    <t>https://resources.simonelectric.com/simon-material-formativo-vehiculo-electrico?utm_campaign=SIC%20-%20Veh%C3%ADculo%20El%C3%A9ctrico&amp;utm_medium=email&amp;_hsenc=p2ANqtz-80k0p3LSKiBeBHe25rjpoGUA4Zfir43gbhWAAFbfjUhxSpHtfBgqRO2Li6FKe0MoRb2sBkJZl3TsINoN5IpDM4zmfyvA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</si>
  <si>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-z2aa5rZ1LvL5UYv9907wC8kPdWVpOp7T4Z1_vgMcT51kUcqisvai7vhhC7yjc6prvLG1KMcZdqRtbtiVTwOKSyM2cVM2-r-n07sBAt1leIX2GFJ8&amp;_hsmi=89784488&amp;utm_content=89784488&amp;utm_source=hs_email&amp;hsCtaTracking=f8a31ce8-daf1-4d69-a5d6-c3349f3aab91%7C75f9b9fd-a2b2-4ad4-9d4a-0dcb7c99194f</t>
  </si>
  <si>
    <t>195@electricidadmadruga.com</t>
  </si>
  <si>
    <t>https://resources.simonelectric.com/simon-material-formativo-vehiculo-electrico?utm_campaign=SIC%20-%20Veh%C3%ADculo%20El%C3%A9ctrico&amp;utm_medium=email&amp;_hsenc=p2ANqtz-9tvquyJVtvmIQ4nCUM_7g-UllBA0Gj-NQzlmkGoZwYbqEeL77d1K-tkNdaoitXHmJxBrvaGgR19a3S2cqmC4_y0o9B3M_0hmtS1on_RJfAJZU4lyg&amp;_hsmi=89784488&amp;utm_content=89784488&amp;utm_source=hs_email&amp;hsCtaTracking=f8a31ce8-daf1-4d69-a5d6-c3349f3aab91%7C75f9b9fd-a2b2-4ad4-9d4a-0dcb7c99194f</t>
  </si>
  <si>
    <t>196@gmail.com</t>
  </si>
  <si>
    <t>https://resources.simonelectric.com/simon-material-formativo-vehiculo-electrico?utm_campaign=SIC%20-%20Veh%C3%ADculo%20El%C3%A9ctrico&amp;utm_medium=email&amp;_hsenc=p2ANqtz-8AQdhU0k4uNJYbc4ewQAuCPv0oIs48jcLhg05smkLQzIjTmVoZb3juonwnxKEScd7F3mnhd56YCHV3fAFxHVoXU1c7rQ&amp;_hsmi=89784488&amp;utm_content=89784488&amp;utm_source=hs_email&amp;hsCtaTracking=f8a31ce8-daf1-4d69-a5d6-c3349f3aab91%7C75f9b9fd-a2b2-4ad4-9d4a-0dcb7c99194f</t>
  </si>
  <si>
    <t>197@enginyerstarragona.cat</t>
  </si>
  <si>
    <t>https://resources.simonelectric.com/simon-material-formativo-vehiculo-electrico?utm_campaign=SIC%20-%20Veh%C3%ADculo%20El%C3%A9ctrico&amp;utm_medium=email&amp;_hsenc=p2ANqtz-94y1nX4XR9Usok3qbVMXdThiEROF1s5ci2TLNb8RQ09HX3_qvohybbldBIvRFZH6jUk3rxjExzKNJPlJ1xn2SSJI7a2p3_c10smteyWjVy1XtYmsQ&amp;_hsmi=89784488&amp;utm_content=89784488&amp;utm_source=hs_email&amp;hsCtaTracking=f8a31ce8-daf1-4d69-a5d6-c3349f3aab91%7C75f9b9fd-a2b2-4ad4-9d4a-0dcb7c99194f</t>
  </si>
  <si>
    <t>198@hotmail.es</t>
  </si>
  <si>
    <t>https://resources.simonelectric.com/simon-material-formativo-vehiculo-electrico?utm_campaign=SIC%20-%20Veh%C3%ADculo%20El%C3%A9ctrico&amp;utm_medium=email&amp;_hsmi=89784488&amp;_hsenc=p2ANqtz-8Vk-prEIHwubnspNN1mNr4rdT6DCibuPPbrxQIDSBwcL9gHYeQ8nqoYGG-MSDRBobDJABFnZsYB385s8IWTiO4aXzwAnBbZfo4XdLBbjOTcR3Gnnc&amp;utm_content=89784488&amp;utm_source=hs_email</t>
  </si>
  <si>
    <t>199@elektra-sa.es</t>
  </si>
  <si>
    <t>https://resources.simonelectric.com/simon-material-formativo-vehiculo-electrico?utm_campaign=SIC%20-%20Veh%C3%ADculo%20El%C3%A9ctrico&amp;utm_medium=email&amp;_hsenc=p2ANqtz-_XJk6POeqiLGKHrm7Du-jAV5IixSOSIotsDmuXBpe_ICjIYQ4Qq3I_E5y8niHqNPVHjiAYhLqo4BrRy3fzr9n2D4DFud0teFy_wZm6pvjHB7o75kg&amp;_hsmi=89784488&amp;utm_content=89784488&amp;utm_source=hs_email&amp;hsCtaTracking=f8a31ce8-daf1-4d69-a5d6-c3349f3aab91%7C75f9b9fd-a2b2-4ad4-9d4a-0dcb7c99194f</t>
  </si>
  <si>
    <t>200@smassa.eu</t>
  </si>
  <si>
    <t>https://resources.simonelectric.com/simon-material-formativo-vehiculo-electrico?utm_campaign=SIC%20-%20Veh%C3%ADculo%20El%C3%A9ctrico&amp;utm_medium=email&amp;_hsenc=p2ANqtz-9YezjHC094Ut6ur4xLollqgbAZ0qK-6NmUR3fWugP6rLK5iBBMHqQ0UAwX8vvF7LtdmYxg_pf906fD2G8JffVIKfoP0g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</si>
  <si>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-81-biuiT9W6JGNUxRh0S-yGsCkjG08dPh_aHinjM1oWqdN_0auicPb6LYv6nIV_hnmZNWIkedLRgcVgbkjLuyViXC7RA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</si>
  <si>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mi=89784488&amp;_hsenc=p2ANqtz-90mykk6cp_kf7Jg_j6obX2oqxSq-6YOa5d8gXvGfejlZD8wwjcvXaFgJnNfrfpvJVHt8zxgaGpIykIR1DDfNvpXjFicwq78iql1lJQO4vwX9P7x_c&amp;utm_content=89784488&amp;utm_source=hs_email</t>
  </si>
  <si>
    <t>201@gmail.com</t>
  </si>
  <si>
    <t>https://resources.simonelectric.com/simon-material-formativo-vehiculo-electrico?utm_campaign=SIC%20-%20Veh%C3%ADculo%20El%C3%A9ctrico&amp;utm_medium=email&amp;_hsmi=89784488&amp;_hsenc=p2ANqtz-9gesz6FVtmg4d3EP8bQJpt09aUnJN1uNYhaxzzMPxMB0c9qBgMed8YQNj5GOxN6TqP4WLOYW42nCHLtltpTU3J8XPu6Q&amp;utm_content=89784488&amp;utm_source=hs_email</t>
  </si>
  <si>
    <t>202@gmail.com</t>
  </si>
  <si>
    <t>https://resources.simonelectric.com/simon-material-formativo-vehiculo-electrico?utm_campaign=SIC%20-%20Veh%C3%ADculo%20El%C3%A9ctrico&amp;utm_medium=email&amp;_hsmi=89784488&amp;_hsenc=p2ANqtz-8xEhyRy7dfthRUCu0GYH2vP1Uh8LtR2eg3qMm8nlr_zeCzTRYfrazwswGxUikwQB6bKEg9SdmVPhFCriYpcRdaDun3tw&amp;utm_content=89784488&amp;utm_source=hs_email</t>
  </si>
  <si>
    <t>https://resources.simonelectric.com/simon-material-formativo-vehiculo-electrico?utm_campaign=SIC%20-%20Veh%C3%ADculo%20El%C3%A9ctrico&amp;utm_medium=email&amp;_hsmi=89784488&amp;_hsenc=p2ANqtz-8v8EQUQEHJrJvK5G6mTlhZQgvo8elArUaPUAmDJ-kC7kulEb-58aBXC4FRJwpqXIKj-QcUTDAzqjl-z3FD3PwptIzExQ&amp;utm_content=89784488&amp;utm_source=hs_email</t>
  </si>
  <si>
    <t>203@outlook.com</t>
  </si>
  <si>
    <t>https://resources.simonelectric.com/simon-material-formativo-vehiculo-electrico?utm_campaign=SIC%20-%20Veh%C3%ADculo%20El%C3%A9ctrico&amp;utm_medium=email&amp;_hsenc=p2ANqtz-9y1r-Pq3yrylYtOQ9nhQgemmYtA6YemxEsrJFn8ApcnvDPN4YLu2PF0vwGgxqvi76XuV6FIkXRbbMv3p_zG0AekJszb_hyG4Fu_ZKa9rsxUQLdI8Y&amp;_hsmi=89784488&amp;utm_content=89784488&amp;utm_source=hs_email&amp;hsCtaTracking=f8a31ce8-daf1-4d69-a5d6-c3349f3aab91%7C75f9b9fd-a2b2-4ad4-9d4a-0dcb7c99194f</t>
  </si>
  <si>
    <t>204@ebcn.cat</t>
  </si>
  <si>
    <t>https://resources.simonelectric.com/simon-material-formativo-vehiculo-electrico?utm_campaign=SIC%20-%20Veh%C3%ADculo%20El%C3%A9ctrico&amp;utm_medium=email&amp;_hsenc=p2ANqtz-9eDHb3lis_vDwWxMRyegr13UaoUs5JWOL8_cI2y0f_Lt2gmZapMgF63kkUhVfkmeekm8umV3Y7V0GYQYN8hziHCseSXA&amp;_hsmi=89784488&amp;utm_content=89784488&amp;utm_source=hs_email&amp;hsCtaTracking=f8a31ce8-daf1-4d69-a5d6-c3349f3aab91%7C75f9b9fd-a2b2-4ad4-9d4a-0dcb7c99194f</t>
  </si>
  <si>
    <t>205@es.tuv.com</t>
  </si>
  <si>
    <t>https://resources.simonelectric.com/simon-material-formativo-vehiculo-electrico?utm_campaign=SIC%20-%20Veh%C3%ADculo%20El%C3%A9ctrico&amp;utm_medium=email&amp;_hsmi=89784488&amp;_hsenc=p2ANqtz-_s6j9Z3Ln4jBAQRWusvsqy7jSHrD0hc3eFe1KGAPVxOJn64NkdFyuxvsJTMwzFCp3cvGBGm_ylE1nEp0bbeo-9n5pMA30NNUlWN-Zsy6bfT15Wwgg&amp;utm_content=89784488&amp;utm_source=hs_email</t>
  </si>
  <si>
    <t>206@jgingenieros.es</t>
  </si>
  <si>
    <t>https://resources.simonelectric.com/simon-material-formativo-vehiculo-electrico?utm_campaign=SIC%20-%20Veh%C3%ADculo%20El%C3%A9ctrico&amp;utm_medium=email&amp;_hsmi=89784488&amp;_hsenc=p2ANqtz-8jq2T8kU6LS90u4XDKpKF02Es1j2u7ebetjevvNjD0QNIVsxuyOB2JFMBJo64xB1pcgVGHVIr3mNX18Qd6wofOO8ZVpN1RNxDF_SJ0IwXHXHmb9W4&amp;utm_content=89784488&amp;utm_source=hs_email</t>
  </si>
  <si>
    <t>207@tecnicasyrecursos.com</t>
  </si>
  <si>
    <t>https://resources.simonelectric.com/simon-material-formativo-vehiculo-electrico?utm_campaign=SIC%20-%20Veh%C3%ADculo%20El%C3%A9ctrico&amp;utm_medium=email&amp;_hsenc=p2ANqtz--5iUHZOyB5Oxa5D68M9E2jNWabFAbgUBIdXRilRszt7B_ZL6gZHLnveKQ8kI3r6pLsRafxO4TDhlVYCeHcT7y83RIfkMLZ9GNm-wClpgDG8NiwNIw&amp;_hsmi=89784488&amp;utm_content=89784488&amp;utm_source=hs_email&amp;hsCtaTracking=f8a31ce8-daf1-4d69-a5d6-c3349f3aab91%7C75f9b9fd-a2b2-4ad4-9d4a-0dcb7c99194f</t>
  </si>
  <si>
    <t>208@acortaenergia.com</t>
  </si>
  <si>
    <t>https://resources.simonelectric.com/simon-material-formativo-vehiculo-electrico?utm_campaign=SIC%20-%20Veh%C3%ADculo%20El%C3%A9ctrico&amp;utm_medium=email&amp;_hsmi=89784488&amp;_hsenc=p2ANqtz-8l7th1FVpIUS8412f4xa-1KMyOWKbayHtiNgFMYvXoKDwZPt13Y1ZOUV7_hNZM0rH7T5yWoP3htIMrmX4Vxh5LKjqaCA&amp;utm_content=89784488&amp;utm_source=hs_email</t>
  </si>
  <si>
    <t>209@azingenieria.es</t>
  </si>
  <si>
    <t>https://resources.simonelectric.com/simon-material-formativo-vehiculo-electrico?utm_campaign=SIC%20-%20Veh%C3%ADculo%20El%C3%A9ctrico&amp;utm_medium=email&amp;_hsenc=p2ANqtz-89ITU9swKGI3FaDOWZIHRwAO1VuR1hBF81SJFoEZvRCLk9W6gmp_LIoNrkGt8ImjH839uUOYNVR1toy7EpDQn4IhQwow&amp;_hsmi=89784488&amp;utm_content=89784488&amp;utm_source=hs_email&amp;hsCtaTracking=f8a31ce8-daf1-4d69-a5d6-c3349f3aab91%7C75f9b9fd-a2b2-4ad4-9d4a-0dcb7c99194f</t>
  </si>
  <si>
    <t>210@simon.pt</t>
  </si>
  <si>
    <t>https://resources.simonelectric.com/simon-material-formativo-vehiculo-electrico?utm_campaign=SIC%20-%20Veh%C3%ADculo%20El%C3%A9ctrico&amp;utm_medium=email&amp;_hsenc=p2ANqtz-8eSYhfPZPKXj9ptO2VQY9B22wJpvHJn06nTi4lWwH1GlmleY1hY1Cxjjjlo6lDQVnm_FaztSKAeSPtJUfHUr54Yc197w&amp;_hsmi=89784488&amp;utm_content=89784488&amp;utm_source=hs_email&amp;hsCtaTracking=f8a31ce8-daf1-4d69-a5d6-c3349f3aab91%7C75f9b9fd-a2b2-4ad4-9d4a-0dcb7c99194f</t>
  </si>
  <si>
    <t>211@elgremi.cat</t>
  </si>
  <si>
    <t>https://resources.simonelectric.com/simon-material-formativo-vehiculo-electrico?utm_campaign=SIC%20-%20Veh%C3%ADculo%20El%C3%A9ctrico&amp;utm_medium=email&amp;_hsmi=89784488&amp;_hsenc=p2ANqtz--nRMBALkowjJsQRlwcXGUXg3Uci-Avn0CShrNXsjQq1e2jsA9DqoywuEKAQoS9ihqtC-Tdcejs1FixDFGm1mHzUAv83w&amp;utm_content=89784488&amp;utm_source=hs_email</t>
  </si>
  <si>
    <t>212@gmail.com</t>
  </si>
  <si>
    <t>213@guidogroup.com</t>
  </si>
  <si>
    <t>https://resources.simonelectric.com/simon-material-formativo-vehiculo-electrico?utm_campaign=SIC%20-%20Veh%C3%ADculo%20El%C3%A9ctrico&amp;utm_medium=email&amp;_hsmi=89784488&amp;_hsenc=p2ANqtz-_xRXUzPmBxKPcZyPqddGK3kEzSUqu9lYjvkTo-ix3zNMILExS-E6LYeXhGG6YUvUhffiqgfxWhX4iYoouyetb94Zw79R8zSCAfjB9EsEvpEwfOXSs&amp;utm_content=89784488&amp;utm_source=hs_email</t>
  </si>
  <si>
    <t>214@gmail.com</t>
  </si>
  <si>
    <t>https://resources.simonelectric.com/simon-material-formativo-vehiculo-electrico?utm_campaign=SIC%20-%20Veh%C3%ADculo%20El%C3%A9ctrico&amp;utm_medium=email&amp;_hsenc=p2ANqtz-9LxobRrpzJ6Xny6OSmO0q5hLX2KgPZPL5YvHZrMxaYJgxVbX1dnb3ocfCMPjGzrpO_y1_iv2MMPmtJyeDUBp-SLcyy2A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</si>
  <si>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-9sG6cdWzxfbSz14LDqi9_8C8jdvxE9iinzOX9kZHXy1mnGIKbZR9ET5RqNZcivT4RgPgK3gueGfBS0x7ZfPltLK4lQ0g&amp;_hsmi=89784488&amp;utm_content=89784488&amp;utm_source=hs_email&amp;hsCtaTracking=f8a31ce8-daf1-4d69-a5d6-c3349f3aab91%7C75f9b9fd-a2b2-4ad4-9d4a-0dcb7c99194f</t>
  </si>
  <si>
    <t>215@enel.com</t>
  </si>
  <si>
    <t>https://resources.simonelectric.com/simon-material-formativo-vehiculo-electrico?utm_campaign=SIC%20-%20Veh%C3%ADculo%20El%C3%A9ctrico&amp;utm_medium=email&amp;_hsmi=89784488&amp;_hsenc=p2ANqtz--KnVxOuDdVi5hBRxSIoUI2eCjyIet12f7StTsIpJF91NQ7BMJqcUw_1eKCliHxftRVEeIWWYTbZ4qFzXe7ijpDmx_kiw&amp;utm_content=89784488&amp;utm_source=hs_email</t>
  </si>
  <si>
    <t>https://resources.simonelectric.com/simon-material-formativo-vehiculo-electrico?utm_campaign=SIC%20-%20Veh%C3%ADculo%20El%C3%A9ctrico&amp;utm_medium=email&amp;_hsenc=p2ANqtz-8KSailGBwhWeVZOCJcJ426iZzN-Zdwq807nM3kOX7t9jRXU5OSkNn-_VKRi5dpNteiqU2cRaDlGB2C-EyCSsb_i2alAQ&amp;_hsmi=89784488&amp;utm_content=89784488&amp;utm_source=hs_email&amp;hsCtaTracking=f8a31ce8-daf1-4d69-a5d6-c3349f3aab91%7C75f9b9fd-a2b2-4ad4-9d4a-0dcb7c99194f</t>
  </si>
  <si>
    <t>216@gmail.com</t>
  </si>
  <si>
    <t>https://resources.simonelectric.com/simon-material-formativo-vehiculo-electrico?utm_campaign=SIC%20-%20Veh%C3%ADculo%20El%C3%A9ctrico&amp;utm_medium=email&amp;_hsmi=89784488&amp;_hsenc=p2ANqtz-91h7pJO7k82IMmZhN1GLvZ_YRXhm74BtkKsQCYZ3kRJQk49pIU0pQVw10lL61uPWJSyyY8vj3KDqMM3V49c5kOQxCAsA&amp;utm_content=89784488&amp;utm_source=hs_email</t>
  </si>
  <si>
    <t>217@esypro.net</t>
  </si>
  <si>
    <t>https://resources.simonelectric.com/simon-material-formativo-vehiculo-electrico?utm_campaign=SIC%20-%20Veh%C3%ADculo%20El%C3%A9ctrico&amp;utm_medium=email&amp;_hsenc=p2ANqtz-_3m7_wxx11ALagZEbrEfQbqa61dAaZBvTxaxyuiE_-8bxZkkQM94JTK7J_AH5WvD5x6hh7H7VNgx68BnSF_MO7YkFBSA&amp;_hsmi=89784488&amp;utm_content=89784488&amp;utm_source=hs_email&amp;hsCtaTracking=f8a31ce8-daf1-4d69-a5d6-c3349f3aab91%7C75f9b9fd-a2b2-4ad4-9d4a-0dcb7c99194f</t>
  </si>
  <si>
    <t>218@erasmil.com</t>
  </si>
  <si>
    <t>https://resources.simonelectric.com/simon-material-formativo-vehiculo-electrico?utm_campaign=SIC%20-%20Veh%C3%ADculo%20El%C3%A9ctrico&amp;utm_medium=email&amp;_hsmi=89784488&amp;_hsenc=p2ANqtz-_-GzDJgOGofH96AfpwzO4WuzGfa3-d0DZEgyCWjKTpSoROii3LtqFexw2Fa3vGiqeYklBQ2Sjzq0G6wQqNsfAzW5yiKA&amp;utm_content=89784488&amp;utm_source=hs_email</t>
  </si>
  <si>
    <t>219@gmail.com</t>
  </si>
  <si>
    <t>https://resources.simonelectric.com/simon-material-formativo-vehiculo-electrico?utm_campaign=SIC%20-%20Veh%C3%ADculo%20El%C3%A9ctrico&amp;utm_medium=email&amp;_hsenc=p2ANqtz--AQ55cNpkf9hUBKBxGmMiVb0T40MViEXw6ixZGO0KoexmT5zEejuERnyrkKO6IULC3BcfXgKcmmIKLgNnv9wqI9co_-BziO7KqmNMqe2GEfu1vH_E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</si>
  <si>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-8UKkd_Dl1APVtVJi6TIO4nXyGJSWe_tJQtCl-7yKdb92odr7hnz0EpI-4Qwsj-KmaRDCqrJA1SQjfp5JtFNpQCBpUS1w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</si>
  <si>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mi=89784488&amp;_hsenc=p2ANqtz-8L0GFKhuoXkASTkNmiqzPBGLO-RM77q_TSUSRhvnHqgvBioBSe5xSZuX70CImx7uvHzTv-zJ_qZQ6nIVUNlJSRo0-6XIuPCLs_Dcgv2sZcKUugs-c&amp;utm_content=89784488&amp;utm_source=hs_email</t>
  </si>
  <si>
    <t>https://resources.simonelectric.com/simon-material-formativo-vehiculo-electrico?utm_campaign=SIC%20-%20Veh%C3%ADculo%20El%C3%A9ctrico&amp;utm_medium=email&amp;_hsmi=89784488&amp;_hsenc=p2ANqtz-8CA6xbghoCAxetwk4vv2HUSEYUpu84OuMOHGqHGjqpo1EDJpIwYip5RyXWEXfWUrtZdJdHRfWUI9pZUiPWK49xW5RqSw&amp;utm_content=89784488&amp;utm_source=hs_email</t>
  </si>
  <si>
    <t>220@istem.es</t>
  </si>
  <si>
    <t>https://resources.simonelectric.com/simon-material-formativo-vehiculo-electrico?utm_campaign=SIC%20-%20Veh%C3%ADculo%20El%C3%A9ctrico&amp;utm_medium=email&amp;_hsenc=p2ANqtz-88dRQb8sslsJzeyCzwHrkkJObLzGdfXwhiClz9olRsIc6z33vU2SE30xDeiC1g4twpc6F30rXTbUwS-P4P3BasKfeGZg&amp;_hsmi=89784488&amp;utm_content=89784488&amp;utm_source=hs_email&amp;hsCtaTracking=f8a31ce8-daf1-4d69-a5d6-c3349f3aab91%7C75f9b9fd-a2b2-4ad4-9d4a-0dcb7c99194f</t>
  </si>
  <si>
    <t>221@maganrenovables.com</t>
  </si>
  <si>
    <t>https://resources.simonelectric.com/simon-material-formativo-vehiculo-electrico?utm_campaign=SIC%20-%20Veh%C3%ADculo%20El%C3%A9ctrico&amp;utm_medium=email&amp;_hsenc=p2ANqtz-8KfdyV6aCK32EfMfYNKciy55GMfGEaEV1EtWtzHpo9y0D41POCfNxYu_bsfL1KMbWvTBqX-UNAl1Ha1On-Yrf5tVXX1Q&amp;_hsmi=89784488&amp;utm_content=89784488&amp;utm_source=hs_email&amp;hsCtaTracking=f8a31ce8-daf1-4d69-a5d6-c3349f3aab91%7C75f9b9fd-a2b2-4ad4-9d4a-0dcb7c99194f</t>
  </si>
  <si>
    <t>222@jcgracia.es</t>
  </si>
  <si>
    <t>https://resources.simonelectric.com/simon-material-formativo-vehiculo-electrico?utm_campaign=SIC%20-%20Veh%C3%ADculo%20El%C3%A9ctrico&amp;utm_medium=email&amp;_hsenc=p2ANqtz-9-xITFQxeZtibET9VdlrA78fV05WeLXCPNJk_JHL-3AqG0kjXmypc1QIrcbCQrmiE9noKcJEmX4PJCVd8x6d84uef_Og&amp;_hsmi=89784488&amp;utm_content=89784488&amp;utm_source=hs_email&amp;hsCtaTracking=f8a31ce8-daf1-4d69-a5d6-c3349f3aab91%7C75f9b9fd-a2b2-4ad4-9d4a-0dcb7c99194f</t>
  </si>
  <si>
    <t>223@gmail.com</t>
  </si>
  <si>
    <t>https://resources.simonelectric.com/simon-material-formativo-vehiculo-electrico?utm_campaign=SIC%20-%20Veh%C3%ADculo%20El%C3%A9ctrico&amp;utm_medium=email&amp;_hsmi=89784488&amp;_hsenc=p2ANqtz--FF3nza6lj8OanoqvotoIHSCmeHEQGkTIJ32AnDhlH-gH75t0lXN2Xm64nMRxNEkcBa2l1PswRQiKa05Xx1IEwm_VuqQ&amp;utm_content=89784488&amp;utm_source=hs_email</t>
  </si>
  <si>
    <t>224@hotmail.com</t>
  </si>
  <si>
    <t>https://resources.simonelectric.com/simon-material-formativo-vehiculo-electrico?utm_campaign=SIC%20-%20Veh%C3%ADculo%20El%C3%A9ctrico&amp;utm_medium=email&amp;_hsenc=p2ANqtz--wjvcNDLkiypcEf19EkdAuJC4pDaYYGZwNWC7hQkzaY-HgC6gWDWxBwS9RGg9EiNT7sUX579d_fMdqFoyuPAOGaWB_0GHDhN-WDJMRWgzfOaEYVmM&amp;_hsmi=89784488&amp;utm_content=89784488&amp;utm_source=hs_email&amp;hsCtaTracking=f8a31ce8-daf1-4d69-a5d6-c3349f3aab91%7C75f9b9fd-a2b2-4ad4-9d4a-0dcb7c99194f</t>
  </si>
  <si>
    <t>225@gmail.com</t>
  </si>
  <si>
    <t>https://resources.simonelectric.com/simon-material-formativo-vehiculo-electrico?utm_campaign=SIC%20-%20Veh%C3%ADculo%20El%C3%A9ctrico&amp;utm_medium=email&amp;_hsenc=p2ANqtz-9RQ4io0g05hBu9OKOp1ns2I1YRc6L2nxfxrlrx8Ks4IsFVcvtVAqYGkqgZoYGtMFHsmL7rgfKeHVElbDvfg8hAZ72nLw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</si>
  <si>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-8s2K-x_md7Nns7ccmTP0Lj7LrZeJIvk0zmzNg8GIBgjpORQqxTcRWaJrev4h4R9CB7bxIuTlIJlPn_-e-e6pNTGxiNvw&amp;_hsmi=89784488&amp;utm_content=89784488&amp;utm_source=hs_email&amp;hsCtaTracking=f8a31ce8-daf1-4d69-a5d6-c3349f3aab91%7C75f9b9fd-a2b2-4ad4-9d4a-0dcb7c99194f</t>
  </si>
  <si>
    <t>226@hotmail.com</t>
  </si>
  <si>
    <t>https://resources.simonelectric.com/simon-material-formativo-vehiculo-electrico?utm_campaign=SIC%20-%20Veh%C3%ADculo%20El%C3%A9ctrico&amp;utm_medium=email&amp;_hsenc=p2ANqtz-_QBaaAskZw8ZU20q8NT7n21B5oYPOcGmoWlbQOvQMAUseob4pPDXylZg_aEGQ5rAjV53rsEy-G1MxCaQXP4GMd4SVmsg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</si>
  <si>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-89PDS_R2hT3PoHiFy45qw1EpIicibkShuae8lUXuenbTbwT71plenSnQjvKFde8_BtoqpxNgKj28SvBnJ0kOQJAe2AqQ&amp;_hsmi=89784488&amp;utm_content=89784488&amp;utm_source=hs_email&amp;hsCtaTracking=f8a31ce8-daf1-4d69-a5d6-c3349f3aab91%7C75f9b9fd-a2b2-4ad4-9d4a-0dcb7c99194f</t>
  </si>
  <si>
    <t>227@gmail.com</t>
  </si>
  <si>
    <t>https://resources.simonelectric.com/simon-material-formativo-vehiculo-electrico?utm_campaign=SIC%20-%20Veh%C3%ADculo%20El%C3%A9ctrico&amp;utm_medium=email&amp;_hsenc=p2ANqtz-9H3BBVU5jnHBU-PaT8gpy7ilEMpP15qEMoibRaPLKoLUXWz_qXJDOL7ekOfa06y0tJRna4uBdDoQJy1ifPDuQgk0IIag&amp;_hsmi=89784488&amp;utm_content=89784488&amp;utm_source=hs_email&amp;hsCtaTracking=f8a31ce8-daf1-4d69-a5d6-c3349f3aab91%7C75f9b9fd-a2b2-4ad4-9d4a-0dcb7c99194f</t>
  </si>
  <si>
    <t>228@erasmil.com</t>
  </si>
  <si>
    <t>https://resources.simonelectric.com/simon-material-formativo-vehiculo-electrico?utm_campaign=SIC%20-%20Veh%C3%ADculo%20El%C3%A9ctrico&amp;utm_medium=email&amp;_hsmi=89784488&amp;_hsenc=p2ANqtz--exV2MsmuaMmmBtdjGyzQ1ru0KD8zP7vuWr2aYXE-EMNh6uFA0MS_jurE-kYSl2I0IuIAJAd_3_ZG1Jlnsxxgr3CJ8vg&amp;utm_content=89784488&amp;utm_source=hs_email</t>
  </si>
  <si>
    <t>229@gmail.com</t>
  </si>
  <si>
    <t>https://resources.simonelectric.com/simon-material-formativo-vehiculo-electrico?utm_campaign=SIC%20-%20Veh%C3%ADculo%20El%C3%A9ctrico&amp;utm_medium=email&amp;_hsenc=p2ANqtz--127iSMP7uaSOoHkwQoJH-bu3YfmCINFZ3YZr0awZua7Hf_97kwc3f-JD7L3ww34_1NxQAVEkWfM1G-SbW6r7B8GXAbQ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</si>
  <si>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-9eY1fJ4L314xF9cF7zuj1MIv9frkeU3Mh-23lKT1ISSG-BvLHc9TdI_LijUFSa1emSdA277XVDyQ9wciP_cehKki7ezI4WP750g9927G6-ZSkc-is&amp;_hsmi=89784488&amp;utm_content=89784488&amp;utm_source=hs_email&amp;hsCtaTracking=f8a31ce8-daf1-4d69-a5d6-c3349f3aab91%7C75f9b9fd-a2b2-4ad4-9d4a-0dcb7c99194f</t>
  </si>
  <si>
    <t>230@solsureste.com</t>
  </si>
  <si>
    <t>https://resources.simonelectric.com/simon-material-formativo-vehiculo-electrico?utm_campaign=SIC%20-%20Veh%C3%ADculo%20El%C3%A9ctrico&amp;utm_medium=email&amp;_hsmi=89784488&amp;_hsenc=p2ANqtz--dvxUBs16zVuQj-MsZZ90XaCTfcwGFVyK5oiaUYaWVV5G5DW8RDEOtRW4Us7Re0D9EJ72ViaZqi9PL0KujgAnl7vKCyg&amp;utm_content=89784488&amp;utm_source=hs_email</t>
  </si>
  <si>
    <t>231@gmail.com</t>
  </si>
  <si>
    <t>https://resources.simonelectric.com/simon-material-formativo-vehiculo-electrico?utm_campaign=SIC%20-%20Veh%C3%ADculo%20El%C3%A9ctrico&amp;utm_medium=email&amp;_hsenc=p2ANqtz--a6uYxvgKsm13YT-M1cWGx4IUMPEkfBhOK22rWJjq3HwK6R_9RxrXZlP_sLDK9g2FMIvDtonJR2vvbj1-xahE0A5VTNw&amp;_hsmi=89784488&amp;utm_content=89784488&amp;utm_source=hs_email&amp;hsCtaTracking=f8a31ce8-daf1-4d69-a5d6-c3349f3aab91%7C75f9b9fd-a2b2-4ad4-9d4a-0dcb7c99194f</t>
  </si>
  <si>
    <t>232@mersa.es</t>
  </si>
  <si>
    <t>https://resources.simonelectric.com/simon-material-formativo-vehiculo-electrico?utm_campaign=SIC%20-%20Veh%C3%ADculo%20El%C3%A9ctrico&amp;utm_medium=email&amp;_hsenc=p2ANqtz-8Uhr1Rn6c6jtGeLY0zEBouUWejOwBdlr7r3z0z2W2pPPAidH5om0yFyiEQRWqAdB4fV90XqL44K7FU3abW5W9d4OJ8xA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</si>
  <si>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mi=89784488&amp;_hsenc=p2ANqtz-_a3-w7j6lACpbIBr3wTA5Qrum0Hoqg5S7k0zL_0zo53GwihpMjxGczaAN5uoxFSvs3-9ehjG6mGHj_54AVB4s24zRwQcjeb7UvJdue1uqK_AdlT_k&amp;utm_content=89784488&amp;utm_source=hs_email</t>
  </si>
  <si>
    <t>https://resources.simonelectric.com/simon-material-formativo-vehiculo-electrico?utm_campaign=SIC%20-%20Veh%C3%ADculo%20El%C3%A9ctrico&amp;utm_medium=email&amp;_hsenc=p2ANqtz--2nluWYt16Ih-iI8rkIVVN_NrgAD0vSCK8DzR0zREDnHP3T_cDSr8_7LLG18RkMdNMN9jjPAdwU1-SKjeTNdW3qw4vTg&amp;_hsmi=89784488&amp;utm_content=89784488&amp;utm_source=hs_email&amp;hsCtaTracking=f8a31ce8-daf1-4d69-a5d6-c3349f3aab91%7C75f9b9fd-a2b2-4ad4-9d4a-0dcb7c99194f</t>
  </si>
  <si>
    <t>233@gmail.com</t>
  </si>
  <si>
    <t>https://resources.simonelectric.com/simon-material-formativo-vehiculo-electrico?utm_campaign=SIC%20-%20Veh%C3%ADculo%20El%C3%A9ctrico&amp;utm_medium=email&amp;_hsenc=p2ANqtz--1UfzSXCvL035hl5WLXWbH5-pUn3SDc7UGyulLxq9lzvdkvmXcvgs3-xfe-3-mC6fQdxlPVoknMjCEnkIaTLfIVxEi3Q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</si>
  <si>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-8YBHjXnko1A7wAcsNWUUZpgmEJYGACvDU-zSn5SYwXRFeqPdjJ0tW3QAJENH0NtqOsE8ORtdLfHaExJIuy4SSKhhLJqw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</si>
  <si>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mi=89784488&amp;_hsenc=p2ANqtz-8R3YvDMeXFHJuhTNQuTlxLmkX_ftoObMP9DSR_0sQLUstYpvTXXmNgSqYlre4lrxQZEfMtuPBolcCR49y9bX4dR9Jnew&amp;utm_content=89784488&amp;utm_source=hs_email</t>
  </si>
  <si>
    <t>https://resources.simonelectric.com/simon-material-formativo-vehiculo-electrico?utm_campaign=SIC%20-%20Veh%C3%ADculo%20El%C3%A9ctrico&amp;utm_medium=email&amp;_hsenc=p2ANqtz-_Ki2U8Ug5-464mAEiZsAt1ljjqi9RYn4NE5u31y1dvWfrJJLpAU1neTwNX34StO5gJ0wT7zHF9mwRLz_mtetBZlWbWwg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</si>
  <si>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mi=89784488&amp;_hsenc=p2ANqtz-_YZnldhQu9DnoGrV5dMFb34FF4LYpK2JlDzBwMcRhAlga4bFaVDLgX7aQOo2a_R5ugoDi4xwrRd_KKnzT7eA5DgdwCtA&amp;utm_content=89784488&amp;utm_source=hs_email</t>
  </si>
  <si>
    <t>234@pgiengineering.com</t>
  </si>
  <si>
    <t>https://resources.simonelectric.com/simon-material-formativo-vehiculo-electrico?utm_campaign=SIC%20-%20Veh%C3%ADculo%20El%C3%A9ctrico&amp;utm_medium=email&amp;_hsenc=p2ANqtz-8BgmB9RUvgxL_OUYgisAyaiUlXCQyYOy5jdfQxu1tdXeVufYIcJHYwwnQFGyrrl7iwgeGQQgnWd9JrPIEYyACylAXBRVQu62ZQZrYhNQSkks7kg8M&amp;_hsmi=89784488&amp;utm_content=89784488&amp;utm_source=hs_email&amp;hsCtaTracking=f8a31ce8-daf1-4d69-a5d6-c3349f3aab91%7C75f9b9fd-a2b2-4ad4-9d4a-0dcb7c99194f</t>
  </si>
  <si>
    <t>235@gmail.com</t>
  </si>
  <si>
    <t>https://resources.simonelectric.com/simon-material-formativo-vehiculo-electrico?utm_campaign=SIC%20-%20Veh%C3%ADculo%20El%C3%A9ctrico&amp;utm_medium=email&amp;_hsenc=p2ANqtz-_mr1IAy2eT2OWvX6vN7rKwmgLTSIQYGJwjjslcMkXT4-EwjKieqUdtv5_spoz3RAZZUMTenxh4lnlmr8z_hWEKm4YZwQ&amp;_hsmi=89784488&amp;utm_content=89784488&amp;utm_source=hs_email&amp;hsCtaTracking=f8a31ce8-daf1-4d69-a5d6-c3349f3aab91%7C75f9b9fd-a2b2-4ad4-9d4a-0dcb7c99194f</t>
  </si>
  <si>
    <t>236@elecnor.com</t>
  </si>
  <si>
    <t>https://resources.simonelectric.com/simon-material-formativo-vehiculo-electrico?utm_campaign=SIC%20-%20Veh%C3%ADculo%20El%C3%A9ctrico&amp;utm_medium=email&amp;_hsenc=p2ANqtz-_iw8rDTBiwOhzqbWX2NzQcyiLAJGw4pgsjsPB-CulOGi5p1InKMqINkc1osIZfpb85bQlgUHGfCu4126iOH6mq1FxsPg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</si>
  <si>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mi=89784488&amp;_hsenc=p2ANqtz-9n9Hk9oa5HuZcP0dUCAgkHV8xpe0k2YQkgFDakM68QgfRQo56xZEm8Nyw6L_yy7KloOh5xg_EHyuBzFtrXU_Q3yxY9Yg&amp;utm_content=89784488&amp;utm_source=hs_email</t>
  </si>
  <si>
    <t>237@idsa.es</t>
  </si>
  <si>
    <t>https://resources.simonelectric.com/simon-material-formativo-vehiculo-electrico?utm_campaign=SIC%20-%20Veh%C3%ADculo%20El%C3%A9ctrico&amp;utm_medium=email&amp;_hsenc=p2ANqtz-8UKjJltWBJNWCzOrFjeiTQ6bfGE5D2WQ6uJnOLzL6j9siW81CC3DvxG4sOU3Egng5PYApUAlr2mjNuwqhRyFvUOUey7A&amp;_hsmi=89784488&amp;utm_content=89784488&amp;utm_source=hs_email&amp;hsCtaTracking=f8a31ce8-daf1-4d69-a5d6-c3349f3aab91%7C75f9b9fd-a2b2-4ad4-9d4a-0dcb7c99194f</t>
  </si>
  <si>
    <t>238@engie.com</t>
  </si>
  <si>
    <t>https://resources.simonelectric.com/simon-material-formativo-vehiculo-electrico?utm_campaign=SIC%20-%20Veh%C3%ADculo%20El%C3%A9ctrico&amp;utm_medium=email&amp;_hsmi=89784488&amp;_hsenc=p2ANqtz-_X7Cn0UVjzi5n1N72S8cbULPYSISu4KnGFPapUGAWDVWLWtwGKXICm6L__XdsX79bytb8OKtH91HUL6cpFmhhHDiRCYCJhcJjrcxDeK7bJ6OwNtI0&amp;utm_content=89784488&amp;utm_source=hs_email</t>
  </si>
  <si>
    <t>239@alfadesarrollo.com</t>
  </si>
  <si>
    <t>https://resources.simonelectric.com/simon-material-formativo-vehiculo-electrico?utm_campaign=SIC%20-%20Veh%C3%ADculo%20El%C3%A9ctrico&amp;utm_medium=email&amp;_hsmi=89784488&amp;_hsenc=p2ANqtz--MFVacGrRA7EfHNqRUqIG8pirutnejMDEPMpTrn9kosx61HdmhlQ9M_Hj0Gfqdc0YCsmrviDsi0cZOcoYTdE-rrJqzqA&amp;utm_content=89784488&amp;utm_source=hs_email</t>
  </si>
  <si>
    <t>240@hotmail.com</t>
  </si>
  <si>
    <t>https://resources.simonelectric.com/simon-material-formativo-vehiculo-electrico?utm_campaign=SIC%20-%20Veh%C3%ADculo%20El%C3%A9ctrico&amp;utm_medium=email&amp;_hsenc=p2ANqtz-9VgmIE_a9rYc2AwTvI66twJ5CR_stur5hcSeJ8qbkgF33x9qxROg0ZDjmGVqKQJ2l-iRF5vRuQccUP1pJAlXTOSYu2rCExlxjhj6J9wpnsjYZ3AV4&amp;_hsmi=89784488&amp;utm_content=89784488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</si>
  <si>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mi=89784488&amp;_hsenc=p2ANqtz--T8i3flJS9S0FNim_8B_Nl0CMMS5dSaFl_GWQfHDrGj25vgf5MB4L_dInCfKE4J3e8FLH3sOZDe-G8Ow7J8DlouPeXgQ&amp;utm_content=89784488&amp;utm_source=hs_email</t>
  </si>
  <si>
    <t>https://resources.simonelectric.com/simon-material-formativo-vehiculo-electrico?utm_campaign=SIC%20-%20Veh%C3%ADculo%20El%C3%A9ctrico&amp;utm_medium=email&amp;_hsenc=p2ANqtz--jGf8NRxTlAJKyR3c9pbj1z8kd3lz9080Mck-QW3rR2BS_kuwyZqzxp62SGlZYqvAMEE6Ob-nmU2hwwDlseOiQ1zx9oQ&amp;_hsmi=89784488&amp;utm_content=89784488&amp;utm_source=hs_email&amp;hsCtaTracking=f8a31ce8-daf1-4d69-a5d6-c3349f3aab91%7C75f9b9fd-a2b2-4ad4-9d4a-0dcb7c99194f</t>
  </si>
  <si>
    <t>241@gmail.com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</si>
  <si>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medium%3Demail%26_hsmi%3D71033828%26_hsenc%3Dp2ANqtz-8aiL19YGaM9jV0sxDAufDWJciAvv4Kp30ZB8i0EFAimB7x13Jnys6izPBovlL289-xGIvdsVxPzQpJ5cv40ZocFBaAvg%26utm_content%3D71033828%26utm_source%3Dhs_automation</t>
  </si>
  <si>
    <t>242@outlook.es</t>
  </si>
  <si>
    <t>243@homcrea.fr</t>
  </si>
  <si>
    <t>244@as.com</t>
  </si>
  <si>
    <t>245@gmail.com</t>
  </si>
  <si>
    <t>246@simon.es</t>
  </si>
  <si>
    <t>247@gmail.com</t>
  </si>
  <si>
    <t>248@llachsoillum.cat</t>
  </si>
  <si>
    <t>https://resources.simonelectric.com/simon-material-formativo-vehiculo-electrico?utm_campaign=SIC%20-%20Veh%C3%ADculo%20El%C3%A9ctrico&amp;utm_medium=email&amp;_hsmi=89403925&amp;_hsenc=p2ANqtz--v7SF9pLo4ApElpzSd4qWLoaSoWc2gimjjQqWFw5iE4Kr7NAkkc61nwgBKtoO3h1jentvxZ7XNda2C0UTmsn7Yk_HGKQ&amp;utm_content=89403925&amp;utm_source=hs_email</t>
  </si>
  <si>
    <t>249@herreroingenieros.com</t>
  </si>
  <si>
    <t>250@inacces.com</t>
  </si>
  <si>
    <t>251@gmail.com</t>
  </si>
  <si>
    <t>252@hotmail.com</t>
  </si>
  <si>
    <t>253@putzmeister.com</t>
  </si>
  <si>
    <t>254@hotmail.com</t>
  </si>
  <si>
    <t>255@hotmail.com</t>
  </si>
  <si>
    <t>256@mail.com</t>
  </si>
  <si>
    <t>https://resources.simonelectric.com/simon-ebook-vehiculo-electrico?utm_referrer=https%3A%2F%2Fwww.simonelectric.com%2Fblog%2Fvehiculo-electrico-todo-lo-que-tienes-que-saber-de-movilidad-sostenible</t>
  </si>
  <si>
    <t>257@telefonica.net</t>
  </si>
  <si>
    <t>258@jesnar2011.es</t>
  </si>
  <si>
    <t>https://resources.simonelectric.com/simon-ebook-vehiculo-electrico?utm_referrer=https%3A%2F%2Fwww.simonelectric.com%2Fblog%2Fcargador-del-vehiculo-electrico-y-transicion-la-movilidad-electrica%3Futm_campaign%3DSIC%2520-%2520Blog%2520digest%26utm_medium%3Demail%26_hsmi%3D88911100%26_hsenc%3Dp2ANqtz-8OP6IqlAlvmz1_-8ydvyVNXWFgtkdZTRrMwynGK_8q-nTxrP1MvGtqt64KCbu9d2iWkdSB5sCNt5_aVaJBgjuVFd-uAt2fAUkj-AQgaQv0yiCOXl8%26utm_content%3D88911100%26utm_source%3Dhs_email</t>
  </si>
  <si>
    <t>259@electricosaragon2000.com</t>
  </si>
  <si>
    <t>https://resources.simonelectric.com/simon-catalogo-vehiculo-electrico?utm_campaign=SIC%20-%20Veh%C3%ADculo%20El%C3%A9ctrico&amp;utm_medium=email&amp;_hsenc=p2ANqtz-_0Ns8tI2I7-g_5km_bTtoup9SlHKLCzBFWVAR6xl7oKly69T9Y7-6UmAh5R1ihavhNlV9V&amp;_hsmi=87085302&amp;utm_content=87085302&amp;utm_source=hs_email&amp;hsCtaTracking=6fedf137-fd90-4f17-bfb4-d61f710ec7f8%7Cf2771843-6636-4969-9010-2d8d0389b89c</t>
  </si>
  <si>
    <t>260@hotmail.com</t>
  </si>
  <si>
    <t>261@gmail.com</t>
  </si>
  <si>
    <t>https://resources.simonelectric.com/simon-ebook-vehiculo-electrico?utm_campaign=SIC%20-%20Veh%C3%ADculo%20El%C3%A9ctrico&amp;utm_medium=email&amp;_hsenc=p2ANqtz-9w-D_BVmgoHEhD0NGdVLAd9UWJoBO21GWm-RrY8p_Bz2MMd1sM1WDlHsccaKyqSSxZcSyf7Esetn29RIc5PNOUA5GUnA&amp;_hsmi=71033675&amp;utm_content=71033675&amp;utm_source=hs_automation&amp;hsCtaTracking=2e94ebfc-d414-4389-870c-d2f266a9420b%7C587ac4dc-a49a-4bdc-b449-e36f5d95395b</t>
  </si>
  <si>
    <t>262@gmail.com</t>
  </si>
  <si>
    <t>https://resources.simonelectric.com/simon-ebook-vehiculo-electrico?utm_campaign=SIC%20-%20Veh%C3%ADculo%20El%C3%A9ctrico&amp;utm_medium=email&amp;_hsenc=p2ANqtz--esOj6NLkoWja7GeDP-WLNaJG8U6bK059ToZAVLiJQJD0ZT4mPsRveI18d0Yb10PXaNU0AI1PVw0k6eHV0LxPwZLgu77bWgTxcja1B-K6xyHc81Q8&amp;_hsmi=71033675&amp;utm_content=71033675&amp;utm_source=hs_automation&amp;hsCtaTracking=2e94ebfc-d414-4389-870c-d2f266a9420b%7C587ac4dc-a49a-4bdc-b449-e36f5d95395b</t>
  </si>
  <si>
    <t>263@sueprat.es</t>
  </si>
  <si>
    <t>264@edaie.com</t>
  </si>
  <si>
    <t>https://resources.simonelectric.com/simon-ebook-vehiculo-electrico?utm_campaign=SIC%20-%20Veh%C3%ADculo%20El%C3%A9ctrico&amp;utm_medium=email&amp;_hsmi=71033675&amp;_hsenc=p2ANqtz-_zG6QpChJ0BgEYZm3SrwIV42S0cvBq_pVS5nGXvMI0tjATy4uyvpUYHnWeav8GnDgdMOl4-a3lJJr9vKkmtaos39z4Pg&amp;utm_content=71033675&amp;utm_source=hs_automation</t>
  </si>
  <si>
    <t>265@gmail.com</t>
  </si>
  <si>
    <t>266@hotmail.es</t>
  </si>
  <si>
    <t>https://resources.simonelectric.com/simon-ebook-vehiculo-electrico?utm_campaign=SIC%20-%20Veh%C3%ADculo%20El%C3%A9ctrico&amp;utm_medium=email&amp;_hsenc=p2ANqtz--5ATqLy7RrwGr7IgNuauVwI54fJ2kUDjeDeHpW7W5KwYi3nHnmSUrPZXv1dPYJPShBdl5axZ3NlWdwF1nLqHMx2QUG2Q&amp;_hsmi=71033675&amp;utm_content=71033675&amp;utm_source=hs_automation&amp;hsCtaTracking=2e94ebfc-d414-4389-870c-d2f266a9420b%7C587ac4dc-a49a-4bdc-b449-e36f5d95395b</t>
  </si>
  <si>
    <t>267@fiberlec.com</t>
  </si>
  <si>
    <t>268@gmail.com</t>
  </si>
  <si>
    <t>https://resources.simonelectric.com/simon-material-formativo-vehiculo-electrico?utm_campaign=SIC%20-%20Veh%C3%ADculo%20El%C3%A9ctrico&amp;utm_medium=email&amp;_hsenc=p2ANqtz-_pwjOObgx6eBbrTl3dJy5aQKf-eYaSBM3IP9J4yC9N4zWOpIFHr9bVfiNHsAJGgSvTunvzvXqzu44PJP8gXLQG0U6meNkRI_Wxr7xHK7p4B-evJhY&amp;_hsmi=89403925&amp;utm_content=89403925&amp;utm_source=hs_email&amp;hsCtaTracking=f8a31ce8-daf1-4d69-a5d6-c3349f3aab91%7C75f9b9fd-a2b2-4ad4-9d4a-0dcb7c99194f</t>
  </si>
  <si>
    <t>269@hotmail.com</t>
  </si>
  <si>
    <t>https://resources.simonelectric.com/simon-ebook-vehiculo-electrico?utm_campaign=SIC%20-%20Veh%C3%ADculo%20El%C3%A9ctrico&amp;utm_medium=email&amp;_hsenc=p2ANqtz-9l3b7leLCYa9wjtz5d6PKov7qxY4liz7B9H-TareeKpCdGbDz0uHYY8VhchCf536uzUrFAiXws4Xvpkc4KVXywgSDmNw_mjYAWQaRv2etaPae_9fo&amp;_hsmi=71033675&amp;utm_content=71033675&amp;utm_source=hs_automation&amp;hsCtaTracking=2e94ebfc-d414-4389-870c-d2f266a9420b%7C587ac4dc-a49a-4bdc-b449-e36f5d95395b</t>
  </si>
  <si>
    <t>270@gmail.com</t>
  </si>
  <si>
    <t>https://resources.simonelectric.com/simon-ebook-vehiculo-electrico?utm_campaign=SIC%20-%20Veh%C3%ADculo%20El%C3%A9ctrico&amp;utm_medium=email&amp;_hsenc=p2ANqtz-_YupGhp9K4ucZTizafTluc0JKQt-vgvy67Sgv0d_UDf6zh97gtAOuK228n-LTq0N9dICP7jHtyPzTIBJpbe0_5TqISKw&amp;_hsmi=71033675&amp;utm_content=71033675&amp;utm_source=hs_automation&amp;hsCtaTracking=2e94ebfc-d414-4389-870c-d2f266a9420b%7C587ac4dc-a49a-4bdc-b449-e36f5d95395b</t>
  </si>
  <si>
    <t>271@pkcgroup.com</t>
  </si>
  <si>
    <t>https://resources.simonelectric.com/simon-ebook-vehiculo-electrico?utm_campaign=SIC%20-%20Veh%C3%ADculo%20El%C3%A9ctrico&amp;utm_medium=email&amp;_hsenc=p2ANqtz-_3wQJ8wCDAkUtaesepfBxUtwxi7iLZinvdE0mgQIrFl56XCnQ-kYPXc_DAbLJ37ofSeG7RFQNi4t7tBBlrbs_BQ0PLkw&amp;_hsmi=71033675&amp;utm_content=71033675&amp;utm_source=hs_automation&amp;hsCtaTracking=2e94ebfc-d414-4389-870c-d2f266a9420b%7C587ac4dc-a49a-4bdc-b449-e36f5d95395b</t>
  </si>
  <si>
    <t>272@gmail.com</t>
  </si>
  <si>
    <t>273@gmail.com</t>
  </si>
  <si>
    <t>https://resources.simonelectric.com/simon-ebook-vehiculo-electrico?utm_campaign=SIC%20-%20Veh%C3%ADculo%20El%C3%A9ctrico&amp;utm_medium=email&amp;_hsenc=p2ANqtz--k3-qf3kSFZId4BKoBaiMYHf-geh_nVdlQ0hl34gybQZqXQDBcRX4KDZ_pASsyNmvKVrb75BE2ucJ-ydkfgGZshLtUIg&amp;_hsmi=71033675&amp;utm_content=71033675&amp;utm_source=hs_automation&amp;hsCtaTracking=2e94ebfc-d414-4389-870c-d2f266a9420b%7C587ac4dc-a49a-4bdc-b449-e36f5d95395b</t>
  </si>
  <si>
    <t>274@movistar.es</t>
  </si>
  <si>
    <t>https://resources.simonelectric.com/simon-ebook-vehiculo-electrico?utm_campaign=SIC%20-%20Veh%C3%ADculo%20El%C3%A9ctrico&amp;utm_medium=email&amp;_hsmi=71033675&amp;_hsenc=p2ANqtz-9zYyiAKAZKIm9hy_bd7nIkFt-Uvz7OXmo-62IoeiC3AjU4YHHs30UyG60f4VKX-HBJ-1Xt8EAYMNH5BuRDw0uAUuHHXQ&amp;utm_content=71033675&amp;utm_source=hs_automation</t>
  </si>
  <si>
    <t>275@aransa.com</t>
  </si>
  <si>
    <t>276@gmail.com</t>
  </si>
  <si>
    <t>https://resources.simonelectric.com/simon-ebook-vehiculo-electrico?utm_campaign=SIC%20-%20Veh%C3%ADculo%20El%C3%A9ctrico&amp;utm_medium=email&amp;_hsenc=p2ANqtz-8W8JsgQ84FYDxjEoYqTXeKSQhTvBlGI8k3A8ivD0NVv6z816LE5aRwWE3UBAtTu9z8uCYZ2fFGy-i3RoppEVXCkeg8rA&amp;_hsmi=71033675&amp;utm_content=71033675&amp;utm_source=hs_automation&amp;hsCtaTracking=2e94ebfc-d414-4389-870c-d2f266a9420b%7C587ac4dc-a49a-4bdc-b449-e36f5d95395b</t>
  </si>
  <si>
    <t>https://resources.simonelectric.com/simon-ebook-vehiculo-electrico?utm_campaign=SIC%20-%20Veh%C3%ADculo%20El%C3%A9ctrico&amp;utm_medium=email&amp;_hsmi=71033675&amp;_hsenc=p2ANqtz-9FuCidgVKDzfDt55rdU7DzTvOMUXltF6dAW57H31pUj-h3RNRWuF82bkSlQ59ffOUw5ECrmNMPDG2ivRuv-CiLiPcRjw&amp;utm_content=71033675&amp;utm_source=hs_automation</t>
  </si>
  <si>
    <t>277@fcc.es</t>
  </si>
  <si>
    <t>https://resources.simonelectric.com/simon-ebook-vehiculo-electrico?utm_campaign=SIC%20-%20Veh%C3%ADculo%20El%C3%A9ctrico&amp;utm_medium=email&amp;_hsmi=71033675&amp;_hsenc=p2ANqtz-_-EkgtodPNXZjKvXM1ToecX3IGMv6sIUoPIVAz0ugFDiKfn_pMQu1_wtsAajK4nCDqivft35-QXN32U-h7IXJC0wMkRw&amp;utm_content=71033675&amp;utm_source=hs_automation</t>
  </si>
  <si>
    <t>278@urbaser.com</t>
  </si>
  <si>
    <t>https://resources.simonelectric.com/simon-material-formativo-vehiculo-electrico?utm_campaign=SIC%20-%20Veh%C3%ADculo%20El%C3%A9ctrico&amp;utm_medium=email&amp;_hsenc=p2ANqtz--WUoPE1jRsjTD_luD--t-dseSRoKjcYvyPBoLVv8GNKmj_vy1BLb2FjUg_IA0fucSANM0bru-P9jhihrTNJ7ETZid0dg&amp;_hsmi=89403925&amp;utm_content=89403925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</si>
  <si>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mi=89403925&amp;_hsenc=p2ANqtz-9hOSYRxW7-a8n1KhWcxdUMJa0GoZhKI5IRkKYmWd7vO87YOkxhMqUBHqvR_Bnbx3lT4zeyGXppUAxFGLFH__d6_wWSrw&amp;utm_content=89403925&amp;utm_source=hs_email</t>
  </si>
  <si>
    <t>279@vazquezconsuegra.com</t>
  </si>
  <si>
    <t>https://resources.simonelectric.com/simon-ebook-vehiculo-electrico?utm_campaign=SIC%20-%20Veh%C3%ADculo%20El%C3%A9ctrico&amp;utm_medium=email&amp;_hsenc=p2ANqtz--1rcN3zrzCiMqWcGIdM3i5a72yWuWyt-3WmQ_J21W3YRqsqGCTXLZpJHnmqFKBGiyaR0CvYQUdrl0o4aRzyl03rtXOSJfir7YRvRL32tT3E6OJZLs&amp;_hsmi=71033675&amp;utm_content=71033675&amp;utm_source=hs_automation&amp;hsCtaTracking=2e94ebfc-d414-4389-870c-d2f266a9420b%7C587ac4dc-a49a-4bdc-b449-e36f5d95395b</t>
  </si>
  <si>
    <t>280@susaeta.net</t>
  </si>
  <si>
    <t>https://resources.simonelectric.com/simon-ebook-vehiculo-electrico?utm_campaign=SIC%20-%20Veh%C3%ADculo%20El%C3%A9ctrico&amp;utm_medium=email&amp;_hsmi=71033675&amp;_hsenc=p2ANqtz-9bZMhvBLsdAIvbcuraXHsGg-g47UgPXUc0a_1y6IOvuiXubpk0VOSZY3krPp8axUjDEbTH89NODNZigihf3NXubKTbbg&amp;utm_content=71033675&amp;utm_source=hs_automation</t>
  </si>
  <si>
    <t>281@montajescastellon.com</t>
  </si>
  <si>
    <t>https://resources.simonelectric.com/simon-ebook-vehiculo-electrico?utm_campaign=SIC%20-%20Veh%C3%ADculo%20El%C3%A9ctrico&amp;utm_medium=email&amp;_hsmi=71033675&amp;_hsenc=p2ANqtz-9IVTERC9wwpxoFGphA5olYTYgtdeAHfkA0VlvtpHaUx5lGoH76YMipPbxY1e9zTookcXn-Z8u_xSo_a-thExKgjp25mPHugE02SedyOFj0FvruPV8&amp;utm_content=71033675&amp;utm_source=hs_automation</t>
  </si>
  <si>
    <t>282@comsa.com</t>
  </si>
  <si>
    <t>https://resources.simonelectric.com/simon-ebook-vehiculo-electrico?utm_campaign=SIC%20-%20Veh%C3%ADculo%20El%C3%A9ctrico&amp;utm_medium=email&amp;_hsmi=71033675&amp;_hsenc=p2ANqtz--R2KZ1y11XWg5PHFCqji5QTMtDgn1iI193OHPo5EcwhpGz4XVHRBPj6VVkEueygFf-8L-CDvGFtrvorkMjvnoc4p6qnQ&amp;utm_content=71033675&amp;utm_source=hs_automation</t>
  </si>
  <si>
    <t>283@occidentalhotels.com</t>
  </si>
  <si>
    <t>https://resources.simonelectric.com/simon-ebook-vehiculo-electrico?utm_campaign=SIC%20-%20Veh%C3%ADculo%20El%C3%A9ctrico&amp;utm_medium=email&amp;_hsmi=71033675&amp;_hsenc=p2ANqtz-8rkvAUBohYvR947KFrR_l6htzgC9diHHZ1YTOUH0PY8pW7zoo1tLLcRo3Lzm7UvgBlrL4eqYX06cuYGPLAIRS7nK2m0mkCUEi9VfUi6Z2OHec072Y&amp;utm_content=71033675&amp;utm_source=hs_automation</t>
  </si>
  <si>
    <t>284@telman.es</t>
  </si>
  <si>
    <t>285@hotmail.com</t>
  </si>
  <si>
    <t>https://resources.simonelectric.com/simon-ebook-vehiculo-electrico?utm_campaign=SIC%20-%20Veh%C3%ADculo%20El%C3%A9ctrico&amp;utm_medium=email&amp;_hsenc=p2ANqtz-8XL2HE3Csi0xpcje-yjbSgfTQMpYe3Uqm7S-1bCYb6OKFgUXmCq5yk8Zr7cfqfb7pTO_sP10mpzpk7LISrKYJn7jg6JFhEGHQqNBrk-YiNsol-XS4&amp;_hsmi=71033675&amp;utm_content=71033675&amp;utm_source=hs_automation&amp;hsCtaTracking=2e94ebfc-d414-4389-870c-d2f266a9420b%7C587ac4dc-a49a-4bdc-b449-e36f5d95395b</t>
  </si>
  <si>
    <t>286@icaluz.com</t>
  </si>
  <si>
    <t>https://resources.simonelectric.com/simon-ebook-vehiculo-electrico?utm_campaign=SIC%20-%20Veh%C3%ADculo%20El%C3%A9ctrico&amp;utm_medium=email&amp;_hsenc=p2ANqtz-9LISk-yrBOhDYat3I1b77K_65DB0ul4uyVtF4gtve4pbvZvJaNPKd5j9hemdL4B3ARin-1ef3rdcDJpA-_sXqVoG5gIg&amp;_hsmi=71033675&amp;utm_content=71033675&amp;utm_source=hs_automation&amp;hsCtaTracking=2e94ebfc-d414-4389-870c-d2f266a9420b%7C587ac4dc-a49a-4bdc-b449-e36f5d95395b</t>
  </si>
  <si>
    <t>287@parcdesalutmar.cat</t>
  </si>
  <si>
    <t>https://resources.simonelectric.com/simon-ebook-vehiculo-electrico?utm_campaign=SIC%20-%20Veh%C3%ADculo%20El%C3%A9ctrico&amp;utm_medium=email&amp;_hsenc=p2ANqtz-9B09MNZaXmT0TZEiHilG2yCJRDyilkH5sPoFgrrXTeVaCXZgCKjqNoaDCZb6wOETKI9A-LcpJPtSUU-4M8NIhMhFTBBgXW2hXuxUh4ysNXZeZs9-0&amp;_hsmi=71033675&amp;utm_content=71033675&amp;utm_source=hs_automation&amp;hsCtaTracking=2e94ebfc-d414-4389-870c-d2f266a9420b%7C587ac4dc-a49a-4bdc-b449-e36f5d95395b</t>
  </si>
  <si>
    <t>288@fcc.es</t>
  </si>
  <si>
    <t>https://resources.simonelectric.com/simon-ebook-vehiculo-electrico?utm_campaign=SIC%20-%20Veh%C3%ADculo%20El%C3%A9ctrico&amp;utm_medium=email&amp;_hsenc=p2ANqtz--J7uDo1yX-bVxXEHms-AYVq9bTqg1zDxSjGWHWcHkC9zk8HN7wRXgaaoeY3Qtro7ooLQ7jrV-OMsU6t5TRvyMdKpVvdQ&amp;_hsmi=71033675&amp;utm_content=71033675&amp;utm_source=hs_automation&amp;hsCtaTracking=2e94ebfc-d414-4389-870c-d2f266a9420b%7C587ac4dc-a49a-4bdc-b449-e36f5d95395b</t>
  </si>
  <si>
    <t>289@gmail.com</t>
  </si>
  <si>
    <t>https://resources.simonelectric.com/simon-material-formativo-vehiculo-electrico?utm_campaign=SIC%20-%20Veh%C3%ADculo%20El%C3%A9ctrico&amp;utm_medium=email&amp;_hsenc=p2ANqtz--EocdgJLkJ37VmKlIJlzILYM6ywheDIvSP6RxLNrCzCL5wI0PT9jC1ETnIuTojvfnCbYVwsR1YgtsLiqsm6u7Lz73pfg&amp;_hsmi=89403925&amp;utm_content=89403925&amp;utm_source=hs_email&amp;hsCtaTracking=f8a31ce8-daf1-4d69-a5d6-c3349f3aab91%7C75f9b9fd-a2b2-4ad4-9d4a-0dcb7c99194f</t>
  </si>
  <si>
    <t>290@msn.com</t>
  </si>
  <si>
    <t>https://resources.simonelectric.com/simon-ebook-vehiculo-electrico?utm_referrer=https%3A%2F%2Fwww.simonelectric.com%2Fblog%2Fcargador-del-vehiculo-electrico-y-transicion-la-movilidad-electrica%3Futm_campaign%3DSIC%2520-%2520Blog%2520digest%26utm_medium%3Demail%26_hsmi%3D88911100%26_hsenc%3Dp2ANqtz-8YK8-V4uEhatxB1TOCpuE8uHYxQgcs3Pc8aEaIdBF1JeuyY7yD7RtKYWYeBCrPTbHDnfQ6b9a1G718jVj2dLHS9pS9eA%26utm_content%3D88911100%26utm_source%3Dhs_email</t>
  </si>
  <si>
    <t>https://resources.simonelectric.com/simon-material-formativo-vehiculo-electrico?utm_campaign=SIC%20-%20Veh%C3%ADculo%20El%C3%A9ctrico&amp;utm_medium=email&amp;_hsenc=p2ANqtz--fbe1FysoXvQdK_vVJhN5c1cMlAbNt7tIdh2xXJYPkd7Q2MMLnYZtiLcYsM3IgaipmK9eo1CA51iil4l06PGNG_DtXpA&amp;_hsmi=89403925&amp;utm_content=89403925&amp;utm_source=hs_email&amp;hsCtaTracking=f8a31ce8-daf1-4d69-a5d6-c3349f3aab91%7C75f9b9fd-a2b2-4ad4-9d4a-0dcb7c99194f</t>
  </si>
  <si>
    <t>291@yahoo.es</t>
  </si>
  <si>
    <t>https://resources.simonelectric.com/simon-ebook-vehiculo-electrico-0?gclid=EAIaIQobChMI6qHb1rL_6QIVQAUGAB38lAm6EAEYASAAEgKEEfD_BwE</t>
  </si>
  <si>
    <t>292@espe.edu.ec</t>
  </si>
  <si>
    <t>293@hotmail.com</t>
  </si>
  <si>
    <t>294@lumial.es</t>
  </si>
  <si>
    <t>https://resources.simonelectric.com/simon-material-formativo-vehiculo-electrico?utm_campaign=SIC%20-%20Veh%C3%ADculo%20El%C3%A9ctrico&amp;utm_source=hs_email&amp;utm_medium=email&amp;utm_content=88328407&amp;_hsenc=p2ANqtz-9DmcT_iH2yd58Bi8ZdtSh2adtEojwGnyzfgV9kBTU9BSWRoJkSacCUNViy5HAdFmBROeptkTFoUP_9aklttT_uuHyp0Q&amp;_hsmi=88328232</t>
  </si>
  <si>
    <t>295@gmail.com</t>
  </si>
  <si>
    <t>https://resources.simonelectric.com/simon-material-formativo-vehiculo-electrico?utm_campaign=SIC%20-%20Veh%C3%ADculo%20El%C3%A9ctrico&amp;utm_medium=email&amp;_hsmi=89403925&amp;_hsenc=p2ANqtz-_toWbKrkvjDXz5EhQ9UbabmOSNEUZkqeJbnvuhoZyNnu0MZmjBUIkT6GTLdiuWtk4TBkv6VJDLEXMAjXkmalqfvcIq4w&amp;utm_content=89403925&amp;utm_source=hs_email</t>
  </si>
  <si>
    <t>296@gmail.com</t>
  </si>
  <si>
    <t>https://resources.simonelectric.com/simon-material-formativo-vehiculo-electrico?utm_campaign=SIC%20-%20Veh%C3%ADculo%20El%C3%A9ctrico&amp;utm_medium=email&amp;_hsenc=p2ANqtz--Rfl-5FEOkeg1uHUzRVzSO0DAsOmh2Kw1c6wFdHqc8A6E9EtUngqp1gN8hSIANiKWSrJgLCwXNwCs-MtWbnhETijCgvQ&amp;_hsmi=89403925&amp;utm_content=89403925&amp;utm_source=hs_email&amp;hsCtaTracking=f8a31ce8-daf1-4d69-a5d6-c3349f3aab91%7C75f9b9fd-a2b2-4ad4-9d4a-0dcb7c99194f</t>
  </si>
  <si>
    <t>297@hotmail.com</t>
  </si>
  <si>
    <t>https://resources.simonelectric.com/simon-material-formativo-vehiculo-electrico?utm_campaign=SIC%20-%20Veh%C3%ADculo%20El%C3%A9ctrico&amp;utm_medium=email&amp;_hsenc=p2ANqtz-8UZvAvpmfWwYOWjDUETIT1pQFSbNxhE0En0BCezlLdeltfgzDZmCJugaklm7oHTwTblxtWQ3dWPDJ6xWnC5pzQVuu5c8vvgveJ2K6gq6HJYZaxDHk&amp;_hsmi=89403925&amp;utm_content=89403925&amp;utm_source=hs_email&amp;hsCtaTracking=f8a31ce8-daf1-4d69-a5d6-c3349f3aab91%7C75f9b9fd-a2b2-4ad4-9d4a-0dcb7c99194f</t>
  </si>
  <si>
    <t>298@ibielectric.com</t>
  </si>
  <si>
    <t>https://resources.simonelectric.com/simon-material-formativo-vehiculo-electrico?utm_campaign=SIC%20-%20Veh%C3%ADculo%20El%C3%A9ctrico&amp;utm_medium=email&amp;_hsmi=89403925&amp;_hsenc=p2ANqtz--qgAjGnGW7X9-P9tGPdE04XZSno9asnA3jtMjUNlCAZA5f08p4G9xZnsCUTIMqWXuXY1pIegFiTY2PSTBQHSDsxdu4Fg&amp;utm_content=89403925&amp;utm_source=hs_email</t>
  </si>
  <si>
    <t>https://resources.simonelectric.com/simon-material-formativo-vehiculo-electrico?utm_campaign=SIC%20-%20Veh%C3%ADculo%20El%C3%A9ctrico&amp;utm_medium=email&amp;_hsmi=89403925&amp;_hsenc=p2ANqtz-8o56G7rDbbzSHSIN7AnlELvtPzGzjMrkj7R1iMZcXU-n8M6jHTr-DS8UKpwhcD9D5F05DOkGaHbkonlCqtKokNySndOgo38ZqLl5ivJzls2OEsyfQ&amp;utm_content=89403925&amp;utm_source=hs_email</t>
  </si>
  <si>
    <t>299@vimasol.es</t>
  </si>
  <si>
    <t>https://resources.simonelectric.com/simon-material-formativo-vehiculo-electrico?utm_campaign=SIC%20-%20Veh%C3%ADculo%20El%C3%A9ctrico&amp;utm_medium=email&amp;_hsenc=p2ANqtz-8M82H2Zg8BVYgrbQvMtzhDcbfFfNRVCAXmRF8i0G_jS-hbyESoySo32CywG2yKJROyITaiSxUslkmY6zM8LT1rJNqW8g&amp;_hsmi=89403925&amp;utm_content=89403925&amp;utm_source=hs_email&amp;hsCtaTracking=f8a31ce8-daf1-4d69-a5d6-c3349f3aab91%7C75f9b9fd-a2b2-4ad4-9d4a-0dcb7c99194f</t>
  </si>
  <si>
    <t>300@vimasol.es</t>
  </si>
  <si>
    <t>https://resources.simonelectric.com/simon-material-formativo-vehiculo-electrico?utm_campaign=SIC%20-%20Veh%C3%ADculo%20El%C3%A9ctrico&amp;utm_medium=email&amp;_hsenc=p2ANqtz-_VM-yxvFyhFqJLnRkbiGTQ15ZQ2_ayP6aujcEKcu4o3rGnRBP67fHfQ_z2LjRYQd3wBugukZkPzu3kiWMcKCS7Gzl7Og&amp;_hsmi=89403925&amp;utm_content=89403925&amp;utm_source=hs_email&amp;hsCtaTracking=f8a31ce8-daf1-4d69-a5d6-c3349f3aab91%7C75f9b9fd-a2b2-4ad4-9d4a-0dcb7c99194f</t>
  </si>
  <si>
    <t>301@vimasol.es</t>
  </si>
  <si>
    <t>https://resources.simonelectric.com/simon-material-formativo-vehiculo-electrico?utm_campaign=SIC%20-%20Veh%C3%ADculo%20El%C3%A9ctrico&amp;utm_medium=email&amp;_hsenc=p2ANqtz-8jxCjzpR4LO42lFsKgKnM_sAaVp2PUYosfnFIxLVKuVTwtqFQHXRlzWgQ_OhVO8wqYQyXRSVZOx-gm-DhkWpC7p3bAAg&amp;_hsmi=89403925&amp;utm_content=89403925&amp;utm_source=hs_email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</si>
  <si>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mi=89403925&amp;_hsenc=p2ANqtz-8F3aB16R2Gqv91syWs72iUjZNVxIS50b4FQMA_kIpwJ9h5kUJ7poU8Qvw85umfApFfvlOmdJbH0OOP2vno7rDlyLGDQg&amp;utm_content=89403925&amp;utm_source=hs_email</t>
  </si>
  <si>
    <t>302@loalnet.com</t>
  </si>
  <si>
    <t>303@simon.es</t>
  </si>
  <si>
    <t>304@simon.es</t>
  </si>
  <si>
    <t>305@wanadoo.es</t>
  </si>
  <si>
    <t>https://resources.simonelectric.com/simon-ebook-vehiculo-electrico?utm_referrer=https%3A%2F%2Fwww.simonelectric.com%2Fblog%2Fsoluciones-de-optimizacion-energetica-y-balanceo-de-cargas-vehiculo-electrico</t>
  </si>
  <si>
    <t>306@gmail.com</t>
  </si>
  <si>
    <t>https://resources.simonelectric.com/simon-catalogo-vehiculo-electrico?__hstc=83084745.2aebad260346651c6e172e36d6291b2e.1580144743161.1591808824084.1591814162569.4&amp;__hssc=83084745.4.1591814162569&amp;__hsfp=768190205</t>
  </si>
  <si>
    <t>307@yahoo.es</t>
  </si>
  <si>
    <t>https://resources.simonelectric.com/simon-ebook-vehiculo-electrico?utm_referrer=https%3A%2F%2Fwww.simonelectric.com%2F</t>
  </si>
  <si>
    <t>308@rexel.es</t>
  </si>
  <si>
    <t>https://resources.simonelectric.com/simon-catalogo-vehiculo-electrico?__hstc=83084745.8178c6114a6a4fbf8b6512f0d25bb671.1588243303896.1588243303896.1591770133490.2&amp;__hssc=83084745.6.1591770133490&amp;__hsfp=3167385607</t>
  </si>
  <si>
    <t>309@hotmail.com</t>
  </si>
  <si>
    <t>310@outlook.com</t>
  </si>
  <si>
    <t>311@tresa.volkswagen.es</t>
  </si>
  <si>
    <t>https://resources.simonelectric.com/simon-catalogo-vehiculo-electrico?__hstc=83084745.10def612c5d78fbcaa785aab760bba67.1591715297885.1591715297885.1591719630590.2&amp;__hssc=83084745.5.1591719630590&amp;__hsfp=3167385607</t>
  </si>
  <si>
    <t>312@telefonica.net</t>
  </si>
  <si>
    <t>313@inelbo.eiffage.es</t>
  </si>
  <si>
    <t>https://resources.simonelectric.com/simon-material-formativo-vehiculo-electrico?utm_campaign=SIC%20-%20Veh%C3%ADculo%20El%C3%A9ctrico&amp;utm_source=hs_email&amp;utm_medium=email&amp;utm_content=88328407&amp;_hsenc=p2ANqtz--PCDhFOlV6IECEEAEgZihVg43PU-IkXQxNusbYM0Da-7oLR8WVfD4hejwtue3tBtT82kZ8BxJlP2TpkojhAjghqCf3Qg&amp;_hsmi=88328232</t>
  </si>
  <si>
    <t>314@bitrir.es</t>
  </si>
  <si>
    <t>315@bongrup.es</t>
  </si>
  <si>
    <t>316@aymesa.com</t>
  </si>
  <si>
    <t>https://resources.simonelectric.com/simon-catalogo-vehiculo-electrico?__hstc=83084745.64dcfb75de4d81f4bc34c8ede502b4c6.1591682335740.1591682335740.1591685915952.2&amp;__hssc=83084745.9.1591685915952&amp;__hsfp=2720249029</t>
  </si>
  <si>
    <t>317@portsdebalears.com</t>
  </si>
  <si>
    <t>318@gmail.com</t>
  </si>
  <si>
    <t>319@gmail.com</t>
  </si>
  <si>
    <t>320@gmail.com</t>
  </si>
  <si>
    <t>https://resources.simonelectric.com/simon-ebook-vehiculo-electrico-0?gclid=Cj0KCQjw_ez2BRCyARIsAJfg-kuRfj67MVwj9oscjal12hQ8M9hsEYKMoAFE489Hu8JPdlKezlqu_sYaAl7zEALw_wcB</t>
  </si>
  <si>
    <t>321@gmail.com</t>
  </si>
  <si>
    <t>322@rutronik.com</t>
  </si>
  <si>
    <t>323@hotmail.com</t>
  </si>
  <si>
    <t>324@onsaze.es</t>
  </si>
  <si>
    <t>https://resources.simonelectric.com/simon-catalogo-vehiculo-electrico?__hstc=83084745.92bda4c87a60a5b28006fdc933d6b12f.1591608394060.1591608394060.1591608394060.1&amp;__hssc=83084745.2.1591608394061&amp;__hsfp=3167385607</t>
  </si>
  <si>
    <t>325@sonepar.es</t>
  </si>
  <si>
    <t>https://resources.simonelectric.com/simon-ebook-vehiculo-electrico?utm_campaign=SIC%20-%20Veh%C3%ADculo%20El%C3%A9ctrico&amp;utm_medium=email&amp;_hsenc=p2ANqtz-_PA-RF8cheoethMCYa411zW6jo7L1KgEkPGSC6A7ztK_4NDzHdWIdenpM5K3vmyszHgZJwn5qkv9l34JmpVmDAIU69VA&amp;_hsmi=71033675&amp;utm_content=71033675&amp;utm_source=hs_automation&amp;hsCtaTracking=2e94ebfc-d414-4389-870c-d2f266a9420b%7C587ac4dc-a49a-4bdc-b449-e36f5d95395b</t>
  </si>
  <si>
    <t>326@gmail.com</t>
  </si>
  <si>
    <t>https://resources.simonelectric.com/simon-catalogo-vehiculo-electrico?utm_campaign=SIC%20-%20Veh%C3%ADculo%20El%C3%A9ctrico&amp;utm_medium=email&amp;_hsmi=71034014&amp;_hsenc=p2ANqtz-_5CntvIZlXiV1sIGiicJFGui4LccaTanN_KhallkL4H-UUhJzwaJwBt_zWCIS-qO1ATaPazl3vn6mCE5HDYr_rJhOWNg&amp;utm_content=71034014&amp;utm_source=hs_automation</t>
  </si>
  <si>
    <t>327@romovi.com</t>
  </si>
  <si>
    <t>328@siemens.com</t>
  </si>
  <si>
    <t>329@covama.es</t>
  </si>
  <si>
    <t>330@hotmail.com</t>
  </si>
  <si>
    <t>331@gmail.com</t>
  </si>
  <si>
    <t>https://resources.simonelectric.com/simon-catalogo-vehiculo-electrico?utm_campaign=SIC%20-%20Veh%C3%ADculo%20El%C3%A9ctrico&amp;utm_medium=email&amp;_hsenc=p2ANqtz-8i-nVTGGGCH6XKE0BXuSXs2KIpPlfk7eoJqse5wOJgsi3RextgT8-Y0r0HKksw8ffkByop&amp;_hsmi=87085302&amp;utm_content=87085302&amp;utm_source=hs_email&amp;hsCtaTracking=6fedf137-fd90-4f17-bfb4-d61f710ec7f8%7Cf2771843-6636-4969-9010-2d8d0389b89c</t>
  </si>
  <si>
    <t>332@gmail.com</t>
  </si>
  <si>
    <t>https://resources.simonelectric.com/simon-ebook-vehiculo-electrico-0?gclid=EAIaIQobChMI_e6vlM_s6QIVCtzeCh1GyQKaEAEYASAAEgLpyPD_BwE</t>
  </si>
  <si>
    <t>333@jbizcocho.es</t>
  </si>
  <si>
    <t>https://resources.simonelectric.com/simon-ebook-vehiculo-electrico-0?gclid=Cj0KCQjwoPL2BRDxARIsAEMm9y-EYKkTMHFHDTYFgzakVWUT106Tm5FVWO5xRLm-mEs_F0CgshOS0loaAh4DEALw_wcB</t>
  </si>
  <si>
    <t>334@mixmail.com</t>
  </si>
  <si>
    <t>https://resources.simonelectric.com/simon-catalogo-vehiculo-electrico?utm_campaign=SIC%20-%20Veh%C3%ADculo%20El%C3%A9ctrico&amp;utm_source=hs_automation&amp;utm_medium=email&amp;utm_content=71034014&amp;_hsenc=p2ANqtz--2gnv60m8ITiRWjJWQa3iCXnWgZWsbASCcUX8ZYYQHanuqvcpdqPYgplzwVHDxFunvwWVde5K0l_0ygAmCbUUF6gZDBw&amp;_hsmi=71034014</t>
  </si>
  <si>
    <t>335@faepac.org</t>
  </si>
  <si>
    <t>https://resources.simonelectric.com/simon-catalogo-vehiculo-electrico?utm_campaign=SIC%20-%20Veh%C3%ADculo%20El%C3%A9ctrico&amp;utm_medium=email&amp;_hsmi=71034014&amp;_hsenc=p2ANqtz-_OD4zEABh32SQRw8AK-iY2Vk1zQv-4vFoi99YfMjCxlwoktnM1t8qAY5RVMRwUKn4B1LwEFO7OwOa_bW2N2IIW_-S3sA&amp;utm_content=71034014&amp;utm_source=hs_automation</t>
  </si>
  <si>
    <t>336@gmail.com</t>
  </si>
  <si>
    <t>https://resources.simonelectric.com/simon-ebook-vehiculo-electrico-0?gclid=Cj0KCQjw_ez2BRCyARIsAJfg-kuODlKa-hwHNXeFAcehrHUtNbqiY9_EUEKTMFQWmZsdCbzGaI0DWG8aAiqxEALw_wcB</t>
  </si>
  <si>
    <t>337@gmail.com</t>
  </si>
  <si>
    <t>338@u220.es</t>
  </si>
  <si>
    <t>339@emiliocueto.com</t>
  </si>
  <si>
    <t>340@bizkaia.eu</t>
  </si>
  <si>
    <t>341@enchufesolar.com</t>
  </si>
  <si>
    <t>342@idesa.pro</t>
  </si>
  <si>
    <t>https://resources.simonelectric.com/simon-ebook-vehiculo-electrico-0?gclid=CjwKCAjw2uf2BRBpEiwA31VZjwNESO6dt4RgYqy1uYUlPqX5lUEGMPglyAiP2_vYu3WnQrFdvKwe7BoCvjAQAvD_BwE</t>
  </si>
  <si>
    <t>343@gmail.com</t>
  </si>
  <si>
    <t>344@hotmail.com</t>
  </si>
  <si>
    <t>https://resources.simonelectric.com/simon-ebook-vehiculo-electrico?utm_referrer=https%3A%2F%2Fwww.simonelectric.com%2Fblog%2Finstalacion-de-un-punto-de-recarga-para-un-coche-electrico%3Futm_campaign%3DSIC%2520-%2520Veh%25C3%25ADculo%2520El%25C3%25A9ctrico%26utm_medium%3Demail%26_hsmi%3D71034014%26_hsenc%3Dp2ANqtz-_o0gb7XHiUpG31XfTbLMIlSUmcgOujhYGVkY0kp5QfJ4f__mApk8Rb4l2X4M_f9FZgwxncux3rvRid1FvDfU3WdWob1g%26utm_content%3D71034014%26utm_source%3Dhs_automation</t>
  </si>
  <si>
    <t>345@enerwatt.es</t>
  </si>
  <si>
    <t>346@gmail.com</t>
  </si>
  <si>
    <t>347@engie.com</t>
  </si>
  <si>
    <t>https://resources.simonelectric.com/simon-catalogo-vehiculo-electrico?utm_campaign=SIC%20-%20Veh%C3%ADculo%20El%C3%A9ctrico&amp;utm_medium=email&amp;_hsmi=71034014&amp;_hsenc=p2ANqtz--Q_RRFBtF-5teoHLHoHGn6dji9zT03lVZvYA1U2NjsuiuuoBVyuq_ibia1qDXGmeWDkXPUgKmHwimc4SmDzi1YqmCIDA&amp;utm_content=71034014&amp;utm_source=hs_automation</t>
  </si>
  <si>
    <t>348@telefonica.net</t>
  </si>
  <si>
    <t>349@dipualba.es</t>
  </si>
  <si>
    <t>350@talleresloam.com</t>
  </si>
  <si>
    <t>351@cochele.com</t>
  </si>
  <si>
    <t>https://resources.simonelectric.com/simon-catalogo-vehiculo-electrico?utm_campaign=SIC%20-%20Veh%C3%ADculo%20El%C3%A9ctrico&amp;utm_medium=email&amp;_hsmi=71034014&amp;_hsenc=p2ANqtz-98-GIFUS5kTffIrGOTH6R1Ka8cS4L6UF-z5519K6QM3BYJqoqcdsthzA3tZm0mCNHLmBJcfInkFPF3e9K2QxtHow2Ymw&amp;utm_content=71034014&amp;utm_source=hs_automation</t>
  </si>
  <si>
    <t>352@live.com.mx</t>
  </si>
  <si>
    <t>https://resources.simonelectric.com/simon-material-formativo-vehiculo-electrico?utm_campaign=SIC%20-%20Veh%C3%ADculo%20El%C3%A9ctrico&amp;utm_source=hs_email&amp;utm_medium=email&amp;utm_content=88328407&amp;_hsenc=p2ANqtz-_MpmDCt0EFTQwPNDo3DpZnV-9Q70lk1oh1YEBxsJA3ucvny7iVEvu7RloSyusPOwBCFlBZ4G9VSGi-2Ps0kjHuYAiRMA&amp;_hsmi=88328232</t>
  </si>
  <si>
    <t>353@industrialgines.com</t>
  </si>
  <si>
    <t>https://resources.simonelectric.com/simon-catalogo-vehiculo-electrico?__hstc=83084745.6966fb4454c20689d8709876280cf12c.1577979664067.1591168468118.1591342848118.29&amp;__hssc=83084745.19.1591342848118&amp;__hsfp=3167385607</t>
  </si>
  <si>
    <t>354@gmail.com</t>
  </si>
  <si>
    <t>https://resources.simonelectric.com/simon-material-formativo-vehiculo-electrico?utm_campaign=SIC%20-%20Veh%C3%ADculo%20El%C3%A9ctrico&amp;utm_medium=email&amp;_hsenc=p2ANqtz-9ATcwBI1upSxYUWGLcpeg2WMACUdCUIlBhdXbiXiD21q6a0iduiGEOP3IVJUJQwzct0Nzo3eESGdT6bBKDP8I7hXVwzA&amp;_hsmi=88328232&amp;utm_source=hs_email&amp;utm_content=88328407&amp;hsCtaTracking=f8a31ce8-daf1-4d69-a5d6-c3349f3aab91%7C75f9b9fd-a2b2-4ad4-9d4a-0dcb7c99194f</t>
  </si>
  <si>
    <t>355@gmail.com</t>
  </si>
  <si>
    <t>https://resources.simonelectric.com/simon-catalogo-vehiculo-electrico?utm_campaign=SIC%20-%20Veh%C3%ADculo%20El%C3%A9ctrico&amp;utm_medium=email&amp;_hsmi=71034014&amp;_hsenc=p2ANqtz-_eJ1XcRi0UguM5byGvxwisEC3j3s07gUTCMEzRYAa_NIsnqE41ZBTb1embfUbCwOdBYOL3SbbkjwRftWYufVhNSKQ9kg&amp;utm_content=71034014&amp;utm_source=hs_automation</t>
  </si>
  <si>
    <t>356@hotmail.com</t>
  </si>
  <si>
    <t>357@cesvimap.com</t>
  </si>
  <si>
    <t>https://resources.simonelectric.com/simon-catalogo-vehiculo-electrico?utm_campaign=SIC%20-%20Veh%C3%ADculo%20El%C3%A9ctrico&amp;utm_medium=email&amp;_hsmi=71034014&amp;_hsenc=p2ANqtz---mC2qrfsN8j4TdNAKAuZUmJ5LBRhePeEdMQBjKqq_V3DZts16q9VbO6BbAz7zZmmHSxGnxmcywoucFLfWu3qr3ZLxUg&amp;utm_content=71034014&amp;utm_source=hs_automation</t>
  </si>
  <si>
    <t>358@suris.es</t>
  </si>
  <si>
    <t>https://resources.simonelectric.com/simon-catalogo-vehiculo-electrico?utm_campaign=SIC%20-%20Veh%C3%ADculo%20El%C3%A9ctrico&amp;utm_medium=email&amp;_hsmi=71034014&amp;_hsenc=p2ANqtz-9m56aIo52nhKoiC1vpJR0TOt92yvyiHhY9XBK5TnQVRlBgFGYHEx1TQYwV9wY-RcZM9e3K1OFyhM6QBuZE0w8hy0DnAQ&amp;utm_content=71034014&amp;utm_source=hs_automation</t>
  </si>
  <si>
    <t>359@movistar.es</t>
  </si>
  <si>
    <t>360@gmail.com</t>
  </si>
  <si>
    <t>https://resources.simonelectric.com/simon-ebook-vehiculo-electrico-0?gclid=CjwKCAjwt-L2BRA_EiwAacX32aS1WPhTvMaPKx6jyWaN_V-ee-mAMN-O0lGHpyTsZNGNRN2dPCxn6BoCn6gQAvD_BwE</t>
  </si>
  <si>
    <t>361@trabajosadomicilio.es</t>
  </si>
  <si>
    <t>362@hotmail.com</t>
  </si>
  <si>
    <t>363@gmail.com</t>
  </si>
  <si>
    <t>364@telefonica.net</t>
  </si>
  <si>
    <t>365@edu.xunta.es</t>
  </si>
  <si>
    <t>366@gmail.com</t>
  </si>
  <si>
    <t>367@yahoo.es</t>
  </si>
  <si>
    <t>368@gmail.com</t>
  </si>
  <si>
    <t>https://resources.simonelectric.com/simon-ebook-vehiculo-electrico?utm_referrer=https%3A%2F%2Fwww.simonelectric.com%2Fblog%2Fcargador-del-vehiculo-electrico-y-transicion-la-movilidad-electrica</t>
  </si>
  <si>
    <t>369@upc.edu</t>
  </si>
  <si>
    <t>https://resources.simonelectric.com/simon-ebook-vehiculo-electrico?utm_referrer=https%3A%2F%2Fwww.simonelectric.com%2Fblog%2Fpuntos-de-recarga-de-vehiculos-electricos-en-centros-comerciales</t>
  </si>
  <si>
    <t>370@coac.es</t>
  </si>
  <si>
    <t>371@hotmail.com</t>
  </si>
  <si>
    <t>372@ub.edu</t>
  </si>
  <si>
    <t>373@eling.es</t>
  </si>
  <si>
    <t>374@copitima.com</t>
  </si>
  <si>
    <t>375@gmail.com</t>
  </si>
  <si>
    <t>376@gmail.com</t>
  </si>
  <si>
    <t>377@nouges.es</t>
  </si>
  <si>
    <t>378@mcrdielec.com</t>
  </si>
  <si>
    <t>379@gmail.com</t>
  </si>
  <si>
    <t>380@acp-level.es</t>
  </si>
  <si>
    <t>381@mtcholding.ro</t>
  </si>
  <si>
    <t>https://resources.simonelectric.com/simon-catalogo-vehiculo-electrico?__hstc=83084745.f677a21354bed6071608b6f088cb968b.1554999519231.1584433419033.1591252128809.4&amp;__hssc=83084745.40.1591252128809&amp;__hsfp=2719144775</t>
  </si>
  <si>
    <t>382@gmail.com</t>
  </si>
  <si>
    <t>https://resources.simonelectric.com/simon-ebook-vehiculo-electrico?utm_campaign=SIC%20-%20Veh%C3%ADculo%20El%C3%A9ctrico&amp;utm_medium=email&amp;_hsenc=p2ANqtz--j5i6xxniLtdYtQgT4ON57bljQy3WVCgOrjgvsw3tX3VawU80tQGDORH9T711Cq6jDwTHB2PDoXSoFeW5wrzNuJUP-UA&amp;_hsmi=71033675&amp;utm_content=71033675&amp;utm_source=hs_automation&amp;hsCtaTracking=2e94ebfc-d414-4389-870c-d2f266a9420b%7C587ac4dc-a49a-4bdc-b449-e36f5d95395b</t>
  </si>
  <si>
    <t>383@llamas.com.es</t>
  </si>
  <si>
    <t>384@comsa.com</t>
  </si>
  <si>
    <t>https://resources.simonelectric.com/simon-catalogo-vehiculo-electrico?__hstc=83084745.cd092134bbf74cb3e40348f10ee240e7.1574238894846.1576777601443.1591247002040.3&amp;__hssc=83084745.10.1591247002040&amp;__hsfp=3536484965</t>
  </si>
  <si>
    <t>385@upc.edu</t>
  </si>
  <si>
    <t>386@xtec.cat</t>
  </si>
  <si>
    <t>387@gmail.com</t>
  </si>
  <si>
    <t>388@gmail.com</t>
  </si>
  <si>
    <t>https://resources.simonelectric.com/simon-ebook-vehiculo-electrico?__hssc=83084745.1124112611241124100.1591222081172&amp;__hstc=83084745.46e99640c23f1bd520a05dc386b1690c.1578382350515.1591222081172.1591222188917.4&amp;__hsfp=2119984157&amp;hsCtaTracking=2e94ebfc-d414-4389-870c-d2f266a9420b%7C587ac4dc-a49a-4bdc-b449-e36f5d95395b</t>
  </si>
  <si>
    <t>389@yahoo.es</t>
  </si>
  <si>
    <t>390@hotmail.com</t>
  </si>
  <si>
    <t>391@gmail.com</t>
  </si>
  <si>
    <t>392@gmail.com</t>
  </si>
  <si>
    <t>393@gmail.com</t>
  </si>
  <si>
    <t>https://resources.simonelectric.com/simon-ebook-vehiculo-electrico?utm_referrer=https%3A%2F%2Fwww.simonelectric.com%2Fblog%2Fcargador-del-vehiculo-electrico-y-transicion-la-movilidad-electrica%3Futm_campaign%3DSIC%2520-%2520Blog%2520digest%26utm_medium%3Demail%26_hsmi%3D88911100%26_hsenc%3Dp2ANqtz-8pNbdCQJMOGgMZ6aMPzUgtDzhUyDWVScvYLTPWugIC7yQzL5i3pmzfHs5PPOdkY46bF51iAJ0bsfn53l6ogGSHETmtmQ%26utm_content%3D88911100%26utm_source%3Dhs_email</t>
  </si>
  <si>
    <t>394@yahoo.es</t>
  </si>
  <si>
    <t>395@ajinstal.cat</t>
  </si>
  <si>
    <t>396@gmail.com</t>
  </si>
  <si>
    <t>397@orange.es</t>
  </si>
  <si>
    <t>398@ciudaddelosmuchachos.com</t>
  </si>
  <si>
    <t>399@gmail.com</t>
  </si>
  <si>
    <t>400@arquired.es</t>
  </si>
  <si>
    <t>401@hotmail.es</t>
  </si>
  <si>
    <t>402@gmail.com</t>
  </si>
  <si>
    <t>https://resources.simonelectric.com/simon-ebook-vehiculo-electrico?utm_referrer=https%3A%2F%2Fwww.simonelectric.com%2Fblog%2Fcargador-del-vehiculo-electrico-y-transicion-la-movilidad-electrica%3Futm_campaign%3DSIC%2520-%2520Blog%2520digest%26utm_medium%3Demail%26_hsmi%3D88911100%26_hsenc%3Dp2ANqtz-_1vm9600CmMTX6iuLR6oSmgEJyh9uZVnd-sVyHcspe58VFNPUwSaJ8qUGPpL5M1GZtaLnNG6MgAHPsJHZO-YaOG_LbPg%26utm_content%3D88911100%26utm_source%3Dhs_email</t>
  </si>
  <si>
    <t>403@hotmail.com</t>
  </si>
  <si>
    <t>404@hotmail.com</t>
  </si>
  <si>
    <t>405@yahoo.es</t>
  </si>
  <si>
    <t>406@gmail.com</t>
  </si>
  <si>
    <t>407@romher.es</t>
  </si>
  <si>
    <t>408@ic3sl.com</t>
  </si>
  <si>
    <t>409@gruposinelec.com</t>
  </si>
  <si>
    <t>410@gmail.com</t>
  </si>
  <si>
    <t>411@proyectosdelhogar.com</t>
  </si>
  <si>
    <t>412@seelectroled.com</t>
  </si>
  <si>
    <t>413@emancha.com</t>
  </si>
  <si>
    <t>414@gruptba.com</t>
  </si>
  <si>
    <t>415@gmail.com</t>
  </si>
  <si>
    <t>416@dominguezelectricidad.es</t>
  </si>
  <si>
    <t>417@gmail.com</t>
  </si>
  <si>
    <t>418@proyectosict.net</t>
  </si>
  <si>
    <t>419@miscelec.com</t>
  </si>
  <si>
    <t>420@covama.es</t>
  </si>
  <si>
    <t>421@maelse.com</t>
  </si>
  <si>
    <t>422@amena.com</t>
  </si>
  <si>
    <t>423@me.com</t>
  </si>
  <si>
    <t>424@ulmahandling.com</t>
  </si>
  <si>
    <t>425@telefonica.net</t>
  </si>
  <si>
    <t>426@gmail.com</t>
  </si>
  <si>
    <t>https://resources.simonelectric.com/simon-ebook-vehiculo-electrico?utm_referrer=https%3A%2F%2Fwww.simonelectric.com%2Fblog%2Fcargador-del-vehiculo-electrico-y-transicion-la-movilidad-electrica%3Futm_campaign%3DSIC%2520-%2520Blog%2520digest%26utm_medium%3Demail%26_hsmi%3D88911100%26_hsenc%3Dp2ANqtz-8khS65xMX0O2Hy6thIeCRCEz6Vf9oWvZSjdlfpv2oZOuyM0gs1ghJdn2Kx6LY-IYczf4tRm6l0dHUKL0UdEK-Zo9y4UQy2eSuZyExDvoP-oiZrGAc%26utm_content%3D88911100%26utm_source%3Dhs_email</t>
  </si>
  <si>
    <t>427@gmail.com</t>
  </si>
  <si>
    <t>428@hotmail.com</t>
  </si>
  <si>
    <t>429@yahoo.es</t>
  </si>
  <si>
    <t>430@urgon.es</t>
  </si>
  <si>
    <t>431@hotmail.com</t>
  </si>
  <si>
    <t>432@acacea.es</t>
  </si>
  <si>
    <t>https://resources.simonelectric.com/simon-material-formativo-vehiculo-electrico?utm_campaign=SIC%20-%20Despedida&amp;utm_medium=email&amp;_hsenc=p2ANqtz--do6OBVScW1taYdf41r_0Dx3wcXfshXJ7M4OR8epAPMEDunJ00gNhbeKEBx8ghsCsh5TdOgl0AWfxHKRLecbwiCpAREQ&amp;_hsmi=88878520&amp;utm_content=88851775&amp;utm_source=hs_email&amp;hsCtaTracking=f8a31ce8-daf1-4d69-a5d6-c3349f3aab91%7C75f9b9fd-a2b2-4ad4-9d4a-0dcb7c99194f</t>
  </si>
  <si>
    <t>433@gmail.com</t>
  </si>
  <si>
    <t>434@gmail.com</t>
  </si>
  <si>
    <t>435@solucionesms.es</t>
  </si>
  <si>
    <t>436@electrosoler.com</t>
  </si>
  <si>
    <t>437@alrolasistemas.es</t>
  </si>
  <si>
    <t>438@epla.es</t>
  </si>
  <si>
    <t>439@edu.xunta.es</t>
  </si>
  <si>
    <t>440@fedirbra.com</t>
  </si>
  <si>
    <t>441@arquiem.es</t>
  </si>
  <si>
    <t>442@hotmail.com</t>
  </si>
  <si>
    <t>443@ingenia.es</t>
  </si>
  <si>
    <t>444@dymiel.es</t>
  </si>
  <si>
    <t>445@sueprat.es</t>
  </si>
  <si>
    <t>https://resources.simonelectric.com/simon-catalogo-vehiculo-electrico?utm_campaign=SIC%20-%20Veh%C3%ADculo%20El%C3%A9ctrico&amp;utm_medium=email&amp;_hsenc=p2ANqtz-_onWTgqEo72OzMRBKs1E7ZvEI9OngL1QT5Jc2nkfoFJn_1wJgreKoNItEGbF3efTZ0EjFb&amp;_hsmi=87085363&amp;utm_content=87085363&amp;utm_source=hs_email&amp;hsCtaTracking=6fedf137-fd90-4f17-bfb4-d61f710ec7f8%7Cf2771843-6636-4969-9010-2d8d0389b89c</t>
  </si>
  <si>
    <t>446@atega.net</t>
  </si>
  <si>
    <t>447@iescotesbaixes.org</t>
  </si>
  <si>
    <t>448@gmail.com</t>
  </si>
  <si>
    <t>https://resources.simonelectric.com/simon-ebook-vehiculo-electrico?utm_referrer=https%3A%2F%2Fresources.simonelectric.com%2Fsimon-gracias-por-seguir-interesado%3Futm_campaign%3DSIC%2520-%2520Despedida%26utm_medium%3Demail%26_hsmi%3D88878520%26_hsenc%3Dp2ANqtz-8L1Vm9sLF1eD543ZLSN5cxoF7ZwFidV0YEm0-_xRtgKb7j7_T8xg13t4PyVMP2r2T9oj05eG54uHtigzusOTp07igQXw%26utm_content%3D88851775%26utm_source%3Dhs_email</t>
  </si>
  <si>
    <t>449@urgon.es</t>
  </si>
  <si>
    <t>450@gmail.com</t>
  </si>
  <si>
    <t>451@ingelux.com</t>
  </si>
  <si>
    <t>452@urgon.es</t>
  </si>
  <si>
    <t>453@edelafuente.com</t>
  </si>
  <si>
    <t>454@gmail.com</t>
  </si>
  <si>
    <t>https://resources.simonelectric.com/simon-catalogo-vehiculo-electrico?__hstc=83084745.215d13cb4045f97bb971c6ba189433e9.1591024111122.1591024111122.1591134888493.2&amp;__hssc=83084745.2.1591134888493&amp;__hsfp=278132700</t>
  </si>
  <si>
    <t>455@gmail.com</t>
  </si>
  <si>
    <t>456@electricidadvilela.com</t>
  </si>
  <si>
    <t>457@outlook.com</t>
  </si>
  <si>
    <t>https://resources.simonelectric.com/simon-ebook-vehiculo-electrico?utm_campaign=SIC%20-%20Veh%C3%ADculo%20El%C3%A9ctrico&amp;utm_medium=email&amp;_hsenc=p2ANqtz-_vwOmhUd2bbzqAWbfwdzv10wmC-_FRlZ8wzol8exXNxZfcS5vHFWzpg-q8jsD9jQGwjwPS8XJgrHqSLM9Bzd1dfVsLKw&amp;_hsmi=71033675&amp;utm_content=71033675&amp;utm_source=hs_automation&amp;hsCtaTracking=2e94ebfc-d414-4389-870c-d2f266a9420b%7C587ac4dc-a49a-4bdc-b449-e36f5d95395b</t>
  </si>
  <si>
    <t>458@imel.es</t>
  </si>
  <si>
    <t>459@sesetec.com</t>
  </si>
  <si>
    <t>460@gmail.com</t>
  </si>
  <si>
    <t>461@msn.com</t>
  </si>
  <si>
    <t>462@gmail.com</t>
  </si>
  <si>
    <t>463@gmail.com</t>
  </si>
  <si>
    <t>https://resources.simonelectric.com/simon-catalogo-vehiculo-electrico?utm_campaign=SIC%20-%20Veh%C3%ADculo%20El%C3%A9ctrico&amp;utm_medium=email&amp;_hsenc=p2ANqtz-_ZNECq8-Vq5W_CxSOAzXRw2zNAhhT_dqjMtG4hryTu1m8vpmFlOp1sMg_tyOaXgIVkk2ShgvqNzQM8FOzdu9UYx_Updg&amp;_hsmi=87865495&amp;utm_source=hs_automation&amp;utm_content=87865495&amp;hsCtaTracking=6fedf137-fd90-4f17-bfb4-d61f710ec7f8%7Cf2771843-6636-4969-9010-2d8d0389b89c</t>
  </si>
  <si>
    <t>464@hotmail.es</t>
  </si>
  <si>
    <t>https://resources.simonelectric.com/simon-ebook-vehiculo-electrico-0?gclid=CjwKCAjwztL2BRATEiwAvnALct4ww3iZFp6YCMg3so6TNGHwtOT8qkwDmY7vYy-8m9nokaRvVT6qFxoCuvQQAvD_BwE</t>
  </si>
  <si>
    <t>465@hotmail.com</t>
  </si>
  <si>
    <t>https://resources.simonelectric.com/simon-catalogo-vehiculo-electrico?__hstc=83084745.b2a16a9841d57aafd9ab92f3b2a7a78e.1591027271037.1591027271037.1591044257432.2&amp;__hssc=83084745.5.1591044257432&amp;__hsfp=620368458</t>
  </si>
  <si>
    <t>466@gmail.com</t>
  </si>
  <si>
    <t>https://resources.simonelectric.com/simon-ebook-vehiculo-electrico-0?gclid=EAIaIQobChMI9vO-77Hh6QIVAxIbCh3t1AiOEAEYASAAEgLNyfD_BwE</t>
  </si>
  <si>
    <t>467@gmail.com</t>
  </si>
  <si>
    <t>468@yahoo.es</t>
  </si>
  <si>
    <t>https://resources.simonelectric.com/simon-ebook-vehiculo-electrico?utm_referrer=https%3A%2F%2Fwww.simonelectric.com%2Fblog%2Fel-vehiculo-electrico-elementos-principales-y-funcionamiento%3Futm_campaign%3DSIC%2520-%2520Veh%25C3%25ADculo%2520El%25C3%25A9ctrico%26utm_medium%3Demail%26_hsmi%3D71033996%26_hsenc%3Dp2ANqtz--k6_xITtMp3NfUzE1bkH13YV5ZboOJEo-106NuUNNc88aDncmKK8NNysq46EUTQHdBGNIo0yeanfSMZaMF3lD94rbRqg%26utm_content%3D71033996%26utm_source%3Dhs_automation</t>
  </si>
  <si>
    <t>469@somorrostro.com</t>
  </si>
  <si>
    <t>470@gmail.com</t>
  </si>
  <si>
    <t>471@abengoa.com</t>
  </si>
  <si>
    <t>https://resources.simonelectric.com/simon-catalogo-vehiculo-electrico?__hstc=83084745.215d13cb4045f97bb971c6ba189433e9.1591024111122.1591024111122.1591024111122.1&amp;__hssc=83084745.3.1591024111122&amp;__hsfp=278132700</t>
  </si>
  <si>
    <t>472@ebcn.cat</t>
  </si>
  <si>
    <t>https://resources.simonelectric.com/simon-ebook-vehiculo-electrico?utm_referrer=https%3A%2F%2Fwww.simonelectric.com%2Fblog%2Fvehiculo-electrico-instalar-punto-de-recarga-en-garaje-comunitario%3Futm_campaign%3DSIC%2520-%2520Veh%25C3%25ADculo%2520El%25C3%25A9ctrico%26utm_medium%3Demail%26_hsmi%3D71033828%26_hsenc%3Dp2ANqtz-_ST99lP_VE7i3C44tobwrSdDwCDonr_I82rqTeLR_tUpjaaWe28dlB1cTXcbgjmM-1sDjrQpA6maY2G8F_kAeC0h3owQ%26utm_content%3D71033828%26utm_source%3Dhs_automation</t>
  </si>
  <si>
    <t>473@inexo.es</t>
  </si>
  <si>
    <t>https://resources.simonelectric.com/simon-catalogo-vehiculo-electrico?utm_campaign=SIC%20-%20Veh%C3%ADculo%20El%C3%A9ctrico&amp;utm_medium=email&amp;_hsenc=p2ANqtz-9tX6ZwrvHW5AzCXGy4vS0lljrfZNVjsClagsha6Ku4UwHIgxFy_Pcd8hNaE2wRuggy0meW&amp;_hsmi=87085363&amp;utm_content=87085363&amp;utm_source=hs_email&amp;hsCtaTracking=6fedf137-fd90-4f17-bfb4-d61f710ec7f8%7Cf2771843-6636-4969-9010-2d8d0389b89c</t>
  </si>
  <si>
    <t>474@tectram.com</t>
  </si>
  <si>
    <t>https://resources.simonelectric.com/simon-catalogo-vehiculo-electrico?utm_campaign=SIC%20-%20Veh%C3%ADculo%20El%C3%A9ctrico&amp;utm_medium=email&amp;_hsenc=p2ANqtz-_LMhCavP7zngCPeFT8Mj5uKigVCFqhSZoZJEEb7Hn0QU_zJJQEFYlLgy1WIbmB4tX2eVXd&amp;_hsmi=87085363&amp;utm_content=87085363&amp;utm_source=hs_email&amp;hsCtaTracking=6fedf137-fd90-4f17-bfb4-d61f710ec7f8%7Cf2771843-6636-4969-9010-2d8d0389b89c</t>
  </si>
  <si>
    <t>475@hotmail.es</t>
  </si>
  <si>
    <t>https://resources.simonelectric.com/simon-catalogo-vehiculo-electrico?utm_campaign=SIC%20-%20Veh%C3%ADculo%20El%C3%A9ctrico&amp;utm_medium=email&amp;_hsmi=71034014&amp;_hsenc=p2ANqtz-8WRycYrztOh0zcCabrWwo_LC7lUmcvttRPikIaIHQdNp81UYINdH2-NsJQODt906imcjvLHCfGExXDvBeiKa_qF1D07A&amp;utm_content=71034014&amp;utm_source=hs_automation</t>
  </si>
  <si>
    <t>476@hotmail.com</t>
  </si>
  <si>
    <t>https://resources.simonelectric.com/simon-ebook-vehiculo-electrico-ppc?utm_source=facebook&amp;utm_medium=social_ads&amp;utm_campaign=vehiculo_electrico&amp;fbclid=IwAR2WPKo0MATSu57eUl3SA9cPB381SKFGDuKsnZdGHzNOEz-tdtxFKWzDmqM</t>
  </si>
  <si>
    <t>477@gmail.com</t>
  </si>
  <si>
    <t>478@gmail.com</t>
  </si>
  <si>
    <t>https://resources.simonelectric.com/simon-catalogo-vehiculo-electrico?utm_campaign=SIC%20-%20Veh%C3%ADculo%20El%C3%A9ctrico&amp;utm_medium=email&amp;_hsenc=p2ANqtz-8s42I7YODQDO1WQ5NbXC7EzKUCljtQ-h1E_z-WzWoco7tukMfGR9ehkw3dCPhWi1hUDIw5AEDs6KcSq-RWvVZlSBzvuQ&amp;_hsmi=87865495&amp;utm_source=hs_automation&amp;utm_content=87865495&amp;hsCtaTracking=6fedf137-fd90-4f17-bfb4-d61f710ec7f8%7Cf2771843-6636-4969-9010-2d8d0389b89c</t>
  </si>
  <si>
    <t>479@gmail.com</t>
  </si>
  <si>
    <t>https://resources.simonelectric.com/simon-catalogo-vehiculo-electrico?utm_campaign=SIC%20-%20Veh%C3%ADculo%20El%C3%A9ctrico&amp;utm_medium=email&amp;_hsmi=87085363&amp;_hsenc=p2ANqtz-8waxyqa7lzMJK_-CcZntUs_sIcIgGbTp7NFN7lmzHTLmc7fXAu0xrMyorylN3bo1clHHQ6&amp;utm_content=87085363&amp;utm_source=hs_email</t>
  </si>
  <si>
    <t>480@gmail.com</t>
  </si>
  <si>
    <t>481@gmail.com</t>
  </si>
  <si>
    <t>482@pentamatik.com</t>
  </si>
  <si>
    <t>483@arval.es</t>
  </si>
  <si>
    <t>https://resources.simonelectric.com/simon-ebook-vehiculo-electrico-ppc?utm_source=facebook&amp;utm_medium=social_ads&amp;utm_campaign=vehiculo_electrico&amp;fbclid=IwAR3PjUMODhdqjKIwaY0fcKZHsMQ0tJASdnqkS19kL00T4x4dzML8dIknIjI</t>
  </si>
  <si>
    <t>484@macegroup.com</t>
  </si>
  <si>
    <t>https://resources.simonelectric.com/simon-catalogo-vehiculo-electrico?__hstc=83084745.1bf5911e44ab8ae2715399d19bbecc72.1584981382242.1590401971247.1590751187744.4&amp;__hssc=83084745.12.1590751187744&amp;__hsfp=85153389</t>
  </si>
  <si>
    <t>485@hotmail.com</t>
  </si>
  <si>
    <t>486@gmail.com</t>
  </si>
  <si>
    <t>https://resources.simonelectric.com/simon-catalogo-vehiculo-electrico?__hstc=83084745.5d0fdbd3d422697324b68ec4b8e81a7d.1590740194776.1590740194776.1590741022424.2&amp;__hssc=83084745.3161723.1590740194776&amp;__hsfp=2269788561</t>
  </si>
  <si>
    <t>487@gmail.com</t>
  </si>
  <si>
    <t>488@gmail.com</t>
  </si>
  <si>
    <t>https://resources.simonelectric.com/simon-ebook-vehiculo-electrico-0?gclid=Cj0KCQjwwr32BRD4ARIsAAJNf_1yVywU2GYwufnvpqKL6n3fF3PPRryrOzkcfs4csySZ_4LTtzJDGPMaAgrSEALw_wcB</t>
  </si>
  <si>
    <t>489@carbonellfigueras.com</t>
  </si>
  <si>
    <t>490@idom.com</t>
  </si>
  <si>
    <t>491@gmail.com</t>
  </si>
  <si>
    <t>492@hotmail.com</t>
  </si>
  <si>
    <t>493@gmail.com</t>
  </si>
  <si>
    <t>https://resources.simonelectric.com/simon-ebook-vehiculo-electrico?utm_referrer=https%3A%2F%2Fwww.simonelectric.com%2Fblog%2Finstalacion-electrica-en-un-garaje-privado</t>
  </si>
  <si>
    <t>494@protelec.es</t>
  </si>
  <si>
    <t>https://resources.simonelectric.com/simon-catalogo-vehiculo-electrico?__hstc=83084745.2a679d1bade1c52df4bb04c6e8ee861f.1590656315817.1590656315817.1590656315817.1&amp;__hssc=83084745.50.1590656315817&amp;__hsfp=849634180</t>
  </si>
  <si>
    <t>495@boslan.com</t>
  </si>
  <si>
    <t>496@gmail.com</t>
  </si>
  <si>
    <t>https://resources.simonelectric.com/simon-ebook-vehiculo-electrico?utm_campaign=SIC%20-%20Veh%C3%ADculo%20El%C3%A9ctrico&amp;utm_medium=email&amp;_hsenc=p2ANqtz--dg5y6P3wZ5ZHo6iKW4_zioJbPDVWQABr4tyY0cxFMjLCZ4hOuko7RhzCYn_E6QtXisdRZYunYnz5ZrCfcUqnMnQt-HKjWqEA56H-etpn6sYUKg6g&amp;_hsmi=71033675&amp;utm_source=hs_automation&amp;utm_content=71033675&amp;hsCtaTracking=2e94ebfc-d414-4389-870c-d2f266a9420b%7C587ac4dc-a49a-4bdc-b449-e36f5d95395b</t>
  </si>
  <si>
    <t>497@6d-ingenieros.com</t>
  </si>
  <si>
    <t>498@gmail.com</t>
  </si>
  <si>
    <t>499@netcabo.pt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</si>
  <si>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-9IAtWyVo-AUp8qt-_1k1_zOIlO_864IhaGlcFe9PvuxEHuAXVaQMaQSA4NkHgneOQ6JPyGGLeeQikYc8l2iXcCgZUBHw%26_hsmi%3D71033828</t>
  </si>
  <si>
    <t>500@gmail.com</t>
  </si>
  <si>
    <t>https://resources.simonelectric.com/simon-material-formativo-vehiculo-electrico?utm_campaign=SIC%20-%20Veh%C3%ADculo%20El%C3%A9ctrico&amp;utm_medium=email&amp;_hsenc=p2ANqtz-__4iv2Myd01q6Ge4D74L5YTgfe2hW_Vg8cjmxIec-EjRpuhD2cKTmLAyOi3Rjm5-MsZpoWqnSPQxLciOVS1y5cEXIBPupky80Wo19lpbFbPXWLpeY&amp;_hsmi=88328232&amp;utm_source=hs_email&amp;utm_content=88328407&amp;hsCtaTracking=f8a31ce8-daf1-4d69-a5d6-c3349f3aab91%7C75f9b9fd-a2b2-4ad4-9d4a-0dcb7c99194f</t>
  </si>
  <si>
    <t>501@gmail.com</t>
  </si>
  <si>
    <t>502@hotmail.com</t>
  </si>
  <si>
    <t>503@ofp.cat</t>
  </si>
  <si>
    <t>504@avilayhevia.com</t>
  </si>
  <si>
    <t>505@mavipas.com</t>
  </si>
  <si>
    <t>506@pina-ingenieria.com</t>
  </si>
  <si>
    <t>507@eco-voltaica.com</t>
  </si>
  <si>
    <t>508@gmail.com</t>
  </si>
  <si>
    <t>https://resources.simonelectric.com/simon-ebook-vehiculo-electrico?utm_referrer=https%3A%2F%2Fwww.simonelectric.com%2Fblog%2Fel-vehiculo-electrico-elementos-principales-y-funcionamiento%3Futm_campaign%3DSIC%2520-%2520Veh%25C3%25ADculo%2520El%25C3%25A9ctrico%26utm_source%3Dhs_automation%26utm_medium%3Demail%26utm_content%3D71033996%26_hsenc%3Dp2ANqtz-9RHbTczXasOxiCVdUdFufvtTmlfhrbH2rRf-lkJdAnMiDO7doVBDjNJvAn_a8HbXCPmMS-thvV2tmgcsG8hgNXLeBgVw%26_hsmi%3D71033996</t>
  </si>
  <si>
    <t>509@hotmail.com</t>
  </si>
  <si>
    <t>510@gmail.com</t>
  </si>
  <si>
    <t>https://resources.simonelectric.com/simon-catalogo-vehiculo-electrico?utm_campaign=SIC%20-%20Veh%C3%ADculo%20El%C3%A9ctrico&amp;utm_medium=email&amp;_hsmi=87085363&amp;_hsenc=p2ANqtz--E5IJAyqrAWKzMDqclkfdTWc6dm9zb7KjoB1tyCK83k5FUoSX1ptADVGqYyud67N5WCsa_&amp;utm_content=87085363&amp;utm_source=hs_email</t>
  </si>
  <si>
    <t>https://resources.simonelectric.com/simon-ebook-vehiculo-electrico?utm_campaign=SIC%20-%20Veh%C3%ADculo%20El%C3%A9ctrico&amp;utm_source=hs_automation&amp;utm_medium=email&amp;utm_content=71033675&amp;_hsenc=p2ANqtz-_-3eD00OefccwO4BIf4veERxiiwcHjoeAWkjQ6X4BchB291LvyFSnCRs9Txwa8whNJaZ2kjgz3wqELVx8YShndBjnDbg&amp;_hsmi=71033675</t>
  </si>
  <si>
    <t>511@yahoo.es</t>
  </si>
  <si>
    <t>https://resources.simonelectric.com/simon-catalogo-vehiculo-electrico?utm_campaign=SIC%20-%20Veh%C3%ADculo%20El%C3%A9ctrico&amp;utm_medium=email&amp;_hsenc=p2ANqtz-_NFBHOZ2AlpVZ3SRlf4hsE2c0mV_uhB7aLwNK3L-sbhGwg53sMgrO4zDqshDEYcL7G-I0ko0eF9GbrLBlSG7Rt8zYZgQ&amp;_hsmi=87865495&amp;utm_source=hs_automation&amp;utm_content=87865495&amp;hsCtaTracking=6fedf137-fd90-4f17-bfb4-d61f710ec7f8%7Cf2771843-6636-4969-9010-2d8d0389b89c</t>
  </si>
  <si>
    <t>512@hotmail.com</t>
  </si>
  <si>
    <t>513@osmos.es</t>
  </si>
  <si>
    <t>https://resources.simonelectric.com/simon-catalogo-vehiculo-electrico?__hstc=83084745.1940043495acdb5b755eb3ba11a3405f.1590483935736.1590483935736.1590483935736.1&amp;__hssc=83084745.1.1590483935737&amp;__hsfp=2738147310</t>
  </si>
  <si>
    <t>514@hotmail.com</t>
  </si>
  <si>
    <t>515@torrepacheco.es</t>
  </si>
  <si>
    <t>516@hotmail.es</t>
  </si>
  <si>
    <t>https://resources.simonelectric.com/simon-ebook-vehiculo-electrico?utm_campaign=SIC%20-%20Veh%C3%ADculo%20El%C3%A9ctrico&amp;utm_medium=email&amp;_hsenc=p2ANqtz-8on-9HvxGuU4WcV7wWBsfgir3ONnOV-wod60lXs0PV-m-6eXD3fc2oAgW9Kg7Y70faHh8uGwQf-7R6EMTc4J9Dq4BifA&amp;_hsmi=71033675&amp;utm_source=hs_automation&amp;utm_content=71033675&amp;hsCtaTracking=2e94ebfc-d414-4389-870c-d2f266a9420b%7C587ac4dc-a49a-4bdc-b449-e36f5d95395b</t>
  </si>
  <si>
    <t>517@palmersebastian.com</t>
  </si>
  <si>
    <t>https://resources.simonelectric.com/simon-catalogo-vehiculo-electrico?__hstc=83084745.a3423243d5ac6826b3d0d87aa92f786a.1590465714560.1590465714560.1590465714560.1&amp;__hssc=83084745.12.1590465714560&amp;__hsfp=2738147310</t>
  </si>
  <si>
    <t>518@gmail.com</t>
  </si>
  <si>
    <t>519@outlook.com</t>
  </si>
  <si>
    <t>https://resources.simonelectric.com/simon-ebook-vehiculo-electrico?utm_campaign=SIC%20-%20Veh%C3%ADculo%20El%C3%A9ctrico&amp;utm_medium=email&amp;_hsenc=p2ANqtz-8gF_oOqXbGuKLMQ5aadkAye6HpLOlqdyx2qmexROvWqshWl1EWqABVtcl5jh_FUjWqWznf6V2Epswgrbb4--m_ZIa_jw&amp;_hsmi=71033675&amp;utm_source=hs_automation&amp;utm_content=71033675&amp;hsCtaTracking=2e94ebfc-d414-4389-870c-d2f266a9420b%7C587ac4dc-a49a-4bdc-b449-e36f5d95395b</t>
  </si>
  <si>
    <t>520@ecf-electricidad.com</t>
  </si>
  <si>
    <t>https://resources.simonelectric.com/simon-ebook-vehiculo-electrico?utm_campaign=SIC%20-%20Veh%C3%ADculo%20El%C3%A9ctrico&amp;utm_source=hs_automation&amp;utm_medium=email&amp;utm_content=71033675&amp;_hsenc=p2ANqtz--6OM11wI3ke2DBNtE7gNwcZRwXi0OdZPllc9f702Hc8nGAd6u50OCgfOIGA6hyAAHspNBWWaV5Yl_NfFBce4qvZR-fXKycmOGB8vCxNLcj9p-tioY&amp;_hsmi=71033675</t>
  </si>
  <si>
    <t>521@gmail.com</t>
  </si>
  <si>
    <t>https://resources.simonelectric.com/simon-ebook-vehiculo-electrico?utm_campaign=SIC%20-%20Veh%C3%ADculo%20El%C3%A9ctrico&amp;utm_medium=email&amp;_hsenc=p2ANqtz-_4EAq2pNykBnU4P2O6gT_n6ur0RfRrY6sSh-L9zYkZS1VM4QDntZ44WtH1iBrtaicsChXFMXTJYQ5-_5uXnV-5kD098Q&amp;_hsmi=71033675&amp;utm_source=hs_automation&amp;utm_content=71033675&amp;hsCtaTracking=2e94ebfc-d414-4389-870c-d2f266a9420b%7C587ac4dc-a49a-4bdc-b449-e36f5d95395b</t>
  </si>
  <si>
    <t>522@siemens.com</t>
  </si>
  <si>
    <t>https://resources.simonelectric.com/simon-ebook-vehiculo-electrico?utm_campaign=SIC%20-%20Veh%C3%ADculo%20El%C3%A9ctrico&amp;utm_source=hs_automation&amp;utm_medium=email&amp;utm_content=71033675&amp;_hsenc=p2ANqtz-_KmZtvjWAvxTLSqYAcuYLeWzfXiLLEB7pu3cGFLR-xzDzi3ZLnRjX0AIk7tdJG7s_uoMyeMySUPuqmu7Exfl7SXviKLpv-rBT5bRe_e4E8PTKlWBs&amp;_hsmi=71033675</t>
  </si>
  <si>
    <t>523@gmail.com</t>
  </si>
  <si>
    <t>524@gmail.com</t>
  </si>
  <si>
    <t>https://resources.simonelectric.com/simon-ebook-vehiculo-electrico?utm_campaign=SIC%20-%20Veh%C3%ADculo%20El%C3%A9ctrico&amp;utm_source=hs_automation&amp;utm_medium=email&amp;utm_content=71033675&amp;_hsenc=p2ANqtz-9b3pNIEzUekbQwYjDpI95LhDTkCw8yW_olUH8WxX3M_1uIP1YpuIdP3REt0B1TJBJwMMvU2gjAgk0x8JuNcfewGSpWbQ&amp;_hsmi=71033675</t>
  </si>
  <si>
    <t>525@comsa.com</t>
  </si>
  <si>
    <t>https://resources.simonelectric.com/simon-ebook-vehiculo-electrico?utm_campaign=SIC%20-%20Veh%C3%ADculo%20El%C3%A9ctrico&amp;utm_medium=email&amp;_hsenc=p2ANqtz-9fKjLHkpFR7XsjHAU4V47ursOq3eHAsu1hv8WUU0BGlF8SWrT9lbY4M_0cWzSsaCOHSD4NzBAIkVQDvn5fv1P6M_q-Gw&amp;_hsmi=71033675&amp;utm_source=hs_automation&amp;utm_content=71033675&amp;hsCtaTracking=2e94ebfc-d414-4389-870c-d2f266a9420b%7C587ac4dc-a49a-4bdc-b449-e36f5d95395b</t>
  </si>
  <si>
    <t>526@gmail.com</t>
  </si>
  <si>
    <t>https://resources.simonelectric.com/simon-ebook-vehiculo-electrico?utm_campaign=SIC%20-%20Veh%C3%ADculo%20El%C3%A9ctrico&amp;utm_medium=email&amp;_hsenc=p2ANqtz-8VvO1Mi3CCMjRXxevzoEDcyqyUGkdUR7x1_3aSp_puomnFlovBlQMjcGwI9q4lHh7zJCwEtRrM7RcpNygoO02g3QAduA&amp;_hsmi=71033675&amp;utm_source=hs_automation&amp;utm_content=71033675&amp;hsCtaTracking=2e94ebfc-d414-4389-870c-d2f266a9420b%7C587ac4dc-a49a-4bdc-b449-e36f5d95395b</t>
  </si>
  <si>
    <t>527@yahoo.com.mx</t>
  </si>
  <si>
    <t>https://resources.simonelectric.com/simon-ebook-vehiculo-electrico?utm_campaign=SIC%20-%20Veh%C3%ADculo%20El%C3%A9ctrico&amp;utm_medium=email&amp;_hsenc=p2ANqtz-9Z6SDvPOF-8bTrcW2BI0lOf5emZj66SySMkLhtCBzz6fo6vmbsgXxe11tSYO_dsMXrutgp5vdN64-ivy8iwJ0MH5aszA&amp;_hsmi=71033675&amp;utm_source=hs_automation&amp;utm_content=71033675&amp;hsCtaTracking=2e94ebfc-d414-4389-870c-d2f266a9420b%7C587ac4dc-a49a-4bdc-b449-e36f5d95395b</t>
  </si>
  <si>
    <t>528@gmail.com</t>
  </si>
  <si>
    <t>https://resources.simonelectric.com/simon-ebook-vehiculo-electrico?utm_campaign=SIC%20-%20Veh%C3%ADculo%20El%C3%A9ctrico&amp;utm_medium=email&amp;_hsenc=p2ANqtz-9lA6O7zO9q1gO94RII7jY3RivnYxP9rFhqCq9HKfxE5Dk598OCteks_fwvw4IgJCdKsi8ofCmzzYXZTtTh2Qi6mQ7HfXieqiMVuf23oFbjEtlEKL0&amp;_hsmi=71033675&amp;utm_source=hs_automation&amp;utm_content=71033675&amp;hsCtaTracking=2e94ebfc-d414-4389-870c-d2f266a9420b%7C587ac4dc-a49a-4bdc-b449-e36f5d95395b</t>
  </si>
  <si>
    <t>529@gmail.com</t>
  </si>
  <si>
    <t>https://resources.simonelectric.com/simon-ebook-vehiculo-electrico?utm_campaign=SIC%20-%20Veh%C3%ADculo%20El%C3%A9ctrico&amp;utm_medium=email&amp;_hsenc=p2ANqtz-_UkPKhrEVvAD_bOZqZaDmKdE1lOcSV-quBGfJp_Mbopp5oaCDPp7_abjMlE3Av60j5PoUbX1FDrdcHTJXSivlYicdQbyMgSTX34BPZ_WPobnmN1QQ&amp;_hsmi=71033675&amp;utm_source=hs_automation&amp;utm_content=71033675&amp;hsCtaTracking=2e94ebfc-d414-4389-870c-d2f266a9420b%7C587ac4dc-a49a-4bdc-b449-e36f5d95395b</t>
  </si>
  <si>
    <t>530@trilegend.com</t>
  </si>
  <si>
    <t>https://resources.simonelectric.com/simon-catalogo-vehiculo-electrico?utm_campaign=SIC%20-%20Veh%C3%ADculo%20El%C3%A9ctrico&amp;utm_source=hs_automation&amp;utm_medium=email&amp;utm_content=71034014&amp;_hsenc=p2ANqtz-9wjzgJDMZS-bOXbb1nVE_NwUUPf9Ro4uf9Ku-y4tGwQ9tPB7vaxO-LPjvG-KFCvrcp8igtL3nAWUwh9hoxHx1VnsqCFg&amp;_hsmi=71034014</t>
  </si>
  <si>
    <t>531@csisuministros.com</t>
  </si>
  <si>
    <t>https://resources.simonelectric.com/simon-ebook-vehiculo-electrico?utm_campaign=SIC%20-%20Veh%C3%ADculo%20El%C3%A9ctrico&amp;utm_medium=email&amp;_hsenc=p2ANqtz-9WMPzWhf7elY9XrDQ6ZY1PzAb0_NqtESNLHJHEZYXQ2FhbPPG8-n-Hfa5T4C4Zvvo73ew-3z9aLkevfNpbGVettN_OE0mIDaRbTBjuMux-F_LryZY&amp;_hsmi=71033675&amp;utm_source=hs_automation&amp;utm_content=71033675&amp;hsCtaTracking=2e94ebfc-d414-4389-870c-d2f266a9420b%7C587ac4dc-a49a-4bdc-b449-e36f5d95395b</t>
  </si>
  <si>
    <t>532@gmail.com</t>
  </si>
  <si>
    <t>https://resources.simonelectric.com/simon-ebook-vehiculo-electrico?utm_campaign=SIC%20-%20Veh%C3%ADculo%20El%C3%A9ctrico&amp;utm_medium=email&amp;_hsenc=p2ANqtz-8T0r5H9UWaAPuAqvwObkz7KHvgWSq86CtNx7PPQAMCeouogzQvIa0Ym1qI3rlDu9f-CA25hHBLiaY0Q-RdOEIfOVbRrA&amp;_hsmi=71033675&amp;utm_source=hs_automation&amp;utm_content=71033675&amp;hsCtaTracking=2e94ebfc-d414-4389-870c-d2f266a9420b%7C587ac4dc-a49a-4bdc-b449-e36f5d95395b</t>
  </si>
  <si>
    <t>533@emconsulting.es</t>
  </si>
  <si>
    <t>https://resources.simonelectric.com/simon-ebook-vehiculo-electrico?utm_campaign=SIC%20-%20Veh%C3%ADculo%20El%C3%A9ctrico&amp;utm_source=hs_automation&amp;utm_medium=email&amp;utm_content=71033675&amp;_hsenc=p2ANqtz-95H8SBQYQPRqeUz2WWSrfRTY8x8KVDmbv31YXSH4Epnqicxdmj6xx1mWz4Pzg-trCh99EPy6xUsXIJdxFf4LyZ60SRLB-sDZfjmJi9REY8hn2R9Yc&amp;_hsmi=71033675</t>
  </si>
  <si>
    <t>534@gmail.com</t>
  </si>
  <si>
    <t>https://resources.simonelectric.com/simon-ebook-vehiculo-electrico?utm_campaign=SIC%20-%20Veh%C3%ADculo%20El%C3%A9ctrico&amp;utm_source=hs_automation&amp;utm_medium=email&amp;utm_content=71033675&amp;_hsenc=p2ANqtz-9UcvRolGGv_LNFjRR6CcFP95oJrgkZkOoSrz5JPavFVpQRNUIMpJ6pH9tZWVmzQZirb8eKGEdZA2ZTv0iqT4qxFqH5cg&amp;_hsmi=71033675</t>
  </si>
  <si>
    <t>535@bgp.es</t>
  </si>
  <si>
    <t>https://resources.simonelectric.com/simon-ebook-vehiculo-electrico?utm_campaign=SIC%20-%20Veh%C3%ADculo%20El%C3%A9ctrico&amp;utm_medium=email&amp;_hsenc=p2ANqtz--g1xrCpzM705DEIEiQl4bfzFZ-OfilmY6cjaW9lBbHzNvIyJ2ghgHSzOMScKr15qPRCrWMLz02Q3ANs-61vgaIkjs2zg&amp;_hsmi=71033675&amp;utm_source=hs_automation&amp;utm_content=71033675&amp;hsCtaTracking=2e94ebfc-d414-4389-870c-d2f266a9420b%7C587ac4dc-a49a-4bdc-b449-e36f5d95395b</t>
  </si>
  <si>
    <t>536@adymus.es</t>
  </si>
  <si>
    <t>https://resources.simonelectric.com/simon-ebook-vehiculo-electrico?utm_campaign=SIC%20-%20Veh%C3%ADculo%20El%C3%A9ctrico&amp;utm_medium=email&amp;_hsenc=p2ANqtz-8tlQQcaRZsu5AdUm73uIcAHil1psohf6-gtqGyc52uuzFydM2_QUjGArg_PUBmd_vhhPyATy2LWDSqttznZDfRmBwnCw&amp;_hsmi=71033675&amp;utm_source=hs_automation&amp;utm_content=71033675&amp;hsCtaTracking=2e94ebfc-d414-4389-870c-d2f266a9420b%7C587ac4dc-a49a-4bdc-b449-e36f5d95395b</t>
  </si>
  <si>
    <t>537@sonneingenieria.com</t>
  </si>
  <si>
    <t>https://resources.simonelectric.com/simon-material-formativo-vehiculo-electrico?utm_campaign=SIC%20-%20Veh%C3%ADculo%20El%C3%A9ctrico&amp;utm_medium=email&amp;_hsenc=p2ANqtz--8WcrllIzNaVBFV-pa5BF24ToosogvLj6I1yw6VH2KmWpMAOwg50m4JFvK22vGdmXr2a4FnBQWHqNdhkwMmueVvo44jsN17Fy_8RW_lH7TDrvj6XE&amp;_hsmi=88328232&amp;utm_source=hs_email&amp;utm_content=88328407&amp;hsCtaTracking=f8a31ce8-daf1-4d69-a5d6-c3349f3aab91%7C75f9b9fd-a2b2-4ad4-9d4a-0dcb7c99194f</t>
  </si>
  <si>
    <t>https://resources.simonelectric.com/simon-ebook-vehiculo-electrico?utm_campaign=SIC%20-%20Veh%C3%ADculo%20El%C3%A9ctrico&amp;utm_medium=email&amp;_hsenc=p2ANqtz-_1b7T9JD1AgARSqb9mNsEuOV0k9JJNxDG3il6xmgiUC4JkUnzif_-w4QZWI9F0eh9FXJwcxs3r8QTAaRnJAmP-HPTT4OXpzbseuyvW9jgpHu_fW70&amp;_hsmi=71033675&amp;utm_source=hs_automation&amp;utm_content=71033675&amp;hsCtaTracking=2e94ebfc-d414-4389-870c-d2f266a9420b%7C587ac4dc-a49a-4bdc-b449-e36f5d95395b</t>
  </si>
  <si>
    <t>538@herquesa.com</t>
  </si>
  <si>
    <t>https://resources.simonelectric.com/simon-ebook-vehiculo-electrico?utm_campaign=SIC%20-%20Veh%C3%ADculo%20El%C3%A9ctrico&amp;utm_source=hs_automation&amp;utm_medium=email&amp;utm_content=71033675&amp;_hsenc=p2ANqtz-8uVlJOThJton616C975fuMS-F_IUZSuUO-UgOcH1eDWsvjojKL3LVcRrtp65m-CNuNeWXURwx2QlBa1DEKc_1ls2TM1w&amp;_hsmi=71033675</t>
  </si>
  <si>
    <t>539@cablenergia.com</t>
  </si>
  <si>
    <t>https://resources.simonelectric.com/simon-ebook-vehiculo-electrico?utm_campaign=SIC%20-%20Veh%C3%ADculo%20El%C3%A9ctrico&amp;utm_source=hs_automation&amp;utm_medium=email&amp;utm_content=71033675&amp;_hsenc=p2ANqtz-8svxI2D-kxxIcMefLGlXpxbt81YKaidqzm_WDes7f0geGtktiSfY_T2cQ5ByyHFSH-2bJcvhL5S7yK1l9Hm0BmYuylonImkjquBprB5Gm4-YpFpBU&amp;_hsmi=71033675</t>
  </si>
  <si>
    <t>540@hotmail.com</t>
  </si>
  <si>
    <t>541@gmail.com</t>
  </si>
  <si>
    <t>https://resources.simonelectric.com/simon-ebook-vehiculo-electrico?utm_campaign=SIC%20-%20Veh%C3%ADculo%20El%C3%A9ctrico&amp;utm_medium=email&amp;_hsenc=p2ANqtz-9kCxQ0rr5HPWPdGklc3v8DJaUlkCH-BfRQrlQQ7jhdpvG_kCkDpwF2nndNxG8Q5o54ZcHRlKGgAdMZGbu88n1vH3vE1sPxn3c-HtWL1fUWYguFnJU&amp;_hsmi=71033675&amp;utm_source=hs_automation&amp;utm_content=71033675&amp;hsCtaTracking=2e94ebfc-d414-4389-870c-d2f266a9420b%7C587ac4dc-a49a-4bdc-b449-e36f5d95395b</t>
  </si>
  <si>
    <t>542@yahoo.es</t>
  </si>
  <si>
    <t>https://resources.simonelectric.com/simon-ebook-vehiculo-electrico?utm_campaign=SIC%20-%20Veh%C3%ADculo%20El%C3%A9ctrico&amp;utm_medium=email&amp;_hsenc=p2ANqtz--c5jPoaNzd6mpjXU4v3rgFExkkkql6bDFgtJ7e81mdWFKMR7Ti0Or9_pWIXI1dY4QIquMVZYUU1orAl7VjiaiJEkRGRw&amp;_hsmi=71033675&amp;utm_source=hs_automation&amp;utm_content=71033675&amp;hsCtaTracking=2e94ebfc-d414-4389-870c-d2f266a9420b%7C587ac4dc-a49a-4bdc-b449-e36f5d95395b</t>
  </si>
  <si>
    <t>543@andreumanteniment.com</t>
  </si>
  <si>
    <t>https://resources.simonelectric.com/simon-ebook-vehiculo-electrico?utm_campaign=SIC%20-%20Veh%C3%ADculo%20El%C3%A9ctrico&amp;utm_medium=email&amp;_hsenc=p2ANqtz-8TFUJeEuDorOj77VXa7ibuTasXMAYwG5MOl8tRuSL9R-zEGJ7U8nkqR6gEzFTrXPO0TRrL_9vZc_-asfDicHWy0iSIOJlyjkDPGdiDcYUb_RxGMO8&amp;_hsmi=71033675&amp;utm_source=hs_automation&amp;utm_content=71033675&amp;hsCtaTracking=2e94ebfc-d414-4389-870c-d2f266a9420b%7C587ac4dc-a49a-4bdc-b449-e36f5d95395b</t>
  </si>
  <si>
    <t>544@telnor.es</t>
  </si>
  <si>
    <t>https://resources.simonelectric.com/simon-ebook-vehiculo-electrico?utm_campaign=SIC%20-%20Veh%C3%ADculo%20El%C3%A9ctrico&amp;utm_source=hs_automation&amp;utm_medium=email&amp;utm_content=71033675&amp;_hsenc=p2ANqtz-87RAel5AH6t3W4V3Q0-5GGvPE_1jb7-lmD8647b8Jh7gN6--wQslQkWnNUSyY_BQg3D1c3LB1Svq7VYUoJSNv9Xcl-Zg&amp;_hsmi=71033675</t>
  </si>
  <si>
    <t>545@serviciosenergeticoslp.es</t>
  </si>
  <si>
    <t>https://resources.simonelectric.com/simon-ebook-vehiculo-electrico?utm_campaign=SIC%20-%20Veh%C3%ADculo%20El%C3%A9ctrico&amp;utm_medium=email&amp;_hsenc=p2ANqtz--5LnQOG7tywrvilC9JBOg_-Wr3anvpqwSudwyU1A7W_fZOpwTKLV20r8B6jazXYd16hQ4PGQ4yesnz01AoeZrDH_yjUNNvkqsgO54dNRbzynuFAUY&amp;_hsmi=71033675&amp;utm_source=hs_automation&amp;utm_content=71033675&amp;hsCtaTracking=2e94ebfc-d414-4389-870c-d2f266a9420b%7C587ac4dc-a49a-4bdc-b449-e36f5d95395b</t>
  </si>
  <si>
    <t>546@gmail.com</t>
  </si>
  <si>
    <t>https://resources.simonelectric.com/simon-catalogo-vehiculo-electrico?utm_campaign=SIC%20-%20Veh%C3%ADculo%20El%C3%A9ctrico&amp;utm_medium=email&amp;_hsenc=p2ANqtz--bpnd-LeOMoKowf84GOQ06OaXXYmdhouU42riYRhczluV_4QDHApMtMSOQZCoFckMj3OWMYyh9E0TZDXa9h9YtcIYHww&amp;_hsmi=87865495&amp;utm_source=hs_automation&amp;utm_content=87865495&amp;hsCtaTracking=6fedf137-fd90-4f17-bfb4-d61f710ec7f8%7Cf2771843-6636-4969-9010-2d8d0389b89c</t>
  </si>
  <si>
    <t>547@grupocuerva.com</t>
  </si>
  <si>
    <t>https://resources.simonelectric.com/simon-ebook-vehiculo-electrico?utm_campaign=SIC%20-%20Veh%C3%ADculo%20El%C3%A9ctrico&amp;utm_medium=email&amp;_hsenc=p2ANqtz-8JHZSYGCCromreiNSGWIsHQe7G7n74zcnA_LJ6ndj1mf0Pi9KWy84YDS0NGi99j0JOXNc-NvS3bkZ-cZU_co02LMd27g&amp;_hsmi=71033675&amp;utm_source=hs_automation&amp;utm_content=71033675&amp;hsCtaTracking=2e94ebfc-d414-4389-870c-d2f266a9420b%7C587ac4dc-a49a-4bdc-b449-e36f5d95395b</t>
  </si>
  <si>
    <t>548@hotmail.com</t>
  </si>
  <si>
    <t>https://resources.simonelectric.com/simon-ebook-vehiculo-electrico?utm_campaign=SIC%20-%20Veh%C3%ADculo%20El%C3%A9ctrico&amp;utm_source=hs_automation&amp;utm_medium=email&amp;utm_content=71033675&amp;_hsenc=p2ANqtz-8HCrm6KoorAqJ732uCMuXfEHQgG1ywVH4jU02qLi993G7PuSCmMQG9aPtzzDsDVhfs5a6zRFOTccAsUwiCUda7PTCqOA&amp;_hsmi=71033675</t>
  </si>
  <si>
    <t>https://resources.simonelectric.com/simon-ebook-vehiculo-electrico?utm_campaign=SIC%20-%20Veh%C3%ADculo%20El%C3%A9ctrico&amp;utm_medium=email&amp;_hsenc=p2ANqtz-8Q56v8evoX2iEPzHRytxr-_EWU0EF_qXjefRHCP4abVQXgw_aqe0YT3PW0e2CxrFoMEK9FkklJ55ctYajx3L_B1DE3aw&amp;_hsmi=71033675&amp;utm_source=hs_automation&amp;utm_content=71033675&amp;hsCtaTracking=2e94ebfc-d414-4389-870c-d2f266a9420b%7C587ac4dc-a49a-4bdc-b449-e36f5d95395b</t>
  </si>
  <si>
    <t>549@gmail.com</t>
  </si>
  <si>
    <t>https://resources.simonelectric.com/simon-ebook-vehiculo-electrico?utm_campaign=SIC%20-%20Veh%C3%ADculo%20El%C3%A9ctrico&amp;utm_medium=email&amp;_hsenc=p2ANqtz-8UCebkD65KuUaSxwJc83uwN18GL7QRQ6j-6GdYk4HbeIOEqTxGDvzxxrUaNLprjzJoBxTekt-D3UZo1L61f0b-kmOWonviqvBVmAnIq6p693Wha_E&amp;_hsmi=71033675&amp;utm_source=hs_automation&amp;utm_content=71033675&amp;hsCtaTracking=2e94ebfc-d414-4389-870c-d2f266a9420b%7C587ac4dc-a49a-4bdc-b449-e36f5d95395b</t>
  </si>
  <si>
    <t>550@activate2.com</t>
  </si>
  <si>
    <t>https://resources.simonelectric.com/simon-ebook-vehiculo-electrico?utm_campaign=SIC%20-%20Veh%C3%ADculo%20El%C3%A9ctrico&amp;utm_medium=email&amp;_hsenc=p2ANqtz-_84Mt4UGXJ-YMIcsPA8u3kTG7WP94Oec7SzHkHTpiFftNYqIauM3HBN1QOY_wMQJWU9m1McYV4hCMu8F3WAC5JCwCr6Q&amp;_hsmi=71033675&amp;utm_source=hs_automation&amp;utm_content=71033675&amp;hsCtaTracking=2e94ebfc-d414-4389-870c-d2f266a9420b%7C587ac4dc-a49a-4bdc-b449-e36f5d95395b</t>
  </si>
  <si>
    <t>551@mdvproyectos.es</t>
  </si>
  <si>
    <t>https://resources.simonelectric.com/simon-ebook-vehiculo-electrico?utm_campaign=SIC%20-%20Veh%C3%ADculo%20El%C3%A9ctrico&amp;utm_medium=email&amp;_hsenc=p2ANqtz-8Ei0cwddaquGsayFmKxtvwNwtEyynqllbJHGc1xzRyIA3alLwxzanTpCT4-GBdL3M6m9lfOuqX970DwxwQcJ6863CN1Q&amp;_hsmi=71033675&amp;utm_source=hs_automation&amp;utm_content=71033675&amp;hsCtaTracking=2e94ebfc-d414-4389-870c-d2f266a9420b%7C587ac4dc-a49a-4bdc-b449-e36f5d95395b</t>
  </si>
  <si>
    <t>552@engie.com</t>
  </si>
  <si>
    <t>https://resources.simonelectric.com/simon-ebook-vehiculo-electrico?utm_campaign=SIC%20-%20Veh%C3%ADculo%20El%C3%A9ctrico&amp;utm_source=hs_automation&amp;utm_medium=email&amp;utm_content=71033675&amp;_hsenc=p2ANqtz-8_oJsr1e8Mt0qRP15E2YxY2UJSawDSk478T8w6ih1i78Rc2b9V38z4TweTCe969niDXN9IZNgaREpo2vY60pEuqngRI29qXm_XlYxUttKBfpTZ3rE&amp;_hsmi=71033675</t>
  </si>
  <si>
    <t>553@aenor.com</t>
  </si>
  <si>
    <t>https://resources.simonelectric.com/simon-ebook-vehiculo-electrico?utm_campaign=SIC%20-%20Veh%C3%ADculo%20El%C3%A9ctrico&amp;utm_source=hs_automation&amp;utm_medium=email&amp;utm_content=71033675&amp;_hsenc=p2ANqtz--mVBsxcXfbglkT3dbK6vqV-ekSjdgHNy1rDbNwQ8ikn_Blf74CgrPRK3DAPf-OOwi3BfBj4zgdN55nQ1-leBoSIsF8Bg&amp;_hsmi=71033675</t>
  </si>
  <si>
    <t>554@gngrup.com</t>
  </si>
  <si>
    <t>https://resources.simonelectric.com/simon-ebook-vehiculo-electrico?utm_campaign=SIC%20-%20Veh%C3%ADculo%20El%C3%A9ctrico&amp;utm_medium=email&amp;_hsenc=p2ANqtz--7j8h_10frOCezFOi2sNYsz6vdjcQ3mh-3CrpB_i1WD3PLF_t1BLLq2XX27caRgX1BJfqeOUH_PDr5X0twg4P8axEJyg&amp;_hsmi=71033675&amp;utm_source=hs_automation&amp;utm_content=71033675&amp;hsCtaTracking=2e94ebfc-d414-4389-870c-d2f266a9420b%7C587ac4dc-a49a-4bdc-b449-e36f5d95395b</t>
  </si>
  <si>
    <t>555@yahoo.es</t>
  </si>
  <si>
    <t>https://resources.simonelectric.com/simon-ebook-vehiculo-electrico?utm_campaign=SIC%20-%20Veh%C3%ADculo%20El%C3%A9ctrico&amp;utm_medium=email&amp;_hsenc=p2ANqtz-_b0yqvbWnqss_G1kexfkOnMqp1yqVdlf_M_ly1EXNeSooWIr5wTibioLzF1oh8UCSSaEOBTMcviPqJ70hNUy5BoNXXuw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</si>
  <si>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source=hs_automation&amp;utm_medium=email&amp;utm_content=71033675&amp;_hsenc=p2ANqtz-_r6v-ZxLB7qT6U7PP5XbdZJFlsQzIvwVNUKR-i7CLRlLXQpWCsRFX4ywCJT4v4I3Zqeya2oJjyFSdBnXEqro5XYDWNkA&amp;_hsmi=71033675</t>
  </si>
  <si>
    <t>556@gmail.com</t>
  </si>
  <si>
    <t>https://resources.simonelectric.com/simon-ebook-vehiculo-electrico?utm_campaign=SIC%20-%20Veh%C3%ADculo%20El%C3%A9ctrico&amp;utm_source=hs_automation&amp;utm_medium=email&amp;utm_content=71033675&amp;_hsenc=p2ANqtz-8cPpEQJNTYPEmYaIPi6Rkl02QjeIaLMC8K6eyHqVVnB1ldgrPExF9_3RjfHiGMGgPjPbCs6dIdbD93u0ve8V2GyX7bcg&amp;_hsmi=71033675</t>
  </si>
  <si>
    <t>557@dip-badajoz.es</t>
  </si>
  <si>
    <t>https://resources.simonelectric.com/simon-ebook-vehiculo-electrico?utm_campaign=SIC%20-%20Veh%C3%ADculo%20El%C3%A9ctrico&amp;utm_medium=email&amp;_hsenc=p2ANqtz-87hWD9Q4FQw5ZOWvJeHGiCQ7YC9flz9BlX0Kw-Es-iDULh0M207aEoi1K7YyjX9kvwse7qpSBHXj_IcgqLgR5jH7Ly5VOLuRVl5XhRO6k8609pBuk&amp;_hsmi=71033675&amp;utm_source=hs_automation&amp;utm_content=71033675&amp;hsCtaTracking=2e94ebfc-d414-4389-870c-d2f266a9420b%7C587ac4dc-a49a-4bdc-b449-e36f5d95395b</t>
  </si>
  <si>
    <t>558@gmail.com</t>
  </si>
  <si>
    <t>https://resources.simonelectric.com/simon-ebook-vehiculo-electrico?utm_campaign=SIC%20-%20Veh%C3%ADculo%20El%C3%A9ctrico&amp;utm_medium=email&amp;_hsenc=p2ANqtz--oRO15zP_0cA5_wt6go8IhjhK128F02w5ovwHctZXt6C8kwJNCGCkbrFxpiTwT_ZY1rDhwI-cOtq5x_dC0XI4S2m9DvA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</si>
  <si>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medium=email&amp;_hsenc=p2ANqtz-_kegvrOgX1OBu_o7suvwbNxebOqr2bw_VHH6k4XeGnaZicrVKuzthKNQEQisA788bgJO9NneFYOTaw6bZTMFKEUvyW1A&amp;_hsmi=71033675&amp;utm_source=hs_automation&amp;utm_content=71033675&amp;hsCtaTracking=2e94ebfc-d414-4389-870c-d2f266a9420b%7C587ac4dc-a49a-4bdc-b449-e36f5d95395b</t>
  </si>
  <si>
    <t>559@sygsa.com</t>
  </si>
  <si>
    <t>https://resources.simonelectric.com/simon-catalogo-vehiculo-electrico?utm_campaign=SIC%20-%20Veh%C3%ADculo%20El%C3%A9ctrico&amp;utm_source=hs_automation&amp;utm_medium=email&amp;utm_content=71034014&amp;_hsenc=p2ANqtz-_fTNfSr0WUT-EcN5Czp_1j3sx0bsfCsthSfpuByNBr2rH2K953bG9imy-kF7ZTTsIViLEamcdFV1pWyluXDc5kpNnsAA&amp;_hsmi=71034014</t>
  </si>
  <si>
    <t>560@gmail.com</t>
  </si>
  <si>
    <t>https://resources.simonelectric.com/simon-ebook-vehiculo-electrico?utm_campaign=SIC%20-%20Veh%C3%ADculo%20El%C3%A9ctrico&amp;utm_medium=email&amp;_hsenc=p2ANqtz-9Ztd0yO94Wh4LVIHbo4jYYt-SYIZKVupYAtBKczbXvCKvg_uCoESbCxwUnrmgFv9U2-t3XpdM1Id4Y6Kzwj8EJeo6MNA&amp;_hsmi=71033675&amp;utm_source=hs_automation&amp;utm_content=71033675&amp;hsCtaTracking=2e94ebfc-d414-4389-870c-d2f266a9420b%7C587ac4dc-a49a-4bdc-b449-e36f5d95395b</t>
  </si>
  <si>
    <t>561@aialmeingenieros.com</t>
  </si>
  <si>
    <t>https://resources.simonelectric.com/simon-ebook-vehiculo-electrico?utm_campaign=SIC%20-%20Veh%C3%ADculo%20El%C3%A9ctrico&amp;utm_source=hs_automation&amp;utm_medium=email&amp;utm_content=71033675&amp;_hsenc=p2ANqtz-9tiUpHKpwa4kFKhVf_fHNfYdkQ-5AUe-7fQg2qNhW0nrHJ2vYw8_ivfXvixIWw1DzDNmt9FOCuIGhn7tS7wCXwG6n-xg&amp;_hsmi=71033675</t>
  </si>
  <si>
    <t>https://resources.simonelectric.com/simon-material-formativo-vehiculo-electrico?utm_campaign=SIC%20-%20Veh%C3%ADculo%20El%C3%A9ctrico&amp;utm_source=hs_email&amp;utm_medium=email&amp;utm_content=88328407&amp;_hsenc=p2ANqtz-9R3t3CNihLEMfpC7LQWFQaVbs_RVoE5iW2YlOtRxCKLt3D9bLTSv-0PVfgxeZAzHv7x3hI4b6gDb_MYNxclQJKkoDJ7g&amp;_hsmi=88328232</t>
  </si>
  <si>
    <t>562@gmail.com</t>
  </si>
  <si>
    <t>563@salesianospamplona.net</t>
  </si>
  <si>
    <t>https://resources.simonelectric.com/simon-material-formativo-vehiculo-electrico?utm_campaign=SIC%20-%20Veh%C3%ADculo%20El%C3%A9ctrico&amp;utm_medium=email&amp;_hsenc=p2ANqtz-82fON7kympWzymsdc-DzJsRnZXd5TZxVweGXZOClhCGlRJJ6UoJy8Uv7tjGvGKJHYtDSFKakRusW04-qVEztbBr5FIUpzxrUaqNkO4YEq8GrXkTMs&amp;_hsmi=88328232&amp;utm_source=hs_email&amp;utm_content=88328407&amp;hsCtaTracking=f8a31ce8-daf1-4d69-a5d6-c3349f3aab91%7C75f9b9fd-a2b2-4ad4-9d4a-0dcb7c99194f</t>
  </si>
  <si>
    <t>564@gmail.com</t>
  </si>
  <si>
    <t>https://resources.simonelectric.com/simon-ebook-vehiculo-electrico-0?gclid=EAIaIQobChMI-Mfnl57N6QIVDGsbCh1_2Q1oEAEYASAAEgLDBvD_BwE</t>
  </si>
  <si>
    <t>https://resources.simonelectric.com/simon-material-formativo-vehiculo-electrico?utm_campaign=SIC%20-%20Veh%C3%ADculo%20El%C3%A9ctrico&amp;utm_medium=email&amp;_hsenc=p2ANqtz-_Ws0ycH-4l-D_Cz9-JO9lMoWRlLH65vZa3nioxoCqD-sr3y_e7Ypg-DzUgKT5wKfe6-4NLIW98oj2iOdDxdgVraKYd-A&amp;_hsmi=88328232&amp;utm_source=hs_email&amp;utm_content=88328407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</si>
  <si>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-9k4OEpfaqhXQS1XD7MyuGmWbU4EVl21E3nb8j68RfYrZK-SjeVK7BmSAnvbjUw_9ky_Zj6w-pGu7_6y4FBIwk3z4a0bQ&amp;_hsmi=88328232&amp;utm_source=hs_email&amp;utm_content=88328407&amp;hsCtaTracking=f8a31ce8-daf1-4d69-a5d6-c3349f3aab91%7C75f9b9fd-a2b2-4ad4-9d4a-0dcb7c99194f</t>
  </si>
  <si>
    <t>565@gmail.com</t>
  </si>
  <si>
    <t>566@gmail.com</t>
  </si>
  <si>
    <t>567@sonovatec.com</t>
  </si>
  <si>
    <t>https://resources.simonelectric.com/simon-material-formativo-vehiculo-electrico?utm_campaign=SIC%20-%20Veh%C3%ADculo%20El%C3%A9ctrico&amp;utm_medium=email&amp;_hsenc=p2ANqtz-9PHmbVowtkih7sukY4cmt9TqtqYnXfsOIEsSFwESsF1WnPY65fkh6o6U0dylY9Mk122DVCq3FnnDhrVr7vKIcUHTNddA&amp;_hsmi=88328232&amp;utm_source=hs_email&amp;utm_content=88328407&amp;hsCtaTracking=f8a31ce8-daf1-4d69-a5d6-c3349f3aab91%7C75f9b9fd-a2b2-4ad4-9d4a-0dcb7c99194f</t>
  </si>
  <si>
    <t>568@hotmail.com</t>
  </si>
  <si>
    <t>569@hotmail.com</t>
  </si>
  <si>
    <t>https://resources.simonelectric.com/simon-catalogo-vehiculo-electrico?utm_campaign=SIC%20-%20Veh%C3%ADculo%20El%C3%A9ctrico&amp;utm_medium=email&amp;_hsenc=p2ANqtz-8-kwnvhQet2datJ1rb_Nqc2Fnn51DVHC3oq5GAI6l3pcok-0oFqcanaoT9k7N_GfRmj7Yd&amp;_hsmi=87085363&amp;utm_content=87085363&amp;utm_source=hs_email&amp;hsCtaTracking=6fedf137-fd90-4f17-bfb4-d61f710ec7f8%7Cf2771843-6636-4969-9010-2d8d0389b89c</t>
  </si>
  <si>
    <t>570@hotmail.com</t>
  </si>
  <si>
    <t>571@outlook.com</t>
  </si>
  <si>
    <t>https://resources.simonelectric.com/simon-material-formativo-vehiculo-electrico?utm_campaign=SIC%20-%20Veh%C3%ADculo%20El%C3%A9ctrico&amp;utm_medium=email&amp;_hsenc=p2ANqtz-8Uv9XBwBSOHlkT2P6uZ8cZ3C6gf51AsO7GcxCGFf5cX05FpvZL_AETZlZHrZMMY8FJHLpOfTgp-rJEzi-4W-2kkxLqUfvznr1S-9RzjVTwAsZIUqc&amp;_hsmi=88328232&amp;utm_source=hs_email&amp;utm_content=88328407&amp;hsCtaTracking=f8a31ce8-daf1-4d69-a5d6-c3349f3aab91%7C75f9b9fd-a2b2-4ad4-9d4a-0dcb7c99194f</t>
  </si>
  <si>
    <t>572@gmail.com</t>
  </si>
  <si>
    <t>https://resources.simonelectric.com/simon-material-formativo-vehiculo-electrico?utm_campaign=SIC%20-%20Veh%C3%ADculo%20El%C3%A9ctrico&amp;utm_medium=email&amp;_hsenc=p2ANqtz-_Sg0p8orj6xEFLajd1g_9dDt1M3mXdjaNdLep8oiyWNmpuko05GOWm5hGHLpRS7l-3kxOHqj2PJ7rLfUqavuufGltmBA&amp;_hsmi=88328232&amp;utm_source=hs_email&amp;utm_content=88328407&amp;hsCtaTracking=f8a31ce8-daf1-4d69-a5d6-c3349f3aab91%7C75f9b9fd-a2b2-4ad4-9d4a-0dcb7c99194f</t>
  </si>
  <si>
    <t>573@gmail.com</t>
  </si>
  <si>
    <t>574@tecuni.com</t>
  </si>
  <si>
    <t>https://resources.simonelectric.com/simon-ebook-vehiculo-electrico-0?gclid=CjwKCAjwk6P2BRAIEiwAfVJ0rIsM4d8tR45JjqRXZoR-BNLRKHF_xdY6VBhaQfFmpYvFiY2fP_QvvhoCJrUQAvD_BwE</t>
  </si>
  <si>
    <t>575@hotmail.com</t>
  </si>
  <si>
    <t>https://resources.simonelectric.com/simon-material-formativo-vehiculo-electrico?utm_campaign=SIC%20-%20Veh%C3%ADculo%20El%C3%A9ctrico&amp;utm_source=hs_email&amp;utm_medium=email&amp;utm_content=88328407&amp;_hsenc=p2ANqtz-_sCXElDEnmDvvimGMw-ia0oa42gBBs8PUxPFEb8lqZmGpqRqAWZRyovC9KQjDs5at_bybuzt-L5ik8Z9aZ19vcoe_LKw&amp;_hsmi=88328234</t>
  </si>
  <si>
    <t>576@gmail.com</t>
  </si>
  <si>
    <t>https://resources.simonelectric.com/simon-material-formativo-vehiculo-electrico?utm_campaign=SIC%20-%20Veh%C3%ADculo%20El%C3%A9ctrico&amp;utm_medium=email&amp;_hsenc=p2ANqtz--YtrrJnO1NPGc8LlnHtD1bts_C9gEUE5uiEYRAAvbEPTCWUT843dNG5Nx627bUj-HXkly3ucW0wwTScnmsrx7dZ0qKLg&amp;_hsmi=88328232&amp;utm_source=hs_email&amp;utm_content=88328407&amp;hsCtaTracking=f8a31ce8-daf1-4d69-a5d6-c3349f3aab91%7C75f9b9fd-a2b2-4ad4-9d4a-0dcb7c99194f</t>
  </si>
  <si>
    <t>577@electroalbors.com</t>
  </si>
  <si>
    <t>https://resources.simonelectric.com/simon-ebook-vehiculo-electrico?utm_campaign=SIC%20-%20Veh%C3%ADculo%20El%C3%A9ctrico&amp;utm_source=hs_automation&amp;utm_medium=email&amp;utm_content=71033675&amp;_hsenc=p2ANqtz--JdHhnOzj8nCH1Hyjfb2kkWYdkRwc0_zt8WvFX7AWAgLf42WLCVXSls1ljS4kFU7SJyfV2S7_PfwXnJXYI-TGv-ouMrw&amp;_hsmi=71033675</t>
  </si>
  <si>
    <t>578@gmail.com</t>
  </si>
  <si>
    <t>https://resources.simonelectric.com/simon-material-formativo-vehiculo-electrico?utm_campaign=SIC%20-%20Veh%C3%ADculo%20El%C3%A9ctrico&amp;utm_medium=email&amp;_hsenc=p2ANqtz-9lr27fRTus4fTGp3tb9fR8xveAoPOJHu0FXLlqMm80JNrOhxHjdk2vXu9fp2e3mm0-RKUaxDod-oObPjNAxnN1SOS9sg&amp;_hsmi=88328232&amp;utm_source=hs_email&amp;utm_content=88328407&amp;hsCtaTracking=f8a31ce8-daf1-4d69-a5d6-c3349f3aab91%7C75f9b9fd-a2b2-4ad4-9d4a-0dcb7c99194f</t>
  </si>
  <si>
    <t>579@gmail.com</t>
  </si>
  <si>
    <t>580@gmail.com</t>
  </si>
  <si>
    <t>https://resources.simonelectric.com/simon-ebook-vehiculo-electrico?utm_campaign=SIC%20-%20Veh%C3%ADculo%20El%C3%A9ctrico&amp;utm_medium=email&amp;_hsenc=p2ANqtz--bWWVxajLJkCEztHOwWKJBlNf1nwWrBLUwquuRlfCA20ce_o2jd0D48f0ghjb6ZWT3qgjsoYulAkSQFKKoTUW0kYxFPw&amp;_hsmi=71033675&amp;utm_source=hs_automation&amp;utm_content=71033675&amp;hsCtaTracking=2e94ebfc-d414-4389-870c-d2f266a9420b%7C587ac4dc-a49a-4bdc-b449-e36f5d95395b</t>
  </si>
  <si>
    <t>581@gmail.com</t>
  </si>
  <si>
    <t>https://resources.simonelectric.com/simon-material-formativo-vehiculo-electrico?utm_campaign=SIC%20-%20Veh%C3%ADculo%20El%C3%A9ctrico&amp;utm_medium=email&amp;_hsenc=p2ANqtz-8LaZoKlJL4srW2B6_dNofkJJRxdmCLMt6sw35lOTrrfMwpqlI3RsG_n44A0cUW3ZNNLOuJ7XA8P_dOEdPxJjogjjLHCA&amp;_hsmi=88328236&amp;utm_source=hs_email&amp;utm_content=88328407&amp;hsCtaTracking=f8a31ce8-daf1-4d69-a5d6-c3349f3aab91%7C75f9b9fd-a2b2-4ad4-9d4a-0dcb7c99194f</t>
  </si>
  <si>
    <t>https://resources.simonelectric.com/simon-material-formativo-vehiculo-electrico?utm_campaign=SIC%20-%20Veh%C3%ADculo%20El%C3%A9ctrico&amp;utm_source=hs_email&amp;utm_medium=email&amp;utm_content=88328407&amp;_hsenc=p2ANqtz-_E5LHHP1JqL7hqIfjS3qhzTUuAvgdgkPAY6RBU4woh80maHZOb-Mi0AxHfgGimj5Bb_zfUNDFtH4PFJO-dGWk_QFf2Rg&amp;_hsmi=88328232</t>
  </si>
  <si>
    <t>582@gmail.com</t>
  </si>
  <si>
    <t>https://resources.simonelectric.com/simon-material-formativo-vehiculo-electrico?utm_campaign=SIC%20-%20Veh%C3%ADculo%20El%C3%A9ctrico&amp;utm_source=hs_email&amp;utm_medium=email&amp;utm_content=88328407&amp;_hsenc=p2ANqtz-84ueM-V8WjkMZJ7pGLkeanbxOsYsfDMRHzmRXIgfhmN9OQrEf2DVbtET8pE7-WADgPljXyZNYbt8GMoMDBtzyMiKRtAw&amp;_hsmi=88328232</t>
  </si>
  <si>
    <t>583@iesmontsia.org</t>
  </si>
  <si>
    <t>https://resources.simonelectric.com/simon-ebook-vehiculo-electrico-ppc?utm_source=facebook&amp;utm_medium=social_ads&amp;utm_campaign=vehiculo_electrico&amp;fbclid=IwAR3l-MiirM5aqQxNkQJZ_nzR4q4JmqLgfTlLgSE6Ks-8yx8W94anxVyPxVg</t>
  </si>
  <si>
    <t>584@petronet24.net</t>
  </si>
  <si>
    <t>585@hotmail.com</t>
  </si>
  <si>
    <t>586@hotmail.com</t>
  </si>
  <si>
    <t>https://resources.simonelectric.com/simon-material-formativo-vehiculo-electrico?utm_campaign=SIC%20-%20Veh%C3%ADculo%20El%C3%A9ctrico&amp;utm_medium=email&amp;_hsenc=p2ANqtz--uWGtdNvW7wCpqEtAyfS3KEUYpaY6m3ZSNUPF9MJIR5wkZWPTCFtY-XmJP1jBJRxuk2hbv6pKNz9hUGdy0Qf1ouRf5J07uaciSNVXJcnk4DF2AdRk&amp;_hsmi=88328232&amp;utm_source=hs_email&amp;utm_content=88328407&amp;hsCtaTracking=f8a31ce8-daf1-4d69-a5d6-c3349f3aab91%7C75f9b9fd-a2b2-4ad4-9d4a-0dcb7c99194f</t>
  </si>
  <si>
    <t>587@gescogestio.com</t>
  </si>
  <si>
    <t>https://resources.simonelectric.com/simon-catalogo-vehiculo-electrico?utm_campaign=SIC%20-%20Veh%C3%ADculo%20El%C3%A9ctrico&amp;utm_medium=email&amp;_hsenc=p2ANqtz--k6sijxyr8_uynTMi-k1xjXpPCIDvcbsgHyMXx5AnKGSsKN_3ETfKo3ZWbqfr08cu7PRptrRYKBDV0lLonZgAc6f3m7MAGuelQGJyw4PubqYdGoGc&amp;_hsmi=87865495&amp;utm_source=hs_automation&amp;utm_content=87865495&amp;hsCtaTracking=6fedf137-fd90-4f17-bfb4-d61f710ec7f8%7Cf2771843-6636-4969-9010-2d8d0389b89c</t>
  </si>
  <si>
    <t>588@gmail.com</t>
  </si>
  <si>
    <t>https://resources.simonelectric.com/simon-material-formativo-vehiculo-electrico?utm_campaign=SIC%20-%20Veh%C3%ADculo%20El%C3%A9ctrico&amp;utm_source=hs_email&amp;utm_medium=email&amp;utm_content=88328407&amp;_hsenc=p2ANqtz-8MLm_LU9koEuaWVX6ZCPIj09l-f6yVKtacL2VYIVArrGiOkOTomakLD2VpUOTAB97unPwg7jJjrtKw6oJCKwh-8bFMzw&amp;_hsmi=88328235</t>
  </si>
  <si>
    <t>https://resources.simonelectric.com/simon-material-formativo-vehiculo-electrico?utm_campaign=SIC%20-%20Veh%C3%ADculo%20El%C3%A9ctrico&amp;utm_source=hs_email&amp;utm_medium=email&amp;utm_content=88328407&amp;_hsenc=p2ANqtz-8jXRQd26QIxI8qie5y8Zbv7UENJ-cOCKemZ3hwR4EiLfd4K2JFQQj50tmsmWsHoqNI3a33BUt-Ilxfqleftk1vqonF_A&amp;_hsmi=88328232</t>
  </si>
  <si>
    <t>589@freelight.es</t>
  </si>
  <si>
    <t>https://resources.simonelectric.com/simon-material-formativo-vehiculo-electrico?utm_campaign=SIC%20-%20Veh%C3%ADculo%20El%C3%A9ctrico&amp;utm_medium=email&amp;_hsenc=p2ANqtz-8EczCClvakXtdhppS7O15EVDV-_pt0TEFMkVNkFGZGqimtXucc0yDps-GdelqTTlpZbPzGMsQlWz47s1mudeO-yyTm_Q&amp;_hsmi=88328232&amp;utm_source=hs_email&amp;utm_content=88328407&amp;hsCtaTracking=f8a31ce8-daf1-4d69-a5d6-c3349f3aab91%7C75f9b9fd-a2b2-4ad4-9d4a-0dcb7c99194f</t>
  </si>
  <si>
    <t>590@hotmail.com</t>
  </si>
  <si>
    <t>https://resources.simonelectric.com/simon-material-formativo-vehiculo-electrico?utm_campaign=SIC%20-%20Veh%C3%ADculo%20El%C3%A9ctrico&amp;utm_medium=email&amp;_hsenc=p2ANqtz--Y_uGjGtrpQsoy73JJFVhzkOOVmaplR34Y-x21KGOYtPCK00k5ALo9qdD8QZPlG5_pMcoks721kQcOremhxNdGt_CWxUtoXTTLgT2kSMIylJ3tLSc&amp;_hsmi=88328232&amp;utm_source=hs_email&amp;utm_content=88328407&amp;hsCtaTracking=f8a31ce8-daf1-4d69-a5d6-c3349f3aab91%7C75f9b9fd-a2b2-4ad4-9d4a-0dcb7c99194f</t>
  </si>
  <si>
    <t>591@alterenergy.com.ar</t>
  </si>
  <si>
    <t>https://resources.simonelectric.com/simon-material-formativo-vehiculo-electrico?utm_campaign=SIC%20-%20Veh%C3%ADculo%20El%C3%A9ctrico&amp;utm_source=hs_email&amp;utm_medium=email&amp;utm_content=88328407&amp;_hsenc=p2ANqtz-9tAA9n0HIVIOgpL7iOFe-spnfB-tjFsrHeq8WZ1chCzIujkM2SRYGnTf_UNnKEI3cJOAe_W5q28M4R7Aq3eg_XCQlmviS0JsorVy9_d836PQ26mYc&amp;_hsmi=88328236</t>
  </si>
  <si>
    <t>592@garciacomas.com</t>
  </si>
  <si>
    <t>https://resources.simonelectric.com/simon-material-formativo-vehiculo-electrico?utm_campaign=SIC%20-%20Veh%C3%ADculo%20El%C3%A9ctrico&amp;utm_medium=email&amp;_hsenc=p2ANqtz-9TJzuaY3LkL3qH1ku6eaQjMTPl-lMnmzhjeBOmFCKdIJb2HCg72TJk4VJoWwU3ljn3Znj6GEymvNkGC-hHZiEpGaHe3emM10zhZRHoQvfJFPs4dEY&amp;_hsmi=88328232&amp;utm_source=hs_email&amp;utm_content=88328407&amp;hsCtaTracking=f8a31ce8-daf1-4d69-a5d6-c3349f3aab91%7C75f9b9fd-a2b2-4ad4-9d4a-0dcb7c99194f</t>
  </si>
  <si>
    <t>593@sorigue.com</t>
  </si>
  <si>
    <t>https://resources.simonelectric.com/simon-material-formativo-vehiculo-electrico?utm_campaign=SIC%20-%20Veh%C3%ADculo%20El%C3%A9ctrico&amp;utm_source=hs_email&amp;utm_medium=email&amp;utm_content=88328407&amp;_hsenc=p2ANqtz-_7zIVQR67TbJL679Nd7auqGS6zSUOozPBEJ-HVU5ZiXfRN6TnU29EEXEu2vpARXxGIW9BUn9D65BkuoUMwAgqMVPYElQ&amp;_hsmi=88328232</t>
  </si>
  <si>
    <t>594@hotmail.com</t>
  </si>
  <si>
    <t>https://resources.simonelectric.com/simon-material-formativo-vehiculo-electrico?utm_campaign=SIC%20-%20Veh%C3%ADculo%20El%C3%A9ctrico&amp;utm_medium=email&amp;_hsenc=p2ANqtz-9RvYssNd8XHlx86S4SY4zUiotWdApkT6AjwjPHu8ibLhUn3gLo160npdcl3zPB-guK4_j9qCk2cVGRwvplVMQ3QNJXPg&amp;_hsmi=88328232&amp;utm_source=hs_email&amp;utm_content=88328407&amp;hsCtaTracking=f8a31ce8-daf1-4d69-a5d6-c3349f3aab91%7C75f9b9fd-a2b2-4ad4-9d4a-0dcb7c99194f</t>
  </si>
  <si>
    <t>595@centroasturianobarcelona.com</t>
  </si>
  <si>
    <t>https://resources.simonelectric.com/simon-material-formativo-vehiculo-electrico?utm_campaign=SIC%20-%20Veh%C3%ADculo%20El%C3%A9ctrico&amp;utm_source=hs_email&amp;utm_medium=email&amp;utm_content=88328407&amp;_hsenc=p2ANqtz-8o0koKqCkPYCqywDYMJd8NxBI0_qvXdFvbHEXE-fnP6pTZtqTcG2hm1lEm_fQ4FvhPik5-FOuzXzE-p76sYl5NDsMAKUFXnCAym9CAIjp1j6tNCLg&amp;_hsmi=88328232</t>
  </si>
  <si>
    <t>https://resources.simonelectric.com/simon-material-formativo-vehiculo-electrico?utm_campaign=SIC%20-%20Veh%C3%ADculo%20El%C3%A9ctrico&amp;utm_source=hs_email&amp;utm_medium=email&amp;utm_content=88328407&amp;_hsenc=p2ANqtz-_NrK1_l4Q--xXA6y08vgiIvr6aXvxzYekVDZ2VoOvO4sMZwEIjnruWNbVklt0RvEHDyKW2Vaowz7syAxkzlSYv0NuTzg&amp;_hsmi=88328232</t>
  </si>
  <si>
    <t>596@gmail.com</t>
  </si>
  <si>
    <t>https://resources.simonelectric.com/simon-material-formativo-vehiculo-electrico?utm_campaign=SIC%20-%20Veh%C3%ADculo%20El%C3%A9ctrico&amp;utm_medium=email&amp;_hsenc=p2ANqtz-_zq_4wE-Pp7XbVkpK1RkIucr8LydzbDI1I6U723Edb6LbUQXGWyvD_t0OUgMIau6YSnxPZVsJxSCzRu1xnHsieyCtviw&amp;_hsmi=88328232&amp;utm_source=hs_email&amp;utm_content=88328407&amp;hsCtaTracking=f8a31ce8-daf1-4d69-a5d6-c3349f3aab91%7C75f9b9fd-a2b2-4ad4-9d4a-0dcb7c99194f</t>
  </si>
  <si>
    <t>597@svingenieria.com.co</t>
  </si>
  <si>
    <t>https://resources.simonelectric.com/simon-material-formativo-vehiculo-electrico?utm_campaign=SIC%20-%20Veh%C3%ADculo%20El%C3%A9ctrico&amp;utm_source=hs_email&amp;utm_medium=email&amp;utm_content=88328407&amp;_hsenc=p2ANqtz--OAUHKNXDH5AjeRCOz7t3PgYhrmmCKYSU2j4VySOwku5CNAQTPfaGPYppUVjxMNDJM56_TXQbaSp6Bsh3sa6eQbPqqv7U6VptPZjFzd6MZKen9Wqs&amp;_hsmi=88328233</t>
  </si>
  <si>
    <t>https://resources.simonelectric.com/simon-material-formativo-vehiculo-electrico?utm_campaign=SIC%20-%20Veh%C3%ADculo%20El%C3%A9ctrico&amp;utm_medium=email&amp;_hsenc=p2ANqtz--2Jx34gwexCLhURybUZC9JUJUmw22By6QhiFiyhbtHobJcrxOPUx1KOawX3RQbJ64hUdEISmfO_mE1q0KUx6vAw_qfHW7FyXH4QbSDE0871Evm72w&amp;_hsmi=88328232&amp;utm_source=hs_email&amp;utm_content=88328407&amp;hsCtaTracking=f8a31ce8-daf1-4d69-a5d6-c3349f3aab91%7C75f9b9fd-a2b2-4ad4-9d4a-0dcb7c99194f</t>
  </si>
  <si>
    <t>598@simon.es</t>
  </si>
  <si>
    <t>599@gmail.com</t>
  </si>
  <si>
    <t>https://resources.simonelectric.com/simon-material-formativo-vehiculo-electrico?utm_campaign=SIC%20-%20Veh%C3%ADculo%20El%C3%A9ctrico&amp;utm_medium=email&amp;_hsenc=p2ANqtz-8iGXlCa6QBUPv25KeiiHB0iRcqdUt012cKuaXcwrf1c9Hx1LFwm_5doWOeJLNnolSnbNCEIz21j06lqPW6Ugo3GkA5NA&amp;_hsmi=88328233&amp;utm_source=hs_email&amp;utm_content=88328407&amp;hsCtaTracking=f8a31ce8-daf1-4d69-a5d6-c3349f3aab91%7C75f9b9fd-a2b2-4ad4-9d4a-0dcb7c99194f</t>
  </si>
  <si>
    <t>600@saltoki.es</t>
  </si>
  <si>
    <t>https://resources.simonelectric.com/simon-catalogo-vehiculo-electrico?utm_campaign=SIC%20-%20Veh%C3%ADculo%20El%C3%A9ctrico&amp;utm_source=hs_automation&amp;utm_medium=email&amp;utm_content=87865495&amp;_hsenc=p2ANqtz-_7c80g9YKjrgB3AYT8f4GKHJDMumIFllz62iIwT8GWHLsz0oTZzNx5TR6kw5Sfh2g8W4L65UcUeQOOp9ehHyVsRpF6bQ&amp;_hsmi=87865495</t>
  </si>
  <si>
    <t>601@gmail.com</t>
  </si>
  <si>
    <t>https://resources.simonelectric.com/simon-material-formativo-vehiculo-electrico?utm_campaign=SIC%20-%20Veh%C3%ADculo%20El%C3%A9ctrico&amp;utm_medium=email&amp;_hsenc=p2ANqtz-9NGSvR0zY_FyiK1toqBUmcv7Op29-ebyLS7anBV4oKwIEb-Qaj4EmURvUzwVCNuUtMEfkZVr7UPPp-D0dDvqCq0kSpECvV2UjAHSdaOAeTM36hTic&amp;_hsmi=88328233&amp;utm_source=hs_email&amp;utm_content=88328407&amp;hsCtaTracking=f8a31ce8-daf1-4d69-a5d6-c3349f3aab91%7C75f9b9fd-a2b2-4ad4-9d4a-0dcb7c99194f</t>
  </si>
  <si>
    <t>https://resources.simonelectric.com/simon-material-formativo-vehiculo-electrico?utm_campaign=SIC%20-%20Veh%C3%ADculo%20El%C3%A9ctrico&amp;utm_source=hs_email&amp;utm_medium=email&amp;utm_content=88328407&amp;_hsenc=p2ANqtz-9Ob8rIIHn9pjaY-om-PPtsnzEVSyldhnTSkAFNz_x8yJ8QfOCE42k7TX6x6BhB-mjbAdtYPQk3Feb3WIa7kXKwLWN4Ng&amp;_hsmi=88328232</t>
  </si>
  <si>
    <t>602@gmail.com</t>
  </si>
  <si>
    <t>https://resources.simonelectric.com/simon-material-formativo-vehiculo-electrico?utm_campaign=SIC%20-%20Veh%C3%ADculo%20El%C3%A9ctrico&amp;utm_medium=email&amp;_hsenc=p2ANqtz-86Es4GWfIVtsiCEQSblTH5Zte-VU05p2uLu1US-p45TMBRgexf4l2fi9_EJbWvWflmujw4PoxSCiE45ZJJoRWwGO8pvEvOn6mDxEgUkRpZM-D02pI&amp;_hsmi=88328232&amp;utm_source=hs_email&amp;utm_content=88328407&amp;hsCtaTracking=f8a31ce8-daf1-4d69-a5d6-c3349f3aab91%7C75f9b9fd-a2b2-4ad4-9d4a-0dcb7c99194f</t>
  </si>
  <si>
    <t>603@tenmega.pt</t>
  </si>
  <si>
    <t>https://resources.simonelectric.com/simon-material-formativo-vehiculo-electrico?utm_campaign=SIC%20-%20Veh%C3%ADculo%20El%C3%A9ctrico&amp;utm_source=hs_email&amp;utm_medium=email&amp;utm_content=88328407&amp;_hsenc=p2ANqtz-8uCb64dgwso7DEKHwl4wB-tuLsBI631ojVmIKBGP5LwJdWfV0NO1nEYPJ6r2coIC3Di-fMEUONa2jpQcL66NAGVnRz4Q&amp;_hsmi=88328235</t>
  </si>
  <si>
    <t>604@goliathspain.es</t>
  </si>
  <si>
    <t>https://resources.simonelectric.com/simon-material-formativo-vehiculo-electrico?utm_campaign=SIC%20-%20Veh%C3%ADculo%20El%C3%A9ctrico&amp;utm_source=hs_email&amp;utm_medium=email&amp;utm_content=88328407&amp;_hsenc=p2ANqtz-9A51-0SrDgAz3HI37VrApLtG61lYrC-gwKSDvB1Ly8nSgrxV-8k2wQL9F4-iCmp4FU-dGDTafUOGmBMgZR8jhX-EAldVsnB6QZ7g3HZ_oN9s3GvZE&amp;_hsmi=88328232</t>
  </si>
  <si>
    <t>605@hotmail.com</t>
  </si>
  <si>
    <t>https://resources.simonelectric.com/simon-material-formativo-vehiculo-electrico?utm_campaign=SIC%20-%20Veh%C3%ADculo%20El%C3%A9ctrico&amp;utm_source=hs_email&amp;utm_medium=email&amp;utm_content=88328407&amp;_hsenc=p2ANqtz-9r0kx6nJ7M8gamrXpgNfDIfVAon8pMGUU3YWW9_ybUaIEWYxLBtfI3Hh8ryFiVjO9oSZGVsx-KJD5zjSkdld1uSRATaA&amp;_hsmi=88328232</t>
  </si>
  <si>
    <t>https://resources.simonelectric.com/simon-material-formativo-vehiculo-electrico?utm_campaign=SIC%20-%20Veh%C3%ADculo%20El%C3%A9ctrico&amp;utm_medium=email&amp;_hsenc=p2ANqtz--3oXTMX1wHvmZfWB1ndzGhpRtDs8WgToyqMzMl3NjNpvTO2UAw68CySvi43sAqeO9PEUzxE-Xt4VbvqmRLNja8meSgFw&amp;_hsmi=88328232&amp;utm_source=hs_email&amp;utm_content=88328407&amp;hsCtaTracking=f8a31ce8-daf1-4d69-a5d6-c3349f3aab91%7C75f9b9fd-a2b2-4ad4-9d4a-0dcb7c99194f</t>
  </si>
  <si>
    <t>606@gmail.com</t>
  </si>
  <si>
    <t>https://resources.simonelectric.com/simon-material-formativo-vehiculo-electrico?utm_campaign=SIC%20-%20Veh%C3%ADculo%20El%C3%A9ctrico&amp;utm_medium=email&amp;_hsenc=p2ANqtz-_Qi7yQJ__LB3EQ72O3pJ8OmKqjPzYtX-B1TDoWNZ6pX6VLFajI5cHs9XIjNy8SisoMsf5G73FnJGvQM98sKCw5yrgcmFzlQnTa1leafi3--9h49dg&amp;_hsmi=88328232&amp;utm_source=hs_email&amp;utm_content=88328407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</si>
  <si>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-9C8vn6cG_jJhLitkGoUfru1nElYr1N0AC7DjR8IVmBb9ao6FXm3Pla4OxTpMz3kZkJ1q5dbKIE_eXtzkxySzv7_VL8aQ&amp;_hsmi=88328232&amp;utm_source=hs_email&amp;utm_content=88328407&amp;hsCtaTracking=f8a31ce8-daf1-4d69-a5d6-c3349f3aab91%7C75f9b9fd-a2b2-4ad4-9d4a-0dcb7c99194f</t>
  </si>
  <si>
    <t>607@eficiona.com</t>
  </si>
  <si>
    <t>https://resources.simonelectric.com/simon-material-formativo-vehiculo-electrico?utm_campaign=SIC%20-%20Veh%C3%ADculo%20El%C3%A9ctrico&amp;utm_source=hs_email&amp;utm_medium=email&amp;utm_content=88328407&amp;_hsenc=p2ANqtz--5A3T8FnR4iODKIb0qeAhVg33MESJZzo-uKfYiMDkz2aJDmH9MPCHk3nsUJEyCVkK4fz0toFqJVs6HddZZp3NYR5kGXg&amp;_hsmi=88328232</t>
  </si>
  <si>
    <t>608@sgingenieros.es</t>
  </si>
  <si>
    <t>https://resources.simonelectric.com/simon-material-formativo-vehiculo-electrico?utm_campaign=SIC%20-%20Veh%C3%ADculo%20El%C3%A9ctrico&amp;utm_medium=email&amp;_hsenc=p2ANqtz-86PnUX3LAP0kiVQZy9zBgCJXxfcx0uMV-wmf638SrU9_1HwJFMPixBWFJGEG6e6nYIjG1hmtRSMVUO4QLzZ0gKJkopfg&amp;_hsmi=88328232&amp;utm_source=hs_email&amp;utm_content=88328407&amp;hsCtaTracking=f8a31ce8-daf1-4d69-a5d6-c3349f3aab91%7C75f9b9fd-a2b2-4ad4-9d4a-0dcb7c99194f</t>
  </si>
  <si>
    <t>https://resources.simonelectric.com/simon-material-formativo-vehiculo-electrico?utm_campaign=SIC%20-%20Veh%C3%ADculo%20El%C3%A9ctrico&amp;utm_source=hs_email&amp;utm_medium=email&amp;utm_content=88328407&amp;_hsenc=p2ANqtz-8HgsMV1K5UdvUHbvnjRIR-TWrP9Ww1HmdD1kLxXRQKXrb6EW1nmETCK-TiNNiOzQEUWSrIFHE6Eh7z04R8rcZ4f4rmGA&amp;_hsmi=88328232</t>
  </si>
  <si>
    <t>609@ritelecenergia.es</t>
  </si>
  <si>
    <t>https://resources.simonelectric.com/simon-material-formativo-vehiculo-electrico?utm_campaign=SIC%20-%20Veh%C3%ADculo%20El%C3%A9ctrico&amp;utm_source=hs_email&amp;utm_medium=email&amp;utm_content=88328407&amp;_hsenc=p2ANqtz--ZzmdQST6NbTRZtpYf03Doh_RT9qz2bFL_5E7QPNKfG6J0RS8f3C5wGCcbt5ex8pLprl3-460SpbsSvKOo6mLxAe_gaA&amp;_hsmi=88328232</t>
  </si>
  <si>
    <t>610@electricharger.com</t>
  </si>
  <si>
    <t>611@santacruzdetenerife.es</t>
  </si>
  <si>
    <t>https://resources.simonelectric.com/simon-material-formativo-vehiculo-electrico?utm_campaign=SIC%20-%20Veh%C3%ADculo%20El%C3%A9ctrico&amp;utm_source=hs_email&amp;utm_medium=email&amp;utm_content=88328407&amp;_hsenc=p2ANqtz--Sqg8EDz1Ivo-nz7pib4V1KOuVp45AC4BaGP-8sVa7f-M8ACWoRGqI0Envt8W4kSc2yctUkV65rgnv1VhNVFue0GqN9QQWMZ4zPV35M9n5bgC_RRQ&amp;_hsmi=88328232</t>
  </si>
  <si>
    <t>612@gmail.com</t>
  </si>
  <si>
    <t>https://resources.simonelectric.com/simon-catalogo-vehiculo-electrico?utm_campaign=SIC%20-%20Veh%C3%ADculo%20El%C3%A9ctrico&amp;utm_medium=email&amp;_hsenc=p2ANqtz-_Zgq-tDIDE5oTL3ZMlW2V7ukZwDt69g1dARBOcWlhowut4yr584wAYsxeewyW5A5jgdZL-&amp;_hsmi=87085363&amp;utm_content=87085363&amp;utm_source=hs_email&amp;hsCtaTracking=6fedf137-fd90-4f17-bfb4-d61f710ec7f8%7Cf2771843-6636-4969-9010-2d8d0389b89c</t>
  </si>
  <si>
    <t>613@proingo.es</t>
  </si>
  <si>
    <t>https://resources.simonelectric.com/simon-material-formativo-vehiculo-electrico?utm_campaign=SIC%20-%20Veh%C3%ADculo%20El%C3%A9ctrico&amp;utm_medium=email&amp;_hsenc=p2ANqtz-_lxBI-PD7baGqI9dUtO3VbbuxCts0l8dIK6YXEKOBDaMlH7AdKE55lhLmQh-1AHt17WNPASTFpokWeFj_VuFfQjCTQBA&amp;_hsmi=88328232&amp;utm_source=hs_email&amp;utm_content=88328407&amp;hsCtaTracking=f8a31ce8-daf1-4d69-a5d6-c3349f3aab91%7C75f9b9fd-a2b2-4ad4-9d4a-0dcb7c99194f</t>
  </si>
  <si>
    <t>614@valledeleste.es</t>
  </si>
  <si>
    <t>https://resources.simonelectric.com/simon-material-formativo-vehiculo-electrico?utm_campaign=SIC%20-%20Veh%C3%ADculo%20El%C3%A9ctrico&amp;utm_source=hs_email&amp;utm_medium=email&amp;utm_content=88328407&amp;_hsenc=p2ANqtz-9Y7h171096Rvc1GEP7i0J6fQ6VZFLXOCs2e0gHHA93SAlYDsaPGz1WKrCpmkNe1xZ8Fcl0IdxtBHc198oyt_6L4Rpidg&amp;_hsmi=88328232</t>
  </si>
  <si>
    <t>615@iealcazar.com</t>
  </si>
  <si>
    <t>https://resources.simonelectric.com/simon-material-formativo-vehiculo-electrico?utm_campaign=SIC%20-%20Veh%C3%ADculo%20El%C3%A9ctrico&amp;utm_source=hs_email&amp;utm_medium=email&amp;utm_content=88328407&amp;_hsenc=p2ANqtz-_CWjEqpgWIJKF2ttEVa6wKBQDN2ZOVqsXhY4zEDvUqHV80eARD9zKx2E6t9KxXdk-x3IgQiXiXJq0-P8eOQr7ctQu-zg&amp;_hsmi=88328232</t>
  </si>
  <si>
    <t>616@a6ingenieria.es</t>
  </si>
  <si>
    <t>https://resources.simonelectric.com/simon-material-formativo-vehiculo-electrico?utm_campaign=SIC%20-%20Veh%C3%ADculo%20El%C3%A9ctrico&amp;utm_source=hs_email&amp;utm_medium=email&amp;utm_content=88328407&amp;_hsenc=p2ANqtz-86O2TxsCGLLTWcGDaij2yTAbrh8dazx62F6VPiuieqjawcAOK-aI7AqgVcnrw4g5alOPqaGeT4CzMhg0dz7AJvWviU3QGUscYMVjHY0Yzcp9KHwxg&amp;_hsmi=88328232</t>
  </si>
  <si>
    <t>617@energia.eiffage.es</t>
  </si>
  <si>
    <t>https://resources.simonelectric.com/simon-material-formativo-vehiculo-electrico?utm_campaign=SIC%20-%20Veh%C3%ADculo%20El%C3%A9ctrico&amp;utm_source=hs_email&amp;utm_medium=email&amp;utm_content=88328407&amp;_hsenc=p2ANqtz--DJpERr19q45foHhQaXKKQHSZmK26IFcNFU2UtNWoRx8nRT_Q6R-ySbmVjoFb7BhJ5ew-_h7qFWjAPfEEOuHyPgcXr5FD8BxVFblgCsKx9tL7vMa4&amp;_hsmi=88328232</t>
  </si>
  <si>
    <t>618@ibil.es</t>
  </si>
  <si>
    <t>https://resources.simonelectric.com/simon-material-formativo-vehiculo-electrico?utm_campaign=SIC%20-%20Veh%C3%ADculo%20El%C3%A9ctrico&amp;utm_source=hs_email&amp;utm_medium=email&amp;utm_content=88328407&amp;_hsenc=p2ANqtz-95vMUXPVKF9SjWHGKfbta3HubSzZG6FKkaJNm_elAzy6n4MlC-w21hzL2V-HZxqSP8JBTUMu91BeeTGcxTMdu0fMg5ag&amp;_hsmi=88328232</t>
  </si>
  <si>
    <t>619@movistar.es</t>
  </si>
  <si>
    <t>https://resources.simonelectric.com/simon-material-formativo-vehiculo-electrico?utm_campaign=SIC%20-%20Veh%C3%ADculo%20El%C3%A9ctrico&amp;utm_medium=email&amp;_hsenc=p2ANqtz--5vLvbczTAhxQHVbm4EoMK2T9ZAOqb518T9yWZzWA2vnl3O1iesmBnJvFbrAD3d8aPbi_ck_Uw_eLfjk5vynU0QwBAYA&amp;_hsmi=88328232&amp;utm_source=hs_email&amp;utm_content=88328407&amp;hsCtaTracking=f8a31ce8-daf1-4d69-a5d6-c3349f3aab91%7C75f9b9fd-a2b2-4ad4-9d4a-0dcb7c99194f</t>
  </si>
  <si>
    <t>620@loop-cn.com</t>
  </si>
  <si>
    <t>https://resources.simonelectric.com/simon-material-formativo-vehiculo-electrico?utm_campaign=SIC%20-%20Veh%C3%ADculo%20El%C3%A9ctrico&amp;utm_source=hs_email&amp;utm_medium=email&amp;utm_content=88328407&amp;_hsenc=p2ANqtz-_ESvNBSExWZ_1xzRN6nH1ca8LsXOh9e37OmLNB-vXRMwik-JJtoYhTyeyoHBr1-ntwcS6yhXd7PvomWGQKx-V-FHEh3A&amp;_hsmi=88328232</t>
  </si>
  <si>
    <t>621@gmail.com</t>
  </si>
  <si>
    <t>https://resources.simonelectric.com/simon-material-formativo-vehiculo-electrico?utm_campaign=SIC%20-%20Veh%C3%ADculo%20El%C3%A9ctrico&amp;utm_medium=email&amp;_hsenc=p2ANqtz--fo69lbztCetv7tg0OdmWxMHw9dQG14w7g7UgpjnNAnTlNMoya-oE3MGZXnUTko6-1rcFcbDaT5Yq_dqqPI_7qyXfvQw&amp;_hsmi=88328232&amp;utm_source=hs_email&amp;utm_content=88328407&amp;hsCtaTracking=f8a31ce8-daf1-4d69-a5d6-c3349f3aab91%7C75f9b9fd-a2b2-4ad4-9d4a-0dcb7c99194f</t>
  </si>
  <si>
    <t>622@icingenieros.es</t>
  </si>
  <si>
    <t>https://resources.simonelectric.com/simon-material-formativo-vehiculo-electrico?utm_campaign=SIC%20-%20Veh%C3%ADculo%20El%C3%A9ctrico&amp;utm_source=hs_email&amp;utm_medium=email&amp;utm_content=88328407&amp;_hsenc=p2ANqtz--olQxoMvcpn_HrQAxq9kMxo608IHOqcMvTC40XHlBSIGr3GSFKUOpK5scYHVQSlAhIEiTkzHYo5TdWV8xdrxh7ZnLb9IbHFadE19H3q7aGYqS3R0s&amp;_hsmi=88328232</t>
  </si>
  <si>
    <t>https://resources.simonelectric.com/simon-material-formativo-vehiculo-electrico?utm_campaign=SIC%20-%20Veh%C3%ADculo%20El%C3%A9ctrico&amp;utm_medium=email&amp;_hsenc=p2ANqtz-_yGnjKosrRKHySWPHrxH3SKz1KtQdyXuF4jX6PydYqJYkw3rl3avfZdcW1X_1nWRgvrjGPDqV4uoeEMd8xO2BIiqbWgw&amp;_hsmi=88328232&amp;utm_source=hs_email&amp;utm_content=88328407&amp;hsCtaTracking=f8a31ce8-daf1-4d69-a5d6-c3349f3aab91%7C75f9b9fd-a2b2-4ad4-9d4a-0dcb7c99194f</t>
  </si>
  <si>
    <t>623@gmail.com</t>
  </si>
  <si>
    <t>https://resources.simonelectric.com/simon-material-formativo-vehiculo-electrico?utm_campaign=SIC%20-%20Veh%C3%ADculo%20El%C3%A9ctrico&amp;utm_medium=email&amp;_hsenc=p2ANqtz-_IFlfab--I8YYxQsbSU8iGg2BDU7TvV2Xcr02xAT-WSEmYFE8wc3gcMoaFjeIDi_4X-R9wcCmSsYXFA4My7yWUERRU5A&amp;_hsmi=88328232&amp;utm_source=hs_email&amp;utm_content=88328407&amp;hsCtaTracking=f8a31ce8-daf1-4d69-a5d6-c3349f3aab91%7C75f9b9fd-a2b2-4ad4-9d4a-0dcb7c99194f</t>
  </si>
  <si>
    <t>624@inserty.net</t>
  </si>
  <si>
    <t>https://resources.simonelectric.com/simon-material-formativo-vehiculo-electrico?utm_campaign=SIC%20-%20Veh%C3%ADculo%20El%C3%A9ctrico&amp;utm_source=hs_email&amp;utm_medium=email&amp;utm_content=88328407&amp;_hsenc=p2ANqtz-9An6sJfSUu02TgEYh4ClBlzEtyg9OAvaYFbBAOQWLng0lSAMHbiR0r_THUYiG3fneLmB1A5MkTqYp2htcisvvcTMw5WA&amp;_hsmi=88328232</t>
  </si>
  <si>
    <t>625@hotmail.com</t>
  </si>
  <si>
    <t>https://resources.simonelectric.com/simon-material-formativo-vehiculo-electrico?utm_campaign=SIC%20-%20Veh%C3%ADculo%20El%C3%A9ctrico&amp;utm_medium=email&amp;_hsenc=p2ANqtz-_R3PjVu6aXqbfe4NLCno32WMVgxSF8dOplW9u6Zz0oq74DOGdMIsLfh6v4JlIqz_avUzJlp49p6O8oIlqAEn9-gd_5kw&amp;_hsmi=88328232&amp;utm_source=hs_email&amp;utm_content=88328407&amp;hsCtaTracking=f8a31ce8-daf1-4d69-a5d6-c3349f3aab91%7C75f9b9fd-a2b2-4ad4-9d4a-0dcb7c99194f</t>
  </si>
  <si>
    <t>626@yahoo.es</t>
  </si>
  <si>
    <t>https://resources.simonelectric.com/simon-material-formativo-vehiculo-electrico?utm_campaign=SIC%20-%20Veh%C3%ADculo%20El%C3%A9ctrico&amp;utm_medium=email&amp;_hsenc=p2ANqtz-8b3HwEmuw_TT9T0Xw4K1R6C4F7gVb3FxucVV7o0LH5aKLq59S7yO13ja5pRzDXv1bQ0Fm27BJwGD5TauxSO8eomdjsvw&amp;_hsmi=88328232&amp;utm_source=hs_email&amp;utm_content=88328407&amp;hsCtaTracking=f8a31ce8-daf1-4d69-a5d6-c3349f3aab91%7C75f9b9fd-a2b2-4ad4-9d4a-0dcb7c99194f</t>
  </si>
  <si>
    <t>627@gmail.com</t>
  </si>
  <si>
    <t>https://resources.simonelectric.com/simon-material-formativo-vehiculo-electrico?utm_campaign=SIC%20-%20Veh%C3%ADculo%20El%C3%A9ctrico&amp;utm_source=hs_email&amp;utm_medium=email&amp;utm_content=88328407&amp;_hsenc=p2ANqtz-9ZrXP_IEz1skvkaV557bGX8l9apMKyGRFwjDZb91_AJx1lXyLoJaVuHKOE--4Y2fLSyC3q3BxucHrcwxezqcQfSDKJHQ&amp;_hsmi=88328235</t>
  </si>
  <si>
    <t>628@inquo.es</t>
  </si>
  <si>
    <t>https://resources.simonelectric.com/simon-material-formativo-vehiculo-electrico?utm_campaign=SIC%20-%20Veh%C3%ADculo%20El%C3%A9ctrico&amp;utm_medium=email&amp;_hsenc=p2ANqtz-8ArdEJpF5XZYIJin7NfzmAZQFpotjNTbosAmOUl5zns7FxqNQfXDhm8Vjqf51hLAp49wyCkNgeDwmbd3ZgPWi_lOZnwQ&amp;_hsmi=88328232&amp;utm_source=hs_email&amp;utm_content=88328407&amp;hsCtaTracking=f8a31ce8-daf1-4d69-a5d6-c3349f3aab91%7C75f9b9fd-a2b2-4ad4-9d4a-0dcb7c99194f</t>
  </si>
  <si>
    <t>629@gmail.com</t>
  </si>
  <si>
    <t>https://resources.simonelectric.com/simon-material-formativo-vehiculo-electrico?utm_campaign=SIC%20-%20Veh%C3%ADculo%20El%C3%A9ctrico&amp;utm_source=hs_email&amp;utm_medium=email&amp;utm_content=88328407&amp;_hsenc=p2ANqtz-9S8Qi3d6s0fWcDBQC_CZP1_-P3eNQNW3Tl8izjXqXZuv2BKzAQvd4bljsaSY8mmILR2O6CprVrVoGzVwmkyQzPOGaO8CPjEAa2V90odu1yAwtWxeY&amp;_hsmi=88328232</t>
  </si>
  <si>
    <t>630@melia.com</t>
  </si>
  <si>
    <t>https://resources.simonelectric.com/simon-material-formativo-vehiculo-electrico?utm_campaign=SIC%20-%20Veh%C3%ADculo%20El%C3%A9ctrico&amp;utm_source=hs_email&amp;utm_medium=email&amp;utm_content=88328407&amp;_hsenc=p2ANqtz--xIvwlRxX_v8LBCh6L9FoKU74HykIKToY8EGugch-HeIV2SpJEobV6ns8jO3d58ofUFVViMPxcc-y4k0OVlgEupoRx1A&amp;_hsmi=88328232</t>
  </si>
  <si>
    <t>631@engie.com</t>
  </si>
  <si>
    <t>https://resources.simonelectric.com/simon-material-formativo-vehiculo-electrico?utm_campaign=SIC%20-%20Veh%C3%ADculo%20El%C3%A9ctrico&amp;utm_source=hs_email&amp;utm_medium=email&amp;utm_content=88328407&amp;_hsenc=p2ANqtz-_A8948sxcR15XS-WYahjnO3TnFBMVkIaSfwJSO3iexgG-b3mle53Txt5dYH3xGyqclxUSL5pPrPtUlDB2TXADe819kkw&amp;_hsmi=88328232</t>
  </si>
  <si>
    <t>632@gmail.com</t>
  </si>
  <si>
    <t>https://resources.simonelectric.com/simon-material-formativo-vehiculo-electrico?utm_campaign=SIC%20-%20Veh%C3%ADculo%20El%C3%A9ctrico&amp;utm_medium=email&amp;_hsenc=p2ANqtz-94v0J3Gw053DA8Lyqmv1E5MjCPTxZJZqzwwoVuO7QboPzcyJpt98nmTFQCJU_4opqC_OEPGJAASduIu3Hod7aOVwOg0w&amp;_hsmi=88328232&amp;utm_source=hs_email&amp;utm_content=88328407&amp;hsCtaTracking=f8a31ce8-daf1-4d69-a5d6-c3349f3aab91%7C75f9b9fd-a2b2-4ad4-9d4a-0dcb7c99194f</t>
  </si>
  <si>
    <t>633@outlook.com</t>
  </si>
  <si>
    <t>https://resources.simonelectric.com/simon-material-formativo-vehiculo-electrico?utm_campaign=SIC%20-%20Veh%C3%ADculo%20El%C3%A9ctrico&amp;utm_medium=email&amp;_hsenc=p2ANqtz--IqL3vEaJNHZzPHkkTE7Z2qFBAP_trAZER6ylYokIe6lvs7FVF2eboVgSNYnJZ9GrIO7Dxhi-T54erRP8W0qyNb4AsOA&amp;_hsmi=88328232&amp;utm_source=hs_email&amp;utm_content=88328407&amp;hsCtaTracking=f8a31ce8-daf1-4d69-a5d6-c3349f3aab91%7C75f9b9fd-a2b2-4ad4-9d4a-0dcb7c99194f</t>
  </si>
  <si>
    <t>634@easycharger.es</t>
  </si>
  <si>
    <t>https://resources.simonelectric.com/simon-material-formativo-vehiculo-electrico?utm_campaign=SIC%20-%20Veh%C3%ADculo%20El%C3%A9ctrico&amp;utm_medium=email&amp;_hsenc=p2ANqtz-8k4CXEWHzoOAjOMsAvAkkiyIptMsLO9molx-V1hmQPIDz-gD2dr2uMXaOsUMGU-ehVCoABnBzwrPlN-5B6HETHNCiAWw&amp;_hsmi=88328232&amp;utm_source=hs_email&amp;utm_content=88328407&amp;hsCtaTracking=f8a31ce8-daf1-4d69-a5d6-c3349f3aab91%7C75f9b9fd-a2b2-4ad4-9d4a-0dcb7c99194f</t>
  </si>
  <si>
    <t>635@coneq.es</t>
  </si>
  <si>
    <t>https://resources.simonelectric.com/simon-material-formativo-vehiculo-electrico?utm_campaign=SIC%20-%20Veh%C3%ADculo%20El%C3%A9ctrico&amp;utm_medium=email&amp;_hsenc=p2ANqtz-95iZgDaDQ7ob2ebTmA_0gqLHgBkzF8AUDiCQ9SoSDa9OOET8r1PWW-nvytN5QBrbFnUJoTu8EGaxtI397XcrYbZV5T2Q&amp;_hsmi=88328232&amp;utm_source=hs_email&amp;utm_content=88328407&amp;hsCtaTracking=f8a31ce8-daf1-4d69-a5d6-c3349f3aab91%7C75f9b9fd-a2b2-4ad4-9d4a-0dcb7c99194f</t>
  </si>
  <si>
    <t>636@csisuministros.com</t>
  </si>
  <si>
    <t>https://resources.simonelectric.com/simon-material-formativo-vehiculo-electrico?utm_campaign=SIC%20-%20Veh%C3%ADculo%20El%C3%A9ctrico&amp;utm_medium=email&amp;_hsenc=p2ANqtz-83K-jvieOZVhGgHAqNIbEMSD5TXd2TsgeL2WjsdQlvP_mRkantyGnl9NNvS9e3-Jeka3w4JuytVEEolpoOOwaPHWQYHISYXS5utRuC9G2xKg6-G0M&amp;_hsmi=88328232&amp;utm_source=hs_email&amp;utm_content=88328407&amp;hsCtaTracking=f8a31ce8-daf1-4d69-a5d6-c3349f3aab91%7C75f9b9fd-a2b2-4ad4-9d4a-0dcb7c99194f</t>
  </si>
  <si>
    <t>637@simon.es</t>
  </si>
  <si>
    <t>https://resources.simonelectric.com/simon-material-formativo-vehiculo-electrico?utm_campaign=SIC%20-%20Veh%C3%ADculo%20El%C3%A9ctrico&amp;utm_medium=email&amp;_hsenc=p2ANqtz-9bRlA__vNNDhAXWisy9FwcLHxbSoFqcFd4BFmvgWeaHb7xfpvxy_JK3nLW9Gc2Ta1gkRECZGcCUX2mM8iBlIvoSOYnvA&amp;_hsmi=88328235&amp;utm_source=hs_email&amp;utm_content=88328407&amp;hsCtaTracking=f8a31ce8-daf1-4d69-a5d6-c3349f3aab91%7C75f9b9fd-a2b2-4ad4-9d4a-0dcb7c99194f</t>
  </si>
  <si>
    <t>638@me.com</t>
  </si>
  <si>
    <t>https://resources.simonelectric.com/simon-material-formativo-vehiculo-electrico?utm_campaign=SIC%20-%20Veh%C3%ADculo%20El%C3%A9ctrico&amp;utm_source=hs_email&amp;utm_medium=email&amp;utm_content=88328407&amp;_hsenc=p2ANqtz-_P3cnPJmkAiwaRPrBRp9mtj6EA-kDXQVSObPONhsa-vZKPnO7_lVSfaT5B-4m_X3kn97z4Y5ZS6IWajnEKkInnSLB8dA&amp;_hsmi=88328235</t>
  </si>
  <si>
    <t>639@rolearmais.pt</t>
  </si>
  <si>
    <t>https://resources.simonelectric.com/simon-material-formativo-vehiculo-electrico?utm_campaign=SIC%20-%20Veh%C3%ADculo%20El%C3%A9ctrico&amp;utm_source=hs_email&amp;utm_medium=email&amp;utm_content=88328407&amp;_hsenc=p2ANqtz--enlwp1ecEkHpWqdSe90uh4Aze67nuLc3E0cibxIAcP8S2DD4x-hOKm1sVnuG03JIFLN9LNNwndw9C-NtnlCRobfnPcUfMM6APFqHC7SVa3O2YefE&amp;_hsmi=88328235</t>
  </si>
  <si>
    <t>640@simon.es</t>
  </si>
  <si>
    <t>https://resources.simonelectric.com/simon-material-formativo-vehiculo-electrico?utm_campaign=SIC%20-%20Veh%C3%ADculo%20El%C3%A9ctrico&amp;utm_source=hs_email&amp;utm_medium=email&amp;utm_content=88328407&amp;_hsenc=p2ANqtz-99NPhrdga5qR8efEo1irci_0QsiOcICumC4NSLGSaLSC0A0jUgC-sGUHeftmbqnkI6x_hOu4DZkn85lMaQQYaKVOfrBg&amp;_hsmi=88328232</t>
  </si>
  <si>
    <t>641@bodai.es</t>
  </si>
  <si>
    <t>https://resources.simonelectric.com/simon-material-formativo-vehiculo-electrico?utm_campaign=SIC%20-%20Veh%C3%ADculo%20El%C3%A9ctrico&amp;utm_medium=email&amp;_hsenc=p2ANqtz-84MB_KkdERyFX1N9Gd0pfFT7G3QnDRgG5m_2dktKzpg9stvAF14pwFMl-z6LO9E0BnLCLHVq6i_izTTaqtOeN7msSgng&amp;_hsmi=88328232&amp;utm_source=hs_email&amp;utm_content=88328407&amp;hsCtaTracking=f8a31ce8-daf1-4d69-a5d6-c3349f3aab91%7C75f9b9fd-a2b2-4ad4-9d4a-0dcb7c99194f</t>
  </si>
  <si>
    <t>642@ecoviv.eu</t>
  </si>
  <si>
    <t>https://resources.simonelectric.com/simon-material-formativo-vehiculo-electrico?utm_campaign=SIC%20-%20Veh%C3%ADculo%20El%C3%A9ctrico&amp;utm_medium=email&amp;_hsenc=p2ANqtz--mLrXGVFn1R9fCvTrGJLDlavOeF3rtnQzb8Lr6HJwxbVIPZFEpERassTOBM3Ie7A4KH2wE450zxAmilzqZ7CXAZUDK6g&amp;_hsmi=88328232&amp;utm_source=hs_email&amp;utm_content=88328407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</si>
  <si>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-9meSJyOY5OFgT3C6pZMLPvAezFYAah_eAQ0UtTBYCkNT7HlsJ46Glhy49BCkDU7jOPsslV6p7PSqlST1V1WyIfGsR7Rw&amp;_hsmi=88328232&amp;utm_source=hs_email&amp;utm_content=88328407&amp;hsCtaTracking=f8a31ce8-daf1-4d69-a5d6-c3349f3aab91%7C75f9b9fd-a2b2-4ad4-9d4a-0dcb7c99194f</t>
  </si>
  <si>
    <t>643@gmail.com</t>
  </si>
  <si>
    <t>https://resources.simonelectric.com/simon-material-formativo-vehiculo-electrico?utm_campaign=SIC%20-%20Veh%C3%ADculo%20El%C3%A9ctrico&amp;utm_medium=email&amp;_hsenc=p2ANqtz-8QdHFIqHs9GjaC21myI4jb0NdegrGLEInw40SOPcQgy8wcwbXmWRmpuSNTO_5lrZT2jfqPw8PKQw33HNZzxV4KqEU1IWr5pozJJfgtcHy9goMGjy4&amp;_hsmi=88328232&amp;utm_source=hs_email&amp;utm_content=88328407&amp;hsCtaTracking=f8a31ce8-daf1-4d69-a5d6-c3349f3aab91%7C75f9b9fd-a2b2-4ad4-9d4a-0dcb7c99194f</t>
  </si>
  <si>
    <t>644@ebconsultores.com</t>
  </si>
  <si>
    <t>https://resources.simonelectric.com/simon-material-formativo-vehiculo-electrico?utm_campaign=SIC%20-%20Veh%C3%ADculo%20El%C3%A9ctrico&amp;utm_medium=email&amp;_hsenc=p2ANqtz--p7tpV8vukzjo73F66Rbr-eMPIPFU5iNJR9rIRTCkMRlJhXhMfS6EHcM3EhJ3Je9yUJy5kbeK8QYyWTMXlkTctskEuog&amp;_hsmi=88328232&amp;utm_source=hs_email&amp;utm_content=88328407&amp;hsCtaTracking=f8a31ce8-daf1-4d69-a5d6-c3349f3aab91%7C75f9b9fd-a2b2-4ad4-9d4a-0dcb7c99194f</t>
  </si>
  <si>
    <t>645@confiplano.com</t>
  </si>
  <si>
    <t>https://resources.simonelectric.com/simon-material-formativo-vehiculo-electrico?utm_campaign=SIC%20-%20Veh%C3%ADculo%20El%C3%A9ctrico&amp;utm_medium=email&amp;_hsenc=p2ANqtz-88Zh_tOl10cAI4-4176iovvitfs_VIYcENmyfnVAUB-No5LHbqt5RaIdW0LniGBAX2NxkuqkD2QicWDHFfIFzzEggOYA&amp;_hsmi=88328235&amp;utm_source=hs_email&amp;utm_content=88328407&amp;hsCtaTracking=f8a31ce8-daf1-4d69-a5d6-c3349f3aab91%7C75f9b9fd-a2b2-4ad4-9d4a-0dcb7c99194f</t>
  </si>
  <si>
    <t>646@gmail.com</t>
  </si>
  <si>
    <t>https://resources.simonelectric.com/simon-material-formativo-vehiculo-electrico?utm_campaign=SIC%20-%20Veh%C3%ADculo%20El%C3%A9ctrico&amp;utm_medium=email&amp;_hsenc=p2ANqtz-9qeaF3DSSQbUPyQ3tyJNQ2oDW92nBArae34Cl6RogKHshAKNTwH7sl9LPPMj1C2-y5Nrcb0LVbCkWappwljTijUXsB7IoNrNvUDqnE3Y9RgdB-KB0&amp;_hsmi=88328232&amp;utm_source=hs_email&amp;utm_content=88328407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</si>
  <si>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-9E2C4vDaXY_jgNXmTqe0csPQ8XrLuPj9UfdJv2Bqs2IQG_WQkVtuYH4dnTPyvHwL3WqRZJABAjrMQYX5wVkem3HDUVQCwpgQfXiluv7uC3iprLFGs&amp;_hsmi=88328235&amp;utm_source=hs_email&amp;utm_content=88328407&amp;hsCtaTracking=f8a31ce8-daf1-4d69-a5d6-c3349f3aab91%7C75f9b9fd-a2b2-4ad4-9d4a-0dcb7c99194f</t>
  </si>
  <si>
    <t>https://resources.simonelectric.com/simon-material-formativo-vehiculo-electrico?utm_campaign=SIC%20-%20Veh%C3%ADculo%20El%C3%A9ctrico&amp;utm_source=hs_email&amp;utm_medium=email&amp;utm_content=88328407&amp;_hsenc=p2ANqtz-9w6KCzxELSfYwqSsf5tdpcCPgNna5h0b0uXs6y8dx_4tBOcZzptVyY6pKuGUxlAsKkNDIqPfdokkL8OhlDYOkQ_qbH3w&amp;_hsmi=88328232</t>
  </si>
  <si>
    <t>https://resources.simonelectric.com/simon-material-formativo-vehiculo-electrico?utm_campaign=SIC%20-%20Veh%C3%ADculo%20El%C3%A9ctrico&amp;utm_source=hs_email&amp;utm_medium=email&amp;utm_content=88328407&amp;_hsenc=p2ANqtz-9eUvk5BganTBwECkAqkctkWypB-j5kiwmwkbOLvOFY_3f3hcnbZBnbn_DrhohasHKJG5UK2RPGY91WbyaJVfnOhuhF-VGJ5LKfXKpb9UpX47QQHQI&amp;_hsmi=88328232</t>
  </si>
  <si>
    <t>https://resources.simonelectric.com/simon-material-formativo-vehiculo-electrico?utm_campaign=SIC%20-%20Veh%C3%ADculo%20El%C3%A9ctrico&amp;utm_medium=email&amp;_hsenc=p2ANqtz--sdE-B16KyddUrymR6Q_ASC7rteeDyavVrY7cFegzt8Bueu9TzlLmrjYye2VZ5lwBadEvN-OMRzn6srZLVpdwhl03ccQ&amp;_hsmi=88328232&amp;utm_source=hs_email&amp;utm_content=88328407&amp;hsCtaTracking=f8a31ce8-daf1-4d69-a5d6-c3349f3aab91%7C75f9b9fd-a2b2-4ad4-9d4a-0dcb7c99194f</t>
  </si>
  <si>
    <t>https://resources.simonelectric.com/simon-material-formativo-vehiculo-electrico?utm_campaign=SIC%20-%20Veh%C3%ADculo%20El%C3%A9ctrico&amp;utm_source=hs_email&amp;utm_medium=email&amp;utm_content=88328407&amp;_hsenc=p2ANqtz--sdE-B16KyddUrymR6Q_ASC7rteeDyavVrY7cFegzt8Bueu9TzlLmrjYye2VZ5lwBadEvN-OMRzn6srZLVpdwhl03ccQ&amp;_hsmi=88328232</t>
  </si>
  <si>
    <t>647@apis-ing.es</t>
  </si>
  <si>
    <t>https://resources.simonelectric.com/simon-material-formativo-vehiculo-electrico?utm_campaign=SIC%20-%20Veh%C3%ADculo%20El%C3%A9ctrico&amp;utm_medium=email&amp;_hsenc=p2ANqtz-_RRaSZC5AE5aLZ4P56c5nhniGsb2c9T38QOr-ztpPpHoZSPnSXwmCYzSGnec3xTOr4Vevt3WGiHnZImyxH5T2awOJg7w&amp;_hsmi=88328232&amp;utm_source=hs_email&amp;utm_content=88328407&amp;hsCtaTracking=f8a31ce8-daf1-4d69-a5d6-c3349f3aab91%7C75f9b9fd-a2b2-4ad4-9d4a-0dcb7c99194f</t>
  </si>
  <si>
    <t>648@bcnovatecnics.com</t>
  </si>
  <si>
    <t>https://resources.simonelectric.com/simon-material-formativo-vehiculo-electrico?utm_campaign=SIC%20-%20Veh%C3%ADculo%20El%C3%A9ctrico&amp;utm_source=hs_email&amp;utm_medium=email&amp;utm_content=88328407&amp;_hsenc=p2ANqtz-9__aAzYorNvtQnWv8ncuNG3_gveQ9pKkxWkcAy-XXvq2jccEAPKKogGzVfawFtHm6ICu0s_emTtLjW09ZgfPN0FI6C_eRDaeq0unLgviRjQ83x0mg&amp;_hsmi=88328232</t>
  </si>
  <si>
    <t>https://resources.simonelectric.com/simon-material-formativo-vehiculo-electrico?utm_campaign=SIC%20-%20Veh%C3%ADculo%20El%C3%A9ctrico&amp;utm_medium=email&amp;_hsenc=p2ANqtz-8GtWAyyAM0rx5Z_4ofzA6UrF8pPZbIy85MbLhQ7XIif_VDRiZE2i2OnWdt96qpSei-6H5dGom1e2uUE0Kx07rmk5rRSg&amp;_hsmi=88328235&amp;utm_source=hs_email&amp;utm_content=88328407&amp;hsCtaTracking=f8a31ce8-daf1-4d69-a5d6-c3349f3aab91%7C75f9b9fd-a2b2-4ad4-9d4a-0dcb7c99194f</t>
  </si>
  <si>
    <t>649@yahoo.es</t>
  </si>
  <si>
    <t>https://resources.simonelectric.com/simon-material-formativo-vehiculo-electrico?utm_campaign=SIC%20-%20Veh%C3%ADculo%20El%C3%A9ctrico&amp;utm_source=hs_email&amp;utm_medium=email&amp;utm_content=88328407&amp;_hsenc=p2ANqtz-_ojHsulTQkfwXJE_wXyZTVVyDbVdyhslj8D9f6-COGT3ZzTZgw1zPJSpkMDSBqXr9M3PNfliL8f3WUkL_VPkfSTUcymw&amp;_hsmi=88328232</t>
  </si>
  <si>
    <t>650@hotmail.com</t>
  </si>
  <si>
    <t>https://resources.simonelectric.com/simon-material-formativo-vehiculo-electrico?utm_campaign=SIC%20-%20Veh%C3%ADculo%20El%C3%A9ctrico&amp;utm_medium=email&amp;_hsenc=p2ANqtz--k12Y1ybCATxDgcEeGlVZQNvYqRDQA7HSF23OgRCLMZVOGs9oi6qnJwZIsVswASICGxXi03nWCOf1MjZ-q89MNLb-cnA&amp;_hsmi=88328232&amp;utm_source=hs_email&amp;utm_content=88328407&amp;hsCtaTracking=f8a31ce8-daf1-4d69-a5d6-c3349f3aab91%7C75f9b9fd-a2b2-4ad4-9d4a-0dcb7c99194f</t>
  </si>
  <si>
    <t>651@coitim.es</t>
  </si>
  <si>
    <t>https://resources.simonelectric.com/simon-material-formativo-vehiculo-electrico?utm_campaign=SIC%20-%20Veh%C3%ADculo%20El%C3%A9ctrico&amp;utm_source=hs_email&amp;utm_medium=email&amp;utm_content=88328407&amp;_hsenc=p2ANqtz-_w1rOVMIUCapweCnegJqvPK0Ue7IkZYvligYWvpOtlAu5G3Gut65MBqIvjq8gGWknxt25pHqxKEV5PrcoIZboP4THNo0AcyA0J32JhKVrliV-N7IA&amp;_hsmi=88328232</t>
  </si>
  <si>
    <t>652@miesasa.com</t>
  </si>
  <si>
    <t>https://resources.simonelectric.com/simon-material-formativo-vehiculo-electrico?utm_campaign=SIC%20-%20Veh%C3%ADculo%20El%C3%A9ctrico&amp;utm_source=hs_email&amp;utm_medium=email&amp;utm_content=88328407&amp;_hsenc=p2ANqtz--FboWeVwtxq4dUakKvkCGr4IYnGe5zcXSNbdEkarX695ED0aiyhConwi64Ddg0ecWXH_bktYeu2J4s3DHVk7bqOwPp0w&amp;_hsmi=88328232</t>
  </si>
  <si>
    <t>https://resources.simonelectric.com/simon-material-formativo-vehiculo-electrico?utm_campaign=SIC%20-%20Veh%C3%ADculo%20El%C3%A9ctrico&amp;utm_medium=email&amp;_hsenc=p2ANqtz-8e2QdihLtgLxxVB7OxFRt1Ji_CJ_PPswT-ZgBZPm6ump-1NNZdPYRXeG1hx8DySV9lteBQk0boQZIG4UZXqp-45iSlBw&amp;_hsmi=88328235&amp;utm_source=hs_email&amp;utm_content=88328407&amp;hsCtaTracking=f8a31ce8-daf1-4d69-a5d6-c3349f3aab91%7C75f9b9fd-a2b2-4ad4-9d4a-0dcb7c99194f</t>
  </si>
  <si>
    <t>653@hotmail.com</t>
  </si>
  <si>
    <t>https://resources.simonelectric.com/simon-catalogo-vehiculo-electrico?utm_campaign=SIC%20-%20Veh%C3%ADculo%20El%C3%A9ctrico&amp;utm_medium=email&amp;_hsenc=p2ANqtz-_beaV_Q3cxpX4HeQqCm0vcRAzuUFVXreQeZrl3YMiSh_d9zzGFViAAE8O0J6mUaVJLGBgk&amp;_hsmi=87085302&amp;utm_content=87085302&amp;utm_source=hs_email&amp;hsCtaTracking=6fedf137-fd90-4f17-bfb4-d61f710ec7f8%7Cf2771843-6636-4969-9010-2d8d0389b89c</t>
  </si>
  <si>
    <t>https://resources.simonelectric.com/simon-material-formativo-vehiculo-electrico?utm_campaign=SIC%20-%20Veh%C3%ADculo%20El%C3%A9ctrico&amp;utm_medium=email&amp;_hsenc=p2ANqtz-_2SAKUbG43hb_EZDcAMqSdeCYXHAfPhElLIiTTDTbiCCZwbRUYtn85pk05izZ3LeWiXLAc7koF-YzgilTMAX3so9DZ5w&amp;_hsmi=88328232&amp;utm_source=hs_email&amp;utm_content=88328407&amp;hsCtaTracking=f8a31ce8-daf1-4d69-a5d6-c3349f3aab91%7C75f9b9fd-a2b2-4ad4-9d4a-0dcb7c99194f</t>
  </si>
  <si>
    <t>654@staperpetua.cat</t>
  </si>
  <si>
    <t>https://resources.simonelectric.com/simon-material-formativo-vehiculo-electrico?utm_campaign=SIC%20-%20Veh%C3%ADculo%20El%C3%A9ctrico&amp;utm_source=hs_email&amp;utm_medium=email&amp;utm_content=88328407&amp;_hsenc=p2ANqtz-85aZP8CAiuRf7Q6PAKvDqvqe4sHR0UN6KdGctUhXnHvlwOBVTR4Z2pEyWJ7YwMADvhDggIO3GC-3YtLdiX5y9S_PyKmQ&amp;_hsmi=88328232</t>
  </si>
  <si>
    <t>655@seproi.com</t>
  </si>
  <si>
    <t>https://resources.simonelectric.com/simon-material-formativo-vehiculo-electrico?utm_campaign=SIC%20-%20Veh%C3%ADculo%20El%C3%A9ctrico&amp;utm_medium=email&amp;_hsenc=p2ANqtz--Rw9aa1qv5xnwpYjtaGk3_BzM6NZ3LxfVYTyOdqd-sknp4XAQhlcZTQCM91PMbVqiWOXmBTjFY3LclM84ca3qgRvJ_rw&amp;_hsmi=88328232&amp;utm_source=hs_email&amp;utm_content=88328407&amp;hsCtaTracking=f8a31ce8-daf1-4d69-a5d6-c3349f3aab91%7C75f9b9fd-a2b2-4ad4-9d4a-0dcb7c99194f</t>
  </si>
  <si>
    <t>https://resources.simonelectric.com/simon-material-formativo-vehiculo-electrico?utm_campaign=SIC%20-%20Veh%C3%ADculo%20El%C3%A9ctrico&amp;utm_source=hs_email&amp;utm_medium=email&amp;utm_content=88328407&amp;_hsenc=p2ANqtz-_JJ1yWC2F9__p9PCOATS6bKdjMWbNFHJJMnSYTEOnZeZR2QZ371byqQxOqhddW0rz8-uIIwBmbCwiohd_rYk_EJylN8sgIlhCpgFXed-GnEysMcr0&amp;_hsmi=88328232</t>
  </si>
  <si>
    <t>656@gmail.com</t>
  </si>
  <si>
    <t>https://resources.simonelectric.com/simon-material-formativo-vehiculo-electrico?utm_campaign=SIC%20-%20Veh%C3%ADculo%20El%C3%A9ctrico&amp;utm_medium=email&amp;_hsenc=p2ANqtz-9Wn2P9ZgLzMmOE2a-6xfz1q1bGPGdS7rpFokiXqy-d5FgSw_ihQDOdV259ZVTdfOMl4wI2Ah96j0BQLKM6pmccXrBmLg&amp;_hsmi=88328232&amp;utm_source=hs_email&amp;utm_content=88328407&amp;hsCtaTracking=f8a31ce8-daf1-4d69-a5d6-c3349f3aab91%7C75f9b9fd-a2b2-4ad4-9d4a-0dcb7c99194f</t>
  </si>
  <si>
    <t>https://resources.simonelectric.com/simon-material-formativo-vehiculo-electrico?utm_campaign=SIC%20-%20Veh%C3%ADculo%20El%C3%A9ctrico&amp;utm_source=hs_email&amp;utm_medium=email&amp;utm_content=88328407&amp;_hsenc=p2ANqtz-_ShtIUYdkwz7iwybXo_mjt8mxpLQwYBJ-BBx-1ijiwBtblvnxH86dbwxtHWRRFVTNKFeCauEvQCswIimoUkNb4BJNwlUcWXd9xPK1VWYphLmbwmjI&amp;_hsmi=88328232</t>
  </si>
  <si>
    <t>657@enaire.es</t>
  </si>
  <si>
    <t>https://resources.simonelectric.com/simon-material-formativo-vehiculo-electrico?utm_campaign=SIC%20-%20Veh%C3%ADculo%20El%C3%A9ctrico&amp;utm_source=hs_email&amp;utm_medium=email&amp;utm_content=88328407&amp;_hsenc=p2ANqtz-9n1FxZXsKLsNNDksFsrJk3CXMwhWtwYuFqyAh95bcCyaKzp3W6E9WjvGC12NNDcqxHMQvl8mOdBP-CSKm7qE0d7kZ36A&amp;_hsmi=88328232</t>
  </si>
  <si>
    <t>658@gmail.com</t>
  </si>
  <si>
    <t>659@gleeds.es</t>
  </si>
  <si>
    <t>https://resources.simonelectric.com/simon-material-formativo-vehiculo-electrico?utm_campaign=SIC%20-%20Veh%C3%ADculo%20El%C3%A9ctrico&amp;utm_source=hs_email&amp;utm_medium=email&amp;utm_content=88328407&amp;_hsenc=p2ANqtz-9eyD3E2fUmcnNCtub284HcE4CEqOw6hMisjb-kXGBt4HHBuq-RDEbK3dO3Vr9z2Llj7ImrYdR5yyAiS0I2tJkJ8UdKhQ&amp;_hsmi=88328232</t>
  </si>
  <si>
    <t>660@unex.net</t>
  </si>
  <si>
    <t>https://resources.simonelectric.com/simon-material-formativo-vehiculo-electrico?utm_campaign=SIC%20-%20Veh%C3%ADculo%20El%C3%A9ctrico&amp;utm_medium=email&amp;_hsenc=p2ANqtz-_s6vfrcO1HmbK0HSToZwuQ-_X7-e2w0cr4gipM5K8sK-qCdItZEqvjlhHoptoqORS9mBpj4xBAs6z9QgzWy5cUcESsVw&amp;_hsmi=88328232&amp;utm_source=hs_email&amp;utm_content=88328407&amp;hsCtaTracking=f8a31ce8-daf1-4d69-a5d6-c3349f3aab91%7C75f9b9fd-a2b2-4ad4-9d4a-0dcb7c99194f</t>
  </si>
  <si>
    <t>661@horus.es</t>
  </si>
  <si>
    <t>https://resources.simonelectric.com/simon-material-formativo-vehiculo-electrico?utm_campaign=SIC%20-%20Veh%C3%ADculo%20El%C3%A9ctrico&amp;utm_source=hs_email&amp;utm_medium=email&amp;utm_content=88328407&amp;_hsenc=p2ANqtz--ClDF7tSm503Vv6AtEagm4ZyIj5MVaqewd4YnZY-35-lOHQ9enHiOx81a-dH4q43KvjTF70CcKAt3BRy5Scz1Pn2Yj_w&amp;_hsmi=88328232</t>
  </si>
  <si>
    <t>662@3cid.es</t>
  </si>
  <si>
    <t>https://resources.simonelectric.com/simon-material-formativo-vehiculo-electrico?utm_campaign=SIC%20-%20Veh%C3%ADculo%20El%C3%A9ctrico&amp;utm_medium=email&amp;_hsenc=p2ANqtz--F6WpwUOprsLpkD4yk6fNWbCqg86WGzS0dbv_zuskExLP7YUhrwXpGPyqcv_zLXEpQmz30D-o53Nb9AyahIdNyp73--g&amp;_hsmi=88328232&amp;utm_source=hs_email&amp;utm_content=88328407&amp;hsCtaTracking=f8a31ce8-daf1-4d69-a5d6-c3349f3aab91%7C75f9b9fd-a2b2-4ad4-9d4a-0dcb7c99194f</t>
  </si>
  <si>
    <t>663@hotmail.com</t>
  </si>
  <si>
    <t>https://resources.simonelectric.com/simon-material-formativo-vehiculo-electrico?utm_campaign=SIC%20-%20Veh%C3%ADculo%20El%C3%A9ctrico&amp;utm_source=hs_email&amp;utm_medium=email&amp;utm_content=88328407&amp;_hsenc=p2ANqtz-9U2Ed4hcq90uh7C1KUSvbz6-LxBzDDWFmilPgXc5bfBmoNBB3hOeTPobSFQrsBUYg6J_hK5lReciJDIfERn1U4vn_OIQ&amp;_hsmi=88328232</t>
  </si>
  <si>
    <t>https://resources.simonelectric.com/simon-material-formativo-vehiculo-electrico?utm_campaign=SIC%20-%20Veh%C3%ADculo%20El%C3%A9ctrico&amp;utm_medium=email&amp;_hsenc=p2ANqtz-9Fc1CfxTs-bQhpmSmyT6zfuJjnXta7JWIHjyw2BTLVECCCvkOlYlxrjxtnO3l7A9j7vBv3xVSk7amOgARlyCf26dcG5w&amp;_hsmi=88328232&amp;utm_source=hs_email&amp;utm_content=88328407&amp;hsCtaTracking=f8a31ce8-daf1-4d69-a5d6-c3349f3aab91%7C75f9b9fd-a2b2-4ad4-9d4a-0dcb7c99194f</t>
  </si>
  <si>
    <t>664@hotmail.es</t>
  </si>
  <si>
    <t>https://resources.simonelectric.com/simon-material-formativo-vehiculo-electrico?utm_campaign=SIC%20-%20Veh%C3%ADculo%20El%C3%A9ctrico&amp;utm_medium=email&amp;_hsenc=p2ANqtz--pp9fEDCUM4g7RURQ6GnqADRocWApjGfduOSpDUHyfVZUnj2R1WCJWTx_pq377sJ3vu0pnN41IlbVJZZF_QFf9Y8gyEw&amp;_hsmi=88328232&amp;utm_source=hs_email&amp;utm_content=88328407&amp;hsCtaTracking=f8a31ce8-daf1-4d69-a5d6-c3349f3aab91%7C75f9b9fd-a2b2-4ad4-9d4a-0dcb7c99194f</t>
  </si>
  <si>
    <t>665@gmail.com</t>
  </si>
  <si>
    <t>https://resources.simonelectric.com/simon-material-formativo-vehiculo-electrico?utm_campaign=SIC%20-%20Veh%C3%ADculo%20El%C3%A9ctrico&amp;utm_medium=email&amp;_hsenc=p2ANqtz--D_IRC_0EK-8czWyZo4S64Hx_S25WT_8JeoLrR-oby8Lgk3SyyZptNeyLxBK3vSIxu1qmlVBwE9xB9uRusbpug81kJeA&amp;_hsmi=88328232&amp;utm_source=hs_email&amp;utm_content=88328407&amp;hsCtaTracking=f8a31ce8-daf1-4d69-a5d6-c3349f3aab91%7C75f9b9fd-a2b2-4ad4-9d4a-0dcb7c99194f</t>
  </si>
  <si>
    <t>666@ighmallorca.com</t>
  </si>
  <si>
    <t>https://resources.simonelectric.com/simon-material-formativo-vehiculo-electrico?utm_campaign=SIC%20-%20Veh%C3%ADculo%20El%C3%A9ctrico&amp;utm_medium=email&amp;_hsenc=p2ANqtz-87UKcrj0vMINAevyQ4vYlq28p_OpqHOLvjsg5iI0HA4lm9CbplZ6snNVuaH__xQ-wbTTJ7gH7q_ZKDTt5JWrQBUF6Ehw&amp;_hsmi=88328232&amp;utm_source=hs_email&amp;utm_content=88328407&amp;hsCtaTracking=f8a31ce8-daf1-4d69-a5d6-c3349f3aab91%7C75f9b9fd-a2b2-4ad4-9d4a-0dcb7c99194f</t>
  </si>
  <si>
    <t>667@ces2010.es</t>
  </si>
  <si>
    <t>https://resources.simonelectric.com/simon-material-formativo-vehiculo-electrico?utm_campaign=SIC%20-%20Veh%C3%ADculo%20El%C3%A9ctrico&amp;utm_medium=email&amp;_hsenc=p2ANqtz-_tIdknR2k9w53fwVX7C0OC9izZpM6MpUt1myyueenIkg7b2oGPXwn8iUuoOqXMU6v3DTX9s_mDKmYVYer4oqXH0WEj7g&amp;_hsmi=88328232&amp;utm_source=hs_email&amp;utm_content=88328407&amp;hsCtaTracking=f8a31ce8-daf1-4d69-a5d6-c3349f3aab91%7C75f9b9fd-a2b2-4ad4-9d4a-0dcb7c99194f</t>
  </si>
  <si>
    <t>668@dipucordoba.es</t>
  </si>
  <si>
    <t>https://resources.simonelectric.com/simon-material-formativo-vehiculo-electrico?utm_campaign=SIC%20-%20Veh%C3%ADculo%20El%C3%A9ctrico&amp;utm_medium=email&amp;_hsenc=p2ANqtz-9EhY919YGnZTuVBnguKtGQ_kd_nQvRQNagDPhqVan3uJ42v3_f-ARwGa7kwQ71vTnPEc1RrRoPRFdNGYW2YwTE4uN-eg&amp;_hsmi=88328232&amp;utm_source=hs_email&amp;utm_content=88328407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</si>
  <si>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-9qQXXtSmHzkuVC58bqdxlf5GWxlkOmqbwHJYmtNIB9w0pb3LgHxM9WpjdmEgx87nXMkXdy_vrrcR_vZsxPjXbU7f58KVDLkrNhi62uR3MN3M24bCM&amp;_hsmi=88328232&amp;utm_source=hs_email&amp;utm_content=88328407&amp;hsCtaTracking=f8a31ce8-daf1-4d69-a5d6-c3349f3aab91%7C75f9b9fd-a2b2-4ad4-9d4a-0dcb7c99194f</t>
  </si>
  <si>
    <t>669@hotmail.com</t>
  </si>
  <si>
    <t>https://resources.simonelectric.com/simon-material-formativo-vehiculo-electrico?utm_campaign=SIC%20-%20Veh%C3%ADculo%20El%C3%A9ctrico&amp;utm_source=hs_email&amp;utm_medium=email&amp;utm_content=88328407&amp;_hsenc=p2ANqtz-88Fwq-JuaMZJTxWkAqpgnOvr6pzb9LAP9cUB3fbBzm_Un06tO6iDHkpW5XvSubEWwpNHTbgBGpue4YyEL4v_EynkLeWQ&amp;_hsmi=88328232</t>
  </si>
  <si>
    <t>https://resources.simonelectric.com/simon-material-formativo-vehiculo-electrico?utm_campaign=SIC%20-%20Veh%C3%ADculo%20El%C3%A9ctrico&amp;utm_medium=email&amp;_hsenc=p2ANqtz-_hYRbhM-0G7x57YY6gPNnvNU257zULDfRnjAztRUN1NblGFh1gptCYO25xKvyH2Nefw5G53F73KRuUtR_-CAfvYjChSA&amp;_hsmi=88328232&amp;utm_source=hs_email&amp;utm_content=88328407&amp;hsCtaTracking=f8a31ce8-daf1-4d69-a5d6-c3349f3aab91%7C75f9b9fd-a2b2-4ad4-9d4a-0dcb7c99194f</t>
  </si>
  <si>
    <t>670@nogawatio.es</t>
  </si>
  <si>
    <t>https://resources.simonelectric.com/simon-material-formativo-vehiculo-electrico?utm_campaign=SIC%20-%20Veh%C3%ADculo%20El%C3%A9ctrico&amp;utm_medium=email&amp;_hsenc=p2ANqtz-8QP9EvU73quzTzMQ5y2Njl8veGZeZQs3hDfuSHJgfEYsUQU8_Mi78YH4hx-1ZJsxyLlYG4Pvgdo0f-FQ_fTjQuoYByIQ&amp;_hsmi=88328232&amp;utm_source=hs_email&amp;utm_content=88328407&amp;hsCtaTracking=f8a31ce8-daf1-4d69-a5d6-c3349f3aab91%7C75f9b9fd-a2b2-4ad4-9d4a-0dcb7c99194f</t>
  </si>
  <si>
    <t>671@csisuministros.com</t>
  </si>
  <si>
    <t>https://resources.simonelectric.com/simon-material-formativo-vehiculo-electrico?utm_campaign=SIC%20-%20Veh%C3%ADculo%20El%C3%A9ctrico&amp;utm_source=hs_email&amp;utm_medium=email&amp;utm_content=88328407&amp;_hsenc=p2ANqtz-8-x0-MH9AXFJKaj58MttC8EP2hkbq0EnIr6mN6KBWb_izj2zRPmdVdQGvxRe5ayye7yd20sabVEZ48RRX6dbH8Hpw-03fQzZEMaevQVyfOXP-LcxM&amp;_hsmi=88328237</t>
  </si>
  <si>
    <t>672@gmail.com</t>
  </si>
  <si>
    <t>https://resources.simonelectric.com/simon-material-formativo-vehiculo-electrico?utm_campaign=SIC%20-%20Veh%C3%ADculo%20El%C3%A9ctrico&amp;utm_source=hs_email&amp;utm_medium=email&amp;utm_content=88328407&amp;_hsenc=p2ANqtz-_S8Do3XOFHJVDG7UM6YSXjz7KH2SUruoQuKoAdUkMf3tcaKkk7BZYjTiUQ3nEDparHeRyTIysgM2mI8rmijwPJqd94GA&amp;_hsmi=88328232</t>
  </si>
  <si>
    <t>673@gmail.com</t>
  </si>
  <si>
    <t>https://resources.simonelectric.com/simon-material-formativo-vehiculo-electrico?utm_campaign=SIC%20-%20Veh%C3%ADculo%20El%C3%A9ctrico&amp;utm_source=hs_email&amp;utm_medium=email&amp;utm_content=88328407&amp;_hsenc=p2ANqtz-8hOjBJJDG85t6HKu_NTNKdSUuM8eC8h62PdeJ9p7KTK8HC8-FadMcgPooVhTAqwqAHPfZL3uxmCd_2SIonuFfZEikis1YwbdgXpQ_KLARAgxS8b2w&amp;_hsmi=88328232</t>
  </si>
  <si>
    <t>https://resources.simonelectric.com/simon-material-formativo-vehiculo-electrico?utm_campaign=SIC%20-%20Veh%C3%ADculo%20El%C3%A9ctrico&amp;utm_medium=email&amp;_hsenc=p2ANqtz--AkQ6-xQ3n3U_NcFX5L-fJpoeIvN2mvsls6thui_P8Ob-RlllPMgDLRk1QuQ4a_SQ5DP0QW4rQct1wdl8EgVY-q3TAMUKNZi1gxglySDkaprkyjb4&amp;_hsmi=88328232&amp;utm_source=hs_email&amp;utm_content=88328407&amp;hsCtaTracking=f8a31ce8-daf1-4d69-a5d6-c3349f3aab91%7C75f9b9fd-a2b2-4ad4-9d4a-0dcb7c99194f</t>
  </si>
  <si>
    <t>674@coitt.es</t>
  </si>
  <si>
    <t>https://resources.simonelectric.com/simon-material-formativo-vehiculo-electrico?utm_campaign=SIC%20-%20Veh%C3%ADculo%20El%C3%A9ctrico&amp;utm_medium=email&amp;_hsenc=p2ANqtz-9E8X5gUKED_drq1S6V6nim1lOgkw4r8BQaZf7C35nfqg2AP110YkkRl9Rkz8x6XerX1Dfnt4dPH5tkV76HWFbCoZhZifXi6JJf7c2gaRaNYSne46Y&amp;_hsmi=88328232&amp;utm_source=hs_email&amp;utm_content=88328407&amp;hsCtaTracking=f8a31ce8-daf1-4d69-a5d6-c3349f3aab91%7C75f9b9fd-a2b2-4ad4-9d4a-0dcb7c99194f</t>
  </si>
  <si>
    <t>675@aclingenieria.com</t>
  </si>
  <si>
    <t>https://resources.simonelectric.com/simon-material-formativo-vehiculo-electrico?utm_campaign=SIC%20-%20Veh%C3%ADculo%20El%C3%A9ctrico&amp;utm_source=hs_email&amp;utm_medium=email&amp;utm_content=88328407&amp;_hsenc=p2ANqtz-89F79eZXIJaQaL5sDltVMwHCCI8uwOqDYFJW2VsrDgHRVO6XnIZvQzTWBRVArLEz5v90x5Ir4RrcdkQc7qm7CLFqfo64pBP_M5wWDwsVXOyHRZQxc&amp;_hsmi=88328232</t>
  </si>
  <si>
    <t>676@promec.es</t>
  </si>
  <si>
    <t>https://resources.simonelectric.com/simon-material-formativo-vehiculo-electrico?utm_campaign=SIC%20-%20Veh%C3%ADculo%20El%C3%A9ctrico&amp;utm_medium=email&amp;_hsenc=p2ANqtz--Tgyl7chFvVm-NUB5VmQGYqLsFZa41JyhFsAw_wOTyy-Zk-5rrzGDL0qZQuzc3thtGEciaZtXC33d71MVaQ8U3VU7Mkw&amp;_hsmi=88328232&amp;utm_source=hs_email&amp;utm_content=88328407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</si>
  <si>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-9O20nxqwXIbdeeTg2eG343-DV84wyJ7VqDx8Xqlh3z3acXn8m63EJP3lDfKzkZT9KAebeAJZZtI4Pp3vrS2iJX6bGS3Q&amp;_hsmi=88328232&amp;utm_source=hs_email&amp;utm_content=88328407&amp;hsCtaTracking=f8a31ce8-daf1-4d69-a5d6-c3349f3aab91%7C75f9b9fd-a2b2-4ad4-9d4a-0dcb7c99194f</t>
  </si>
  <si>
    <t>677@gmail.com</t>
  </si>
  <si>
    <t>https://resources.simonelectric.com/simon-material-formativo-vehiculo-electrico?utm_campaign=SIC%20-%20Veh%C3%ADculo%20El%C3%A9ctrico&amp;utm_medium=email&amp;_hsenc=p2ANqtz-9mdgaXiElZpsaXs823FhsR0kMUmwyE4WfpXOCMRLYycUVzbrUK6peKWxxRqdVkE2MEueki-RCfFef41xyRXGtPYFHGXw&amp;_hsmi=88328232&amp;utm_source=hs_email&amp;utm_content=88328407&amp;hsCtaTracking=f8a31ce8-daf1-4d69-a5d6-c3349f3aab91%7C75f9b9fd-a2b2-4ad4-9d4a-0dcb7c99194f</t>
  </si>
  <si>
    <t>678@nh-hotels.com</t>
  </si>
  <si>
    <t>https://resources.simonelectric.com/simon-material-formativo-vehiculo-electrico?utm_campaign=SIC%20-%20Veh%C3%ADculo%20El%C3%A9ctrico&amp;utm_source=hs_email&amp;utm_medium=email&amp;utm_content=88328407&amp;_hsenc=p2ANqtz-9DlmKcn7Go6OAYO8i4RnOjnW7gTzsPQm-32YV9Rh6L1x8--zXuOnP-pTmIo9DynClPFgQi_DmNHHwBKL7cMwilckz_tjt_69vCgE28GOy6ckQSm_Q&amp;_hsmi=88328232</t>
  </si>
  <si>
    <t>679@hotmail.com</t>
  </si>
  <si>
    <t>https://resources.simonelectric.com/simon-material-formativo-vehiculo-electrico?utm_campaign=SIC%20-%20Veh%C3%ADculo%20El%C3%A9ctrico&amp;utm_source=hs_email&amp;utm_medium=email&amp;utm_content=88328407&amp;_hsenc=p2ANqtz-86j3yP0v6MQjqqrl_PWrpYDI-QsVqgi-bBHERUbwpPojNtMUXZksnlVeJSna2TMvpG-Oo70jgP3lHnRZ6J7FAkiA-BiA&amp;_hsmi=88328232</t>
  </si>
  <si>
    <t>680@chargeguru.com</t>
  </si>
  <si>
    <t>https://resources.simonelectric.com/simon-material-formativo-vehiculo-electrico?utm_campaign=SIC%20-%20Veh%C3%ADculo%20El%C3%A9ctrico&amp;utm_source=hs_email&amp;utm_medium=email&amp;utm_content=88328407&amp;_hsenc=p2ANqtz-86N9dSJSyM5I0O-kkCpYc-aWaTOP8EIthFYgnWPPe2t2bIbzKrnw1QwIuIQyZkiBcbKmWjJYtlsa_iiNE6ZL2kidAbeZSjE74jcfvElWbh5Z6gf0I&amp;_hsmi=88328232</t>
  </si>
  <si>
    <t>681@electricidadbalaguer.es</t>
  </si>
  <si>
    <t>https://resources.simonelectric.com/simon-material-formativo-vehiculo-electrico?utm_campaign=SIC%20-%20Veh%C3%ADculo%20El%C3%A9ctrico&amp;utm_source=hs_email&amp;utm_medium=email&amp;utm_content=88328407&amp;_hsenc=p2ANqtz-8ito7xm5Mk_tOgDQvrzsBOdTsyVOJiZKp1wVHlIzAlV5OLImCgjtG7wFcU_dQCfP0e9PpwNp0vFDKA0cE39VJ2DVtBMenB7BhCuig5T14K9jDauu0&amp;_hsmi=88328232</t>
  </si>
  <si>
    <t>https://resources.simonelectric.com/simon-material-formativo-vehiculo-electrico?utm_campaign=SIC%20-%20Veh%C3%ADculo%20El%C3%A9ctrico&amp;utm_medium=email&amp;_hsenc=p2ANqtz--rZTsysyG9P7Mqnqlyte0O8rPew8ig5LMnKcomPIs-ZFygZXEjQ7DcUrHuo2pE9U41eTpjkOOT642Cq_x09QfHmnrwuDebVy9zhxgm0gGuQBKwX58&amp;_hsmi=88328232&amp;utm_source=hs_email&amp;utm_content=88328407&amp;hsCtaTracking=f8a31ce8-daf1-4d69-a5d6-c3349f3aab91%7C75f9b9fd-a2b2-4ad4-9d4a-0dcb7c99194f</t>
  </si>
  <si>
    <t>https://resources.simonelectric.com/simon-material-formativo-vehiculo-electrico?utm_campaign=SIC%20-%20Veh%C3%ADculo%20El%C3%A9ctrico&amp;utm_source=hs_email&amp;utm_medium=email&amp;utm_content=88328407&amp;_hsenc=p2ANqtz-9xLOAOrkVerZ-kHlc-zoj_u_X2W79Kw1W6XmkrNDsYG1EblIcWdWZF6Vhf9vePihXXonw3kyF_XKy_bQCehcm0QYUFQSX1QRlJFtXlSU-aSsKF4BI&amp;_hsmi=88328232</t>
  </si>
  <si>
    <t>682@gmail.com</t>
  </si>
  <si>
    <t>https://resources.simonelectric.com/simon-material-formativo-vehiculo-electrico?utm_campaign=SIC%20-%20Veh%C3%ADculo%20El%C3%A9ctrico&amp;utm_source=hs_email&amp;utm_medium=email&amp;utm_content=88328407&amp;_hsenc=p2ANqtz--Tfjw8HXIQrAc7QtCsquRnG_RkVin5OQV6pFPgsTS3AUYx49VKd7znGjdi65h8rckVNnBzbosicSq5CkRWOBnqqHesY87SM7SIOiOe3jJb6bNdK2k&amp;_hsmi=88328232</t>
  </si>
  <si>
    <t>https://resources.simonelectric.com/simon-material-formativo-vehiculo-electrico?utm_campaign=SIC%20-%20Veh%C3%ADculo%20El%C3%A9ctrico&amp;utm_medium=email&amp;_hsenc=p2ANqtz--4V5jdNHV7PWNFoWqw2KTznkxXt0LPtQNumfcgFRxhN0xR8KcXhiJwI7MXYaYPOW9zY9qD4rMpCR2phsKTvOszIga4r35sXHUeDFxbvp9YDyOlDeA&amp;_hsmi=88328232&amp;utm_source=hs_email&amp;utm_content=88328407&amp;hsCtaTracking=f8a31ce8-daf1-4d69-a5d6-c3349f3aab91%7C75f9b9fd-a2b2-4ad4-9d4a-0dcb7c99194f</t>
  </si>
  <si>
    <t>683@hagergroup.com</t>
  </si>
  <si>
    <t>https://resources.simonelectric.com/simon-material-formativo-vehiculo-electrico?utm_campaign=SIC%20-%20Veh%C3%ADculo%20El%C3%A9ctrico&amp;utm_source=hs_email&amp;utm_medium=email&amp;utm_content=88328407&amp;_hsenc=p2ANqtz--U6clnanFt4a0VAvbelKzC-pmOun320c-RRYulBQC-ILQJucfQx23taX0_wCDLhpF7wCP7-ZWVuzds8i-gx04B9_QbxkFmTAL1hETPQ4UopnD2cxw&amp;_hsmi=88328232</t>
  </si>
  <si>
    <t>684@gmail.com</t>
  </si>
  <si>
    <t>https://resources.simonelectric.com/simon-material-formativo-vehiculo-electrico?utm_campaign=SIC%20-%20Veh%C3%ADculo%20El%C3%A9ctrico&amp;utm_source=hs_email&amp;utm_medium=email&amp;utm_content=88328407&amp;_hsenc=p2ANqtz-_zq_4wE-Pp7XbVkpK1RkIucr8LydzbDI1I6U723Edb6LbUQXGWyvD_t0OUgMIau6YSnxPZVsJxSCzRu1xnHsieyCtviw&amp;_hsmi=88328232</t>
  </si>
  <si>
    <t>685@climava.com</t>
  </si>
  <si>
    <t>https://resources.simonelectric.com/simon-material-formativo-vehiculo-electrico?utm_campaign=SIC%20-%20Veh%C3%ADculo%20El%C3%A9ctrico&amp;utm_medium=email&amp;_hsenc=p2ANqtz-9fhG1kLjfLlLeJdvsjFqFZLbf_iBFwIytrXKJJoNE5SfRdOgQCDP04UHCVEJhnbbtkVdca3_-3c5Oj0Jr4wK39ayKU2A&amp;_hsmi=88328232&amp;utm_source=hs_email&amp;utm_content=88328407&amp;hsCtaTracking=f8a31ce8-daf1-4d69-a5d6-c3349f3aab91%7C75f9b9fd-a2b2-4ad4-9d4a-0dcb7c99194f</t>
  </si>
  <si>
    <t>686@electro-h.es</t>
  </si>
  <si>
    <t>https://resources.simonelectric.com/simon-material-formativo-vehiculo-electrico?utm_campaign=SIC%20-%20Veh%C3%ADculo%20El%C3%A9ctrico&amp;utm_medium=email&amp;_hsenc=p2ANqtz-9SM2EiH6aA6XE1Mg39M0oFO9-iDszknMF9OLd6HWz3rec_FdZchJ6NGAIAgtIxZiCEqRcjGCmPIbTCZ77vEmi22Cdidg&amp;_hsmi=88328232&amp;utm_source=hs_email&amp;utm_content=88328407&amp;hsCtaTracking=f8a31ce8-daf1-4d69-a5d6-c3349f3aab91%7C75f9b9fd-a2b2-4ad4-9d4a-0dcb7c99194f</t>
  </si>
  <si>
    <t>https://resources.simonelectric.com/simon-material-formativo-vehiculo-electrico?utm_campaign=SIC%20-%20Veh%C3%ADculo%20El%C3%A9ctrico&amp;utm_medium=email&amp;_hsenc=p2ANqtz-_Wh-XFXqOdhZxVK6Qq0lIQHNLrK2sMgH-f2mQ02mhtkxapGI3KEouQtepnNFHdeIaumTBMMkIlY9mVOg6l1pq8cezz3w&amp;_hsmi=88328232&amp;utm_source=hs_email&amp;utm_content=88328407&amp;hsCtaTracking=f8a31ce8-daf1-4d69-a5d6-c3349f3aab91%7C75f9b9fd-a2b2-4ad4-9d4a-0dcb7c99194f</t>
  </si>
  <si>
    <t>687@outlook.es</t>
  </si>
  <si>
    <t>https://resources.simonelectric.com/simon-material-formativo-vehiculo-electrico?utm_campaign=SIC%20-%20Veh%C3%ADculo%20El%C3%A9ctrico&amp;utm_source=hs_email&amp;utm_medium=email&amp;utm_content=88328407&amp;_hsenc=p2ANqtz-_qi-PwOThxfWllhDGgb53ehnVFrPiZR5p1TYY_RQe6t8NUGpU3tWRvliIpO9BBRuVr38rKcBGl7wc3O5-7dV5Lg_KrcQ&amp;_hsmi=88328232</t>
  </si>
  <si>
    <t>688@legrandgroup.es</t>
  </si>
  <si>
    <t>https://resources.simonelectric.com/simon-material-formativo-vehiculo-electrico?utm_campaign=SIC%20-%20Veh%C3%ADculo%20El%C3%A9ctrico&amp;utm_medium=email&amp;_hsenc=p2ANqtz-_7gsK2oamD1hQ845eoZkdXbxBYBWbVnntqdq9_e6kvvdOh0rAWqnO1Yka4Gass4cI7u_pED9BAEEZYKaXfSZGQ9YgaoTEPzRgxxxcBA-moYCGemdo&amp;_hsmi=88328232&amp;utm_source=hs_email&amp;utm_content=88328407&amp;hsCtaTracking=f8a31ce8-daf1-4d69-a5d6-c3349f3aab91%7C75f9b9fd-a2b2-4ad4-9d4a-0dcb7c99194f</t>
  </si>
  <si>
    <t>689@arbonapiza.com</t>
  </si>
  <si>
    <t>https://resources.simonelectric.com/simon-material-formativo-vehiculo-electrico?utm_campaign=SIC%20-%20Veh%C3%ADculo%20El%C3%A9ctrico&amp;utm_medium=email&amp;_hsenc=p2ANqtz-8dW87evrqDF5TjolMfcAsSYnMzuIcyPjgBhcYjcrXEI1UJ_Lw-dVlxuGWIuQ6HIv9Ud23Out_uq2bIWY9OJRsRdTl65Re5GMyJYNs6VaTEN0Xrtfc&amp;_hsmi=88328232&amp;utm_source=hs_email&amp;utm_content=88328407&amp;hsCtaTracking=f8a31ce8-daf1-4d69-a5d6-c3349f3aab91%7C75f9b9fd-a2b2-4ad4-9d4a-0dcb7c99194f</t>
  </si>
  <si>
    <t>690@dllgroup.com</t>
  </si>
  <si>
    <t>https://resources.simonelectric.com/simon-material-formativo-vehiculo-electrico?utm_campaign=SIC%20-%20Veh%C3%ADculo%20El%C3%A9ctrico&amp;utm_source=hs_email&amp;utm_medium=email&amp;utm_content=88328407&amp;_hsenc=p2ANqtz-_fan2FzR8SP2KGqnVBtQqkc95LkdJAbGW3yfvGIy1tLzjU6nZP09_adj6YNQ_WJ-RgYOaJEXkowemdo4YOUCA23VrXew&amp;_hsmi=88328232</t>
  </si>
  <si>
    <t>https://resources.simonelectric.com/simon-material-formativo-vehiculo-electrico?utm_campaign=SIC%20-%20Veh%C3%ADculo%20El%C3%A9ctrico&amp;utm_source=hs_email&amp;utm_medium=email&amp;utm_content=88328407&amp;_hsenc=p2ANqtz-8LoXz02KCKoyv1TH8-ylgCcIoSDv1pDUzbm30ocf78f_jI7P5RfFPqXm39B6Pt_K_4-JJvUpj0C82frsU1PkWgWKDCtQ&amp;_hsmi=88328232</t>
  </si>
  <si>
    <t>691@cbre.com</t>
  </si>
  <si>
    <t>https://resources.simonelectric.com/simon-material-formativo-vehiculo-electrico?utm_campaign=SIC%20-%20Veh%C3%ADculo%20El%C3%A9ctrico&amp;utm_medium=email&amp;_hsenc=p2ANqtz-805SLY__DBrISI90ROvOJyOvY_AbHt0mysQUzqWbH_38ZijUK1x6lKK3fgfAyYrJ9TXX8CyFWIjlfh75PMEPFBvs7Y5Q&amp;_hsmi=88328232&amp;utm_source=hs_email&amp;utm_content=88328407&amp;hsCtaTracking=f8a31ce8-daf1-4d69-a5d6-c3349f3aab91%7C75f9b9fd-a2b2-4ad4-9d4a-0dcb7c99194f</t>
  </si>
  <si>
    <t>692@gmail.com</t>
  </si>
  <si>
    <t>693@yahoo.com.mx</t>
  </si>
  <si>
    <t>694@gmail.com</t>
  </si>
  <si>
    <t>695@gmail.com</t>
  </si>
  <si>
    <t>https://resources.simonelectric.com/simon-catalogo-vehiculo-electrico?utm_campaign=SIC%20-%20Veh%C3%ADculo%20El%C3%A9ctrico&amp;utm_medium=email&amp;_hsenc=p2ANqtz--njJMPRXxiAYOYogn1yx6ZH_p2CxV_tRhCl2K-XS6Eb-ma4nW0vZeQ7K4G1JD5xN45J8QxL9Rq1Q6s-IXKYem54UgfmQ&amp;_hsmi=87865495&amp;utm_source=hs_automation&amp;utm_content=87865495&amp;hsCtaTracking=6fedf137-fd90-4f17-bfb4-d61f710ec7f8%7Cf2771843-6636-4969-9010-2d8d0389b89c</t>
  </si>
  <si>
    <t>696@rlinstalacioneselectricas.com</t>
  </si>
  <si>
    <t>https://resources.simonelectric.com/simon-catalogo-vehiculo-electrico?utm_campaign=SIC%20-%20Veh%C3%ADculo%20El%C3%A9ctrico&amp;utm_medium=email&amp;_hsenc=p2ANqtz-9ToLG_HhceDZwI1NE2ZNQdYBJWAMYvPbrY90t16BDWbNE5KOayXVck2xpUIAGsdvhWw87OoerL80-iZSlPudufrbKrI94yhlYLl0WiZ2wPl-OchhU&amp;_hsmi=87865495&amp;utm_source=hs_automation&amp;utm_content=87865495&amp;hsCtaTracking=6fedf137-fd90-4f17-bfb4-d61f710ec7f8%7Cf2771843-6636-4969-9010-2d8d0389b89c</t>
  </si>
  <si>
    <t>697@ingedomsl.com</t>
  </si>
  <si>
    <t>https://resources.simonelectric.com/simon-catalogo-vehiculo-electrico?__hstc=83084745.4e7cdc37863b4d4082bb3cc5d22231a3.1590074701508.1590074701508.1590078260429.2&amp;__hssc=83084745.3.1590078260429&amp;__hsfp=792683365</t>
  </si>
  <si>
    <t>698@gmail.com</t>
  </si>
  <si>
    <t>https://resources.simonelectric.com/simon-catalogo-vehiculo-electrico?utm_campaign=SIC%20-%20Veh%C3%ADculo%20El%C3%A9ctrico&amp;utm_medium=email&amp;_hsenc=p2ANqtz-_P9WgC8GOqZsq5qPJPsstZ17Ocz-p0Tj-GB4ut6zIhqynPWZ47Wg8SDfJpRI9ufSy3NljAVMGg_JwMYdVv6_ZGdjnS3w&amp;_hsmi=87865495&amp;utm_source=hs_automation&amp;utm_content=87865495&amp;hsCtaTracking=6fedf137-fd90-4f17-bfb4-d61f710ec7f8%7Cf2771843-6636-4969-9010-2d8d0389b89c</t>
  </si>
  <si>
    <t>699@unisystems.es</t>
  </si>
  <si>
    <t>700@gmail.com</t>
  </si>
  <si>
    <t>https://resources.simonelectric.com/simon-catalogo-vehiculo-electrico?utm_campaign=SIC%20-%20Veh%C3%ADculo%20El%C3%A9ctrico&amp;utm_medium=email&amp;_hsenc=p2ANqtz-_WrMuZai6qv9gSD5WCYUqLYIjfY20BMP2N2T94uTpuf-24HqYuGjckR_mI1gdVFDi7ehl-7dHnued0VUIO6VT1rWBmYg&amp;_hsmi=87865495&amp;utm_source=hs_automation&amp;utm_content=87865495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</si>
  <si>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HEJTLImNim7Dg3cog0maFwYOj2YR0QEJ7QxKY5yOieFCPB6u2b_pVSFyql_Fv4Rz7woUnLMYYsJptTFJ-cLZTGjyvTw&amp;_hsmi=87865495&amp;utm_source=hs_automation&amp;utm_content=87865495&amp;hsCtaTracking=6fedf137-fd90-4f17-bfb4-d61f710ec7f8%7Cf2771843-6636-4969-9010-2d8d0389b89c</t>
  </si>
  <si>
    <t>701@gmail.com</t>
  </si>
  <si>
    <t>702@hotmail.com</t>
  </si>
  <si>
    <t>703@gmail.com</t>
  </si>
  <si>
    <t>704@gmail.com</t>
  </si>
  <si>
    <t>https://resources.simonelectric.com/simon-catalogo-vehiculo-electrico?utm_campaign=SIC%20-%20Veh%C3%ADculo%20El%C3%A9ctrico&amp;utm_medium=email&amp;_hsenc=p2ANqtz-8BAfsA9QMXn1fm7RBvig6fjCi5MYt52SRnouMvbZD1AIVWr-c8gwJzykGs2xrJD5k2S0cr3dedLs4Rx0z9BSXlw6YzFw&amp;_hsmi=87865495&amp;utm_source=hs_automation&amp;utm_content=87865495&amp;hsCtaTracking=6fedf137-fd90-4f17-bfb4-d61f710ec7f8%7Cf2771843-6636-4969-9010-2d8d0389b89c</t>
  </si>
  <si>
    <t>705@gmail.com</t>
  </si>
  <si>
    <t>706@juntaex.es</t>
  </si>
  <si>
    <t>https://resources.simonelectric.com/simon-catalogo-vehiculo-electrico?utm_campaign=SIC%20-%20Veh%C3%ADculo%20El%C3%A9ctrico&amp;utm_source=hs_automation&amp;utm_medium=email&amp;utm_content=87865495&amp;_hsenc=p2ANqtz-8PZucVP2cTMz9XZb9jOgOFpWSCvjrUFEdNiQ6m_NmLRxaqO90bHlm1PUsMrCmZA8mqImqB5Ah8Kh6l9edpKv8wPfey0x7P_IQ_Sglt1B8Vw0dsios&amp;_hsmi=87865495</t>
  </si>
  <si>
    <t>707@ufd.es</t>
  </si>
  <si>
    <t>https://resources.simonelectric.com/simon-ebook-vehiculo-electrico?utm_campaign=SIC%20-%20Veh%C3%ADculo%20El%C3%A9ctrico&amp;utm_medium=email&amp;_hsenc=p2ANqtz-9-lL-s--QESpzFU5btdeNAf7_uA_domfb29UICPrdCoZ_1NtcK_95H2xBDnCmTvZ4jny8grBV-s0FRGRpimX1-ojZLNg&amp;_hsmi=71033675&amp;utm_source=hs_automation&amp;utm_content=71033675&amp;hsCtaTracking=2e94ebfc-d414-4389-870c-d2f266a9420b%7C587ac4dc-a49a-4bdc-b449-e36f5d95395b</t>
  </si>
  <si>
    <t>708@zaker.com</t>
  </si>
  <si>
    <t>https://resources.simonelectric.com/simon-catalogo-vehiculo-electrico?utm_campaign=SIC%20-%20Veh%C3%ADculo%20El%C3%A9ctrico&amp;utm_medium=email&amp;_hsenc=p2ANqtz-9Zi6kri7GhaqM3pZr0pei0eQJLthucGcLj4DHWBtaA_WrIYmizsRjhUPE6C48uEQQrOYL5kHlVFZ7Ts6cfd-rz5mVTjg&amp;_hsmi=87865495&amp;utm_source=hs_automation&amp;utm_content=87865495&amp;hsCtaTracking=6fedf137-fd90-4f17-bfb4-d61f710ec7f8%7Cf2771843-6636-4969-9010-2d8d0389b89c</t>
  </si>
  <si>
    <t>709@gmail.com</t>
  </si>
  <si>
    <t>https://resources.simonelectric.com/simon-catalogo-vehiculo-electrico?utm_campaign=SIC%20-%20Veh%C3%ADculo%20El%C3%A9ctrico&amp;utm_source=hs_automation&amp;utm_medium=email&amp;utm_content=87865495&amp;_hsenc=p2ANqtz-8gN4Pogy21yRl7huqtr5Q2g_7scj26OV2RfwfrE3v0faBcD1yuHo8eoY12mO-yNtQOPP0z3VGRaBqIt5fG7I_6gbpcbLoysXVE-PUFsJTqZcD40xo&amp;_hsmi=87865495</t>
  </si>
  <si>
    <t>710@hotmail.com</t>
  </si>
  <si>
    <t>711@hotmail.com</t>
  </si>
  <si>
    <t>https://resources.simonelectric.com/simon-catalogo-vehiculo-electrico?utm_campaign=SIC%20-%20Veh%C3%ADculo%20El%C3%A9ctrico&amp;utm_medium=email&amp;_hsenc=p2ANqtz--KTjejc90DG3eijTF65LzPaa6Yxi5Xg_zUDG6TsPLNAamLMsCTvtSSBDXkKQp4Q1V7nukWd-yjrBwYVt2qiCLL0U7FEw&amp;_hsmi=87865495&amp;utm_source=hs_automation&amp;utm_content=87865495&amp;hsCtaTracking=6fedf137-fd90-4f17-bfb4-d61f710ec7f8%7Cf2771843-6636-4969-9010-2d8d0389b89c</t>
  </si>
  <si>
    <t>712@gjautomotive.com</t>
  </si>
  <si>
    <t>713@gmail.com</t>
  </si>
  <si>
    <t>714@hotmail.com</t>
  </si>
  <si>
    <t>715@gmail.com</t>
  </si>
  <si>
    <t>716@gmail.com</t>
  </si>
  <si>
    <t>https://resources.simonelectric.com/simon-catalogo-vehiculo-electrico?utm_campaign=SIC%20-%20Veh%C3%ADculo%20El%C3%A9ctrico&amp;utm_medium=email&amp;_hsenc=p2ANqtz--0-BKmulZhgoG-2uG6_HCkBE9NsPq9zwd70NWj8_O0xKkt3-BrSFbNYlU3FNefScSqxnULGIx5dTSnSzUtBwv3CFIubQ&amp;_hsmi=87865495&amp;utm_source=hs_automation&amp;utm_content=87865495&amp;hsCtaTracking=6fedf137-fd90-4f17-bfb4-d61f710ec7f8%7Cf2771843-6636-4969-9010-2d8d0389b89c</t>
  </si>
  <si>
    <t>717@rtve.es</t>
  </si>
  <si>
    <t>718@poweringcar.com</t>
  </si>
  <si>
    <t>719@gmail.com</t>
  </si>
  <si>
    <t>https://resources.simonelectric.com/simon-catalogo-vehiculo-electrico?utm_campaign=SIC%20-%20Veh%C3%ADculo%20El%C3%A9ctrico&amp;utm_medium=email&amp;_hsenc=p2ANqtz-9KGDcAraODdoPwzzZAKY3Aj8lTRWWxEsYUGGoETmqEfXCTycaR5RxyZHjMAE5JscRCi723BfIxzzao5lBDqGAV9kA_iQ&amp;_hsmi=87865495&amp;utm_source=hs_automation&amp;utm_content=87865495&amp;hsCtaTracking=6fedf137-fd90-4f17-bfb4-d61f710ec7f8%7Cf2771843-6636-4969-9010-2d8d0389b89c</t>
  </si>
  <si>
    <t>720@pgiengineering.com</t>
  </si>
  <si>
    <t>721@gmail.com</t>
  </si>
  <si>
    <t>https://resources.simonelectric.com/simon-catalogo-vehiculo-electrico?utm_campaign=SIC%20-%20Veh%C3%ADculo%20El%C3%A9ctrico&amp;utm_medium=email&amp;_hsenc=p2ANqtz--cl3ktxtOzzv683yfLFEHb3GxNDi1TVM0Qvg0ZMOoke_AB8E0IY4pVa_Hjb_48wv54krPr8rlPTWtHvoNBWZ_E0t3Ikg&amp;_hsmi=87865495&amp;utm_source=hs_automation&amp;utm_content=87865495&amp;hsCtaTracking=6fedf137-fd90-4f17-bfb4-d61f710ec7f8%7Cf2771843-6636-4969-9010-2d8d0389b89c</t>
  </si>
  <si>
    <t>722@gmail.com</t>
  </si>
  <si>
    <t>723@gmail.com</t>
  </si>
  <si>
    <t>724@gmail.com</t>
  </si>
  <si>
    <t>https://resources.simonelectric.com/simon-catalogo-vehiculo-electrico?utm_campaign=SIC%20-%20Veh%C3%ADculo%20El%C3%A9ctrico&amp;utm_source=hs_automation&amp;utm_medium=email&amp;utm_content=87865495&amp;_hsenc=p2ANqtz-9j1O5oIerzH4RNDwUJPTEPd1Qw8n65vz_hy1yq9s4EpJVMJRMiF9HjTeZfJfwtpcpapynu-KYZNPoOk9ghakbg2rqOfg&amp;_hsmi=87865495</t>
  </si>
  <si>
    <t>725@gmail.com</t>
  </si>
  <si>
    <t>726@gmail.com</t>
  </si>
  <si>
    <t>https://resources.simonelectric.com/simon-catalogo-vehiculo-electrico?utm_campaign=SIC%20-%20Veh%C3%ADculo%20El%C3%A9ctrico&amp;utm_medium=email&amp;_hsenc=p2ANqtz-_6tniLs5aBP83CfYGShZOmdjHcW-kdONOeRb1gNn4N8N4DkY2fTLc3dss3OK3Fx9MgQCmjrmkj-CX3dh_6hL3RTtOlyiJQ--Wc48BQ4ln39-M8HWw&amp;_hsmi=87865495&amp;utm_source=hs_automation&amp;utm_content=87865495&amp;hsCtaTracking=6fedf137-fd90-4f17-bfb4-d61f710ec7f8%7Cf2771843-6636-4969-9010-2d8d0389b89c</t>
  </si>
  <si>
    <t>727@membrives.es</t>
  </si>
  <si>
    <t>728@calambre.net</t>
  </si>
  <si>
    <t>729@gmail.com</t>
  </si>
  <si>
    <t>730@hotmail.com</t>
  </si>
  <si>
    <t>https://resources.simonelectric.com/simon-catalogo-vehiculo-electrico?utm_campaign=SIC%20-%20Veh%C3%ADculo%20El%C3%A9ctrico&amp;utm_medium=email&amp;_hsenc=p2ANqtz--zzNIparTnCoLoPlzD1_-CheC1C0PGhLlLYxvcoOWM3D1BdFYA3rEAV54zpoecAI_12ZmycFLz-VGXnnqShw6WR0i4RA&amp;_hsmi=87865495&amp;utm_source=hs_automation&amp;utm_content=87865495&amp;hsCtaTracking=6fedf137-fd90-4f17-bfb4-d61f710ec7f8%7Cf2771843-6636-4969-9010-2d8d0389b89c</t>
  </si>
  <si>
    <t>731@bonoboenergy.com</t>
  </si>
  <si>
    <t>https://resources.simonelectric.com/simon-catalogo-vehiculo-electrico?utm_campaign=SIC%20-%20Veh%C3%ADculo%20El%C3%A9ctrico&amp;utm_source=hs_automation&amp;utm_medium=email&amp;utm_content=87865495&amp;_hsenc=p2ANqtz--9GbAKjrh9IBRuhywNRQqmTartvYxZd-n7x_r_ZnX7YhOGGeVtWvCfzlH-lxSC2vAks9mAY3oorT0Y6bXZ8k5WT_lAZzyI2BzcgjZnP-154Rl5_lk&amp;_hsmi=87865495</t>
  </si>
  <si>
    <t>732@vcejudo.es</t>
  </si>
  <si>
    <t>https://resources.simonelectric.com/simon-catalogo-vehiculo-electrico?utm_campaign=SIC%20-%20Veh%C3%ADculo%20El%C3%A9ctrico&amp;utm_source=hs_automation&amp;utm_medium=email&amp;utm_content=87865495&amp;_hsenc=p2ANqtz-9-2oGYkWa22s_sWcPQ5J8BiirySDrq65IbZmFA6CfXYCcDhcJMkQk3rVYNWLl7El4mDQHaLKuMHy-hVN5FRbU9A-8OMg&amp;_hsmi=87865495</t>
  </si>
  <si>
    <t>733@gmail.com</t>
  </si>
  <si>
    <t>734@gmail.com</t>
  </si>
  <si>
    <t>735@serveiskronier55.com</t>
  </si>
  <si>
    <t>https://resources.simonelectric.com/simon-catalogo-vehiculo-electrico?utm_campaign=SIC%20-%20Veh%C3%ADculo%20El%C3%A9ctrico&amp;utm_medium=email&amp;_hsenc=p2ANqtz-_pZxxwnO2ilf6p64PjbbTASoeihFyxhzxF0BSe_HszNFnS5M4cklVM7Hn1eApKz7twQW4ce_5mPLgjgfd0e5GREOjx_rnBS0AFsfMoJU-Nmka86S8&amp;_hsmi=87865495&amp;utm_source=hs_automation&amp;utm_content=87865495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</si>
  <si>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P2QQZEi35YqQaxXDyGYuScI2Prwgpiqjc_yvFoWr0UFi8DiH4zjTCCuQ3OZ0X78OQEZzll6rmFOh7BpMeCry-2B1EGg&amp;_hsmi=87865495&amp;utm_source=hs_automation&amp;utm_content=87865495&amp;hsCtaTracking=6fedf137-fd90-4f17-bfb4-d61f710ec7f8%7Cf2771843-6636-4969-9010-2d8d0389b89c</t>
  </si>
  <si>
    <t>736@yahoo.com</t>
  </si>
  <si>
    <t>https://resources.simonelectric.com/simon-catalogo-vehiculo-electrico?utm_campaign=SIC%20-%20Veh%C3%ADculo%20El%C3%A9ctrico&amp;utm_medium=email&amp;_hsenc=p2ANqtz-_UxRlzenk37W9DejqXoynaKrJcdALc8J4FdftyH_Pgtgod1H67eOygdnCbJPwWJncb40ro-IYq9cZq3BGF_tvr1t0_8A&amp;_hsmi=87865495&amp;utm_source=hs_automation&amp;utm_content=87865495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</si>
  <si>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KzN9OobMGxotFxK3blIBsVQq9rGZtTGGCCr6Id7jNsaXBKuX8ves-qnQe2lbXehIhayiHOX17bI8gk3S-fyi9-iztPA&amp;_hsmi=87865495&amp;utm_source=hs_automation&amp;utm_content=87865495&amp;hsCtaTracking=6fedf137-fd90-4f17-bfb4-d61f710ec7f8%7Cf2771843-6636-4969-9010-2d8d0389b89c</t>
  </si>
  <si>
    <t>737@lagingenieros.es</t>
  </si>
  <si>
    <t>https://resources.simonelectric.com/simon-catalogo-vehiculo-electrico?utm_campaign=SIC%20-%20Veh%C3%ADculo%20El%C3%A9ctrico&amp;utm_medium=email&amp;_hsenc=p2ANqtz-9Rh66owb8EQrmtbQI1zTVSjJ9YtcNKYI7eg39KSBZrtbraoZT0ubEeq0HN3RKBtusGwJ4LI5e1zDdHc4ES7ghPsWtagg&amp;_hsmi=87865495&amp;utm_source=hs_automation&amp;utm_content=87865495&amp;hsCtaTracking=6fedf137-fd90-4f17-bfb4-d61f710ec7f8%7Cf2771843-6636-4969-9010-2d8d0389b89c</t>
  </si>
  <si>
    <t>738@caatvalencia.es</t>
  </si>
  <si>
    <t>https://resources.simonelectric.com/simon-catalogo-vehiculo-electrico?utm_campaign=SIC%20-%20Veh%C3%ADculo%20El%C3%A9ctrico&amp;utm_source=hs_automation&amp;utm_medium=email&amp;utm_content=87865495&amp;_hsenc=p2ANqtz--P8R7JGTJhXdI1wF1VaT2GMoDQXeibLWGkXiq7KS75yowLtO3MQ-QQ0CXQRhZX2W33SRcdKo2bASMWEV1dkkz8IK8AUQ&amp;_hsmi=87865495</t>
  </si>
  <si>
    <t>739@isf-esp.com</t>
  </si>
  <si>
    <t>https://resources.simonelectric.com/simon-catalogo-vehiculo-electrico?utm_campaign=SIC%20-%20Veh%C3%ADculo%20El%C3%A9ctrico&amp;utm_source=hs_automation&amp;utm_medium=email&amp;utm_content=87865495&amp;_hsenc=p2ANqtz-_sOiMM-vL9OT2KdsF8s4B4Le5JXTTiSXRWAwfrVh05ADimvQnAYXM7B4XROUV059V8nSjtvbpKy1aR2pzeo1-SPi_PYQ&amp;_hsmi=87865495</t>
  </si>
  <si>
    <t>740@cee.com.es</t>
  </si>
  <si>
    <t>https://resources.simonelectric.com/simon-catalogo-vehiculo-electrico?utm_campaign=SIC%20-%20Veh%C3%ADculo%20El%C3%A9ctrico&amp;utm_source=hs_automation&amp;utm_medium=email&amp;utm_content=87865495&amp;_hsenc=p2ANqtz-9IvN6syAH8HBfZLfX5c9G8biti6dcRxpVcQbL29vw3SMG6sI4pWzE93La9icy7VAaBzEMbuxheDRHfsq34qSEw-dMKQw&amp;_hsmi=87865495</t>
  </si>
  <si>
    <t>741@dieselsanchez.com</t>
  </si>
  <si>
    <t>https://resources.simonelectric.com/simon-catalogo-vehiculo-electrico?utm_campaign=SIC%20-%20Veh%C3%ADculo%20El%C3%A9ctrico&amp;utm_source=hs_automation&amp;utm_medium=email&amp;utm_content=87865495&amp;_hsenc=p2ANqtz-8E9IntHLI68pOh4Qr-ZOW3yLBZwBcc4_TjIftTFa-p9A7xLJBumXKRjDluGZQrgd0Z0AwhknFGW_YzazbJAkFZ0HjaTw&amp;_hsmi=87865495</t>
  </si>
  <si>
    <t>742@acoeman.com</t>
  </si>
  <si>
    <t>743@bahiguell.com</t>
  </si>
  <si>
    <t>https://resources.simonelectric.com/simon-catalogo-vehiculo-electrico?utm_campaign=SIC%20-%20Veh%C3%ADculo%20El%C3%A9ctrico&amp;utm_medium=email&amp;_hsenc=p2ANqtz-9QZEdaKZH16xUhNBneTlXVfR3S1xXyjPlebH_6el2SxBUNmnRvqvDvInjheqH7_D3sxlnXoURMAyFRXdS2MSXcCjAi8w&amp;_hsmi=87865495&amp;utm_source=hs_automation&amp;utm_content=87865495&amp;hsCtaTracking=6fedf137-fd90-4f17-bfb4-d61f710ec7f8%7Cf2771843-6636-4969-9010-2d8d0389b89c</t>
  </si>
  <si>
    <t>744@gmail.com</t>
  </si>
  <si>
    <t>https://resources.simonelectric.com/simon-catalogo-vehiculo-electrico?utm_campaign=SIC%20-%20Veh%C3%ADculo%20El%C3%A9ctrico&amp;utm_source=hs_automation&amp;utm_medium=email&amp;utm_content=87865495&amp;_hsenc=p2ANqtz--gNK1uOY29-hj4phqYpr_FFoqpX9R3wZ9FnYE5p1L8THTeUU2iD2e_2r5htE-AQglJ9EyQX-JxHHp0Pqi5fYlMxDI-rw&amp;_hsmi=87865495</t>
  </si>
  <si>
    <t>745@geinstal.com</t>
  </si>
  <si>
    <t>https://resources.simonelectric.com/simon-ebook-vehiculo-electrico?utm_campaign=SIC%20-%20Veh%C3%ADculo%20El%C3%A9ctrico&amp;utm_source=hs_automation&amp;utm_medium=email&amp;utm_content=71033675&amp;_hsenc=p2ANqtz-_PrCz_w5VYvvztWDr1Hp-6bsL--KQ5hGqmRgi4yH6J2ozbucN7tKbBl7d4tYm7xB_6wSQkQYWBjM2K8vU6TL182pB1qA&amp;_hsmi=71033675</t>
  </si>
  <si>
    <t>746@msn.com</t>
  </si>
  <si>
    <t>https://resources.simonelectric.com/simon-catalogo-vehiculo-electrico?utm_campaign=SIC%20-%20Veh%C3%ADculo%20El%C3%A9ctrico&amp;utm_medium=email&amp;_hsenc=p2ANqtz-9m2rZnaOiKEqgSzEmTbELV_LbWF5uRKFDKtcQdjlGWC6wcnqWpRsZAU_0bJDspKi4MLTGolmCbR285_tGzwJzoXICDIw&amp;_hsmi=87865495&amp;utm_source=hs_automation&amp;utm_content=87865495&amp;hsCtaTracking=6fedf137-fd90-4f17-bfb4-d61f710ec7f8%7Cf2771843-6636-4969-9010-2d8d0389b89c</t>
  </si>
  <si>
    <t>https://resources.simonelectric.com/simon-ebook-vehiculo-electrico?utm_campaign=SIC%20-%20Veh%C3%ADculo%20El%C3%A9ctrico&amp;utm_source=hs_automation&amp;utm_medium=email&amp;utm_content=71033675&amp;_hsenc=p2ANqtz-8TrLDrn3fP2W-yJmnjh5mEH1EI2QAwlPjazgClsDgwCdTXGTv4ce2qtGbuHmjgk5AcN21CVMG3zDfb7Z3l41-c_tXS5g&amp;_hsmi=71033675</t>
  </si>
  <si>
    <t>https://resources.simonelectric.com/simon-ebook-vehiculo-electrico?utm_campaign=SIC%20-%20Veh%C3%ADculo%20El%C3%A9ctrico&amp;utm_source=hs_automation&amp;utm_medium=email&amp;utm_content=71033675&amp;_hsenc=p2ANqtz--fTDjOsJTQ97CKelKuU7s7lfV_Df6uxRAU90PraOd48KHTxr_6TIBxPlF8zFi82aj_dffrd_HRCZfR1Qghii9JTUN6mg&amp;_hsmi=71033675</t>
  </si>
  <si>
    <t>https://resources.simonelectric.com/simon-catalogo-vehiculo-electrico?utm_campaign=SIC%20-%20Veh%C3%ADculo%20El%C3%A9ctrico&amp;utm_medium=email&amp;_hsenc=p2ANqtz-_gh1vxy1rWr_eOiBnVBTPuEhpKWjcwKe2XCCS0rk2TT6h5o7fsRCkueuMbnROHa1lbgWEm&amp;_hsmi=87085302&amp;utm_content=87085302&amp;utm_source=hs_email&amp;hsCtaTracking=6fedf137-fd90-4f17-bfb4-d61f710ec7f8%7Cf2771843-6636-4969-9010-2d8d0389b89c</t>
  </si>
  <si>
    <t>747@tecnicas.es</t>
  </si>
  <si>
    <t>https://resources.simonelectric.com/simon-catalogo-vehiculo-electrico?utm_campaign=SIC%20-%20Veh%C3%ADculo%20El%C3%A9ctrico&amp;utm_source=hs_automation&amp;utm_medium=email&amp;utm_content=87865495&amp;_hsenc=p2ANqtz--ppryFPasEzikJmwd9Svf5lu296si7Q7Xy5wdEM60gplrlwI6cgrFrlVjh8xcHTre06NSmnPsZ64xfhEobKjAhW6KLmg&amp;_hsmi=87865495</t>
  </si>
  <si>
    <t>748@gmail.com</t>
  </si>
  <si>
    <t>https://resources.simonelectric.com/simon-ebook-vehiculo-electrico-0?gclid=EAIaIQobChMI0oDo7a7D6QIVg9HVCh1PiAkiEAEYASAAEgKlUvD_BwE</t>
  </si>
  <si>
    <t>749@gmail.com</t>
  </si>
  <si>
    <t>https://resources.simonelectric.com/simon-catalogo-vehiculo-electrico?utm_campaign=SIC%20-%20Veh%C3%ADculo%20El%C3%A9ctrico&amp;utm_medium=email&amp;_hsenc=p2ANqtz-9nGYoxhJ06I98G4W5d-GZV2uhhxwead98mYxUVdCcJVhEaASZkuxRk7hB-PIe6E47EMdxqpY6Udq6sv4OxQjvp1MBy8Q&amp;_hsmi=87865495&amp;utm_source=hs_automation&amp;utm_content=87865495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</si>
  <si>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-96ggvygKeDa8Ggxq475zp3R_UOpWkRNLoNfE9OyfBHOFTSAxEWI-TELp7J81l8zyYUrSm5N7wG_upEJAy4XRDIO6dsC3xW3tcLJgXfRvx1ImflEcQ&amp;_hsmi=87865495&amp;utm_source=hs_automation&amp;utm_content=87865495&amp;hsCtaTracking=6fedf137-fd90-4f17-bfb4-d61f710ec7f8%7Cf2771843-6636-4969-9010-2d8d0389b89c</t>
  </si>
  <si>
    <t>750@germaniaweb.com</t>
  </si>
  <si>
    <t>751@ecium.es</t>
  </si>
  <si>
    <t>752@hotmail.com</t>
  </si>
  <si>
    <t>https://resources.simonelectric.com/simon-catalogo-vehiculo-electrico?utm_campaign=SIC%20-%20Veh%C3%ADculo%20El%C3%A9ctrico&amp;utm_medium=email&amp;_hsenc=p2ANqtz--ZriaXs6nNHq85LSHSXtjrsYdvw_dNuUnG_hlqiXCZtvz6FQKy2wic3szHL2q3isvgq7wtmjzwja7U6-SiX-0juryMvg&amp;_hsmi=87865495&amp;utm_source=hs_automation&amp;utm_content=87865495&amp;hsCtaTracking=6fedf137-fd90-4f17-bfb4-d61f710ec7f8%7Cf2771843-6636-4969-9010-2d8d0389b89c</t>
  </si>
  <si>
    <t>753@arquinur.es</t>
  </si>
  <si>
    <t>754@gmail.com</t>
  </si>
  <si>
    <t>https://resources.simonelectric.com/simon-catalogo-vehiculo-electrico?utm_campaign=SIC%20-%20Veh%C3%ADculo%20El%C3%A9ctrico&amp;utm_source=hs_automation&amp;utm_medium=email&amp;utm_content=87865495&amp;_hsenc=p2ANqtz-8Khuieeu0T1vnF09QwE0ljg6m8hWSi6u8dGIAsPi3f5dLqFWmsIX3Ifj7-wFbDosCZkqCVrEQesvRBZxKtlXdcBYJqAQ&amp;_hsmi=87865495</t>
  </si>
  <si>
    <t>755@coitt.es</t>
  </si>
  <si>
    <t>756@gsima.es</t>
  </si>
  <si>
    <t>757@integra-sti.com</t>
  </si>
  <si>
    <t>https://resources.simonelectric.com/simon-catalogo-vehiculo-electrico?utm_campaign=SIC%20-%20Veh%C3%ADculo%20El%C3%A9ctrico&amp;utm_medium=email&amp;_hsenc=p2ANqtz-9aABBgJeCNY5Vz7bdVZDAqfgukgS6mvKbsshtKpTHZrcS5T5rEETFz71fKpqdWOp_SMbF8S8_CF5pIat_ALRHDw6qFfA&amp;_hsmi=87865495&amp;utm_source=hs_automation&amp;utm_content=87865495&amp;hsCtaTracking=6fedf137-fd90-4f17-bfb4-d61f710ec7f8%7Cf2771843-6636-4969-9010-2d8d0389b89c</t>
  </si>
  <si>
    <t>758@ingenieros.com</t>
  </si>
  <si>
    <t>https://resources.simonelectric.com/simon-catalogo-vehiculo-electrico?utm_campaign=SIC%20-%20Veh%C3%ADculo%20El%C3%A9ctrico&amp;utm_medium=email&amp;_hsenc=p2ANqtz-9bE-kN0c43uqrsWYwOWHtzAUZk3rZdsMgRb5a_jIsMRgrOMCWjeqU4vo0i1q3vcxr5CpDM0LSKjIKQRouJoVWqk1aG5g&amp;_hsmi=87865495&amp;utm_source=hs_automation&amp;utm_content=87865495&amp;hsCtaTracking=6fedf137-fd90-4f17-bfb4-d61f710ec7f8%7Cf2771843-6636-4969-9010-2d8d0389b89c</t>
  </si>
  <si>
    <t>759@hotmail.com</t>
  </si>
  <si>
    <t>https://resources.simonelectric.com/simon-catalogo-vehiculo-electrico?utm_campaign=SIC%20-%20Veh%C3%ADculo%20El%C3%A9ctrico&amp;utm_medium=email&amp;_hsenc=p2ANqtz-9FHD-4FMkiuPWekLALv848n0mtmuKlLgeSQgdecAZQnL_Tg2wuJIUk_3zOYVKEcO3tFiPpFiMynR4z8FVH2UE6NJHLDQ&amp;_hsmi=87865495&amp;utm_source=hs_automation&amp;utm_content=87865495&amp;hsCtaTracking=6fedf137-fd90-4f17-bfb4-d61f710ec7f8%7Cf2771843-6636-4969-9010-2d8d0389b89c</t>
  </si>
  <si>
    <t>760@hotmail.com</t>
  </si>
  <si>
    <t>761@insfuert.es</t>
  </si>
  <si>
    <t>762@hotmail.com</t>
  </si>
  <si>
    <t>https://resources.simonelectric.com/simon-catalogo-vehiculo-electrico?utm_campaign=SIC%20-%20Veh%C3%ADculo%20El%C3%A9ctrico&amp;utm_medium=email&amp;_hsenc=p2ANqtz-9S6UMDSz8UYI1aMs6Op5bNyWBQMYgqjWoYMPos15iHOFhahZcwoMcpQaTSDellJ7XbT4F-Kb3gt7WlBvL65DeGT7HD_g&amp;_hsmi=87865495&amp;utm_source=hs_automation&amp;utm_content=87865495&amp;hsCtaTracking=6fedf137-fd90-4f17-bfb4-d61f710ec7f8%7Cf2771843-6636-4969-9010-2d8d0389b89c</t>
  </si>
  <si>
    <t>https://resources.simonelectric.com/simon-catalogo-vehiculo-electrico?utm_campaign=SIC%20-%20Veh%C3%ADculo%20El%C3%A9ctrico&amp;utm_source=hs_automation&amp;utm_medium=email&amp;utm_content=87865495&amp;_hsenc=p2ANqtz-8VWDbmxeEEgX4f4AFyh3Ueh5D2Nq6E6DWlY0a4htmBMrhVi0ZBQaKArHbt82ds8LsFRjFiKCJmX_on5tnoqtdVD8zYDR_VphZqrPQoS-fVJNk5I8c&amp;_hsmi=87865495</t>
  </si>
  <si>
    <t>763@gmail.com</t>
  </si>
  <si>
    <t>764@nova-electrica.com</t>
  </si>
  <si>
    <t>https://resources.simonelectric.com/simon-catalogo-vehiculo-electrico?utm_campaign=SIC%20-%20Veh%C3%ADculo%20El%C3%A9ctrico&amp;utm_medium=email&amp;_hsenc=p2ANqtz-9erCcFBGgVDRsAYIzABeS84zx_RMhZIzfiCn0-2s9KmUrE0fg9WUgPNpdh8hPsUQZ-Ph00gYvubTUrpI0ica2Nq09aIA&amp;_hsmi=87865495&amp;utm_source=hs_automation&amp;utm_content=87865495&amp;hsCtaTracking=6fedf137-fd90-4f17-bfb4-d61f710ec7f8%7Cf2771843-6636-4969-9010-2d8d0389b89c</t>
  </si>
  <si>
    <t>765@gmail.com</t>
  </si>
  <si>
    <t>https://resources.simonelectric.com/simon-catalogo-vehiculo-electrico?utm_campaign=SIC%20-%20Veh%C3%ADculo%20El%C3%A9ctrico&amp;utm_source=hs_automation&amp;utm_medium=email&amp;utm_content=87865495&amp;_hsenc=p2ANqtz-_PdzjzIMzN9GmUqMJK4_TB9BR9HJyCTo0q09J6xX9ZNPuQHWTgE2iKsiRCKLO8bdEInznlwVxhI4fkPhsMwxjd-CNq3g&amp;_hsmi=87865495</t>
  </si>
  <si>
    <t>https://resources.simonelectric.com/simon-catalogo-vehiculo-electrico?utm_campaign=SIC%20-%20Veh%C3%ADculo%20El%C3%A9ctrico&amp;utm_source=hs_automation&amp;utm_medium=email&amp;utm_content=87865495&amp;_hsenc=p2ANqtz-95qAvtl0SHSXq2zpB6YV1dH02XnouRRbO9ko5UwaflXhmzHZWSn0LqYzF892Mec0YICrkIewVfSIAl--MaE6CUqaNfqQ&amp;_hsmi=87865495</t>
  </si>
  <si>
    <t>766@hotmail.com</t>
  </si>
  <si>
    <t>https://resources.simonelectric.com/simon-catalogo-vehiculo-electrico?utm_campaign=SIC%20-%20Veh%C3%ADculo%20El%C3%A9ctrico&amp;utm_source=hs_automation&amp;utm_medium=email&amp;utm_content=87865495&amp;_hsenc=p2ANqtz-8htlPWz41LBnxwTnfcR6y3TKUlrY-uQqbRMeTOccrXFxquwfNwWRIS72RDVIj_IHwPgivrvuDKNomF_I49fDes2huyHobHqMDoSVqPp44nvuaCzqc&amp;_hsmi=87865495</t>
  </si>
  <si>
    <t>767@rexel.es</t>
  </si>
  <si>
    <t>https://resources.simonelectric.com/simon-catalogo-vehiculo-electrico?utm_campaign=SIC%20-%20Veh%C3%ADculo%20El%C3%A9ctrico&amp;utm_medium=email&amp;_hsenc=p2ANqtz-__noIigM0bmxJo0DKrnkPcGVg4Qh2vyFyL9LUYHDVI0930WPHXB2Frj5pL1iLS7kJJX4S1CwxvyoNYHTHvptU2ge2c9Q&amp;_hsmi=87865495&amp;utm_source=hs_automation&amp;utm_content=87865495&amp;hsCtaTracking=6fedf137-fd90-4f17-bfb4-d61f710ec7f8%7Cf2771843-6636-4969-9010-2d8d0389b89c</t>
  </si>
  <si>
    <t>768@gmail.com</t>
  </si>
  <si>
    <t>https://resources.simonelectric.com/simon-catalogo-vehiculo-electrico?utm_campaign=SIC%20-%20Veh%C3%ADculo%20El%C3%A9ctrico&amp;utm_source=hs_automation&amp;utm_medium=email&amp;utm_content=87865495&amp;_hsenc=p2ANqtz--iJpJT5oWgybxEW-iRjmWCORkr8BTlqwtt1wqKm8zoX1TFoKxdWJDt6OTtotSEnntU7X7P3kiyAnCjZR53Oe-UVyGtbA&amp;_hsmi=87865495</t>
  </si>
  <si>
    <t>769@gmail.com</t>
  </si>
  <si>
    <t>https://resources.simonelectric.com/simon-catalogo-vehiculo-electrico?utm_campaign=SIC%20-%20Veh%C3%ADculo%20El%C3%A9ctrico&amp;utm_medium=email&amp;_hsenc=p2ANqtz-_oh8kkIxzTY-63wOu-lrLkPwqK0jcDz5Ns0ICUjxq83QgUYk8MaamLSiPBG0Z48-wdlrTvEPOdrvAUMXmvqWZGpylZcA&amp;_hsmi=87865495&amp;utm_source=hs_automation&amp;utm_content=87865495&amp;hsCtaTracking=6fedf137-fd90-4f17-bfb4-d61f710ec7f8%7Cf2771843-6636-4969-9010-2d8d0389b89c</t>
  </si>
  <si>
    <t>770@inmotiza.com</t>
  </si>
  <si>
    <t>https://resources.simonelectric.com/simon-catalogo-vehiculo-electrico?utm_campaign=SIC%20-%20Veh%C3%ADculo%20El%C3%A9ctrico&amp;utm_source=hs_automation&amp;utm_medium=email&amp;utm_content=87865495&amp;_hsenc=p2ANqtz-8znGh7qd_1wXzP2LVlbTley_PKGuRvqzmfJU5Whd_NvAHbt7s71__j1K7-XdZM9leYCPDFAjljOSlzSYZrNYFPGv6XZA&amp;_hsmi=87865495</t>
  </si>
  <si>
    <t>https://resources.simonelectric.com/simon-catalogo-vehiculo-electrico?utm_campaign=SIC%20-%20Veh%C3%ADculo%20El%C3%A9ctrico&amp;utm_medium=email&amp;_hsenc=p2ANqtz-8doaIi2nu_uug0j8qQUuBO4yNKof_fbHeXS8_gq2R_jmE6F7X5yUcO38DSN5I6bpfv6YbDtVR72RdHl4VOC9ZqJ-gjfTOiZPcDHEtzYxqHMzOw8M4&amp;_hsmi=87865495&amp;utm_source=hs_automation&amp;utm_content=87865495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</si>
  <si>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praHRT6ldutpT1sSrtpVeI-DYvucVPRYxE-OlVnyJPybjxzZhTzocALZoLVA9IVv14Q-lpJJan51FkrT8hBpJb1-d5Q&amp;_hsmi=87865495&amp;utm_source=hs_automation&amp;utm_content=87865495&amp;hsCtaTracking=6fedf137-fd90-4f17-bfb4-d61f710ec7f8%7Cf2771843-6636-4969-9010-2d8d0389b89c</t>
  </si>
  <si>
    <t>771@solutions30.com</t>
  </si>
  <si>
    <t>https://resources.simonelectric.com/simon-catalogo-vehiculo-electrico?utm_campaign=SIC%20-%20Veh%C3%ADculo%20El%C3%A9ctrico&amp;utm_medium=email&amp;_hsenc=p2ANqtz-9EyBl0f-ydJ8egOiaRmxs7ZR5l5Jb1lTF4jqNgPW3rwrixSSBFI6rGFux8Xe0zkR3BZKhqgc-1TuTWI9sXZg5tIOCw0A&amp;_hsmi=87865495&amp;utm_source=hs_automation&amp;utm_content=87865495&amp;hsCtaTracking=6fedf137-fd90-4f17-bfb4-d61f710ec7f8%7Cf2771843-6636-4969-9010-2d8d0389b89c</t>
  </si>
  <si>
    <t>772@faen.es</t>
  </si>
  <si>
    <t>https://resources.simonelectric.com/simon-catalogo-vehiculo-electrico?utm_campaign=SIC%20-%20Veh%C3%ADculo%20El%C3%A9ctrico&amp;utm_medium=email&amp;_hsenc=p2ANqtz--bsH3yXWR50f9mnlTqVBKmEHeNyzo-2m4-6HhKTG7A2GPfGGiaNdDOn8KfDzEutkMlFEL0qu40NLNBSOGR8rd_uCxsBA&amp;_hsmi=87865495&amp;utm_source=hs_automation&amp;utm_content=87865495&amp;hsCtaTracking=6fedf137-fd90-4f17-bfb4-d61f710ec7f8%7Cf2771843-6636-4969-9010-2d8d0389b89c</t>
  </si>
  <si>
    <t>773@perequart.com</t>
  </si>
  <si>
    <t>https://resources.simonelectric.com/simon-catalogo-vehiculo-electrico?utm_campaign=SIC%20-%20Veh%C3%ADculo%20El%C3%A9ctrico&amp;utm_medium=email&amp;_hsenc=p2ANqtz-9_NXU4NhwycoA4Pk91FGdHdlGLoTdg-NwauIHTCDKsqAed6HL98ai6i6W8pSXOLgVxFHqdLgfMKcT0jtRAJQqEMt9njQMpBi-yqawHrfpJk6faLko&amp;_hsmi=87865495&amp;utm_source=hs_automation&amp;utm_content=87865495&amp;hsCtaTracking=6fedf137-fd90-4f17-bfb4-d61f710ec7f8%7Cf2771843-6636-4969-9010-2d8d0389b89c</t>
  </si>
  <si>
    <t>774@urgon.es</t>
  </si>
  <si>
    <t>https://resources.simonelectric.com/simon-catalogo-vehiculo-electrico?utm_campaign=SIC%20-%20Veh%C3%ADculo%20El%C3%A9ctrico&amp;utm_medium=email&amp;_hsenc=p2ANqtz-8pE5Vc0Ci7lEj2ppWqQUApBa-yWki2ZfsgFbzaFiRnxX3hkHi71v0Jyj6MjUB80O9P9Fdta0Esv2supwdP0n2l_dIntQ&amp;_hsmi=87865495&amp;utm_source=hs_automation&amp;utm_content=87865495&amp;hsCtaTracking=6fedf137-fd90-4f17-bfb4-d61f710ec7f8%7Cf2771843-6636-4969-9010-2d8d0389b89c</t>
  </si>
  <si>
    <t>775@yahoo.es</t>
  </si>
  <si>
    <t>https://resources.simonelectric.com/simon-catalogo-vehiculo-electrico?utm_campaign=SIC%20-%20Veh%C3%ADculo%20El%C3%A9ctrico&amp;utm_source=hs_automation&amp;utm_medium=email&amp;utm_content=87865495&amp;_hsenc=p2ANqtz-8pKvoM77YNnIx2As30xvbLW4_VgnTtYlmuDGYFT5qbMCturH1Nee2AO-XAPXSEjC5pJQuWDpsQlBIUhhvCKiw6xbFiYQ&amp;_hsmi=87865495</t>
  </si>
  <si>
    <t>https://resources.simonelectric.com/simon-catalogo-vehiculo-electrico?utm_campaign=SIC%20-%20Veh%C3%ADculo%20El%C3%A9ctrico&amp;utm_medium=email&amp;_hsenc=p2ANqtz-9UQx1d2JF0QfkWMTxYKkafXNhlgsG3TxlI9zxN0KuxIEsBFstgFI0J2Jsoiq3bViM7gpnTWfsH_lg4656xW0oeyzZTeg&amp;_hsmi=87865495&amp;utm_source=hs_automation&amp;utm_content=87865495&amp;hsCtaTracking=6fedf137-fd90-4f17-bfb4-d61f710ec7f8%7Cf2771843-6636-4969-9010-2d8d0389b89c</t>
  </si>
  <si>
    <t>776@entepi.com</t>
  </si>
  <si>
    <t>https://resources.simonelectric.com/simon-catalogo-vehiculo-electrico?utm_campaign=SIC%20-%20Veh%C3%ADculo%20El%C3%A9ctrico&amp;utm_medium=email&amp;_hsenc=p2ANqtz-9ZAyni7mdZsk9REHihz5IPS0RGwtellc8Z4TUPY2PVnf3FyZ_GLSdEh0sA6lXQGJxBKJbN0l7x37Lcs_qICgWpmmwkLQ&amp;_hsmi=87865495&amp;utm_source=hs_automation&amp;utm_content=87865495&amp;hsCtaTracking=6fedf137-fd90-4f17-bfb4-d61f710ec7f8%7Cf2771843-6636-4969-9010-2d8d0389b89c</t>
  </si>
  <si>
    <t>https://resources.simonelectric.com/simon-catalogo-vehiculo-electrico?utm_campaign=SIC%20-%20Veh%C3%ADculo%20El%C3%A9ctrico&amp;utm_source=hs_automation&amp;utm_medium=email&amp;utm_content=87865495&amp;_hsenc=p2ANqtz-94xjq2Cs12f8U6nPAMVAGEXUz8Go-sd4Av2QFQOqYTxNz4Eq1IyaQU97Zn0-C78K0Fl9VER7mA2MhEXW2dn7c7ig32iMTMCgDRDI_-ijYkHgGTNaE&amp;_hsmi=87865495</t>
  </si>
  <si>
    <t>777@onofflife.es</t>
  </si>
  <si>
    <t>https://resources.simonelectric.com/simon-catalogo-vehiculo-electrico?utm_campaign=SIC%20-%20Veh%C3%ADculo%20El%C3%A9ctrico&amp;utm_medium=email&amp;_hsenc=p2ANqtz-_lHORxFgpgTpCtnbuayrJ7M6E0udXQnnBTVisK76pGO90l6PYk5cm1x3tOgrNuPJc_gP0yclR0lfWMW6MZMe1BrJ_NiA&amp;_hsmi=87865495&amp;utm_source=hs_automation&amp;utm_content=87865495&amp;hsCtaTracking=6fedf137-fd90-4f17-bfb4-d61f710ec7f8%7Cf2771843-6636-4969-9010-2d8d0389b89c</t>
  </si>
  <si>
    <t>https://resources.simonelectric.com/simon-catalogo-vehiculo-electrico?utm_campaign=SIC%20-%20Veh%C3%ADculo%20El%C3%A9ctrico&amp;utm_source=hs_automation&amp;utm_medium=email&amp;utm_content=87865495&amp;_hsenc=p2ANqtz-81HkqJiyGP8GKqJHciLcN23tXg6h0jGsF0xJpwPJs1wlVl5ZgKmB56m8zrz8sJSUscRAdRRZJGi0oaOvDv3gCc978piw&amp;_hsmi=87865495</t>
  </si>
  <si>
    <t>778@gmail.com</t>
  </si>
  <si>
    <t>https://resources.simonelectric.com/simon-catalogo-vehiculo-electrico?utm_campaign=SIC%20-%20Veh%C3%ADculo%20El%C3%A9ctrico&amp;utm_medium=email&amp;_hsenc=p2ANqtz--3WCUdg2BuoLzIaz-NDwu9qtrruJ396M5BbiVPaytj40s9zFuFDXDFo7ctXFETVDW-sq1X7KXwLIcOKrB5Waczt5WuxrFXKS0p91cjfBljjWuUitM&amp;_hsmi=87865495&amp;utm_source=hs_automation&amp;utm_content=87865495&amp;hsCtaTracking=6fedf137-fd90-4f17-bfb4-d61f710ec7f8%7Cf2771843-6636-4969-9010-2d8d0389b89c</t>
  </si>
  <si>
    <t>779@gmail.com</t>
  </si>
  <si>
    <t>https://resources.simonelectric.com/simon-catalogo-vehiculo-electrico?utm_campaign=SIC%20-%20Veh%C3%ADculo%20El%C3%A9ctrico&amp;utm_medium=email&amp;_hsenc=p2ANqtz-8Cl2_vHyrZgUiGGagrsZBEYeI6y_WpwgqcvSwYRQMq9CbXMDTn8LP817JSkLBdthlHJs3RFG7M66gXsNiP06nuOyL1tQ&amp;_hsmi=87865495&amp;utm_source=hs_automation&amp;utm_content=87865495&amp;hsCtaTracking=6fedf137-fd90-4f17-bfb4-d61f710ec7f8%7Cf2771843-6636-4969-9010-2d8d0389b89c</t>
  </si>
  <si>
    <t>780@hotmail.com</t>
  </si>
  <si>
    <t>781@gmail.com</t>
  </si>
  <si>
    <t>782@gmail.com</t>
  </si>
  <si>
    <t>783@diexfe.com</t>
  </si>
  <si>
    <t>https://resources.simonelectric.com/simon-catalogo-vehiculo-electrico?__hstc=83084745.6212b0c4daa30130735d782d8df9d431.1584442216436.1589885637680.1589905850362.15&amp;__hssc=83084745.4.1589905850362&amp;__hsfp=2738147310</t>
  </si>
  <si>
    <t>784@live.com</t>
  </si>
  <si>
    <t>785@gabrielcorchero.org</t>
  </si>
  <si>
    <t>https://resources.simonelectric.com/simon-catalogo-vehiculo-electrico?utm_campaign=SIC%20-%20Veh%C3%ADculo%20El%C3%A9ctrico&amp;utm_medium=email&amp;_hsenc=p2ANqtz-_mClQIDczrEoUMdn-VEskiVLmlfZ0oxQIw-Oi5vMsGP3QmXzqgumRjc8Y5W5koA4EMGA1wyDmZBMe7GU9emkMW-nXyMQ&amp;_hsmi=87865495&amp;utm_source=hs_automation&amp;utm_content=87865495&amp;hsCtaTracking=6fedf137-fd90-4f17-bfb4-d61f710ec7f8%7Cf2771843-6636-4969-9010-2d8d0389b89c</t>
  </si>
  <si>
    <t>https://resources.simonelectric.com/simon-ebook-vehiculo-electrico?utm_campaign=SIC%20-%20Veh%C3%ADculo%20El%C3%A9ctrico&amp;utm_medium=email&amp;_hsenc=p2ANqtz--HsHwW0xEg9bl4mA-xGM1vwWqDvmFE9zzMi9gtFolnsOdZeXgaJvBNXzOctVQhUfryMknJNTpPVm7NG2QNagBbjuv92Orr4Dr6KEX1n9jTcgmhiEE&amp;_hsmi=71033675&amp;utm_source=hs_automation&amp;utm_content=71033675&amp;hsCtaTracking=2e94ebfc-d414-4389-870c-d2f266a9420b%7C587ac4dc-a49a-4bdc-b449-e36f5d95395b</t>
  </si>
  <si>
    <t>786@grupoelectrostocks.com</t>
  </si>
  <si>
    <t>https://resources.simonelectric.com/simon-catalogo-vehiculo-electrico?utm_campaign=SIC%20-%20Veh%C3%ADculo%20El%C3%A9ctrico&amp;utm_medium=email&amp;_hsenc=p2ANqtz--umdA3XxKEPg80Q1zFG79lsPFMFaaGXYI9mj7AGFWU_dsbNQl22W2_fSTdu1Tt84BvTwoV&amp;_hsmi=87085363&amp;utm_content=87085363&amp;utm_source=hs_email&amp;hsCtaTracking=6fedf137-fd90-4f17-bfb4-d61f710ec7f8%7Cf2771843-6636-4969-9010-2d8d0389b89c</t>
  </si>
  <si>
    <t>787@electricidadoriagomez.com</t>
  </si>
  <si>
    <t>https://resources.simonelectric.com/simon-catalogo-vehiculo-electrico?utm_campaign=SIC%20-%20Veh%C3%ADculo%20El%C3%A9ctrico&amp;utm_medium=email&amp;_hsenc=p2ANqtz--8AHi7ikme5VcJAc-fCn7778gzvzvdH0O9n4iItYNgRcsQZnF6ot7x4LGh6aXlLQP5tRmo4ormtF6gH1JQFUUk1nlClBVlw3YnkMDCq5UjR_z5OTI&amp;_hsmi=87865495&amp;utm_source=hs_automation&amp;utm_content=87865495&amp;hsCtaTracking=6fedf137-fd90-4f17-bfb4-d61f710ec7f8%7Cf2771843-6636-4969-9010-2d8d0389b89c</t>
  </si>
  <si>
    <t>788@casvicuatro.es</t>
  </si>
  <si>
    <t>789@simsabdn.cat</t>
  </si>
  <si>
    <t>790@yahoo.com.ar</t>
  </si>
  <si>
    <t>https://resources.simonelectric.com/simon-catalogo-vehiculo-electrico?utm_campaign=SIC%20-%20Veh%C3%ADculo%20El%C3%A9ctrico&amp;utm_medium=email&amp;_hsenc=p2ANqtz-_AWlAtMRN2shFvzsC4KVUbAZrtZQhHBDj2GwWH0Mk7_uSg_E4jsjmjdqks6RFUpxEGfJnYeKdKrryKE7tYM6W9xZZHvDkhlAxl_DSXugY4D60V1CI&amp;_hsmi=87865495&amp;utm_source=hs_automation&amp;utm_content=87865495&amp;hsCtaTracking=6fedf137-fd90-4f17-bfb4-d61f710ec7f8%7Cf2771843-6636-4969-9010-2d8d0389b89c</t>
  </si>
  <si>
    <t>791@hotmail.com</t>
  </si>
  <si>
    <t>792@gva.es</t>
  </si>
  <si>
    <t>https://resources.simonelectric.com/simon-catalogo-vehiculo-electrico?utm_campaign=SIC%20-%20Veh%C3%ADculo%20El%C3%A9ctrico&amp;utm_medium=email&amp;_hsenc=p2ANqtz-8NlRzPl5wFiMaXV_CRbOqkn13As5ZYuBJQU2YCpS1Prk9cyxGL95atje-KS8ce3M02AcD_&amp;_hsmi=87085363&amp;utm_content=87085363&amp;utm_source=hs_email&amp;hsCtaTracking=6fedf137-fd90-4f17-bfb4-d61f710ec7f8%7Cf2771843-6636-4969-9010-2d8d0389b89c</t>
  </si>
  <si>
    <t>793@gmail.com</t>
  </si>
  <si>
    <t>https://resources.simonelectric.com/simon-catalogo-vehiculo-electrico?utm_campaign=SIC%20-%20Veh%C3%ADculo%20El%C3%A9ctrico&amp;utm_medium=email&amp;_hsenc=p2ANqtz-9ls_ebUG5YN9KgPD-CWHZLotdLL3FGkD5czQMAPWq8hfPGnDV2y8iMxNxwhim2aTxk33nNShvLKBhmXEVcrVLWd8nSWw&amp;_hsmi=87865495&amp;utm_source=hs_automation&amp;utm_content=87865495&amp;hsCtaTracking=6fedf137-fd90-4f17-bfb4-d61f710ec7f8%7Cf2771843-6636-4969-9010-2d8d0389b89c</t>
  </si>
  <si>
    <t>794@somoselectricistas.com</t>
  </si>
  <si>
    <t>https://resources.simonelectric.com/simon-catalogo-vehiculo-electrico?__hstc=83084745.034023d38de42d21affc4b58204da2e1.1589836238795.1589836238795.1589836238795.1&amp;__hssc=83084745.8.1589836238797&amp;__hsfp=2979902593</t>
  </si>
  <si>
    <t>795@lomosamovilidad.com</t>
  </si>
  <si>
    <t>796@gmail.com</t>
  </si>
  <si>
    <t>797@gmail.com</t>
  </si>
  <si>
    <t>https://resources.simonelectric.com/simon-catalogo-vehiculo-electrico?utm_campaign=SIC%20-%20Veh%C3%ADculo%20El%C3%A9ctrico&amp;utm_medium=email&amp;_hsenc=p2ANqtz-_3ybqvsiHZ4q_xszqZY5aBxm1fIgxAT_pZjy86dIneqgA7Tr9zr2tSI1e6HVNk45fA1A_KNzohDSY2giBa90U2fawlGA&amp;_hsmi=87865495&amp;utm_source=hs_automation&amp;utm_content=87865495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</si>
  <si>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gXD2jckCIy8yknymw4rNn7-RxszTPGlcv4Vx7UaWN6ZgSZ4ySs14FR5tDhcpfchtLko6e8kjhXaj-moqHHmNHDxmvGA&amp;_hsmi=87865495&amp;utm_source=hs_automation&amp;utm_content=87865495&amp;hsCtaTracking=6fedf137-fd90-4f17-bfb4-d61f710ec7f8%7Cf2771843-6636-4969-9010-2d8d0389b89c</t>
  </si>
  <si>
    <t>798@gmail.com</t>
  </si>
  <si>
    <t>799@yahoo.es</t>
  </si>
  <si>
    <t>https://resources.simonelectric.com/simon-catalogo-vehiculo-electrico?utm_campaign=SIC%20-%20Veh%C3%ADculo%20El%C3%A9ctrico&amp;utm_medium=email&amp;_hsenc=p2ANqtz-9KFnjt440RFSIL5vsOCnw61z7wxuXB2lKK-DezM7sYi4VRdA8e6yuQa7uRBO0mSb_QhCFXHpjoH4ojWJQFvAkSFcVQlw&amp;_hsmi=87865495&amp;utm_source=hs_automation&amp;utm_content=87865495&amp;hsCtaTracking=6fedf137-fd90-4f17-bfb4-d61f710ec7f8%7Cf2771843-6636-4969-9010-2d8d0389b89c</t>
  </si>
  <si>
    <t>800@taubertek.com</t>
  </si>
  <si>
    <t>https://resources.simonelectric.com/simon-ebook-vehiculo-electrico?utm_referrer=https%3A%2F%2Fwww.simonelectric.com%2Fblog%2Fitc-bt-52-soluciones-de-rearme-automatico-de-infraestructura-de-recarga</t>
  </si>
  <si>
    <t>https://resources.simonelectric.com/simon-catalogo-vehiculo-electrico?utm_campaign=SIC%20-%20Veh%C3%ADculo%20El%C3%A9ctrico&amp;utm_medium=email&amp;_hsenc=p2ANqtz-811ZAKvi-5GXJBHmB7ll6zC6dTYimCMUYhmnys8YzKuHqTvVDpkx_iEdn5TH-gefuLWJ66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</si>
  <si>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fRIUON7iZ8BMFuzPHnIIuQWwsYdZJjC9xsgj8I_eb3wBcBckwUYUn_x4E69gmZBFg9AMrZzEI0cZQXjfH2h7oT8dM_w&amp;_hsmi=87865495&amp;utm_source=hs_automation&amp;utm_content=87865495&amp;hsCtaTracking=6fedf137-fd90-4f17-bfb4-d61f710ec7f8%7Cf2771843-6636-4969-9010-2d8d0389b89c</t>
  </si>
  <si>
    <t>801@hotmail.es</t>
  </si>
  <si>
    <t>https://resources.simonelectric.com/simon-catalogo-vehiculo-electrico?utm_campaign=SIC%20-%20Veh%C3%ADculo%20El%C3%A9ctrico&amp;utm_medium=email&amp;_hsenc=p2ANqtz--s4nU2-EAzbHPCSbE3A0V5qPq_AnPaqLSslU7mSq7qGaNFwFMe6VsRK9Z_dvWnGSLAAoPvfw4e0KmYEuq5HDetFpvR5w&amp;_hsmi=87865495&amp;utm_source=hs_automation&amp;utm_content=87865495&amp;hsCtaTracking=6fedf137-fd90-4f17-bfb4-d61f710ec7f8%7Cf2771843-6636-4969-9010-2d8d0389b89c</t>
  </si>
  <si>
    <t>802@hotmail.com</t>
  </si>
  <si>
    <t>803@outlook.com</t>
  </si>
  <si>
    <t>https://resources.simonelectric.com/simon-catalogo-vehiculo-electrico?utm_campaign=SIC%20-%20Veh%C3%ADculo%20El%C3%A9ctrico&amp;utm_medium=email&amp;_hsenc=p2ANqtz--dSd1LRaT4kCIu9GR_cOEKAgSLeUcN3P-oqvqmQyaAlN6QMY-hYF97l26hcas3__ihldx6BJB42R3VwQ5Gz-Go6Ohv4g&amp;_hsmi=87865495&amp;utm_source=hs_automation&amp;utm_content=87865495&amp;hsCtaTracking=6fedf137-fd90-4f17-bfb4-d61f710ec7f8%7Cf2771843-6636-4969-9010-2d8d0389b89c</t>
  </si>
  <si>
    <t>804@monrabal.net</t>
  </si>
  <si>
    <t>https://resources.simonelectric.com/simon-catalogo-vehiculo-electrico?__hstc=83084745.6a974b34fd112aa6a18282b2e186a09f.1586689218281.1586689218281.1589799782622.2&amp;__hssc=83084745.1.1589799782622&amp;__hsfp=2738147310</t>
  </si>
  <si>
    <t>805@gmail.com</t>
  </si>
  <si>
    <t>https://resources.simonelectric.com/simon-catalogo-vehiculo-electrico?utm_campaign=SIC%20-%20Veh%C3%ADculo%20El%C3%A9ctrico&amp;utm_medium=email&amp;_hsenc=p2ANqtz-_hX2dWSCOdHv8qUewtXYgR6kKEocLjjVBnKNihPHVnn29lJQlaMubTSTMzo7ASexIffNtqj3NxnhdtAM6kXxTPgd3L0w&amp;_hsmi=87865495&amp;utm_source=hs_automation&amp;utm_content=87865495&amp;hsCtaTracking=6fedf137-fd90-4f17-bfb4-d61f710ec7f8%7Cf2771843-6636-4969-9010-2d8d0389b89c</t>
  </si>
  <si>
    <t>https://resources.simonelectric.com/simon-catalogo-vehiculo-electrico?utm_campaign=SIC%20-%20Veh%C3%ADculo%20El%C3%A9ctrico&amp;utm_source=hs_automation&amp;utm_medium=email&amp;utm_content=87865495&amp;_hsenc=p2ANqtz-8B8oL5d4nNbMuaWy_mVxZZFeio5jlqBLKjnRgAkDJ4IqC9vip3CcZ4XH1odFM6CBi60cWTvnxSBsdQp4GpcN-vcs5LGQ&amp;_hsmi=87865495</t>
  </si>
  <si>
    <t>806@gmail.com</t>
  </si>
  <si>
    <t>https://resources.simonelectric.com/simon-catalogo-vehiculo-electrico?utm_campaign=SIC%20-%20Veh%C3%ADculo%20El%C3%A9ctrico&amp;utm_medium=email&amp;_hsenc=p2ANqtz-9-GXRCVcKLl50oQuAazuJ5h-UvHDzUgvK_F2D5qnHthOXn_NZ9P3iWrXszmV-bKOP-cnV1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</si>
  <si>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source=hs_automation&amp;utm_medium=email&amp;utm_content=87865495&amp;_hsenc=p2ANqtz-92LKb_CUB6pZM-CVShMOfPwP58xwpHV-LD-rWBlBpxYZcswZYsFaz3nF4HTny5aYGqIHmVdPDbscZKLGuFH5GkorvjMg&amp;_hsmi=87865495</t>
  </si>
  <si>
    <t>https://resources.simonelectric.com/simon-catalogo-vehiculo-electrico?utm_campaign=SIC%20-%20Veh%C3%ADculo%20El%C3%A9ctrico&amp;utm_medium=email&amp;_hsenc=p2ANqtz-9VvdIYMfTIGBo5rvab9I68CkR1WtcV2nNYZb6ewzLUzOFqWXSqOvJcaS3nuuGtMA27ok1FCkx94QvEev1f2y5ox4rCxw&amp;_hsmi=87865495&amp;utm_source=hs_automation&amp;utm_content=87865495&amp;hsCtaTracking=6fedf137-fd90-4f17-bfb4-d61f710ec7f8%7Cf2771843-6636-4969-9010-2d8d0389b89c</t>
  </si>
  <si>
    <t>https://resources.simonelectric.com/simon-catalogo-vehiculo-electrico?utm_campaign=SIC%20-%20Veh%C3%ADculo%20El%C3%A9ctrico&amp;utm_source=hs_automation&amp;utm_medium=email&amp;utm_content=87865495&amp;_hsenc=p2ANqtz--cw15iyh9poOPwRXkFSgzASBdNFeY3bPJ-OIl5WQPXtoKKkRYwbuXME3HCCx96SNJhZk5iYL89gigsQv67u20MQtJlwIsXSci3EcQWPz8_Fua3T5M&amp;_hsmi=87865495</t>
  </si>
  <si>
    <t>807@gmail.com</t>
  </si>
  <si>
    <t>https://resources.simonelectric.com/simon-catalogo-vehiculo-electrico?utm_campaign=SIC%20-%20Veh%C3%ADculo%20El%C3%A9ctrico&amp;utm_source=hs_automation&amp;utm_medium=email&amp;utm_content=87865495&amp;_hsenc=p2ANqtz-87OKXm2T0VUyrbrOTCqs68babwxp2X9kfpVCGes3Q_nIajb7BaAvg-w6ohSVQeHdkv_13PNQyTkW81e1-LnoM2-X-UXr5qv_Ye8usYIuAdrFh1uzQ&amp;_hsmi=87865495</t>
  </si>
  <si>
    <t>808@ale.es</t>
  </si>
  <si>
    <t>https://resources.simonelectric.com/simon-catalogo-vehiculo-electrico?utm_campaign=SIC%20-%20Veh%C3%ADculo%20El%C3%A9ctrico&amp;utm_source=hs_automation&amp;utm_medium=email&amp;utm_content=87865495&amp;_hsenc=p2ANqtz-85LjeAkYAKnLkOZjAPY9PQASRIe-u6NO-eu2BOmbRHCHMZTagcmWcJE8x6Vuilp3k-EpMCW2dPSRMqQsqIUv1eDKzlYg&amp;_hsmi=87865495</t>
  </si>
  <si>
    <t>https://resources.simonelectric.com/simon-catalogo-vehiculo-electrico?utm_campaign=SIC%20-%20Veh%C3%ADculo%20El%C3%A9ctrico&amp;utm_source=hs_automation&amp;utm_medium=email&amp;utm_content=87865495&amp;_hsenc=p2ANqtz-_xrymqEAFkw7JM038wVlEkdzhQpes36n-f3WeZeoVk49tZ2oBt6bvhYvWhc8MoKdJ_Ra83bZh4HwVcXxU4xW1PtMGd_Q&amp;_hsmi=87865495</t>
  </si>
  <si>
    <t>809@naturgy.com</t>
  </si>
  <si>
    <t>https://resources.simonelectric.com/simon-catalogo-vehiculo-electrico?utm_campaign=SIC%20-%20Veh%C3%ADculo%20El%C3%A9ctrico&amp;utm_source=hs_automation&amp;utm_medium=email&amp;utm_content=87865495&amp;_hsenc=p2ANqtz-8wk23WyWkM6n0gMLge51nutgXAgf37gZWw2hZ3FtDFdJJpLOK7-GEtc4GSFT86RPgj4zGEFlUCBGCEBK0ZZ8009Zb4AQ&amp;_hsmi=87865495</t>
  </si>
  <si>
    <t>810@arquired.es</t>
  </si>
  <si>
    <t>https://resources.simonelectric.com/simon-ebook-vehiculo-electrico-ppc</t>
  </si>
  <si>
    <t>811@proinsermant.com</t>
  </si>
  <si>
    <t>https://resources.simonelectric.com/simon-catalogo-vehiculo-electrico?utm_campaign=SIC%20-%20Veh%C3%ADculo%20El%C3%A9ctrico&amp;utm_source=hs_automation&amp;utm_medium=email&amp;utm_content=71034014&amp;_hsenc=p2ANqtz-_hmJ5DHptiutHk0kgeKfnFeaZ-i_AIXbBRh3qWyaskrqWpBgFTYEtWQq06PEvJyQsSPA1qPZ_xOtmckwycPN3nmAe8mo_P3ihs6_lF5RGAaobYiS0&amp;_hsmi=71034014</t>
  </si>
  <si>
    <t>812@invgrupo.com</t>
  </si>
  <si>
    <t>813@kilovatiogalicia.com</t>
  </si>
  <si>
    <t>https://resources.simonelectric.com/simon-ebook-vehiculo-electrico?utm_campaign=SIC%20-%20Veh%C3%ADculo%20El%C3%A9ctrico&amp;utm_medium=email&amp;_hsenc=p2ANqtz--0cEr3ty0rP5PZGp-9KNsSYj66knphj2GAJiMYn3JAQszaw3eVYOF1_wV1KO84fKxUp1bnqOHitXg9z730ha5QSomgIZetVcp_Pr4fxarqL_m1AKQ&amp;_hsmi=71033675&amp;utm_source=hs_automation&amp;utm_content=71033675&amp;hsCtaTracking=2e94ebfc-d414-4389-870c-d2f266a9420b%7C587ac4dc-a49a-4bdc-b449-e36f5d95395b</t>
  </si>
  <si>
    <t>814@interingenieria.com</t>
  </si>
  <si>
    <t>https://resources.simonelectric.com/simon-ebook-vehiculo-electrico?utm_campaign=SIC%20-%20Veh%C3%ADculo%20El%C3%A9ctrico&amp;utm_medium=email&amp;_hsenc=p2ANqtz-8v2EagGmOT5P1u3sJdFVCkGM8A_n1XUWP35lcl4KciciiAQRNXGFVX5HvzNTXfoCXr6bIfKYdpkAhiIJtefDlVj2NXVZOGDJe0E2vBcg9F6juLx1U&amp;_hsmi=71033675&amp;utm_source=hs_automation&amp;utm_content=71033675&amp;hsCtaTracking=2e94ebfc-d414-4389-870c-d2f266a9420b%7C587ac4dc-a49a-4bdc-b449-e36f5d95395b</t>
  </si>
  <si>
    <t>815@uach.mx</t>
  </si>
  <si>
    <t>816@energia.eiffage.es</t>
  </si>
  <si>
    <t>https://resources.simonelectric.com/simon-catalogo-vehiculo-electrico?__hstc=83084745.fb3653eee6e658aee82269e69e62c35e.1589749591027.1589749591027.1589749591027.1&amp;__hssc=83084745.6.1589749591027&amp;__hsfp=1329296311</t>
  </si>
  <si>
    <t>817@gmail.com</t>
  </si>
  <si>
    <t>https://resources.simonelectric.com/simon-ebook-vehiculo-electrico-0?gclid=CjwKCAjwwYP2BRBGEiwAkoBpAmyY7rJyyfMr0gywuXlMw-edI_u96MPdzWvB2qXLZVb6lAmqwoTS6hoCnAEQAvD_BwE</t>
  </si>
  <si>
    <t>https://resources.simonelectric.com/simon-catalogo-vehiculo-electrico?utm_campaign=SIC%20-%20Veh%C3%ADculo%20El%C3%A9ctrico&amp;utm_medium=email&amp;_hsenc=p2ANqtz-_xFKMmubh0WANPSB2OGi270BWjzWpPzqNPP9HYylEFwA0O9eh72RzyTSGYg0eMZh_H1YYZV_xtPNKSEPZuTNdkcih8_08dW4y1nQ32kN_987q9GjI&amp;_hsmi=87865495&amp;utm_source=hs_automation&amp;utm_content=87865495&amp;hsCtaTracking=6fedf137-fd90-4f17-bfb4-d61f710ec7f8%7Cf2771843-6636-4969-9010-2d8d0389b89c</t>
  </si>
  <si>
    <t>818@galektra.es</t>
  </si>
  <si>
    <t>819@hotmail.com</t>
  </si>
  <si>
    <t>820@ebcn.cat</t>
  </si>
  <si>
    <t>821@gmail.com</t>
  </si>
  <si>
    <t>https://resources.simonelectric.com/simon-catalogo-vehiculo-electrico?utm_campaign=SIC%20-%20Veh%C3%ADculo%20El%C3%A9ctrico&amp;utm_source=hs_automation&amp;utm_medium=email&amp;utm_content=87865495&amp;_hsenc=p2ANqtz--IHpMYEXa1uHL1jyZw6AntRKcNwYYOyKp4Vm23k46XdXKyxgeVs9FbfnmFrijKa6PkUAGFvfVG6PKKjeMGkqxocgHPwwWprbSKWuruQGXmj-vNLLk&amp;_hsmi=87865495</t>
  </si>
  <si>
    <t>822@yahoo.fr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</si>
  <si>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-8L4VXMg01lyBL6FOhgOdvI8FSEXy1lDSMPVLzyspoRatHClIiJx_WOQrAyMmogJMhJKos3vcmsmUduvHm1EDwmgULXlw%26_hsmi%3D71033828</t>
  </si>
  <si>
    <t>823@gmail.com</t>
  </si>
  <si>
    <t>824@gmail.com</t>
  </si>
  <si>
    <t>https://resources.simonelectric.com/simon-catalogo-vehiculo-electrico?__hstc=83084745.2a675494b9f6043ead2a13baa2874879.1547109055250.1588286619191.1589637515551.9&amp;__hssc=83084745.33.1589637515551&amp;__hsfp=1601107752</t>
  </si>
  <si>
    <t>825@hotmail.com</t>
  </si>
  <si>
    <t>826@gmail.com</t>
  </si>
  <si>
    <t>827@coitiar.es</t>
  </si>
  <si>
    <t>https://resources.simonelectric.com/simon-catalogo-vehiculo-electrico?utm_campaign=SIC%20-%20Veh%C3%ADculo%20El%C3%A9ctrico&amp;utm_medium=email&amp;_hsenc=p2ANqtz--09Zgdr5XCYP3SyDN4mq-KvIWf72s7VfTKt8Hl2yyqVZE8VCOI0f6wAx9piLwoqQe6S2gw&amp;_hsmi=87085363&amp;utm_content=87085363&amp;utm_source=hs_email&amp;hsCtaTracking=6fedf137-fd90-4f17-bfb4-d61f710ec7f8%7Cf2771843-6636-4969-9010-2d8d0389b89c</t>
  </si>
  <si>
    <t>828@zf.com</t>
  </si>
  <si>
    <t>829@gmail.com</t>
  </si>
  <si>
    <t>https://resources.simonelectric.com/simon-ebook-vehiculo-electrico-0?gclid=Cj0KCQjw-_j1BRDkARIsAJcfmTGRKEi4GWj9AXX5nmmPhGUo7dweNzsRRQbkHmlMrlhoonMqEP9icmQaAiBPEALw_wcB</t>
  </si>
  <si>
    <t>830@gmail.com</t>
  </si>
  <si>
    <t>831@gmail.com</t>
  </si>
  <si>
    <t>832@suministradora.com</t>
  </si>
  <si>
    <t>https://resources.simonelectric.com/simon-catalogo-vehiculo-electrico?utm_campaign=SIC%20-%20Veh%C3%ADculo%20El%C3%A9ctrico&amp;utm_medium=email&amp;_hsenc=p2ANqtz-86QMn42-RplxuQX319iiAXSxITyuS3G5PoxEA038LqKEheWekzGOXJCRHNP6lComOu6laR&amp;_hsmi=87085363&amp;utm_content=87085363&amp;utm_source=hs_email&amp;hsCtaTracking=6fedf137-fd90-4f17-bfb4-d61f710ec7f8%7Cf2771843-6636-4969-9010-2d8d0389b89c</t>
  </si>
  <si>
    <t>833@ofitecbp.com</t>
  </si>
  <si>
    <t>https://resources.simonelectric.com/simon-ebook-vehiculo-electrico?utm_referrer=https%3A%2F%2Fwww.simonelectric.com%2Fblog%2Fvehiculo-electrico-instalar-punto-de-recarga-en-garaje-comunitario%3Futm_campaign%3DSIC%2520-%2520Veh%25C3%25ADculo%2520El%25C3%25A9ctrico%26utm_source%3Dhs_automation%26utm_medium%3Demail%26utm_content%3D71033828%26_hsenc%3Dp2ANqtz--VSFJiwGZ0JkT35sBb2FIDKOIwG38SzCZnit4TUClhatbw-Jyu2RRiGVCH8NsrznQQTdwS5IhLzUlcr55ewNFNiJo48g%26_hsmi%3D71033828</t>
  </si>
  <si>
    <t>https://resources.simonelectric.com/simon-catalogo-vehiculo-electrico?utm_campaign=SIC%20-%20Veh%C3%ADculo%20El%C3%A9ctrico&amp;utm_medium=email&amp;_hsenc=p2ANqtz--p_c07zw6jyWQUyHUv88mGjkFgdsIj4WDuJFwr9_WIIVaco07LQ7UHgXPmh3wKk8FUoebq&amp;_hsmi=87085363&amp;utm_content=87085363&amp;utm_source=hs_email&amp;hsCtaTracking=6fedf137-fd90-4f17-bfb4-d61f710ec7f8%7Cf2771843-6636-4969-9010-2d8d0389b89c</t>
  </si>
  <si>
    <t>834@gmail.com</t>
  </si>
  <si>
    <t>https://resources.simonelectric.com/simon-catalogo-vehiculo-electrico?utm_campaign=SIC%20-%20Veh%C3%ADculo%20El%C3%A9ctrico&amp;utm_medium=email&amp;_hsenc=p2ANqtz--9T5FwQq0OmLrB8Yq9UUEgT3QrbXXRTBbRqEzUpfgm7veKfe1no-f9dfBoEI2SmCh0e9Vq&amp;_hsmi=87085363&amp;utm_content=87085363&amp;utm_source=hs_email&amp;hsCtaTracking=6fedf137-fd90-4f17-bfb4-d61f710ec7f8%7Cf2771843-6636-4969-9010-2d8d0389b89c</t>
  </si>
  <si>
    <t>835@gmail.com</t>
  </si>
  <si>
    <t>https://resources.simonelectric.com/simon-catalogo-vehiculo-electrico?utm_campaign=SIC%20-%20Veh%C3%ADculo%20El%C3%A9ctrico&amp;utm_source=hs_automation&amp;utm_medium=email&amp;utm_content=71034014&amp;_hsenc=p2ANqtz-_wUXLAXC2RlsZujJ0asSWiVSNM7HTKFeW33zKWs1vdpUFk0oHsfpmrTPK2G_CSJEBSYyOnbti0NVCqF49mpQdGw5uN0A&amp;_hsmi=71034014</t>
  </si>
  <si>
    <t>836@simon.es</t>
  </si>
  <si>
    <t>837@gmail.com</t>
  </si>
  <si>
    <t>838@sdin.es</t>
  </si>
  <si>
    <t>839@fluidsa.com</t>
  </si>
  <si>
    <t>https://resources.simonelectric.com/simon-catalogo-vehiculo-electrico?utm_campaign=SIC%20-%20Veh%C3%ADculo%20El%C3%A9ctrico&amp;utm_medium=email&amp;_hsenc=p2ANqtz--J3j9w9fXSGwie49VceyR3zgs1StlFYdxTsZYtW7Ksl85XMeQlgK9jEw2H8sw7QaA3mrlk&amp;_hsmi=87085363&amp;utm_content=87085363&amp;utm_source=hs_email&amp;hsCtaTracking=6fedf137-fd90-4f17-bfb4-d61f710ec7f8%7Cf2771843-6636-4969-9010-2d8d0389b89c</t>
  </si>
  <si>
    <t>840@gmail.com</t>
  </si>
  <si>
    <t>https://resources.simonelectric.com/simon-material-formativo-vehiculo-electrico?utm_campaign=SIC%20-%20Eventos&amp;utm_medium=email&amp;_hsenc=p2ANqtz-8b8rkxR3w5f6i8eHI3b7AjsV6az_k1_I7perK2sKhDTG-tIsa5Rf3FhRRAjsF4d7fkRsFnLDTpxTQ5PdGo-BUPqkwrig&amp;_hsmi=77897160&amp;utm_source=hs_email&amp;utm_content=77897160&amp;hsCtaTracking=f8a31ce8-daf1-4d69-a5d6-c3349f3aab91%7C75f9b9fd-a2b2-4ad4-9d4a-0dcb7c99194f</t>
  </si>
  <si>
    <t>841@gmail.com</t>
  </si>
  <si>
    <t>https://resources.simonelectric.com/simon-ebook-vehiculo-electrico?utm_campaign=SIC%20-%20Veh%C3%ADculo%20El%C3%A9ctrico&amp;utm_medium=email&amp;_hsenc=p2ANqtz--Nqd-N1P4sspylWpIk9Tk7bwcr395gS8I3mY7w9KcqnLV1Ci002nHspq09Ygkt_tl6Tt102hqRlmtLM_BwOKzV3QSbKWmzC8kto-8HzXDVh3onaos&amp;_hsmi=71033675&amp;utm_source=hs_automation&amp;utm_content=71033675&amp;hsCtaTracking=2e94ebfc-d414-4389-870c-d2f266a9420b%7C587ac4dc-a49a-4bdc-b449-e36f5d95395b</t>
  </si>
  <si>
    <t>842@fibramur.com</t>
  </si>
  <si>
    <t>843@instalacionescueto.com</t>
  </si>
  <si>
    <t>https://resources.simonelectric.com/simon-catalogo-vehiculo-electrico?__hstc=83084745.f5e60b21f22c0561b602402d00af8aa3.1589472572870.1589472572870.1589472572870.1&amp;__hssc=83084745.5.1589472572871&amp;__hsfp=3865976320</t>
  </si>
  <si>
    <t>844@certis.cat</t>
  </si>
  <si>
    <t>845@hotmail.com</t>
  </si>
  <si>
    <t>846@hotmail.com</t>
  </si>
  <si>
    <t>https://resources.simonelectric.com/simon-catalogo-vehiculo-electrico?__hstc=83084745.9a7f48c18cfb8068f96de1853be65ace.1589442365913.1589442365913.1589442365913.1&amp;__hssc=83084745.1.1589442365913&amp;__hsfp=3584712527</t>
  </si>
  <si>
    <t>847@lodeal.es</t>
  </si>
  <si>
    <t>https://resources.simonelectric.com/simon-ebook-vehiculo-electrico?utm_campaign=SIC%20-%20Veh%C3%ADculo%20El%C3%A9ctrico&amp;utm_medium=email&amp;_hsenc=p2ANqtz--xNEECBPgQIpp7CqM54B1os9m1C9xMAX-9qAcU3ENmexuUva1f47jfQRf3tcIismsI0Akg1UV6O7aEsiDL8U_WBBWlnwazzo1KyvBsCoendCrO2rE&amp;_hsmi=67858848&amp;utm_source=hs_automation&amp;utm_content=67858848&amp;hsCtaTracking=4ffb3aa1-677f-463b-8339-fc65a1da68db%7C5790d3b1-fbc3-4c32-a016-744222ad1cdc</t>
  </si>
  <si>
    <t>848@sesaelec.com</t>
  </si>
  <si>
    <t>https://resources.simonelectric.com/simon-catalogo-vehiculo-electrico?utm_campaign=SIC%20-%20Veh%C3%ADculo%20El%C3%A9ctrico&amp;utm_medium=email&amp;_hsenc=p2ANqtz-_zn_-OZ972HuDRiZ7TmXdxews--FBnJDE0K8kpLXiKDF94QpotsLQF5S-wSD1votgU1KxV&amp;_hsmi=87085363&amp;utm_content=87085363&amp;utm_source=hs_email&amp;hsCtaTracking=6fedf137-fd90-4f17-bfb4-d61f710ec7f8%7Cf2771843-6636-4969-9010-2d8d0389b89c</t>
  </si>
  <si>
    <t>849@gmail.com</t>
  </si>
  <si>
    <t>850@gmail.com</t>
  </si>
  <si>
    <t>https://resources.simonelectric.com/simon-ebook-vehiculo-electrico-0?gclid=EAIaIQobChMI0vbCstOx6QIV0WHTCh07oAxBEAEYASAAEgJMf_D_BwE</t>
  </si>
  <si>
    <t>https://resources.simonelectric.com/simon-ebook-vehiculo-electrico-0?gclid=CjwKCAjwte71BRBCEiwAU_V9h5fih78fNADZiUtux3Sd8MrUJ9HJVpRwdPzLAVOzdqhSYcBWZbjhbhoCZSwQAvD_BwE</t>
  </si>
  <si>
    <t>851@arquitecto.com</t>
  </si>
  <si>
    <t>852@grupviu.com</t>
  </si>
  <si>
    <t>https://resources.simonelectric.com/simon-catalogo-vehiculo-electrico?utm_campaign=SIC%20-%20Veh%C3%ADculo%20El%C3%A9ctrico&amp;utm_medium=email&amp;_hsenc=p2ANqtz--UDa0jw-TdhRLjWjEOXUZx9RDZkbW-p6HCrMSXnDKzTXSe6xNLVpPY6buu98zeTMDCExVL&amp;_hsmi=87085363&amp;utm_content=87085363&amp;utm_source=hs_email&amp;hsCtaTracking=6fedf137-fd90-4f17-bfb4-d61f710ec7f8%7Cf2771843-6636-4969-9010-2d8d0389b89c</t>
  </si>
  <si>
    <t>853@gmail.com</t>
  </si>
  <si>
    <t>854@msn.com</t>
  </si>
  <si>
    <t>https://resources.simonelectric.com/simon-ebook-vehiculo-electrico-ppc?utm_source=facebook&amp;utm_medium=social_ads&amp;utm_campaign=vehiculo_electrico&amp;fbclid=IwAR2lYc97YSq0dHtX_8zqSfxX96Hold3VYQi6CBT6drtqt3evjMJbV0n90DU</t>
  </si>
  <si>
    <t>855@msn.com</t>
  </si>
  <si>
    <t>https://resources.simonelectric.com/simon-ebook-vehiculo-electrico?__hssc=83084745.3.1589342219563&amp;__hstc=83084745.389c6137f44c8c435a1371c208d46b7f.1589342219563.1589342219563.1589342219563.1&amp;__hsfp=3242578741&amp;hsCtaTracking=2e94ebfc-d414-4389-870c-d2f266a9420b%7C587ac4dc-a49a-4bdc-b449-e36f5d95395b</t>
  </si>
  <si>
    <t>856@gmail.com</t>
  </si>
  <si>
    <t>857@gmail.com</t>
  </si>
  <si>
    <t>858@gmail.com</t>
  </si>
  <si>
    <t>859@hotmail.com</t>
  </si>
  <si>
    <t>https://resources.simonelectric.com/simon-catalogo-vehiculo-electrico?utm_campaign=SIC%20-%20Veh%C3%ADculo%20El%C3%A9ctrico&amp;utm_medium=email&amp;_hsenc=p2ANqtz-9UYORDKVaGWnJgMVxXgNy6ukegmGK924irTaFMlJSk_AUdNirBwR9wK8m0c3Y9kkKxjzHE&amp;_hsmi=87085363&amp;utm_content=87085363&amp;utm_source=hs_email&amp;hsCtaTracking=6fedf137-fd90-4f17-bfb4-d61f710ec7f8%7Cf2771843-6636-4969-9010-2d8d0389b89c</t>
  </si>
  <si>
    <t>860@gmail.com</t>
  </si>
  <si>
    <t>https://resources.simonelectric.com/simon-ebook-vehiculo-electrico?utm_campaign=SIC%20-%20Veh%C3%ADculo%20El%C3%A9ctrico&amp;utm_medium=email&amp;_hsenc=p2ANqtz-8aUR3MrL3PLG_-IuFBxPko6gO1j8q98En3Gb5Qqc8hDR_aWPnUZfmOyaILGjupBF_bL2X-ALa4LlX-iaZMKR2VPmiNWA&amp;_hsmi=71033675&amp;utm_source=hs_automation&amp;utm_content=71033675&amp;hsCtaTracking=2e94ebfc-d414-4389-870c-d2f266a9420b%7C587ac4dc-a49a-4bdc-b449-e36f5d95395b</t>
  </si>
  <si>
    <t>861@outlook.com</t>
  </si>
  <si>
    <t>https://resources.simonelectric.com/simon-catalogo-vehiculo-electrico?utm_campaign=SIC%20-%20Veh%C3%ADculo%20El%C3%A9ctrico&amp;utm_medium=email&amp;_hsenc=p2ANqtz-_M-Ojxx5hqZuPMt-wOMQyoI7UpWiLQmNE25KEtwLIoBWkYpRyWUsmKE57ZbmCWSe_B1cfB&amp;_hsmi=87085363&amp;utm_content=87085363&amp;utm_source=hs_email&amp;hsCtaTracking=6fedf137-fd90-4f17-bfb4-d61f710ec7f8%7Cf2771843-6636-4969-9010-2d8d0389b89c</t>
  </si>
  <si>
    <t>862@fpcm.es</t>
  </si>
  <si>
    <t>https://resources.simonelectric.com/simon-catalogo-vehiculo-electrico?utm_campaign=SIC%20-%20Veh%C3%ADculo%20El%C3%A9ctrico&amp;utm_medium=email&amp;_hsenc=p2ANqtz-9fR14OWdQXUN-fa-Id1YJD3kBHNVahr1vluNWP7bPfVYvgNqmPg4U7r0mYVWQXUSCu9H4_&amp;_hsmi=87085363&amp;utm_content=87085363&amp;utm_source=hs_email&amp;hsCtaTracking=6fedf137-fd90-4f17-bfb4-d61f710ec7f8%7Cf2771843-6636-4969-9010-2d8d0389b89c</t>
  </si>
  <si>
    <t>863@outlook.com</t>
  </si>
  <si>
    <t>864@es.uazuay.edu.ec</t>
  </si>
  <si>
    <t>865@asmoaingenieria.com</t>
  </si>
  <si>
    <t>https://resources.simonelectric.com/simon-catalogo-vehiculo-electrico?utm_campaign=SIC%20-%20Veh%C3%ADculo%20El%C3%A9ctrico&amp;utm_medium=email&amp;_hsenc=p2ANqtz-8RSb2u91kcvOJaQiCWhllspnXFcU2TKoP6tTzKz2S1uY0KfzIYokD72nY2x5gX-DZgWf5n&amp;_hsmi=87085363&amp;utm_content=87085363&amp;utm_source=hs_email&amp;hsCtaTracking=6fedf137-fd90-4f17-bfb4-d61f710ec7f8%7Cf2771843-6636-4969-9010-2d8d0389b89c</t>
  </si>
  <si>
    <t>866@typsa.es</t>
  </si>
  <si>
    <t>https://resources.simonelectric.com/simon-ebook-vehiculo-electrico?utm_campaign=SIC%20-%20Veh%C3%ADculo%20El%C3%A9ctrico&amp;utm_medium=email&amp;_hsenc=p2ANqtz-89eSUMZqFqnMlSqm8OxKD9JHIRjxIkpn0ivKP6evFt5QoQy1XkgVvfQgH3z5iXIsbUp9Md&amp;_hsmi=71033675&amp;utm_content=71033675&amp;utm_source=hs_automation&amp;hsCtaTracking=2e94ebfc-d414-4389-870c-d2f266a9420b%7C587ac4dc-a49a-4bdc-b449-e36f5d95395b</t>
  </si>
  <si>
    <t>867@proyectosjamaras.es</t>
  </si>
  <si>
    <t>https://resources.simonelectric.com/simon-catalogo-vehiculo-electrico?__hstc=83084745.67ffaa503bafbb6c3ffeb9f5d7208d1f.1589220919217.1589220919217.1589220919217.1&amp;__hssc=83084745.1.1589220919217&amp;__hsfp=3058755970</t>
  </si>
  <si>
    <t>868@gmail.com</t>
  </si>
  <si>
    <t>869@yahoo.es</t>
  </si>
  <si>
    <t>https://resources.simonelectric.com/simon-ebook-vehiculo-electrico?utm_referrer=https%3A%2F%2Fwww.simonelectric.com%2Fvehiculo-electrico%2Fsoluciones-recarga-exterior</t>
  </si>
  <si>
    <t>870@gmail.com</t>
  </si>
  <si>
    <t>https://resources.simonelectric.com/simon-catalogo-vehiculo-electrico?utm_campaign=SIC%20-%20Veh%C3%ADculo%20El%C3%A9ctrico&amp;utm_medium=email&amp;_hsenc=p2ANqtz-8hMcaKBvev6w6q5pibXnidTn9ETqG1ZyJms8h4h71dzpSd6Mqwhpq0mcnRpxCavwZDBzBg&amp;_hsmi=87085363&amp;utm_content=87085363&amp;utm_source=hs_email&amp;hsCtaTracking=6fedf137-fd90-4f17-bfb4-d61f710ec7f8%7Cf2771843-6636-4969-9010-2d8d0389b89c</t>
  </si>
  <si>
    <t>871@cefiner.com</t>
  </si>
  <si>
    <t>https://resources.simonelectric.com/simon-ebook-vehiculo-electrico?utm_campaign=SIC%20-%20Veh%C3%ADculo%20El%C3%A9ctrico&amp;utm_medium=email&amp;_hsenc=p2ANqtz-8pTH0orYErtNM11e0eE_vVTGcNUaY0LS3gaTClDoSaPkUBM8CyJbmkRxahe5dAvRvbQOUjQMKKPXDZs88Qhe75--DmPMDitjff_GdbR58xktVKjdk&amp;_hsmi=71033675&amp;utm_source=hs_automation&amp;utm_content=71033675&amp;hsCtaTracking=2e94ebfc-d414-4389-870c-d2f266a9420b%7C587ac4dc-a49a-4bdc-b449-e36f5d95395b</t>
  </si>
  <si>
    <t>872@gmail.com</t>
  </si>
  <si>
    <t>873@eutikes.com</t>
  </si>
  <si>
    <t>https://resources.simonelectric.com/simon-ebook-vehiculo-electrico?utm_campaign=SIC%20-%20Veh%C3%ADculo%20El%C3%A9ctrico&amp;utm_medium=email&amp;_hsenc=p2ANqtz-_i0hX49Ptj_Vy0GkqEWcayzR8BZEY-OIdOLB_418uF8fR4MA_Q3wfK6JUB8shrL85wBKPr&amp;_hsmi=71033675&amp;utm_content=71033675&amp;utm_source=hs_automation&amp;hsCtaTracking=2e94ebfc-d414-4389-870c-d2f266a9420b%7C587ac4dc-a49a-4bdc-b449-e36f5d95395b</t>
  </si>
  <si>
    <t>874@coac.net</t>
  </si>
  <si>
    <t>https://resources.simonelectric.com/simon-ebook-vehiculo-electrico?utm_campaign=SIC%20-%20Veh%C3%ADculo%20El%C3%A9ctrico&amp;utm_medium=email&amp;_hsenc=p2ANqtz-_7BNILzlpEQlBygAYceWhfA_HKs5G7EL5HMJ5YTBYFggj3mGFN9UgA-1kLv2BZbmW6iBzN_WZP9xa5klktmsmVfyodLw&amp;_hsmi=71033675&amp;utm_source=hs_automation&amp;utm_content=71033675&amp;hsCtaTracking=2e94ebfc-d414-4389-870c-d2f266a9420b%7C587ac4dc-a49a-4bdc-b449-e36f5d95395b</t>
  </si>
  <si>
    <t>875@orange.es</t>
  </si>
  <si>
    <t>https://resources.simonelectric.com/simon-ebook-vehiculo-electrico?utm_referrer=https%3A%2F%2Fwww.simonelectric.com%2Fblog%2Fvehiculo-electrico-instalar-punto-de-recarga-en-garaje-comunitario%3Futm_campaign%3DSIC%2520-%2520Veh%25C3%25ADculo%2520El%25C3%25A9ctrico%26utm_source%3Dhs_automation%26utm_medium%3Demail%26utm_content%3D71033828%26_hsenc%3Dp2ANqtz--BA_qzZJBhHGqcPMg4wZ1-iFqJP4HanNGtqfJTMJ5BpxHiFgLs4izQlhiTe8W-UkZ5trZ_YZIH2MYe8FZmbVavQ6P2zQ%26_hsmi%3D71033828</t>
  </si>
  <si>
    <t>876@arquitectonica.cat</t>
  </si>
  <si>
    <t>https://resources.simonelectric.com/simon-ebook-vehiculo-electrico?utm_campaign=SIC%20-%20Veh%C3%ADculo%20El%C3%A9ctrico&amp;utm_medium=email&amp;_hsenc=p2ANqtz-8awzY7EBwus-RS1tsD6_707o_abeUt-7_mFOKeaUZa3tUrnhfdShZzDWf2pG8fiLRccXhveR2TwxBsUOKvdvPAS-0yKWl2QxE0Ns6uSwKRKrV89Ys&amp;_hsmi=71033675&amp;utm_source=hs_automation&amp;utm_content=71033675&amp;hsCtaTracking=2e94ebfc-d414-4389-870c-d2f266a9420b%7C587ac4dc-a49a-4bdc-b449-e36f5d95395b</t>
  </si>
  <si>
    <t>877@gmail.com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</si>
  <si>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-9yJ_yBexvqJVUMZp4XNRlP6e6Ht1zacPtbRxfULpRk7WJmZT4cQtUfUPVH0dfPjnUzc0zIb0Jc5S3obUKNppDCuBcmWQ%26_hsmi%3D71033828</t>
  </si>
  <si>
    <t>878@masteringenieria.com</t>
  </si>
  <si>
    <t>879@sicoris.com</t>
  </si>
  <si>
    <t>https://resources.simonelectric.com/simon-ebook-vehiculo-electrico?utm_campaign=SIC%20-%20Veh%C3%ADculo%20El%C3%A9ctrico&amp;utm_medium=email&amp;_hsenc=p2ANqtz-8jqaayXlxzOmynIvLSWKW5MdW6ncPUJm3uYO4jSDukhoNBR_HwDB4qOgY5JYDeK31MRrQahU0gixSmNpvdvTYHBvcXbA&amp;_hsmi=71033675&amp;utm_source=hs_automation&amp;utm_content=71033675&amp;hsCtaTracking=2e94ebfc-d414-4389-870c-d2f266a9420b%7C587ac4dc-a49a-4bdc-b449-e36f5d95395b</t>
  </si>
  <si>
    <t>880@miquelnieto.com</t>
  </si>
  <si>
    <t>https://resources.simonelectric.com/simon-ebook-vehiculo-electrico?utm_campaign=SIC%20-%20Veh%C3%ADculo%20El%C3%A9ctrico&amp;utm_medium=email&amp;_hsenc=p2ANqtz-96jqoWAgTSg4IplDLvQuFL2yjlvbd24d7NKCPDQh5Xp-09NHjIctrSnJ74Ddcuzqh0aY9lR6-ebXYX4nB_uQPhp3SShA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</si>
  <si>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medium=email&amp;_hsmi=71033675&amp;_hsenc=p2ANqtz-_fX3BuFhu0SPGF346S4I-aVPsnkf2-vkwG_1XLFpOMaPNY5dTraXfrdWlOknWn6bY69JLg&amp;utm_content=71033675&amp;utm_source=hs_automation</t>
  </si>
  <si>
    <t>881@hotmail.com</t>
  </si>
  <si>
    <t>882@domotelelectric.com</t>
  </si>
  <si>
    <t>https://resources.simonelectric.com/simon-catalogo-vehiculo-electrico?utm_campaign=SIC%20-%20Veh%C3%ADculo%20El%C3%A9ctrico&amp;utm_medium=email&amp;_hsenc=p2ANqtz-9iQZ6upd_7K5SeB676BadB0aviR8gcc8qURWGMl2oibQSa0TpinbDwqFTOgzWDGSve5Mr4&amp;_hsmi=87085302&amp;utm_content=87085302&amp;utm_source=hs_email&amp;hsCtaTracking=6fedf137-fd90-4f17-bfb4-d61f710ec7f8%7Cf2771843-6636-4969-9010-2d8d0389b89c</t>
  </si>
  <si>
    <t>https://resources.simonelectric.com/simon-ebook-vehiculo-electrico-0?gclid=EAIaIQobChMI-7ahmpeq6QIV6yLTCh3Q0w06EAEYASAAEgKxQvD_BwE</t>
  </si>
  <si>
    <t>883@hotmail.com</t>
  </si>
  <si>
    <t>884@enersos.es</t>
  </si>
  <si>
    <t>885@gmail.com</t>
  </si>
  <si>
    <t>https://resources.simonelectric.com/simon-catalogo-vehiculo-electrico?utm_campaign=SIC%20-%20Veh%C3%ADculo%20El%C3%A9ctrico&amp;utm_medium=email&amp;_hsenc=p2ANqtz-8vH6g3orhsWh_yjJSVfGzmH0OXgN1Md2EOElmdwCzabHbqNQZ4dDBquJdbiI1lGHFrrx50&amp;_hsmi=87085363&amp;utm_content=87085363&amp;utm_source=hs_email&amp;hsCtaTracking=6fedf137-fd90-4f17-bfb4-d61f710ec7f8%7Cf2771843-6636-4969-9010-2d8d0389b89c</t>
  </si>
  <si>
    <t>886@gmail.com</t>
  </si>
  <si>
    <t>https://resources.simonelectric.com/simon-catalogo-vehiculo-electrico?utm_campaign=SIC%20-%20Veh%C3%ADculo%20El%C3%A9ctrico&amp;utm_medium=email&amp;_hsenc=p2ANqtz-9HGSfSc9Hcyc_TvRlWSZx23XqOWbTNjQp5IPD945IlxFukbCCAjb4pTi-zYFKlT0EwXPB5&amp;_hsmi=87085363&amp;utm_content=87085363&amp;utm_source=hs_email&amp;hsCtaTracking=6fedf137-fd90-4f17-bfb4-d61f710ec7f8%7Cf2771843-6636-4969-9010-2d8d0389b89c</t>
  </si>
  <si>
    <t>887@gmail.com</t>
  </si>
  <si>
    <t>888@zivautomation.com</t>
  </si>
  <si>
    <t>889@hotmail.com</t>
  </si>
  <si>
    <t>890@hotmail.com</t>
  </si>
  <si>
    <t>891@gmail.com</t>
  </si>
  <si>
    <t>892@hotmail.com</t>
  </si>
  <si>
    <t>893@krean.com</t>
  </si>
  <si>
    <t>894@gmail.com</t>
  </si>
  <si>
    <t>https://resources.simonelectric.com/simon-ebook-vehiculo-electrico-0?gclid=CjwKCAjwqdn1BRBREiwAEbZcR51nb2k4XREEba1lkNZAczwsSBGqsrlkAFmPiMLfrHFwhF_rAaLBkBoChT4QAvD_BwE</t>
  </si>
  <si>
    <t>895@volumetric.eu</t>
  </si>
  <si>
    <t>896@gmail.com</t>
  </si>
  <si>
    <t>897@rtve.es</t>
  </si>
  <si>
    <t>https://resources.simonelectric.com/simon-catalogo-vehiculo-electrico?utm_campaign=SIC%20-%20Veh%C3%ADculo%20El%C3%A9ctrico&amp;utm_medium=email&amp;_hsmi=87085363&amp;_hsenc=p2ANqtz-9WNFkVbKGtUuFTd6Vht3S3q8Z1HUw8XVuaPs5VjL1-RHsEU0cePMHNl8N6Cv4o_peCAG2G&amp;utm_content=87085363&amp;utm_source=hs_email</t>
  </si>
  <si>
    <t>898@gmail.com</t>
  </si>
  <si>
    <t>https://resources.simonelectric.com/simon-catalogo-vehiculo-electrico?__hstc=83084745.ecf832430c6f73dee5daf342f9a982be.1588962434905.1588962434905.1588962434905.1&amp;__hssc=83084745.3.1588962434908&amp;__hsfp=763681774</t>
  </si>
  <si>
    <t>899@gmail.com</t>
  </si>
  <si>
    <t>900@hirurok.eu</t>
  </si>
  <si>
    <t>https://resources.simonelectric.com/simon-catalogo-vehiculo-electrico?utm_campaign=SIC%20-%20Veh%C3%ADculo%20El%C3%A9ctrico&amp;utm_medium=email&amp;_hsenc=p2ANqtz-8FEujap5GrsqzOOljAySr4saZHvo2tBkNejz2vdhM5Nz1SP5MIAMMrv7URjHK0GxfC9Xg0&amp;_hsmi=87085363&amp;utm_content=87085363&amp;utm_source=hs_email&amp;hsCtaTracking=6fedf137-fd90-4f17-bfb4-d61f710ec7f8%7Cf2771843-6636-4969-9010-2d8d0389b89c</t>
  </si>
  <si>
    <t>901@gmail.com</t>
  </si>
  <si>
    <t>https://resources.simonelectric.com/simon-catalogo-vehiculo-electrico?utm_campaign=SIC%20-%20Veh%C3%ADculo%20El%C3%A9ctrico&amp;utm_medium=email&amp;_hsenc=p2ANqtz--bUs8ifoME4TvIghPev92LoXN4MPq-e7bk9MpjwvKRmCSWOMdMOVURpVo0KytotukxYSOX&amp;_hsmi=87085302&amp;utm_content=87085302&amp;utm_source=hs_email&amp;hsCtaTracking=6fedf137-fd90-4f17-bfb4-d61f710ec7f8%7Cf2771843-6636-4969-9010-2d8d0389b89c</t>
  </si>
  <si>
    <t>902@gmail.com</t>
  </si>
  <si>
    <t>903@edirocsa.com</t>
  </si>
  <si>
    <t>904@inboundcycle.com</t>
  </si>
  <si>
    <t>905@yahoo.es</t>
  </si>
  <si>
    <t>906@europrojectes.es</t>
  </si>
  <si>
    <t>907@gmail.com</t>
  </si>
  <si>
    <t>https://resources.simonelectric.com/simon-catalogo-vehiculo-electrico?utm_campaign=SIC%20-%20Veh%C3%ADculo%20El%C3%A9ctrico&amp;utm_medium=email&amp;_hsenc=p2ANqtz-95g6QTKP91tEkLVusJkhvv2EAKjx4-LpaHKKrzn_rYROmQVyUSG6YEOM5yaLaIvqD_G2pm&amp;_hsmi=87085363&amp;utm_content=87085363&amp;utm_source=hs_email&amp;hsCtaTracking=6fedf137-fd90-4f17-bfb4-d61f710ec7f8%7Cf2771843-6636-4969-9010-2d8d0389b89c</t>
  </si>
  <si>
    <t>908@hotmail.com</t>
  </si>
  <si>
    <t>909@gmail.com</t>
  </si>
  <si>
    <t>910@sogesa.es</t>
  </si>
  <si>
    <t>https://resources.simonelectric.com/simon-catalogo-vehiculo-electrico?utm_campaign=SIC%20-%20Veh%C3%ADculo%20El%C3%A9ctrico&amp;utm_medium=email&amp;_hsmi=71034014&amp;_hsenc=p2ANqtz-_QbgnQLHJfRY1zQm79B99MNvr9NySd7zG8FiwsvBYDAgupK4TpISZxEviPjP8LCYlYdqry&amp;utm_content=71034014&amp;utm_source=hs_automation</t>
  </si>
  <si>
    <t>911@lusorede.pt</t>
  </si>
  <si>
    <t>https://resources.simonelectric.com/simon-catalogo-vehiculo-electrico?utm_campaign=SIC%20-%20Veh%C3%ADculo%20El%C3%A9ctrico&amp;utm_medium=email&amp;_hsmi=71034014&amp;_hsenc=p2ANqtz-9h_QJvnsbSwBXWJ1PgFd1V7XRJdC-FBLnNJ9zZfMs1WTdxZOjdJ8KvesL_VFYqrlQCUqg5&amp;utm_content=71034014&amp;utm_source=hs_automation</t>
  </si>
  <si>
    <t>https://resources.simonelectric.com/simon-catalogo-vehiculo-electrico?utm_campaign=SIC%20-%20Veh%C3%ADculo%20El%C3%A9ctrico&amp;utm_medium=email&amp;_hsmi=71034014&amp;_hsenc=p2ANqtz-_SnTfngCUvwELvBPj1ap9q4n3cOaQWzVVDLg-hE3MHFf8JY_SrHJs3reBg4mdtRpJxCP6g&amp;utm_content=71034014&amp;utm_source=hs_automation</t>
  </si>
  <si>
    <t>912@gmail.com</t>
  </si>
  <si>
    <t>913@quorania.com</t>
  </si>
  <si>
    <t>914@gmail.com</t>
  </si>
  <si>
    <t>https://resources.simonelectric.com/simon-ebook-vehiculo-electrico-ppc?utm_source=facebook&amp;utm_medium=social_ads&amp;utm_campaign=vehiculo_electrico&amp;fbclid=IwAR24C7f8oA_rBMO87rJJWAc3mIcBKWGHhy9ei2fFvUYR7d69urOmLo9hznM</t>
  </si>
  <si>
    <t>915@gmail.com</t>
  </si>
  <si>
    <t>916@gcaarq.com</t>
  </si>
  <si>
    <t>https://resources.simonelectric.com/simon-catalogo-vehiculo-electrico?utm_campaign=SIC%20-%20Veh%C3%ADculo%20El%C3%A9ctrico&amp;utm_medium=email&amp;_hsenc=p2ANqtz-98u2oDcXn-ntHq30tUlKPyD8cbcVnzhX5K-VKcdL_TpaVk30Plo1Ibp1i1zU1GvDwmvdqz&amp;_hsmi=87085363&amp;utm_content=87085363&amp;utm_source=hs_email&amp;hsCtaTracking=6fedf137-fd90-4f17-bfb4-d61f710ec7f8%7Cf2771843-6636-4969-9010-2d8d0389b89c</t>
  </si>
  <si>
    <t>917@gmail.com</t>
  </si>
  <si>
    <t>https://resources.simonelectric.com/simon-ebook-vehiculo-electrico?utm_campaign=SIC%20-%20Veh%C3%ADculo%20El%C3%A9ctrico&amp;utm_medium=email&amp;_hsenc=p2ANqtz-99LKXHsNVXiQJCczuxT-7yvRaEAVZWTvfJHgggxA-iuNL1UoGPg0v_JWvHfgEQM2M-rufL&amp;_hsmi=71033675&amp;utm_content=71033675&amp;utm_source=hs_automation&amp;hsCtaTracking=2e94ebfc-d414-4389-870c-d2f266a9420b%7C587ac4dc-a49a-4bdc-b449-e36f5d95395b</t>
  </si>
  <si>
    <t>918@gmail.com</t>
  </si>
  <si>
    <t>919@hotmail.com</t>
  </si>
  <si>
    <t>https://resources.simonelectric.com/simon-catalogo-vehiculo-electrico?utm_campaign=SIC%20-%20Veh%C3%ADculo%20El%C3%A9ctrico&amp;utm_medium=email&amp;_hsenc=p2ANqtz-8wbagiOxJPRBN1Px_PrZ_V2-28QmpcFrPKH_R_AEMlJSZNH_N9lyfNqCLfBWGvlzw93YMb&amp;_hsmi=87085302&amp;utm_content=87085302&amp;utm_source=hs_email&amp;hsCtaTracking=6fedf137-fd90-4f17-bfb4-d61f710ec7f8%7Cf2771843-6636-4969-9010-2d8d0389b89c</t>
  </si>
  <si>
    <t>920@meval.eu</t>
  </si>
  <si>
    <t>921@gmail.com</t>
  </si>
  <si>
    <t>922@ingenierosvigo.com</t>
  </si>
  <si>
    <t>https://resources.simonelectric.com/simon-ebook-vehiculo-electrico?utm_referrer=https%3A%2F%2Fwww.simonelectric.com%2Fblog%2Fvehiculo-electrico-todo-lo-que-tienes-que-saber-de-movilidad-sostenible%3Futm_campaign%3DSIC%2520-%2520Blog%2520digest%26utm_medium%3Demail%26_hsmi%3D87201776%26_hsenc%3Dp2ANqtz--A9I19PNRNwiVGwcwtpoPXapSEWjw3klRiMf2h0RFc75LJfgSylb_jTtE7TohDWMaUNl8V%26utm_content%3D87201776%26utm_source%3Dhs_email</t>
  </si>
  <si>
    <t>923@gmail.com</t>
  </si>
  <si>
    <t>924@msn.com</t>
  </si>
  <si>
    <t>925@eco-voltaica.com</t>
  </si>
  <si>
    <t>https://resources.simonelectric.com/simon-catalogo-vehiculo-electrico?utm_campaign=SIC%20-%20Veh%C3%ADculo%20El%C3%A9ctrico&amp;utm_medium=email&amp;_hsenc=p2ANqtz--45iW7q9PAfABUqfmyFbRHsa1bLZ5aAoGg73tZBuLKEj6aPdCWXLFGs-8LHoHa9383XYz1&amp;_hsmi=87085363&amp;utm_content=87085363&amp;utm_source=hs_email&amp;hsCtaTracking=6fedf137-fd90-4f17-bfb4-d61f710ec7f8%7Cf2771843-6636-4969-9010-2d8d0389b89c</t>
  </si>
  <si>
    <t>926@electricidadyserviciosmontero.com</t>
  </si>
  <si>
    <t>https://resources.simonelectric.com/simon-ebook-vehiculo-electrico?utm_campaign=SIC%20-%20Veh%C3%ADculo%20El%C3%A9ctrico&amp;utm_medium=email&amp;_hsenc=p2ANqtz--y0URpxgnhWb0zSWIShd6NO9qQA-SdPPC0zHQIqShV-rpN6yF-wBsZNeq8XtxxWyoCSaoj&amp;_hsmi=71033675&amp;utm_content=71033675&amp;utm_source=hs_automation&amp;hsCtaTracking=2e94ebfc-d414-4389-870c-d2f266a9420b%7C587ac4dc-a49a-4bdc-b449-e36f5d95395b</t>
  </si>
  <si>
    <t>927@argionelectric.es</t>
  </si>
  <si>
    <t>928@gmail.com</t>
  </si>
  <si>
    <t>https://resources.simonelectric.com/simon-catalogo-vehiculo-electrico?utm_campaign=SIC%20-%20Veh%C3%ADculo%20El%C3%A9ctrico&amp;utm_medium=email&amp;_hsenc=p2ANqtz--Ye-sZ1GHAEpTQZTZ6n5fajgWTOS_6AdX6dNQpI5rcpfOI2Anr17s58x5y9-vMgy1AHZsh&amp;_hsmi=87085363&amp;utm_content=87085363&amp;utm_source=hs_email&amp;hsCtaTracking=6fedf137-fd90-4f17-bfb4-d61f710ec7f8%7Cf2771843-6636-4969-9010-2d8d0389b89c</t>
  </si>
  <si>
    <t>929@acciona.com</t>
  </si>
  <si>
    <t>https://resources.simonelectric.com/simon-catalogo-vehiculo-electrico?utm_campaign=SIC%20-%20Veh%C3%ADculo%20El%C3%A9ctrico&amp;utm_medium=email&amp;_hsmi=87085363&amp;_hsenc=p2ANqtz-_GKv27I3wemSGgA8E-0nDeAcBoc7h7OQek7jtHajuWR5QCrjqapbLqnzgz_vUyReqtug4q&amp;utm_content=87085363&amp;utm_source=hs_email</t>
  </si>
  <si>
    <t>930@acciona.com</t>
  </si>
  <si>
    <t>931@acciona.com</t>
  </si>
  <si>
    <t>https://resources.simonelectric.com/simon-catalogo-vehiculo-electrico?utm_campaign=SIC%20-%20Veh%C3%ADculo%20El%C3%A9ctrico&amp;utm_medium=email&amp;_hsenc=p2ANqtz-8tVef8KutlUo8BtoxQ3D2VSuJfWOLZsdWtH41A8XKXAo-dZgJEtJ1evso-RGrpeIV193GQ&amp;_hsmi=87085363&amp;utm_content=87085363&amp;utm_source=hs_email&amp;hsCtaTracking=6fedf137-fd90-4f17-bfb4-d61f710ec7f8%7Cf2771843-6636-4969-9010-2d8d0389b89c</t>
  </si>
  <si>
    <t>932@bellmasenginyers.cat</t>
  </si>
  <si>
    <t>https://resources.simonelectric.com/simon-catalogo-vehiculo-electrico?utm_campaign=SIC%20-%20Veh%C3%ADculo%20El%C3%A9ctrico&amp;utm_medium=email&amp;_hsenc=p2ANqtz--UMwA67FkXWtKW7Ep4kHdLvAo5MSvCHI9CRuuFGFegz6hwBx92xaphQJdLn--II8x8ftIM&amp;_hsmi=87085363&amp;utm_content=87085363&amp;utm_source=hs_email&amp;hsCtaTracking=6fedf137-fd90-4f17-bfb4-d61f710ec7f8%7Cf2771843-6636-4969-9010-2d8d0389b89c</t>
  </si>
  <si>
    <t>933@orsei.es</t>
  </si>
  <si>
    <t>934@outlook.com</t>
  </si>
  <si>
    <t>935@gmail.com</t>
  </si>
  <si>
    <t>936@gmail.com</t>
  </si>
  <si>
    <t>937@gmail.com</t>
  </si>
  <si>
    <t>938@montegar.es</t>
  </si>
  <si>
    <t>https://resources.simonelectric.com/simon-catalogo-vehiculo-electrico?__hstc=83084745.23576574e1518e20f530f75d748d6174.1588779942991.1588779942991.1588779942991.1&amp;__hssc=83084745.77.1588779942992&amp;__hsfp=2471010493</t>
  </si>
  <si>
    <t>939@gmail.com</t>
  </si>
  <si>
    <t>940@masojuando.com</t>
  </si>
  <si>
    <t>941@gmail.com</t>
  </si>
  <si>
    <t>942@r11arquitectos.com</t>
  </si>
  <si>
    <t>https://resources.simonelectric.com/simon-catalogo-vehiculo-electrico?utm_campaign=SIC%20-%20Veh%C3%ADculo%20El%C3%A9ctrico&amp;utm_medium=email&amp;_hsmi=87085363&amp;_hsenc=p2ANqtz-_W9iKX9uFYNJ3mmUr3aR7OlBvp2vx_azAQLxigjVqjaANCnDETDDDGAJR8ylDKqH8TR8jd&amp;utm_content=87085363&amp;utm_source=hs_email</t>
  </si>
  <si>
    <t>943@gabyl.com</t>
  </si>
  <si>
    <t>https://resources.simonelectric.com/simon-catalogo-vehiculo-electrico?__hstc=83084745.edc65995d8075337de864b8c01471242.1564646672418.1588577751963.1588758332674.18&amp;__hssc=83084745.1.1588758332674&amp;__hsfp=34496765</t>
  </si>
  <si>
    <t>944@gmail.com</t>
  </si>
  <si>
    <t>945@red.renault.es</t>
  </si>
  <si>
    <t>https://resources.simonelectric.com/simon-catalogo-vehiculo-electrico?utm_campaign=SIC%20-%20Veh%C3%ADculo%20El%C3%A9ctrico&amp;utm_medium=email&amp;_hsenc=p2ANqtz-_WoR1aFUWSnzQJH-0KrVFApFECqQ9eBIArAdOrMQoORBO0d15v7Clo0SP2FbDhJ6fmMOmD&amp;_hsmi=87085363&amp;utm_content=87085363&amp;utm_source=hs_email&amp;hsCtaTracking=6fedf137-fd90-4f17-bfb4-d61f710ec7f8%7Cf2771843-6636-4969-9010-2d8d0389b89c</t>
  </si>
  <si>
    <t>946@gmail.com</t>
  </si>
  <si>
    <t>https://resources.simonelectric.com/simon-catalogo-vehiculo-electrico?utm_campaign=SIC%20-%20Veh%C3%ADculo%20El%C3%A9ctrico&amp;utm_medium=email&amp;_hsenc=p2ANqtz--QD7GOIiRpXwVRWrwulOK3klmRlv38hPRqcwWQYC8JJs5yj9tVIFSpF35M3_HPYmO0-dNJ&amp;_hsmi=87085363&amp;utm_content=87085363&amp;utm_source=hs_email&amp;hsCtaTracking=6fedf137-fd90-4f17-bfb4-d61f710ec7f8%7Cf2771843-6636-4969-9010-2d8d0389b89c</t>
  </si>
  <si>
    <t>https://resources.simonelectric.com/simon-ebook-vehiculo-electrico-ppc?utm_source=facebook&amp;utm_medium=social_ads&amp;utm_campaign=vehiculo_electrico&amp;fbclid=IwAR3v57PQsxSi6f1eBz_UOpXWYA-j-3tAKwgdIaCAT9jI6SB4aH6qdU1kkZ8</t>
  </si>
  <si>
    <t>947@clysema.com</t>
  </si>
  <si>
    <t>https://resources.simonelectric.com/simon-catalogo-vehiculo-electrico?__hstc=83084745.8bc4e1dc0c20e3a416f766a18de58b12.1585551468278.1588572754279.1588747649083.16&amp;__hssc=83084745.7.1588747649083&amp;__hsfp=2471010493</t>
  </si>
  <si>
    <t>948@gmail.com</t>
  </si>
  <si>
    <t>https://resources.simonelectric.com/simon-ebook-vehiculo-electrico-ppc?utm_source=facebook&amp;utm_medium=social_ads&amp;utm_campaign=vehiculo_electrico&amp;fbclid=IwAR1vQD8i7NdX9VcHd6-ZSaussWO7gv67T635kZPvs8fP9VYTVbtL-QU_iUI</t>
  </si>
  <si>
    <t>949@cadielsa.com</t>
  </si>
  <si>
    <t>https://resources.simonelectric.com/simon-catalogo-vehiculo-electrico?utm_campaign=SIC%20-%20Veh%C3%ADculo%20El%C3%A9ctrico&amp;utm_medium=email&amp;_hsenc=p2ANqtz--HYWu2zWU7chCfhrBA2B6JkmYnG9GDv0het9ehiDlvNot6wvLbCRSaSggpFjRZhDMFs0UF&amp;_hsmi=87085363&amp;utm_content=87085363&amp;utm_source=hs_email&amp;hsCtaTracking=6fedf137-fd90-4f17-bfb4-d61f710ec7f8%7Cf2771843-6636-4969-9010-2d8d0389b89c</t>
  </si>
  <si>
    <t>950@grupocobra.com</t>
  </si>
  <si>
    <t>https://resources.simonelectric.com/simon-ebook-vehiculo-electrico-ppc?utm_source=facebook&amp;utm_medium=social_ads&amp;utm_campaign=vehiculo_electrico&amp;fbclid=IwAR2lMyYuoxkhD2mSitp64KosVGysKC-l9u0x6_NEAYom5NbOIv9lfJWu7FI</t>
  </si>
  <si>
    <t>951@tenerasa.es</t>
  </si>
  <si>
    <t>https://resources.simonelectric.com/simon-ebook-vehiculo-electrico?utm_campaign=SIC%20-%20Veh%C3%ADculo%20El%C3%A9ctrico&amp;utm_medium=email&amp;_hsenc=p2ANqtz--99qQQFuAFAwsd1zrAKUaWEGrstgoncbOOlZn7FvWlm_hQNNd3B8OE19a-EdAl2-6nxav8&amp;_hsmi=71033675&amp;utm_content=71033675&amp;utm_source=hs_automation&amp;hsCtaTracking=2e94ebfc-d414-4389-870c-d2f266a9420b%7C587ac4dc-a49a-4bdc-b449-e36f5d95395b</t>
  </si>
  <si>
    <t>952@simon.es</t>
  </si>
  <si>
    <t>953@mosancar.com</t>
  </si>
  <si>
    <t>https://resources.simonelectric.com/simon-ebook-vehiculo-electrico-ppc?utm_source=facebook&amp;utm_medium=social_ads&amp;utm_campaign=vehiculo_electrico&amp;fbclid=IwAR3mTjqjPYRuLojSsTQDEOoDfu3w4mhhI_a8XXNQkwcW0zP2Vi8LakfJ5qU</t>
  </si>
  <si>
    <t>954@aiguesmanresa.cat</t>
  </si>
  <si>
    <t>https://resources.simonelectric.com/simon-catalogo-vehiculo-electrico?utm_campaign=SIC%20-%20Veh%C3%ADculo%20El%C3%A9ctrico&amp;utm_medium=email&amp;_hsmi=87085363&amp;_hsenc=p2ANqtz-_bhewkhpzH6OvN6qu23vP8UcQ-Dtm-q9ipmdexeAS2-MVJn71Fw0JrzCaJsjDj4-Kuz-lV&amp;utm_content=87085363&amp;utm_source=hs_email</t>
  </si>
  <si>
    <t>955@conras.es</t>
  </si>
  <si>
    <t>956@mebaluz.es</t>
  </si>
  <si>
    <t>https://resources.simonelectric.com/simon-ebook-vehiculo-electrico-0?gclid=EAIaIQobChMIhreC6o6d6QIVLBPTCh1ddwJNEAEYASAAEgKY7vD_BwE</t>
  </si>
  <si>
    <t>957@germaniaweb.com</t>
  </si>
  <si>
    <t>https://resources.simonelectric.com/simon-catalogo-vehiculo-electrico?utm_campaign=SIC%20-%20Veh%C3%ADculo%20El%C3%A9ctrico&amp;utm_medium=email&amp;_hsenc=p2ANqtz--pKWpE56ZWTk2C1xUTuyJyTF0BQp1leiV8LZeLhWAzDgQ6xWwISN22mY8Vx6lFd2LJveAh&amp;_hsmi=87085302&amp;utm_content=87085302&amp;utm_source=hs_email&amp;hsCtaTracking=6fedf137-fd90-4f17-bfb4-d61f710ec7f8%7Cf2771843-6636-4969-9010-2d8d0389b89c</t>
  </si>
  <si>
    <t>958@hotmail.es</t>
  </si>
  <si>
    <t>959@mlopezarquitectos.com</t>
  </si>
  <si>
    <t>https://resources.simonelectric.com/simon-ebook-vehiculo-electrico?utm_campaign=SIC%20-%20Veh%C3%ADculo%20El%C3%A9ctrico&amp;utm_medium=email&amp;_hsmi=71033675&amp;_hsenc=p2ANqtz-8TU9uuR6I41NlhMjxaqJgW6Gy75gFa0zDZXKp1tQpfc3Zxb95_xAES4XVGFoLTz0VYUw2U&amp;utm_content=71033675&amp;utm_source=hs_automation</t>
  </si>
  <si>
    <t>960@aqelectric.es</t>
  </si>
  <si>
    <t>https://resources.simonelectric.com/simon-catalogo-vehiculo-electrico?utm_campaign=SIC%20-%20Veh%C3%ADculo%20El%C3%A9ctrico&amp;utm_medium=email&amp;_hsenc=p2ANqtz-8wD_BzvpWZF7RSsNCH7K2cULldx_Dn3IoUs-t0O1xZeT8P8ImVlsQ8lxbu2GAxvwumdNkw&amp;_hsmi=87085302&amp;utm_content=87085302&amp;utm_source=hs_email&amp;hsCtaTracking=6fedf137-fd90-4f17-bfb4-d61f710ec7f8%7Cf2771843-6636-4969-9010-2d8d0389b89c</t>
  </si>
  <si>
    <t>961@gmail.com</t>
  </si>
  <si>
    <t>https://resources.simonelectric.com/simon-catalogo-vehiculo-electrico?utm_campaign=SIC%20-%20Veh%C3%ADculo%20El%C3%A9ctrico&amp;utm_medium=email&amp;_hsenc=p2ANqtz-_eoncqbjtadEEAYTWuv6L4ejWWYXgW48Qw8IQRSP30ErSJQ2xBxS0Lrf05CJ-NzguO8Kqf&amp;_hsmi=87085363&amp;utm_content=87085363&amp;utm_source=hs_email&amp;hsCtaTracking=6fedf137-fd90-4f17-bfb4-d61f710ec7f8%7Cf2771843-6636-4969-9010-2d8d0389b89c</t>
  </si>
  <si>
    <t>962@electropla.cat</t>
  </si>
  <si>
    <t>https://resources.simonelectric.com/simon-catalogo-vehiculo-electrico?utm_campaign=SIC%20-%20Veh%C3%ADculo%20El%C3%A9ctrico&amp;utm_medium=email&amp;_hsenc=p2ANqtz--tteEOq5qGafvBFDTXUU95HSREfcvIsCY8fjekv2bNeXXRFHaVJHVnrJ54XBXxIGR9vhec&amp;_hsmi=87085363&amp;utm_content=87085363&amp;utm_source=hs_email&amp;hsCtaTracking=6fedf137-fd90-4f17-bfb4-d61f710ec7f8%7Cf2771843-6636-4969-9010-2d8d0389b89c</t>
  </si>
  <si>
    <t>963@gmail.com</t>
  </si>
  <si>
    <t>https://resources.simonelectric.com/simon-ebook-vehiculo-electrico?utm_campaign=SIC%20-%20Veh%C3%ADculo%20El%C3%A9ctrico&amp;utm_medium=email&amp;_hsmi=71033675&amp;_hsenc=p2ANqtz-81lB1bE0dchCphAoZtD166DByb4imYybhFAlJ9HBM8I_u7CUbgF4NwJqPRekxsLBBWiaYr&amp;utm_content=71033675&amp;utm_source=hs_automation</t>
  </si>
  <si>
    <t>964@hotmail.com</t>
  </si>
  <si>
    <t>965@gmail.com</t>
  </si>
  <si>
    <t>https://resources.simonelectric.com/simon-catalogo-vehiculo-electrico?__hstc=83084745.2c1a69b6f4177f5453c0f55d26bcccfd.1588665858121.1588665858121.1588665858121.1&amp;__hssc=83084745.8.1588665858123&amp;__hsfp=1159522144</t>
  </si>
  <si>
    <t>966@miguelmoralesingenieros.com</t>
  </si>
  <si>
    <t>967@lacsl.es</t>
  </si>
  <si>
    <t>968@gmail.com</t>
  </si>
  <si>
    <t>https://resources.simonelectric.com/simon-catalogo-vehiculo-electrico?utm_campaign=SIC%20-%20Veh%C3%ADculo%20El%C3%A9ctrico&amp;utm_medium=email&amp;_hsenc=p2ANqtz--4pZVQarsZFqy3EnIPRm_CpnAoUNciNbNJz7pHi5hFsYgLA9NciDA1qKzXJGM3mH-U5qgG&amp;_hsmi=87085302&amp;utm_content=87085302&amp;utm_source=hs_email&amp;hsCtaTracking=6fedf137-fd90-4f17-bfb4-d61f710ec7f8%7Cf2771843-6636-4969-9010-2d8d0389b89c</t>
  </si>
  <si>
    <t>969@comercialsis.com</t>
  </si>
  <si>
    <t>https://resources.simonelectric.com/simon-catalogo-vehiculo-electrico?utm_campaign=SIC%20-%20Veh%C3%ADculo%20El%C3%A9ctrico&amp;utm_medium=email&amp;_hsenc=p2ANqtz-943sMlL61EnCvFS9q1zCBvufHm6Zt6cdWDVdP5xkWbL4OHpmuO9Hu43xlABUpdbo7PndQ4AkJaBeTtDGl4cQ_jbrKcyRV6GrvNimy1xyLtutbL5Mk&amp;utm_source=hs_email&amp;utm_content=87085363&amp;hsCtaTracking=6fedf137-fd90-4f17-bfb4-d61f710ec7f8%7Cf2771843-6636-4969-9010-2d8d0389b89c</t>
  </si>
  <si>
    <t>970@acelecsal.com</t>
  </si>
  <si>
    <t>https://resources.simonelectric.com/simon-catalogo-vehiculo-electrico?utm_campaign=SIC%20-%20Veh%C3%ADculo%20El%C3%A9ctrico&amp;utm_medium=email&amp;_hsenc=p2ANqtz-8_XrBrTIkZxs3v5lSOolFoOfcWWHe8BaSsnmEEEZtNzFiksvXINJi789LbBCwXQYrjiF5OvJWF6_gDBrj3nW7Uc_6OZw&amp;utm_source=hs_email&amp;utm_content=87085302&amp;hsCtaTracking=6fedf137-fd90-4f17-bfb4-d61f710ec7f8%7Cf2771843-6636-4969-9010-2d8d0389b89c</t>
  </si>
  <si>
    <t>971@imagogestion.com</t>
  </si>
  <si>
    <t>https://resources.simonelectric.com/simon-catalogo-vehiculo-electrico?utm_campaign=SIC%20-%20Veh%C3%ADculo%20El%C3%A9ctrico&amp;utm_medium=email&amp;_hsenc=p2ANqtz-_lG-hdPcP69Pd1lqZgppEHy--tqZHreMX6TExbWNn5tQuTJUZQW4X3DlStRBZXwI_QZVca&amp;_hsmi=87085363&amp;utm_content=87085363&amp;utm_source=hs_email&amp;hsCtaTracking=6fedf137-fd90-4f17-bfb4-d61f710ec7f8%7Cf2771843-6636-4969-9010-2d8d0389b89c</t>
  </si>
  <si>
    <t>972@acelecsal.com</t>
  </si>
  <si>
    <t>https://resources.simonelectric.com/simon-catalogo-vehiculo-electrico?utm_campaign=SIC%20-%20Veh%C3%ADculo%20El%C3%A9ctrico&amp;utm_medium=email&amp;_hsmi=87085302&amp;_hsenc=p2ANqtz-9Agt10QJl9DvKJV-H_ht46fkXQjikBvP_ybPbzWss3D_xj719WfbpdQhh_BRMpu9yp3hjM&amp;utm_content=87085302&amp;utm_source=hs_email</t>
  </si>
  <si>
    <t>973@live.com</t>
  </si>
  <si>
    <t>https://resources.simonelectric.com/simon-ebook-vehiculo-electrico?utm_campaign=SIC%20-%20Veh%C3%ADculo%20El%C3%A9ctrico&amp;utm_medium=email&amp;_hsenc=p2ANqtz---YIgTGmFaAR7iOmSW84Etz-MPfSCnqli_cVIryBKicVT0BXuDRqsYam6b_HnnC8N3KLvU&amp;_hsmi=71033675&amp;utm_content=71033675&amp;utm_source=hs_automation&amp;hsCtaTracking=2e94ebfc-d414-4389-870c-d2f266a9420b%7C587ac4dc-a49a-4bdc-b449-e36f5d95395b</t>
  </si>
  <si>
    <t>974@yahoo.es</t>
  </si>
  <si>
    <t>https://resources.simonelectric.com/simon-catalogo-vehiculo-electrico?utm_campaign=SIC%20-%20Veh%C3%ADculo%20El%C3%A9ctrico&amp;utm_medium=email&amp;_hsenc=p2ANqtz--2u7RX7fpkX9E8O5lYW_P0JhbJwB080ZFyDDhH7v6Iv8U2MDYqAF1EhTWRgS_sA5B-M62H&amp;_hsmi=87085302&amp;utm_content=87085302&amp;utm_source=hs_email&amp;hsCtaTracking=6fedf137-fd90-4f17-bfb4-d61f710ec7f8%7Cf2771843-6636-4969-9010-2d8d0389b89c</t>
  </si>
  <si>
    <t>975@yahoo.com</t>
  </si>
  <si>
    <t>976@simonelectrica.com</t>
  </si>
  <si>
    <t>https://resources.simonelectric.com/simon-ebook-vehiculo-electrico?utm_campaign=SIC%20-%20Veh%C3%ADculo%20El%C3%A9ctrico&amp;utm_medium=email&amp;_hsenc=p2ANqtz-8acngo0qasyW-BJ9JYrceRcxLZ7vggcZl0J7nsInC9Ky80ywJm5bvaqyZnYcjA0nwhYCcw&amp;_hsmi=71033675&amp;utm_content=71033675&amp;utm_source=hs_automation&amp;hsCtaTracking=2e94ebfc-d414-4389-870c-d2f266a9420b%7C587ac4dc-a49a-4bdc-b449-e36f5d95395b</t>
  </si>
  <si>
    <t>977@tarragona.cat</t>
  </si>
  <si>
    <t>978@gmail.com</t>
  </si>
  <si>
    <t>https://resources.simonelectric.com/simon-ebook-vehiculo-electrico?utm_campaign=SIC%20-%20Veh%C3%ADculo%20El%C3%A9ctrico&amp;utm_medium=email&amp;_hsenc=p2ANqtz--e3QSM_bwY5JterJqrQCCgnG0v-1J4-gILWCJPc8WWXeqkxI6iUnnj9w2N4uyjUGLeu1_P&amp;_hsmi=71033675&amp;utm_content=71033675&amp;utm_source=hs_automation&amp;hsCtaTracking=2e94ebfc-d414-4389-870c-d2f266a9420b%7C587ac4dc-a49a-4bdc-b449-e36f5d95395b</t>
  </si>
  <si>
    <t>979@gmail.com</t>
  </si>
  <si>
    <t>https://resources.simonelectric.com/simon-catalogo-vehiculo-electrico?utm_campaign=SIC%20-%20Veh%C3%ADculo%20El%C3%A9ctrico&amp;utm_medium=email&amp;_hsenc=p2ANqtz-8KSiFja0-vtExzCsz05Hh1wPwB4agFXfoQmmGYJZvnwt9dNCbtQV7CcJqdFhGtqn_qKomr&amp;_hsmi=87085363&amp;utm_content=87085363&amp;utm_source=hs_email&amp;hsCtaTracking=6fedf137-fd90-4f17-bfb4-d61f710ec7f8%7Cf2771843-6636-4969-9010-2d8d0389b89c</t>
  </si>
  <si>
    <t>https://resources.simonelectric.com/simon-ebook-vehiculo-electrico?utm_campaign=SIC%20-%20Veh%C3%ADculo%20El%C3%A9ctrico&amp;utm_medium=email&amp;_hsenc=p2ANqtz-_HwByLE3oT-nafhybtVEsh-beq8ZtH50t0jEdhgTLZf73XR-1CEG1l4mAdFjHJ9Rg44HX2&amp;_hsmi=71033675&amp;utm_content=71033675&amp;utm_source=hs_automation&amp;hsCtaTracking=2e94ebfc-d414-4389-870c-d2f266a9420b%7C587ac4dc-a49a-4bdc-b449-e36f5d95395b</t>
  </si>
  <si>
    <t>980@coiiar.org</t>
  </si>
  <si>
    <t>https://resources.simonelectric.com/simon-ebook-vehiculo-electrico?utm_campaign=SIC%20-%20Veh%C3%ADculo%20El%C3%A9ctrico&amp;utm_medium=email&amp;_hsmi=71033675&amp;_hsenc=p2ANqtz-_-faC5FX5wbKi7ESZExSzzV94gFEelGQ61UUM7bkFg2MD2wnnaH_G5w4dmg1QmOOP2sb-N&amp;utm_content=71033675&amp;utm_source=hs_automation</t>
  </si>
  <si>
    <t>981@gmail.com</t>
  </si>
  <si>
    <t>https://resources.simonelectric.com/simon-catalogo-vehiculo-electrico?utm_campaign=SIC%20-%20Veh%C3%ADculo%20El%C3%A9ctrico&amp;utm_medium=email&amp;_hsenc=p2ANqtz-8oI6mqhLVByLReh8LEet0WeyUnjJe6sxqNQGBfKDYbg9ynuMW7JHGl6A3Pv4Tr-4RnW6WQ&amp;_hsmi=87085302&amp;utm_content=87085302&amp;utm_source=hs_email&amp;hsCtaTracking=6fedf137-fd90-4f17-bfb4-d61f710ec7f8%7Cf2771843-6636-4969-9010-2d8d0389b89c</t>
  </si>
  <si>
    <t>982@gmail.com</t>
  </si>
  <si>
    <t>https://resources.simonelectric.com/simon-ebook-vehiculo-electrico?utm_campaign=SIC%20-%20Veh%C3%ADculo%20El%C3%A9ctrico&amp;utm_medium=email&amp;_hsenc=p2ANqtz--nf39-JafFunixxNeYnRQiM0JqhMCo6MTeIFCpuRDdICiRu_1RSpvBEdiPav5yQ4XrjM3l&amp;_hsmi=71033675&amp;utm_content=71033675&amp;utm_source=hs_automation&amp;hsCtaTracking=2e94ebfc-d414-4389-870c-d2f266a9420b%7C587ac4dc-a49a-4bdc-b449-e36f5d95395b</t>
  </si>
  <si>
    <t>983@elektracat.com</t>
  </si>
  <si>
    <t>https://resources.simonelectric.com/simon-catalogo-vehiculo-electrico?utm_campaign=SIC%20-%20Veh%C3%ADculo%20El%C3%A9ctrico&amp;utm_medium=email&amp;_hsmi=87085363&amp;_hsenc=p2ANqtz-9O98i8fK8B7FHYvalCFXkUcgYw7F_13z6YM2Q2C9SFFIYSK-jLhfUTSfA3VcIqNT623snl&amp;utm_content=87085363&amp;utm_source=hs_email</t>
  </si>
  <si>
    <t>984@gmail.com</t>
  </si>
  <si>
    <t>https://resources.simonelectric.com/simon-ebook-vehiculo-electrico?utm_campaign=SIC%20-%20Veh%C3%ADculo%20El%C3%A9ctrico&amp;utm_medium=email&amp;_hsenc=p2ANqtz-8lPEQfxnLcbug0ERand4WTDMEuuBeoZJT5V9MUveBrrScxTlbfiNA5nWwbU_AiFH2659mI&amp;_hsmi=71033675&amp;utm_content=71033675&amp;utm_source=hs_automation&amp;hsCtaTracking=2e94ebfc-d414-4389-870c-d2f266a9420b%7C587ac4dc-a49a-4bdc-b449-e36f5d95395b</t>
  </si>
  <si>
    <t>https://resources.simonelectric.com/simon-catalogo-vehiculo-electrico?utm_campaign=SIC%20-%20Veh%C3%ADculo%20El%C3%A9ctrico&amp;utm_medium=email&amp;_hsenc=p2ANqtz-8SYgLKK7sGjzR_5ymD1aT2KwJnDXj5C8Jgh98jqRqssHxjrkuCpqFuU-Uj03AvN0tyOnb2&amp;_hsmi=87085363&amp;utm_content=87085363&amp;utm_source=hs_email&amp;hsCtaTracking=6fedf137-fd90-4f17-bfb4-d61f710ec7f8%7Cf2771843-6636-4969-9010-2d8d0389b89c</t>
  </si>
  <si>
    <t>985@jesnar2011.es</t>
  </si>
  <si>
    <t>https://resources.simonelectric.com/simon-catalogo-vehiculo-electrico?utm_campaign=SIC%20-%20Veh%C3%ADculo%20El%C3%A9ctrico&amp;utm_medium=email&amp;_hsenc=p2ANqtz-9kc02c-6amCY6ixnQykNxKHO4P4A-diz7bJMOy89CQO274mGbK0gdJCIBrpg2kzFAAf6vg&amp;_hsmi=87085302&amp;utm_content=87085302&amp;utm_source=hs_email&amp;hsCtaTracking=6fedf137-fd90-4f17-bfb4-d61f710ec7f8%7Cf2771843-6636-4969-9010-2d8d0389b89c</t>
  </si>
  <si>
    <t>986@hotmail.com</t>
  </si>
  <si>
    <t>https://resources.simonelectric.com/simon-ebook-vehiculo-electrico-0?gclid=EAIaIQobChMIpPHr6bqa6QIVXsu7CB2-cAoEEAEYASAAEgLwIPD_BwE</t>
  </si>
  <si>
    <t>987@ginsa.cat</t>
  </si>
  <si>
    <t>https://resources.simonelectric.com/simon-catalogo-vehiculo-electrico?utm_campaign=SIC%20-%20Veh%C3%ADculo%20El%C3%A9ctrico&amp;utm_medium=email&amp;_hsenc=p2ANqtz-8RLNiJEm-oJm-Z3t7BUxLbu0gN_MK13HlnNpziFaEvgiFAtk1On7-aghfAmNaA2CJJm1Li&amp;_hsmi=87085302&amp;utm_content=87085302&amp;utm_source=hs_email&amp;hsCtaTracking=6fedf137-fd90-4f17-bfb4-d61f710ec7f8%7Cf2771843-6636-4969-9010-2d8d0389b89c</t>
  </si>
  <si>
    <t>988@electromercantil.es</t>
  </si>
  <si>
    <t>https://resources.simonelectric.com/simon-catalogo-vehiculo-electrico?utm_campaign=SIC%20-%20Veh%C3%ADculo%20El%C3%A9ctrico&amp;utm_medium=email&amp;_hsenc=p2ANqtz-_eJiu-XakmZ7lPjXiSl4ydtv08bOo6X3mwOmrJTUiY1Enscmy342Z589ZQ6M12ytH3ZeO8&amp;_hsmi=87085363&amp;utm_content=87085363&amp;utm_source=hs_email&amp;hsCtaTracking=6fedf137-fd90-4f17-bfb4-d61f710ec7f8%7Cf2771843-6636-4969-9010-2d8d0389b89c</t>
  </si>
  <si>
    <t>989@electricasllop.com</t>
  </si>
  <si>
    <t>https://resources.simonelectric.com/simon-ebook-vehiculo-electrico?utm_campaign=SIC%20-%20Veh%C3%ADculo%20El%C3%A9ctrico&amp;utm_medium=email&amp;_hsenc=p2ANqtz-_c_xmORdkxU51tj6UdjnDFryGZeWrRBCAYga1Bxkl8C7NRvy1b-KNXyMExjMyEqilsk_2-&amp;_hsmi=71033675&amp;utm_content=71033675&amp;utm_source=hs_automation&amp;hsCtaTracking=2e94ebfc-d414-4389-870c-d2f266a9420b%7C587ac4dc-a49a-4bdc-b449-e36f5d95395b</t>
  </si>
  <si>
    <t>990@gmail.com</t>
  </si>
  <si>
    <t>https://resources.simonelectric.com/simon-ebook-vehiculo-electrico?utm_campaign=SIC%20-%20Veh%C3%ADculo%20El%C3%A9ctrico&amp;utm_medium=email&amp;_hsenc=p2ANqtz-8gO96aYZ9jT5UUUD13muFW0zm2Nw9MLkOkkykBaKG3yVu6hHmOsoKbFxsNcPK9AGXQjw0M&amp;_hsmi=71033675&amp;utm_content=71033675&amp;utm_source=hs_automation&amp;hsCtaTracking=2e94ebfc-d414-4389-870c-d2f266a9420b%7C587ac4dc-a49a-4bdc-b449-e36f5d95395b</t>
  </si>
  <si>
    <t>991@yahoo.es</t>
  </si>
  <si>
    <t>https://resources.simonelectric.com/simon-ebook-vehiculo-electrico?utm_campaign=SIC%20-%20Veh%C3%ADculo%20El%C3%A9ctrico&amp;utm_medium=email&amp;_hsenc=p2ANqtz-_f74QHohVPsI-bMgxsnyrThRiYCjDS5HjII1ffPpDnqkYRE993HtFuFhxZ6MhbLvQ9iyz9&amp;_hsmi=71033675&amp;utm_content=71033675&amp;utm_source=hs_automation&amp;hsCtaTracking=2e94ebfc-d414-4389-870c-d2f266a9420b%7C587ac4dc-a49a-4bdc-b449-e36f5d95395b</t>
  </si>
  <si>
    <t>992@yahoo.es</t>
  </si>
  <si>
    <t>https://resources.simonelectric.com/simon-ebook-vehiculo-electrico?utm_campaign=SIC%20-%20Veh%C3%ADculo%20El%C3%A9ctrico&amp;utm_medium=email&amp;_hsmi=71033675&amp;_hsenc=p2ANqtz-_7hpGGDygT-KEmUfL5e2NnHWP3AeikQZ0sXtHCrIwy-SddutNqDVkxU2yWeM-B_m9ESDjA&amp;utm_content=71033675&amp;utm_source=hs_automation</t>
  </si>
  <si>
    <t>993@electricidadguerra.com</t>
  </si>
  <si>
    <t>https://resources.simonelectric.com/simon-catalogo-vehiculo-electrico?utm_campaign=SIC%20-%20Veh%C3%ADculo%20El%C3%A9ctrico&amp;utm_medium=email&amp;_hsenc=p2ANqtz--kLrzJsvuSrXpYylSWRt__-x3YgzuSWcEhmA-lo93PvWe_P9SjD4xVgTKLgwGVMVzuUnNE&amp;_hsmi=87085363&amp;utm_content=87085363&amp;utm_source=hs_email&amp;hsCtaTracking=6fedf137-fd90-4f17-bfb4-d61f710ec7f8%7Cf2771843-6636-4969-9010-2d8d0389b89c</t>
  </si>
  <si>
    <t>994@gruponovelec.com</t>
  </si>
  <si>
    <t>https://resources.simonelectric.com/simon-catalogo-vehiculo-electrico?utm_campaign=SIC%20-%20Veh%C3%ADculo%20El%C3%A9ctrico&amp;utm_medium=email&amp;_hsenc=p2ANqtz-_OjBdhSfsCRqqvB_uP0GAXv0ny1a2TSZvL5WihT3tkvSVtKHz6FVJrTPPOJg0S3Zr0tzVv&amp;_hsmi=87085363&amp;utm_content=87085363&amp;utm_source=hs_email&amp;hsCtaTracking=6fedf137-fd90-4f17-bfb4-d61f710ec7f8%7Cf2771843-6636-4969-9010-2d8d0389b89c</t>
  </si>
  <si>
    <t>995@telefonica.net</t>
  </si>
  <si>
    <t>https://resources.simonelectric.com/simon-ebook-vehiculo-electrico?utm_campaign=SIC%20-%20Veh%C3%ADculo%20El%C3%A9ctrico&amp;utm_medium=email&amp;_hsenc=p2ANqtz-8FvFDaTXc-O3ts_gH5VZJb4zCZjfF9RQMATPXdd2Y1p5cmkpJzQayFE3S_DrozR5682S8r&amp;_hsmi=71033675&amp;utm_content=71033675&amp;utm_source=hs_automation&amp;hsCtaTracking=2e94ebfc-d414-4389-870c-d2f266a9420b%7C587ac4dc-a49a-4bdc-b449-e36f5d95395b</t>
  </si>
  <si>
    <t>996@comb.cat</t>
  </si>
  <si>
    <t>https://resources.simonelectric.com/simon-catalogo-vehiculo-electrico?utm_campaign=SIC%20-%20Veh%C3%ADculo%20El%C3%A9ctrico&amp;utm_medium=email&amp;_hsenc=p2ANqtz-9o_LgX6U4BFmfTIn0NcI3CYRYdFmuPjuTEcO_UOMsjVAYqyY0UL288aREawZBaYYAfcOz_&amp;_hsmi=87085302&amp;utm_content=87085302&amp;utm_source=hs_email&amp;hsCtaTracking=6fedf137-fd90-4f17-bfb4-d61f710ec7f8%7Cf2771843-6636-4969-9010-2d8d0389b89c</t>
  </si>
  <si>
    <t>997@yahoo.es</t>
  </si>
  <si>
    <t>https://resources.simonelectric.com/simon-ebook-vehiculo-electrico-ppc?utm_source=facebook&amp;utm_medium=social_ads&amp;utm_campaign=vehiculo_electrico&amp;fbclid=IwAR0rE1RyyRuW6DxZtoyns3srNnAsAbH7F-S4jVlZitGzoO2QjZ7hrJkk_pU</t>
  </si>
  <si>
    <t>998@damuvi.com</t>
  </si>
  <si>
    <t>999@aeperez.es</t>
  </si>
  <si>
    <t>https://resources.simonelectric.com/simon-ebook-vehiculo-electrico?utm_campaign=SIC%20-%20Veh%C3%ADculo%20El%C3%A9ctrico&amp;utm_medium=email&amp;_hsenc=p2ANqtz-9sM6tOXEaTueNaMzc9fdsHi8PsfAwkYzSGCrJo8x325wU4v11tp9OEKEst-gFPr7MpLPSE&amp;_hsmi=71033675&amp;utm_content=71033675&amp;utm_source=hs_automation&amp;hsCtaTracking=2e94ebfc-d414-4389-870c-d2f266a9420b%7C587ac4dc-a49a-4bdc-b449-e36f5d95395b</t>
  </si>
  <si>
    <t>1000@hotmail.com</t>
  </si>
  <si>
    <t>https://resources.simonelectric.com/simon-catalogo-vehiculo-electrico?utm_campaign=SIC%20-%20Veh%C3%ADculo%20El%C3%A9ctrico&amp;utm_medium=email&amp;_hsenc=p2ANqtz-8Nfyj-G3skaF7L-KvEamKoaQhAy17zSJ4X_D2tItKlNEGrzPT4krvAkAacriLfuGqKC7E6&amp;_hsmi=87085363&amp;utm_content=87085363&amp;utm_source=hs_email&amp;hsCtaTracking=6fedf137-fd90-4f17-bfb4-d61f710ec7f8%7Cf2771843-6636-4969-9010-2d8d0389b89c</t>
  </si>
  <si>
    <t>1001@hotmail.com</t>
  </si>
  <si>
    <t>https://resources.simonelectric.com/simon-catalogo-vehiculo-electrico?__hstc=83084745.88e1414f2d89fa32970aba7c2b333c40.1588590409350.1588590409350.1588590409350.1&amp;__hssc=83084745.1.1588590409350&amp;__hsfp=2471010493</t>
  </si>
  <si>
    <t>https://resources.simonelectric.com/simon-catalogo-vehiculo-electrico?utm_campaign=SIC%20-%20Veh%C3%ADculo%20El%C3%A9ctrico&amp;utm_medium=email&amp;_hsenc=p2ANqtz-8WEHO0AUjuAcO6AD4wHMR4aBggQ7ZVaCzEZIuNSqCpvsiUsYTYgJE_fPtj1ExT-FlVRKAQ&amp;_hsmi=87085302&amp;utm_content=87085302&amp;utm_source=hs_email&amp;hsCtaTracking=6fedf137-fd90-4f17-bfb4-d61f710ec7f8%7Cf2771843-6636-4969-9010-2d8d0389b89c</t>
  </si>
  <si>
    <t>1002@hotmail.com</t>
  </si>
  <si>
    <t>https://resources.simonelectric.com/simon-ebook-vehiculo-electrico?utm_campaign=SIC%20-%20Veh%C3%ADculo%20El%C3%A9ctrico&amp;utm_medium=email&amp;_hsenc=p2ANqtz--_8PXjyxvJqdCc_RXdFm4geJZIgQ1ENStcfj-4-VNxhe-CdWopmEQNyFg7Nfmv-m6vHEy1&amp;_hsmi=71033675&amp;utm_content=71033675&amp;utm_source=hs_automation&amp;hsCtaTracking=2e94ebfc-d414-4389-870c-d2f266a9420b%7C587ac4dc-a49a-4bdc-b449-e36f5d95395b</t>
  </si>
  <si>
    <t>https://resources.simonelectric.com/simon-ebook-vehiculo-electrico?utm_campaign=SIC%20-%20Veh%C3%ADculo%20El%C3%A9ctrico&amp;utm_medium=email&amp;_hsmi=71033675&amp;_hsenc=p2ANqtz-_xa0NWU_RiJFKJJtBKfnadimvGDOEI5CoJMhuo0PTbTXRI3A5FD52TF9FBG5tEDqYVdU-g&amp;utm_content=71033675&amp;utm_source=hs_automation</t>
  </si>
  <si>
    <t>1003@gmail.com</t>
  </si>
  <si>
    <t>https://resources.simonelectric.com/simon-ebook-vehiculo-electrico?utm_campaign=SIC%20-%20Veh%C3%ADculo%20El%C3%A9ctrico&amp;utm_medium=email&amp;_hsenc=p2ANqtz-_186IFqQrfbeAA-Im5xxNcXbCbBF3k9Q38n0wpS1K81mY2hHWHfmve3GYiYsdKo6bKvLWu&amp;_hsmi=71033675&amp;utm_content=71033675&amp;utm_source=hs_automation&amp;hsCtaTracking=2e94ebfc-d414-4389-870c-d2f266a9420b%7C587ac4dc-a49a-4bdc-b449-e36f5d95395b</t>
  </si>
  <si>
    <t>https://resources.simonelectric.com/simon-catalogo-vehiculo-electrico?utm_campaign=SIC%20-%20Veh%C3%ADculo%20El%C3%A9ctrico&amp;utm_medium=email&amp;_hsenc=p2ANqtz-_hSwqocGQT5MRqlVA17zHjg9Gshs3EVsl9EQqUGQxTNhrmSTUzQwl5CEK387nTd0c5bv4r&amp;_hsmi=87085302&amp;utm_content=87085302&amp;utm_source=hs_email&amp;hsCtaTracking=6fedf137-fd90-4f17-bfb4-d61f710ec7f8%7Cf2771843-6636-4969-9010-2d8d0389b89c</t>
  </si>
  <si>
    <t>1004@telefonica.net</t>
  </si>
  <si>
    <t>https://resources.simonelectric.com/simon-ebook-vehiculo-electrico?utm_campaign=SIC%20-%20Veh%C3%ADculo%20El%C3%A9ctrico&amp;utm_medium=email&amp;_hsenc=p2ANqtz--Zax2R4xefjakhkw1wBYGKMfIZbpM4tig0DHEQ5iTTEOkObnjcQznCMO3NI_OR_9XGzSWG&amp;_hsmi=71033675&amp;utm_content=71033675&amp;utm_source=hs_automation&amp;hsCtaTracking=2e94ebfc-d414-4389-870c-d2f266a9420b%7C587ac4dc-a49a-4bdc-b449-e36f5d95395b</t>
  </si>
  <si>
    <t>1005@allendearquitectos.com</t>
  </si>
  <si>
    <t>https://resources.simonelectric.com/simon-catalogo-vehiculo-electrico?utm_campaign=SIC%20-%20Veh%C3%ADculo%20El%C3%A9ctrico&amp;utm_medium=email&amp;_hsenc=p2ANqtz-_sbPH2NkpSI_Ln4DdUaogEXJf2hbLnfdS4uORSz7YjrXId2GTcP-lr4oezG9WPsfuHQ67L&amp;_hsmi=87085363&amp;utm_content=87085363&amp;utm_source=hs_email&amp;hsCtaTracking=6fedf137-fd90-4f17-bfb4-d61f710ec7f8%7Cf2771843-6636-4969-9010-2d8d0389b89c</t>
  </si>
  <si>
    <t>1006@gmail.com</t>
  </si>
  <si>
    <t>https://resources.simonelectric.com/simon-catalogo-vehiculo-electrico?utm_campaign=SIC%20-%20Veh%C3%ADculo%20El%C3%A9ctrico&amp;utm_medium=email&amp;_hsenc=p2ANqtz--bqRLM2fO0T43-jZN4lfmZoaaiPaagq3T-9-VAy97IkbhEt1VYSlAzz0OzAd8GcDtDWZ4Y&amp;_hsmi=87085363&amp;utm_content=87085363&amp;utm_source=hs_email&amp;hsCtaTracking=6fedf137-fd90-4f17-bfb4-d61f710ec7f8%7Cf2771843-6636-4969-9010-2d8d0389b89c</t>
  </si>
  <si>
    <t>1007@yahoo.es</t>
  </si>
  <si>
    <t>1008@olleo.es</t>
  </si>
  <si>
    <t>https://resources.simonelectric.com/simon-catalogo-vehiculo-electrico?utm_campaign=SIC%20-%20Veh%C3%ADculo%20El%C3%A9ctrico&amp;utm_medium=email&amp;_hsmi=87085302&amp;_hsenc=p2ANqtz--VemWncUMBw8Gw24eOtEOXgU2gLbcXpWYHvAarhVB2-VTQeAyTWbhdZHWKH4ndhjt17Yse&amp;utm_content=87085302&amp;utm_source=hs_email</t>
  </si>
  <si>
    <t>1009@ccatlantico.com</t>
  </si>
  <si>
    <t>https://resources.simonelectric.com/simon-ebook-vehiculo-electrico?utm_campaign=SIC%20-%20Veh%C3%ADculo%20El%C3%A9ctrico&amp;utm_medium=email&amp;_hsenc=p2ANqtz-8zepbINAHLJRi3ElfIn0sd0aT0fTYj0XTOcEPzOs9CF0F4QC2DRGPXHxtDDlX7L_axNixv&amp;_hsmi=71033675&amp;utm_content=71033675&amp;utm_source=hs_automation&amp;hsCtaTracking=2e94ebfc-d414-4389-870c-d2f266a9420b%7C587ac4dc-a49a-4bdc-b449-e36f5d95395b</t>
  </si>
  <si>
    <t>1010@simon.es</t>
  </si>
  <si>
    <t>1011@gmail.com</t>
  </si>
  <si>
    <t>https://resources.simonelectric.com/simon-ebook-vehiculo-electrico?utm_campaign=SIC%20-%20Veh%C3%ADculo%20El%C3%A9ctrico&amp;utm_medium=email&amp;_hsenc=p2ANqtz-_bcKOojwPDPnUskViM1HPd-4OSa9lFlJB3-Sb5gj8fYJIMgCRXYrF-6ZEk8ZMXc2KpwarV&amp;_hsmi=71033675&amp;utm_content=71033675&amp;utm_source=hs_automation&amp;hsCtaTracking=2e94ebfc-d414-4389-870c-d2f266a9420b%7C587ac4dc-a49a-4bdc-b449-e36f5d95395b</t>
  </si>
  <si>
    <t>1012@formasymateriales.com</t>
  </si>
  <si>
    <t>https://resources.simonelectric.com/simon-catalogo-vehiculo-electrico?utm_campaign=SIC%20-%20Veh%C3%ADculo%20El%C3%A9ctrico&amp;utm_medium=email&amp;_hsenc=p2ANqtz-8a7lurQFcSDHyUUoXNJ8kgXbKWP6I2qZB8hyZpdt_eXSUWsWAkeWeph_-tDbrdygmzN7fc&amp;_hsmi=87085363&amp;utm_content=87085363&amp;utm_source=hs_email&amp;hsCtaTracking=6fedf137-fd90-4f17-bfb4-d61f710ec7f8%7Cf2771843-6636-4969-9010-2d8d0389b89c</t>
  </si>
  <si>
    <t>1013@hotmail.com</t>
  </si>
  <si>
    <t>https://resources.simonelectric.com/simon-catalogo-vehiculo-electrico?utm_campaign=SIC%20-%20Veh%C3%ADculo%20El%C3%A9ctrico&amp;utm_medium=email&amp;_hsmi=87085363&amp;_hsenc=p2ANqtz--9IuTWFEdtVzuj5Y3WMhhxxyXDWufZmXFgL2WsZwVDUhfrUtcclZw6YroxFey8XTbW97fv&amp;utm_content=87085363&amp;utm_source=hs_email</t>
  </si>
  <si>
    <t>1014@gmail.com</t>
  </si>
  <si>
    <t>https://resources.simonelectric.com/simon-catalogo-vehiculo-electrico?utm_campaign=SIC%20-%20Veh%C3%ADculo%20El%C3%A9ctrico&amp;utm_medium=email&amp;_hsenc=p2ANqtz--f_UotlM6RFyMPkOccPTInXl_AI29Ke78GWndoZ-TdHzxE2870YSIJfv5to8q7xAOmmC-q&amp;_hsmi=87085363&amp;utm_content=87085363&amp;utm_source=hs_email&amp;hsCtaTracking=6fedf137-fd90-4f17-bfb4-d61f710ec7f8%7Cf2771843-6636-4969-9010-2d8d0389b89c</t>
  </si>
  <si>
    <t>1015@aziraelectricidad.com</t>
  </si>
  <si>
    <t>https://resources.simonelectric.com/simon-ebook-vehiculo-electrico?utm_campaign=SIC%20-%20Veh%C3%ADculo%20El%C3%A9ctrico&amp;utm_medium=email&amp;_hsenc=p2ANqtz--5qdzBVFWbckQCg7DI7hUchOrDW7IG7LvVkSncDV7gFS-rSrh1Fj1EQH4QF6mqdEVHDqoo&amp;_hsmi=71033675&amp;utm_content=71033675&amp;utm_source=hs_automation&amp;hsCtaTracking=2e94ebfc-d414-4389-870c-d2f266a9420b%7C587ac4dc-a49a-4bdc-b449-e36f5d95395b</t>
  </si>
  <si>
    <t>1016@coitt.es</t>
  </si>
  <si>
    <t>https://resources.simonelectric.com/simon-ebook-vehiculo-electrico?utm_campaign=SIC%20-%20Veh%C3%ADculo%20El%C3%A9ctrico&amp;utm_medium=email&amp;_hsenc=p2ANqtz--17F2CVGWjs8ajjpa8sUV9yrxzeHZhvi94pLkDvcn1xBLE5bqtuU_BYfKDbTMP3mC_9ukX&amp;_hsmi=71033675&amp;utm_content=71033675&amp;utm_source=hs_automation&amp;hsCtaTracking=2e94ebfc-d414-4389-870c-d2f266a9420b%7C587ac4dc-a49a-4bdc-b449-e36f5d95395b</t>
  </si>
  <si>
    <t>1017@tesnetwork.net</t>
  </si>
  <si>
    <t>https://resources.simonelectric.com/simon-catalogo-vehiculo-electrico?utm_campaign=SIC%20-%20Veh%C3%ADculo%20El%C3%A9ctrico&amp;utm_medium=email&amp;_hsenc=p2ANqtz-9GVUBgG6lIVFYPtzDHuvWPb8C562nRqBhISMlc822ZQp1HPoRWFCxqSG-WwM1K5m6KvvLW&amp;_hsmi=87085302&amp;utm_content=87085302&amp;utm_source=hs_email&amp;hsCtaTracking=6fedf137-fd90-4f17-bfb4-d61f710ec7f8%7Cf2771843-6636-4969-9010-2d8d0389b89c</t>
  </si>
  <si>
    <t>1018@esmassmart.com</t>
  </si>
  <si>
    <t>https://resources.simonelectric.com/simon-ebook-vehiculo-electrico?utm_campaign=SIC%20-%20Veh%C3%ADculo%20El%C3%A9ctrico&amp;utm_medium=email&amp;_hsmi=71033675&amp;_hsenc=p2ANqtz-9Xas68QnPtSgiLmZRWmoW_4XehsbyDGiCgnQ9HEC18vrbayoYm57mxLIpEIWhU1fiARxQE&amp;utm_content=71033675&amp;utm_source=hs_automation</t>
  </si>
  <si>
    <t>1019@ingeralbaida.es</t>
  </si>
  <si>
    <t>https://resources.simonelectric.com/simon-ebook-vehiculo-electrico?utm_campaign=SIC%20-%20Veh%C3%ADculo%20El%C3%A9ctrico&amp;utm_medium=email&amp;_hsmi=71033675&amp;_hsenc=p2ANqtz-9uy8HQcEWa_AB-daqbIpAyWGsWgCA6f5H-yFm5BthSaH2-LQ8Rvpm3Q8lKK1pjjWE230f6&amp;utm_content=71033675&amp;utm_source=hs_automation</t>
  </si>
  <si>
    <t>1020@deinrresa.es</t>
  </si>
  <si>
    <t>https://resources.simonelectric.com/simon-ebook-vehiculo-electrico?utm_campaign=SIC%20-%20Veh%C3%ADculo%20El%C3%A9ctrico&amp;utm_medium=email&amp;_hsenc=p2ANqtz-_ZeAbUKhFQ1YObU6pngjyDpje_NGliIaGqR6YlBGtfni9p11zNHZnDbESKfGP0S6viLo2x&amp;_hsmi=71033675&amp;utm_content=71033675&amp;utm_source=hs_automation&amp;hsCtaTracking=2e94ebfc-d414-4389-870c-d2f266a9420b%7C587ac4dc-a49a-4bdc-b449-e36f5d95395b</t>
  </si>
  <si>
    <t>1021@proturhotels.com</t>
  </si>
  <si>
    <t>https://resources.simonelectric.com/simon-catalogo-vehiculo-electrico?utm_campaign=SIC%20-%20Veh%C3%ADculo%20El%C3%A9ctrico&amp;utm_medium=email&amp;_hsenc=p2ANqtz-9PJXXS7i8kriDCQgQGTBk11Q3IOdYSkxo2Dw0qCGGs65wvKdevyKr3B40x7e77KPVA1cW4&amp;_hsmi=87085363&amp;utm_content=87085363&amp;utm_source=hs_email&amp;hsCtaTracking=6fedf137-fd90-4f17-bfb4-d61f710ec7f8%7Cf2771843-6636-4969-9010-2d8d0389b89c</t>
  </si>
  <si>
    <t>1022@uhu.es</t>
  </si>
  <si>
    <t>https://resources.simonelectric.com/simon-ebook-vehiculo-electrico?utm_campaign=SIC%20-%20Veh%C3%ADculo%20El%C3%A9ctrico&amp;utm_medium=email&amp;_hsenc=p2ANqtz-8qHWKUOoXpKEFsSuX0SHFfr4kw87kdJrP5qgD2AtqxSsw8UmIMXttBgMYXJFDBDP0_nfhi&amp;_hsmi=71033675&amp;utm_content=71033675&amp;utm_source=hs_automation&amp;hsCtaTracking=2e94ebfc-d414-4389-870c-d2f266a9420b%7C587ac4dc-a49a-4bdc-b449-e36f5d95395b</t>
  </si>
  <si>
    <t>1023@hotmail.com</t>
  </si>
  <si>
    <t>1024@elecnor.com</t>
  </si>
  <si>
    <t>https://resources.simonelectric.com/simon-ebook-vehiculo-electrico?utm_campaign=SIC%20-%20Veh%C3%ADculo%20El%C3%A9ctrico&amp;utm_medium=email&amp;_hsenc=p2ANqtz-8FLEOhuNKxFGlu6pRVgazxRE5EM4CJw7_-KdZzYV_364Lb6I9yAG6wfjZYXA3Hbc2_a56z&amp;_hsmi=71033675&amp;utm_content=71033675&amp;utm_source=hs_automation&amp;hsCtaTracking=2e94ebfc-d414-4389-870c-d2f266a9420b%7C587ac4dc-a49a-4bdc-b449-e36f5d95395b</t>
  </si>
  <si>
    <t>1025@gmail.com</t>
  </si>
  <si>
    <t>https://resources.simonelectric.com/simon-ebook-vehiculo-electrico?utm_campaign=SIC%20-%20Veh%C3%ADculo%20El%C3%A9ctrico&amp;utm_medium=email&amp;_hsenc=p2ANqtz-8acbHAYchz_4INm027pt3d5FnHggMh3vWJHwgxZEbnTfuFxBBmTFl5tO4bYkG-QLQqCVGC&amp;_hsmi=71033675&amp;utm_content=71033675&amp;utm_source=hs_automation&amp;hsCtaTracking=2e94ebfc-d414-4389-870c-d2f266a9420b%7C587ac4dc-a49a-4bdc-b449-e36f5d95395b</t>
  </si>
  <si>
    <t>1026@aia.cat</t>
  </si>
  <si>
    <t>https://resources.simonelectric.com/simon-ebook-vehiculo-electrico?utm_campaign=SIC%20-%20Veh%C3%ADculo%20El%C3%A9ctrico&amp;utm_medium=email&amp;_hsenc=p2ANqtz-8lSBt2xUbPQQozfRYCbNPOHbpfGu_b3Fs14Df2DyurKR_YnR4noGnlrBvQTjZwdwFg-FhZ&amp;_hsmi=71033675&amp;utm_content=71033675&amp;utm_source=hs_automation&amp;hsCtaTracking=2e94ebfc-d414-4389-870c-d2f266a9420b%7C587ac4dc-a49a-4bdc-b449-e36f5d95395b</t>
  </si>
  <si>
    <t>1027@leanteam.es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</si>
  <si>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medium%3Demail%26_hsmi%3D71033828%26_hsenc%3Dp2ANqtz-8GvtavwNVgo82czQMvnXXmUBQ7GcT4PR-LruelPUgE18GMOVsNn9aL029Ow8iLyfJ89EFk%26utm_content%3D71033828%26utm_source%3Dhs_automation</t>
  </si>
  <si>
    <t>1028@ingenierosvalladolid.es</t>
  </si>
  <si>
    <t>https://resources.simonelectric.com/simon-ebook-vehiculo-electrico?utm_campaign=SIC%20-%20Veh%C3%ADculo%20El%C3%A9ctrico&amp;utm_medium=email&amp;_hsenc=p2ANqtz--avQvIESxkJ2OnPl_sbJvZP8CGVFfDtUGjgPpSHO2tY_CU_ThgaSSRNgEFMTndrbguSo8j&amp;_hsmi=71033675&amp;utm_content=71033675&amp;utm_source=hs_automation&amp;hsCtaTracking=2e94ebfc-d414-4389-870c-d2f266a9420b%7C587ac4dc-a49a-4bdc-b449-e36f5d95395b</t>
  </si>
  <si>
    <t>1029@gmail.com</t>
  </si>
  <si>
    <t>https://resources.simonelectric.com/simon-ebook-vehiculo-electrico?utm_campaign=SIC%20-%20Veh%C3%ADculo%20El%C3%A9ctrico&amp;utm_medium=email&amp;_hsenc=p2ANqtz-_bYxUoKWnbUT3bNE9jaPoEhOcmYVaOcCHgDrS4PPcqZl60xfQ-EVPCWiU7BtJn8IZy6IU7&amp;_hsmi=71033675&amp;utm_content=71033675&amp;utm_source=hs_automation&amp;hsCtaTracking=2e94ebfc-d414-4389-870c-d2f266a9420b%7C587ac4dc-a49a-4bdc-b449-e36f5d95395b</t>
  </si>
  <si>
    <t>1030@inmaser-integral.es</t>
  </si>
  <si>
    <t>https://resources.simonelectric.com/simon-ebook-vehiculo-electrico?utm_campaign=SIC%20-%20Veh%C3%ADculo%20El%C3%A9ctrico&amp;utm_medium=email&amp;_hsmi=71033675&amp;_hsenc=p2ANqtz-9mCPwbl-awRWzSAEp3T0HL1Mou8fQu_g0P9gR-uWlwUETSyJWOBA88cw0orCQ3seD9mkxT&amp;utm_content=71033675&amp;utm_source=hs_automation</t>
  </si>
  <si>
    <t>1031@grupoitesa.com</t>
  </si>
  <si>
    <t>https://resources.simonelectric.com/simon-catalogo-vehiculo-electrico?utm_campaign=SIC%20-%20Veh%C3%ADculo%20El%C3%A9ctrico&amp;utm_medium=email&amp;_hsmi=71034014&amp;_hsenc=p2ANqtz-_f9o1JiYM44HjK3H3-BO8MqnRORfdYtjklt9_OzDH5jEYE7RKjQ5z-Tj7CehPg3VpUxKpJ&amp;utm_content=71034014&amp;utm_source=hs_automation</t>
  </si>
  <si>
    <t>1032@zioenginy.com</t>
  </si>
  <si>
    <t>https://resources.simonelectric.com/simon-catalogo-vehiculo-electrico?utm_campaign=SIC%20-%20Veh%C3%ADculo%20El%C3%A9ctrico&amp;utm_medium=email&amp;_hsenc=p2ANqtz-_nWkBfanhVHACJHTElG6qzFzWtNWG9uZz39jIXnuTO_QEKwNyozc1WdihlLCMRjGF3_oF9&amp;_hsmi=87085363&amp;utm_content=87085363&amp;utm_source=hs_email&amp;hsCtaTracking=6fedf137-fd90-4f17-bfb4-d61f710ec7f8%7Cf2771843-6636-4969-9010-2d8d0389b89c</t>
  </si>
  <si>
    <t>1033@gmail.com</t>
  </si>
  <si>
    <t>https://resources.simonelectric.com/simon-catalogo-vehiculo-electrico?utm_campaign=SIC%20-%20Veh%C3%ADculo%20El%C3%A9ctrico&amp;utm_medium=email&amp;_hsenc=p2ANqtz-_MTXgaW0AxYLzBnoZ2ZasDK6u8dn1U2MSe5VB6osL4qlUhb4l2WZLbblyfp2Y5_nBCo1k9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</si>
  <si>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-1iUF98u60fUCc_OxzYZuUjQhS4bqcPzSsWAkqMvny7VsOg4FISlrA22X6aWXCVx5fP1a0&amp;_hsmi=87085302&amp;utm_content=87085302&amp;utm_source=hs_email&amp;hsCtaTracking=6fedf137-fd90-4f17-bfb4-d61f710ec7f8%7Cf2771843-6636-4969-9010-2d8d0389b89c</t>
  </si>
  <si>
    <t>1034@gmail.com</t>
  </si>
  <si>
    <t>https://resources.simonelectric.com/simon-ebook-vehiculo-electrico-ppc?utm_source=facebook&amp;utm_medium=social_ads&amp;utm_campaign=vehiculo_electrico&amp;fbclid=IwAR2ceNwJa3EQWdm8CFjUUGnzWTBWd1l3vsHY3637Dv2hiUYW_a9g7KerznI</t>
  </si>
  <si>
    <t>1035@gmail.com</t>
  </si>
  <si>
    <t>https://resources.simonelectric.com/simon-catalogo-vehiculo-electrico?utm_campaign=SIC%20-%20Veh%C3%ADculo%20El%C3%A9ctrico&amp;utm_medium=email&amp;_hsenc=p2ANqtz--LGVXlYnW3RWorgY_EPgBn0_S2-QriHTfAR289sLxwjwZurzRkRy1_xJvjMAxTWWSjL8S6&amp;_hsmi=87085363&amp;utm_content=87085363&amp;utm_source=hs_email&amp;hsCtaTracking=6fedf137-fd90-4f17-bfb4-d61f710ec7f8%7Cf2771843-6636-4969-9010-2d8d0389b89c</t>
  </si>
  <si>
    <t>1036@grupoelectrostocks.com</t>
  </si>
  <si>
    <t>1037@gmail.com</t>
  </si>
  <si>
    <t>1038@gmail.com</t>
  </si>
  <si>
    <t>https://resources.simonelectric.com/simon-ebook-vehiculo-electrico-ppc?utm_source=facebook&amp;utm_medium=social_ads&amp;utm_campaign=vehiculo_electrico&amp;fbclid=IwAR0D4o1-HTsVMBOGGaa8bahtnbYfKkUS6lZUrSpzvf4iuFz1t2Jl8n66UIQ</t>
  </si>
  <si>
    <t>1039@yahoo.es</t>
  </si>
  <si>
    <t>https://resources.simonelectric.com/simon-ebook-vehiculo-electrico-ppc?utm_source=facebook&amp;utm_medium=social_ads&amp;utm_campaign=vehiculo_electrico&amp;fbclid=IwAR0RpQwBqARAy0MuEJnxIQbEKLnEvzqWBTVH7LkrLIrPEzYC2YmfyN9gZ3o</t>
  </si>
  <si>
    <t>1040@gmail.com</t>
  </si>
  <si>
    <t>1041@jordimoran.es</t>
  </si>
  <si>
    <t>https://resources.simonelectric.com/simon-catalogo-vehiculo-electrico?utm_campaign=SIC%20-%20Veh%C3%ADculo%20El%C3%A9ctrico&amp;utm_medium=email&amp;_hsenc=p2ANqtz--6RJnzstIXsyoJpPtREUalf3EPzzaQ5TxolI1BJYgQ2qFTUihjWJ4LpXWZ7bFfdc89qIxM&amp;_hsmi=87085363&amp;utm_content=87085363&amp;utm_source=hs_email&amp;hsCtaTracking=6fedf137-fd90-4f17-bfb4-d61f710ec7f8%7Cf2771843-6636-4969-9010-2d8d0389b89c</t>
  </si>
  <si>
    <t>1042@alvae.es</t>
  </si>
  <si>
    <t>https://resources.simonelectric.com/simon-catalogo-vehiculo-electrico?utm_campaign=SIC%20-%20Veh%C3%ADculo%20El%C3%A9ctrico&amp;utm_medium=email&amp;_hsenc=p2ANqtz-8sHlad5N0DrppVCPpt-eF454fXhT5DGedcTio5PZ8PVsOyKvX1wTyQZZZS18GPPQnMdT8C&amp;_hsmi=87085302&amp;utm_content=87085302&amp;utm_source=hs_email&amp;hsCtaTracking=6fedf137-fd90-4f17-bfb4-d61f710ec7f8%7Cf2771843-6636-4969-9010-2d8d0389b89c</t>
  </si>
  <si>
    <t>1043@gmail.com</t>
  </si>
  <si>
    <t>1044@hotmail.com</t>
  </si>
  <si>
    <t>1045@coac.net</t>
  </si>
  <si>
    <t>https://resources.simonelectric.com/simon-catalogo-vehiculo-electrico?utm_campaign=SIC%20-%20Veh%C3%ADculo%20El%C3%A9ctrico&amp;utm_medium=email&amp;_hsenc=p2ANqtz-9oxGF_acvP0mT03VqWQ9L_oMESeKWrCHOsitZZgp1F7FyMNJpLJFQsEuasEp-1M5jD9lN4&amp;_hsmi=87085363&amp;utm_content=87085363&amp;utm_source=hs_email&amp;hsCtaTracking=6fedf137-fd90-4f17-bfb4-d61f710ec7f8%7Cf2771843-6636-4969-9010-2d8d0389b89c</t>
  </si>
  <si>
    <t>1046@gmail.com</t>
  </si>
  <si>
    <t>1047@coag.es</t>
  </si>
  <si>
    <t>https://resources.simonelectric.com/simon-catalogo-vehiculo-electrico?utm_campaign=SIC%20-%20Veh%C3%ADculo%20El%C3%A9ctrico&amp;utm_medium=email&amp;_hsenc=p2ANqtz-8AcqR2Ijy0JlVamfnvaI6zTalqishFi7fqNumCB_R5gT6qK38WjbKitc5ndrmzoadFDk5Q&amp;_hsmi=87085363&amp;utm_content=87085363&amp;utm_source=hs_email&amp;hsCtaTracking=6fedf137-fd90-4f17-bfb4-d61f710ec7f8%7Cf2771843-6636-4969-9010-2d8d0389b89c</t>
  </si>
  <si>
    <t>1048@usc.es</t>
  </si>
  <si>
    <t>https://resources.simonelectric.com/simon-catalogo-vehiculo-electrico?utm_campaign=SIC%20-%20Veh%C3%ADculo%20El%C3%A9ctrico&amp;utm_medium=email&amp;_hsenc=p2ANqtz-_WnMxa4YOkxOVDLrStrIfq2VnuP9wNVFUAYGqVB5Smywt2wCY14DGtOn4BVB0Q_FvQXjar&amp;_hsmi=87085363&amp;utm_content=87085363&amp;utm_source=hs_email&amp;hsCtaTracking=6fedf137-fd90-4f17-bfb4-d61f710ec7f8%7Cf2771843-6636-4969-9010-2d8d0389b89c</t>
  </si>
  <si>
    <t>1049@gmail.com</t>
  </si>
  <si>
    <t>https://resources.simonelectric.com/simon-catalogo-vehiculo-electrico?utm_campaign=SIC%20-%20Veh%C3%ADculo%20El%C3%A9ctrico&amp;utm_medium=email&amp;_hsenc=p2ANqtz-_pT1Ucg7FQhuHQTjRu6PIcpIciMgnJxswTvwJsm6PM4roleKkZYisMfjoklOyHehOPAZiT&amp;_hsmi=87085363&amp;utm_content=87085363&amp;utm_source=hs_email&amp;hsCtaTracking=6fedf137-fd90-4f17-bfb4-d61f710ec7f8%7Cf2771843-6636-4969-9010-2d8d0389b89c</t>
  </si>
  <si>
    <t>1050@hotmail.es</t>
  </si>
  <si>
    <t>1051@gmail.com</t>
  </si>
  <si>
    <t>https://resources.simonelectric.com/simon-catalogo-vehiculo-electrico?utm_campaign=SIC%20-%20Veh%C3%ADculo%20El%C3%A9ctrico&amp;utm_medium=email&amp;_hsenc=p2ANqtz-8Iz8g45Sjy6eYRVcbDlr8-NYKU6kkVTlHE8YIy4KPrivickJRwqB8G_2LPsYYzzoMdAQ5Y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</si>
  <si>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qDlf2BIg1BEknVjxM558sS-YgsJyytvhap0doQi6aaH0yuWKYUfUq3nqYRb9tiNanjees&amp;_hsmi=87085363&amp;utm_content=87085363&amp;utm_source=hs_email&amp;hsCtaTracking=6fedf137-fd90-4f17-bfb4-d61f710ec7f8%7Cf2771843-6636-4969-9010-2d8d0389b89c</t>
  </si>
  <si>
    <t>1052@yahoo.es</t>
  </si>
  <si>
    <t>1053@gmail.com</t>
  </si>
  <si>
    <t>https://resources.simonelectric.com/simon-catalogo-vehiculo-electrico?utm_campaign=SIC%20-%20Veh%C3%ADculo%20El%C3%A9ctrico&amp;utm_medium=email&amp;_hsenc=p2ANqtz--M4uP2pngbJdZys-zz3WHyKPMLqdp-W6k6pv9pBL0PVHWieSZ0peP2DZS-_TFBpfPU1SZq&amp;_hsmi=87085363&amp;utm_content=87085363&amp;utm_source=hs_email&amp;hsCtaTracking=6fedf137-fd90-4f17-bfb4-d61f710ec7f8%7Cf2771843-6636-4969-9010-2d8d0389b89c</t>
  </si>
  <si>
    <t>1054@isd-ingenieria.es</t>
  </si>
  <si>
    <t>https://resources.simonelectric.com/simon-ebook-vehiculo-electrico-0?gclid=EAIaIQobChMItejxopyV6QIVLahRCh1qig74EAEYASAAEgKig_D_BwE</t>
  </si>
  <si>
    <t>1055@gmail.com</t>
  </si>
  <si>
    <t>1056@gmail.com</t>
  </si>
  <si>
    <t>https://resources.simonelectric.com/simon-ebook-vehiculo-electrico-0?gclid=EAIaIQobChMIpKipm_uU6QIVzKdRCh3RUwkBEAEYASAAEgJs_fD_BwE</t>
  </si>
  <si>
    <t>1057@gmsil.com</t>
  </si>
  <si>
    <t>https://resources.simonelectric.com/simon-ebook-vehiculo-electrico-0?gclid=Cj0KCQjwtLT1BRD9ARIsAMH3BtWfW6DpuQXnXAGkZlPubfwgVHtMog8Qm7-3JEr4JR-8C_5oHsH2gdMaAkUWEALw_wcB</t>
  </si>
  <si>
    <t>1058@gmail.com</t>
  </si>
  <si>
    <t>https://resources.simonelectric.com/simon-catalogo-vehiculo-electrico?utm_campaign=SIC%20-%20Veh%C3%ADculo%20El%C3%A9ctrico&amp;utm_medium=email&amp;_hsenc=p2ANqtz-8iQTvpah3lSEwp_d45ePZRl579hCyJqAzeIIlTN2O5XVZ4HIbyzmBavI_G35qGqPQriABx&amp;_hsmi=87085302&amp;utm_content=87085302&amp;utm_source=hs_email&amp;hsCtaTracking=6fedf137-fd90-4f17-bfb4-d61f710ec7f8%7Cf2771843-6636-4969-9010-2d8d0389b89c</t>
  </si>
  <si>
    <t>1059@yahoo.es</t>
  </si>
  <si>
    <t>https://resources.simonelectric.com/simon-catalogo-vehiculo-electrico?utm_campaign=SIC%20-%20Veh%C3%ADculo%20El%C3%A9ctrico&amp;utm_medium=email&amp;_hsenc=p2ANqtz-9qMUBh6VPmgFObf8nLUFEUibXPH8RSbhGAKsOUvjQ0WBgfmWTaqzzMNKnc4DPjy522ae5p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</si>
  <si>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WT9DeRpPeVyxVqsI_a_HIca209ECe6UEOxmAfy2qV8Vcw-AuOwojDl4Iz7EZjPeooDq25&amp;_hsmi=87085302&amp;utm_content=87085302&amp;utm_source=hs_email&amp;hsCtaTracking=6fedf137-fd90-4f17-bfb4-d61f710ec7f8%7Cf2771843-6636-4969-9010-2d8d0389b89c</t>
  </si>
  <si>
    <t>1060@hotmail.com</t>
  </si>
  <si>
    <t>https://resources.simonelectric.com/simon-catalogo-vehiculo-electrico?utm_campaign=SIC%20-%20Veh%C3%ADculo%20El%C3%A9ctrico&amp;utm_medium=email&amp;_hsenc=p2ANqtz-_CCO_duLd26Ugvbr2RlbZVjKfwzAWxrxec194LaFv3Qj6I8vh5nlN8aALPk1hcJaHr5-z9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</si>
  <si>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OHBxkVqKr6qNCn8XP2z8G9LilKtLxdHOLKXnezmKMtUv9IFanW6M8DGv8t3uReTJuHJoC&amp;_hsmi=87085302&amp;utm_content=87085302&amp;utm_source=hs_email&amp;hsCtaTracking=6fedf137-fd90-4f17-bfb4-d61f710ec7f8%7Cf2771843-6636-4969-9010-2d8d0389b89c</t>
  </si>
  <si>
    <t>1061@perezescribano.es</t>
  </si>
  <si>
    <t>https://resources.simonelectric.com/simon-catalogo-vehiculo-electrico?utm_campaign=SIC%20-%20Veh%C3%ADculo%20El%C3%A9ctrico&amp;utm_medium=email&amp;_hsenc=p2ANqtz--Vet1JTr_00AbSl9PRB8NQ5rH_5u3ylxMsiXG3ZdYT-uy1q4O7d7IYooo1rxUF3LW3wz-P&amp;_hsmi=87085302&amp;utm_content=87085302&amp;utm_source=hs_email&amp;hsCtaTracking=6fedf137-fd90-4f17-bfb4-d61f710ec7f8%7Cf2771843-6636-4969-9010-2d8d0389b89c</t>
  </si>
  <si>
    <t>1062@hotmail.com</t>
  </si>
  <si>
    <t>https://resources.simonelectric.com/simon-catalogo-vehiculo-electrico?utm_campaign=SIC%20-%20Veh%C3%ADculo%20El%C3%A9ctrico&amp;utm_medium=email&amp;_hsenc=p2ANqtz--SjF6qR-jcGgbJyqkk1F9JJs24sWv5hJvmYQzH_Q_rH1XR6vNNv96OSvXvDvS8Gl6vjGXP&amp;_hsmi=87085363&amp;utm_content=87085363&amp;utm_source=hs_email&amp;hsCtaTracking=6fedf137-fd90-4f17-bfb4-d61f710ec7f8%7Cf2771843-6636-4969-9010-2d8d0389b89c</t>
  </si>
  <si>
    <t>1063@gmail.com</t>
  </si>
  <si>
    <t>https://resources.simonelectric.com/simon-catalogo-vehiculo-electrico?utm_campaign=SIC%20-%20Veh%C3%ADculo%20El%C3%A9ctrico&amp;utm_medium=email&amp;_hsenc=p2ANqtz--uXsYL7h41jtRHoGDH1_rwLTqCrIu4cGCpuKpRnspJ5ujMertHAxfzwchDAaEeacDsyKTz&amp;_hsmi=87085363&amp;utm_content=87085363&amp;utm_source=hs_email&amp;hsCtaTracking=6fedf137-fd90-4f17-bfb4-d61f710ec7f8%7Cf2771843-6636-4969-9010-2d8d0389b89c</t>
  </si>
  <si>
    <t>1064@abxat.com</t>
  </si>
  <si>
    <t>https://resources.simonelectric.com/simon-ebook-vehiculo-electrico-ppc?utm_source=facebook&amp;utm_medium=social_ads&amp;utm_campaign=vehiculo_electrico&amp;fbclid=IwAR10EarzFHlS6rcGshQt-Hsjxu8qZ107Da-sGvTLgFhR9z6aEpnMMYmr0Ho</t>
  </si>
  <si>
    <t>1065@movistar.es</t>
  </si>
  <si>
    <t>https://resources.simonelectric.com/simon-catalogo-vehiculo-electrico?utm_campaign=SIC%20-%20Veh%C3%ADculo%20El%C3%A9ctrico&amp;utm_medium=email&amp;_hsenc=p2ANqtz-8Roa2oL87wgYV0D33vZZwGmPwds0daYgH5RlGFSdt6oCszIw3RW3kQrLDXcPZgi80tHkiA&amp;_hsmi=87085363&amp;utm_content=87085363&amp;utm_source=hs_email&amp;hsCtaTracking=6fedf137-fd90-4f17-bfb4-d61f710ec7f8%7Cf2771843-6636-4969-9010-2d8d0389b89c</t>
  </si>
  <si>
    <t>1066@gmail.com</t>
  </si>
  <si>
    <t>https://resources.simonelectric.com/simon-catalogo-vehiculo-electrico?utm_campaign=SIC%20-%20Veh%C3%ADculo%20El%C3%A9ctrico&amp;utm_medium=email&amp;_hsenc=p2ANqtz-9u3pCL_B7f7y6apQ1QyPR6LnqYt6DpFHHIrJOZJv0Ynz-bPqyfJEleNoE82nvHQsg9Smm1&amp;_hsmi=87085302&amp;utm_content=87085302&amp;utm_source=hs_email&amp;hsCtaTracking=6fedf137-fd90-4f17-bfb4-d61f710ec7f8%7Cf2771843-6636-4969-9010-2d8d0389b89c</t>
  </si>
  <si>
    <t>1067@gmail.com</t>
  </si>
  <si>
    <t>https://resources.simonelectric.com/simon-catalogo-vehiculo-electrico?utm_campaign=SIC%20-%20Veh%C3%ADculo%20El%C3%A9ctrico&amp;utm_medium=email&amp;_hsmi=87085302&amp;_hsenc=p2ANqtz-_mbQfoG75Jmk0hy4NsjjM3h3OCJZnLSIIpTG3hthj8SbojLGeLFE46tCIbOnyd92el8k3G&amp;utm_content=87085302&amp;utm_source=hs_email</t>
  </si>
  <si>
    <t>1068@dominion.es</t>
  </si>
  <si>
    <t>https://resources.simonelectric.com/simon-catalogo-vehiculo-electrico?utm_campaign=SIC%20-%20Veh%C3%ADculo%20El%C3%A9ctrico&amp;utm_medium=email&amp;_hsenc=p2ANqtz-9TAlN7qLBf7bRXL6h77CTIPaUtz3JJ-EDZLQJRIU6PQK-RjV6eExNXKN9KGy_OTEBqJDiB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</si>
  <si>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SXB6OVumcslO-hYDthNwmufnbWCbeN26phmxLs078_SHZd2ctmV8MLiUCqXC_7WOwrz6L&amp;_hsmi=87085302&amp;utm_content=87085302&amp;utm_source=hs_email&amp;hsCtaTracking=6fedf137-fd90-4f17-bfb4-d61f710ec7f8%7Cf2771843-6636-4969-9010-2d8d0389b89c</t>
  </si>
  <si>
    <t>1069@agoitziru.es</t>
  </si>
  <si>
    <t>https://resources.simonelectric.com/simon-catalogo-vehiculo-electrico?utm_campaign=SIC%20-%20Veh%C3%ADculo%20El%C3%A9ctrico&amp;utm_medium=email&amp;_hsenc=p2ANqtz--F4at1sIDWKYGRg4ET4sdfN_T6VPUXcJKTOHiGJffiJcWV96AY7CM-PL0MGRNlBvdNO5UQ&amp;_hsmi=87085363&amp;utm_content=87085363&amp;utm_source=hs_email&amp;hsCtaTracking=6fedf137-fd90-4f17-bfb4-d61f710ec7f8%7Cf2771843-6636-4969-9010-2d8d0389b89c</t>
  </si>
  <si>
    <t>1070@vamostelecom.es</t>
  </si>
  <si>
    <t>https://resources.simonelectric.com/simon-catalogo-vehiculo-electrico?utm_campaign=SIC%20-%20Veh%C3%ADculo%20El%C3%A9ctrico&amp;utm_medium=email&amp;_hsenc=p2ANqtz--SyVMRgxysR42Z3j3eGMUOMM3RQTfBPBeRYqm73a9kHx62wzMa50p1Czc39Z2uAonZ6OUk&amp;_hsmi=87085363&amp;utm_content=87085363&amp;utm_source=hs_email&amp;hsCtaTracking=6fedf137-fd90-4f17-bfb4-d61f710ec7f8%7Cf2771843-6636-4969-9010-2d8d0389b89c</t>
  </si>
  <si>
    <t>1071@industrialgines.com</t>
  </si>
  <si>
    <t>1072@gmail.com</t>
  </si>
  <si>
    <t>https://resources.simonelectric.com/simon-catalogo-vehiculo-electrico?utm_campaign=SIC%20-%20Veh%C3%ADculo%20El%C3%A9ctrico&amp;utm_medium=email&amp;_hsenc=p2ANqtz-_pldsJGbWIxSt8XiyrxywhRYUNXAUZziXtQOMdgiROWwaEaawgUXp3vMpSRg-MZyGbV3LM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</si>
  <si>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uIPnHDXTRBrD7iJyIskq4W0oNLGGF8QBDfXfUEmj4AjZpFJV50w8VUK_5wwK0bhlhiybT&amp;_hsmi=87085363&amp;utm_content=87085363&amp;utm_source=hs_email&amp;hsCtaTracking=6fedf137-fd90-4f17-bfb4-d61f710ec7f8%7Cf2771843-6636-4969-9010-2d8d0389b89c</t>
  </si>
  <si>
    <t>1073@grupolasser.com</t>
  </si>
  <si>
    <t>https://resources.simonelectric.com/simon-ebook-vehiculo-electrico?utm_campaign=SIC%20-%20Veh%C3%ADculo%20El%C3%A9ctrico&amp;utm_medium=email&amp;_hsenc=p2ANqtz-8MMcmZOOaEIN3o6I2K-tM7lSfX-S9Vm5fBwX1ENiJopnrdCZulJbrQWxHElNJMD1eM9f4N&amp;_hsmi=71033675&amp;utm_content=71033675&amp;utm_source=hs_automation&amp;hsCtaTracking=2e94ebfc-d414-4389-870c-d2f266a9420b%7C587ac4dc-a49a-4bdc-b449-e36f5d95395b</t>
  </si>
  <si>
    <t>1074@hotmail.com</t>
  </si>
  <si>
    <t>https://resources.simonelectric.com/simon-catalogo-vehiculo-electrico?utm_campaign=SIC%20-%20Veh%C3%ADculo%20El%C3%A9ctrico&amp;utm_medium=email&amp;_hsenc=p2ANqtz-8VL-pDadBlogLaX7HAx9xopbFNu0q5Q0k-BkmiTe3vHZoyzQwSH83jSGF33_0NYMlnWSG4&amp;_hsmi=87085363&amp;utm_content=87085363&amp;utm_source=hs_email&amp;hsCtaTracking=6fedf137-fd90-4f17-bfb4-d61f710ec7f8%7Cf2771843-6636-4969-9010-2d8d0389b89c</t>
  </si>
  <si>
    <t>1075@gmail.com</t>
  </si>
  <si>
    <t>1076@gmail.com</t>
  </si>
  <si>
    <t>1077@hotmail.com</t>
  </si>
  <si>
    <t>1078@gmail.com</t>
  </si>
  <si>
    <t>https://resources.simonelectric.com/simon-catalogo-vehiculo-electrico?utm_campaign=SIC%20-%20Veh%C3%ADculo%20El%C3%A9ctrico&amp;utm_medium=email&amp;_hsenc=p2ANqtz-9iuzseoe9K575OrjK5fRIQ1bkK_7nfugI7dNmT6_YZIdHLZgE4erfW76BHu7CJmbeHVA9F&amp;_hsmi=87085302&amp;utm_content=87085302&amp;utm_source=hs_email&amp;hsCtaTracking=6fedf137-fd90-4f17-bfb4-d61f710ec7f8%7Cf2771843-6636-4969-9010-2d8d0389b89c</t>
  </si>
  <si>
    <t>1079@outlook.es</t>
  </si>
  <si>
    <t>https://resources.simonelectric.com/simon-catalogo-vehiculo-electrico?utm_campaign=SIC%20-%20Veh%C3%ADculo%20El%C3%A9ctrico&amp;utm_medium=email&amp;_hsenc=p2ANqtz--WgpagwKDK-6hB16k6SDU7IXW4_c6A_1eWqIy0T_rNgnZTD7YX3KnpPgn24QR-HZt9hFT3&amp;_hsmi=87085363&amp;utm_content=87085363&amp;utm_source=hs_email&amp;hsCtaTracking=6fedf137-fd90-4f17-bfb4-d61f710ec7f8%7Cf2771843-6636-4969-9010-2d8d0389b89c</t>
  </si>
  <si>
    <t>1080@levitec.es</t>
  </si>
  <si>
    <t>https://resources.simonelectric.com/simon-catalogo-vehiculo-electrico?utm_campaign=SIC%20-%20Veh%C3%ADculo%20El%C3%A9ctrico&amp;utm_medium=email&amp;_hsmi=87085363&amp;_hsenc=p2ANqtz-_wlQIwIVLZkKPxRMIIuibs3OyqT8-_cDq02elNuDFoxAEuB_VUymmwem3niUpQCT1KymQv&amp;utm_content=87085363&amp;utm_source=hs_email</t>
  </si>
  <si>
    <t>https://resources.simonelectric.com/simon-catalogo-vehiculo-electrico?utm_campaign=SIC%20-%20Veh%C3%ADculo%20El%C3%A9ctrico&amp;utm_medium=email&amp;_hsmi=87085363&amp;_hsenc=p2ANqtz-8zexU21C9PzwahMhaF4xnP0a0PvJEakASlkAQOSnHbcYortsrEA5wxgfTnpMSoNXTth8rX&amp;utm_content=87085363&amp;utm_source=hs_email</t>
  </si>
  <si>
    <t>1081@teideingenieros.com</t>
  </si>
  <si>
    <t>https://resources.simonelectric.com/simon-catalogo-vehiculo-electrico?utm_campaign=SIC%20-%20Veh%C3%ADculo%20El%C3%A9ctrico&amp;utm_medium=email&amp;_hsenc=p2ANqtz-8ZJFB147bTbA0zLbQLmFb48oE79zfKkgk74kdogu-ppXkqYDeAyDlamqq7UVpBn2NfmOms&amp;_hsmi=87085302&amp;utm_content=87085302&amp;utm_source=hs_email&amp;hsCtaTracking=6fedf137-fd90-4f17-bfb4-d61f710ec7f8%7Cf2771843-6636-4969-9010-2d8d0389b89c</t>
  </si>
  <si>
    <t>1082@gmail.com</t>
  </si>
  <si>
    <t>1083@hotmail.com</t>
  </si>
  <si>
    <t>https://resources.simonelectric.com/simon-ebook-vehiculo-electrico-0?gclid=Cj0KCQjw7qn1BRDqARIsAKMbHDbaioyBuoRAi6TK1jsU_b8C1eZiVPvnOfDgAPUV-OjajSwv9hrBIKcaAr_vEALw_wcB</t>
  </si>
  <si>
    <t>https://resources.simonelectric.com/simon-catalogo-vehiculo-electrico?utm_campaign=SIC%20-%20Veh%C3%ADculo%20El%C3%A9ctrico&amp;utm_medium=email&amp;_hsenc=p2ANqtz-_LBM_BSCQL3_NJa902XeHA1ZpdMKBIxZqgxEohh_j5R4YPKCFrQ1Zn12gAVZeaJmFXpm0q&amp;_hsmi=87085363&amp;utm_content=87085363&amp;utm_source=hs_email&amp;hsCtaTracking=6fedf137-fd90-4f17-bfb4-d61f710ec7f8%7Cf2771843-6636-4969-9010-2d8d0389b89c</t>
  </si>
  <si>
    <t>1084@gmail.com</t>
  </si>
  <si>
    <t>https://resources.simonelectric.com/simon-ebook-vehiculo-electrico-ppc?utm_source=facebook&amp;utm_medium=social_ads&amp;utm_campaign=vehiculo_electrico&amp;fbclid=IwAR2F7PrYc4cOLRlWzHOJm2t5ChFfeq5J43xQ4oF36-p1D9owqUqx1Znydqk</t>
  </si>
  <si>
    <t>1085@gmail.com</t>
  </si>
  <si>
    <t>https://resources.simonelectric.com/simon-catalogo-vehiculo-electrico?utm_campaign=SIC%20-%20Veh%C3%ADculo%20El%C3%A9ctrico&amp;utm_medium=email&amp;_hsenc=p2ANqtz-_Uagyb6uvqv9VJxEZ7cbB8lSmWoN2K9KSbSQ1RsMOIHU9DhjE_TuTQ8yWTMdAhS1kouvNw&amp;_hsmi=87085363&amp;utm_content=87085363&amp;utm_source=hs_email&amp;hsCtaTracking=6fedf137-fd90-4f17-bfb4-d61f710ec7f8%7Cf2771843-6636-4969-9010-2d8d0389b89c</t>
  </si>
  <si>
    <t>1086@gmail.com</t>
  </si>
  <si>
    <t>https://resources.simonelectric.com/simon-catalogo-vehiculo-electrico?utm_campaign=SIC%20-%20Veh%C3%ADculo%20El%C3%A9ctrico&amp;utm_medium=email&amp;_hsenc=p2ANqtz-8mXK8NIKjAy8H78Grj7mC-vPMxg4lc71syEnT2Ja04Vb4Pv6ngMwATPbJf97jYxIOpVPdK&amp;_hsmi=87085363&amp;utm_content=87085363&amp;utm_source=hs_email&amp;hsCtaTracking=6fedf137-fd90-4f17-bfb4-d61f710ec7f8%7Cf2771843-6636-4969-9010-2d8d0389b89c</t>
  </si>
  <si>
    <t>1087@hotmail.com</t>
  </si>
  <si>
    <t>https://resources.simonelectric.com/simon-catalogo-vehiculo-electrico?utm_campaign=SIC%20-%20Veh%C3%ADculo%20El%C3%A9ctrico&amp;utm_medium=email&amp;_hsenc=p2ANqtz-9GIAloAptugSPPyBF0oWTDX4ElM2MkJOZipm5-ShpmvIFFtnZCggtznwScbENu02IRmFAG&amp;_hsmi=87085363&amp;utm_content=87085363&amp;utm_source=hs_email&amp;hsCtaTracking=6fedf137-fd90-4f17-bfb4-d61f710ec7f8%7Cf2771843-6636-4969-9010-2d8d0389b89c</t>
  </si>
  <si>
    <t>1088@citemaing.com</t>
  </si>
  <si>
    <t>https://resources.simonelectric.com/simon-catalogo-vehiculo-electrico?utm_campaign=SIC%20-%20Veh%C3%ADculo%20El%C3%A9ctrico&amp;utm_medium=email&amp;_hsenc=p2ANqtz--qaaX0joGyK_Ydx8-CWg6zgwYDSeHAjaZ4506s-91i8d-kIw4EDOMcX8LJqdKbUXF-xNIo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</si>
  <si>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yPaUY8MkBE2-krUAUXUPoYx_lhPOhtR8RtD4ZOFhk8E2XDy-i-hfD2PS1O2vPbbnm3Raa&amp;_hsmi=87085363&amp;utm_content=87085363&amp;utm_source=hs_email&amp;hsCtaTracking=6fedf137-fd90-4f17-bfb4-d61f710ec7f8%7Cf2771843-6636-4969-9010-2d8d0389b89c</t>
  </si>
  <si>
    <t>1089@gmail.com</t>
  </si>
  <si>
    <t>https://resources.simonelectric.com/simon-catalogo-vehiculo-electrico?utm_campaign=SIC%20-%20Veh%C3%ADculo%20El%C3%A9ctrico&amp;utm_medium=email&amp;_hsenc=p2ANqtz-9LkNNimLXdXnEswTv6Rg6ntuqtGMNFpTBCGfuZ6BkD2so0qz0aZRTe3ULX-H3L2HEMjwn5&amp;_hsmi=87085363&amp;utm_content=87085363&amp;utm_source=hs_email&amp;hsCtaTracking=6fedf137-fd90-4f17-bfb4-d61f710ec7f8%7Cf2771843-6636-4969-9010-2d8d0389b89c</t>
  </si>
  <si>
    <t>1090@hotmail.com</t>
  </si>
  <si>
    <t>1091@simon.es</t>
  </si>
  <si>
    <t>https://resources.simonelectric.com/simon-catalogo-vehiculo-electrico?__hstc=83084745.6f180c2e54119bd47a4c2bb53edab869.1570471383999.1588097319024.1588274496802.45&amp;__hssc=83084745.3.1588274496802&amp;__hsfp=3194165559</t>
  </si>
  <si>
    <t>1092@cipfpcanastell.com</t>
  </si>
  <si>
    <t>https://resources.simonelectric.com/simon-catalogo-vehiculo-electrico?utm_campaign=SIC%20-%20Veh%C3%ADculo%20El%C3%A9ctrico&amp;utm_medium=email&amp;_hsenc=p2ANqtz--_cNCLnmhiiJKeB9wH5ia8Q4MCQsJE-cneEvBmi4lHjaljf-xhq6nBssHY4aABAGjXhDEj&amp;_hsmi=87085363&amp;utm_content=87085363&amp;utm_source=hs_email&amp;hsCtaTracking=6fedf137-fd90-4f17-bfb4-d61f710ec7f8%7Cf2771843-6636-4969-9010-2d8d0389b89c</t>
  </si>
  <si>
    <t>1093@edu.xunta.es</t>
  </si>
  <si>
    <t>https://resources.simonelectric.com/simon-catalogo-vehiculo-electrico?utm_campaign=SIC%20-%20Veh%C3%ADculo%20El%C3%A9ctrico&amp;utm_medium=email&amp;_hsmi=87085363&amp;_hsenc=p2ANqtz--i_KZShZ1Sujomg3570TZ3uw07fIq3XGhAAqFU4xnmyH_w32uAhHk6pbDmQNfM9N_dtbJ3&amp;utm_content=87085363&amp;utm_source=hs_email</t>
  </si>
  <si>
    <t>1094@hotmail.com</t>
  </si>
  <si>
    <t>1095@gmail.com</t>
  </si>
  <si>
    <t>https://resources.simonelectric.com/simon-catalogo-vehiculo-electrico?utm_campaign=SIC%20-%20Veh%C3%ADculo%20El%C3%A9ctrico&amp;utm_medium=email&amp;_hsenc=p2ANqtz-9HLvShv8uxkbI9sFE4Alhgw5wvfb40k2vzxzLEvEUJKpnrqjT42daZnn6T_PdiL8wIIrEU&amp;_hsmi=87085302&amp;utm_content=87085302&amp;utm_source=hs_email&amp;hsCtaTracking=6fedf137-fd90-4f17-bfb4-d61f710ec7f8%7Cf2771843-6636-4969-9010-2d8d0389b89c</t>
  </si>
  <si>
    <t>1096@mpf-ingenieria.es</t>
  </si>
  <si>
    <t>https://resources.simonelectric.com/simon-catalogo-vehiculo-electrico?utm_campaign=SIC%20-%20Veh%C3%ADculo%20El%C3%A9ctrico&amp;utm_medium=email&amp;_hsenc=p2ANqtz--D6s9jqRAgTVekliEPVw_XcvVQWOPsWxYYGYhrheQ3AQbU0OEFmHtIlixNbHfKz7ecvLvt&amp;_hsmi=87085363&amp;utm_content=87085363&amp;utm_source=hs_email&amp;hsCtaTracking=6fedf137-fd90-4f17-bfb4-d61f710ec7f8%7Cf2771843-6636-4969-9010-2d8d0389b89c</t>
  </si>
  <si>
    <t>1097@santaeulalia.cat</t>
  </si>
  <si>
    <t>https://resources.simonelectric.com/simon-catalogo-vehiculo-electrico?utm_campaign=SIC%20-%20Veh%C3%ADculo%20El%C3%A9ctrico&amp;utm_medium=email&amp;_hsenc=p2ANqtz-__rooWQTR_uoyuNUPzIqwXycn865PyPA5mcAa5aGKIk3KYW4Yb76pYmUdcILrDAxa9V88S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</si>
  <si>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6ho-_46kjNMFejyKIZ7QEu1QXtSReC_tzGULeuZz8yTsgfmcwjsChEVu1bDSVK5D2gdTw&amp;_hsmi=87085302&amp;utm_content=87085302&amp;utm_source=hs_email&amp;hsCtaTracking=6fedf137-fd90-4f17-bfb4-d61f710ec7f8%7Cf2771843-6636-4969-9010-2d8d0389b89c</t>
  </si>
  <si>
    <t>1098@simonelectrica.com</t>
  </si>
  <si>
    <t>https://resources.simonelectric.com/simon-catalogo-vehiculo-electrico?utm_campaign=SIC%20-%20Veh%C3%ADculo%20El%C3%A9ctrico&amp;utm_medium=email&amp;_hsenc=p2ANqtz--ow_OxAsaVK-Gv_PPFnWFqtjo3wLq724I9ZILmwDwGK-EouQL809TB0AzuN1IGdEDsy0SC&amp;_hsmi=87085363&amp;utm_content=87085363&amp;utm_source=hs_email&amp;hsCtaTracking=6fedf137-fd90-4f17-bfb4-d61f710ec7f8%7Cf2771843-6636-4969-9010-2d8d0389b89c</t>
  </si>
  <si>
    <t>1099@hotmail.com</t>
  </si>
  <si>
    <t>https://resources.simonelectric.com/simon-catalogo-vehiculo-electrico?utm_campaign=SIC%20-%20Veh%C3%ADculo%20El%C3%A9ctrico&amp;utm_medium=email&amp;_hsenc=p2ANqtz-9Hr0yvEwPaAXlgZo_lpUG-2DX1w_7ToOolzub0F9gTuZ3_NOo89lwN5V9VVRuyjuwsHKbk&amp;_hsmi=87085363&amp;utm_content=87085363&amp;utm_source=hs_email&amp;hsCtaTracking=6fedf137-fd90-4f17-bfb4-d61f710ec7f8%7Cf2771843-6636-4969-9010-2d8d0389b89c</t>
  </si>
  <si>
    <t>1100@boffor.com</t>
  </si>
  <si>
    <t>https://resources.simonelectric.com/simon-catalogo-vehiculo-electrico?utm_campaign=SIC%20-%20Veh%C3%ADculo%20El%C3%A9ctrico&amp;utm_medium=email&amp;_hsenc=p2ANqtz-9KNabwSMB07erNzV0vwK40jOiq6UsFbW4vFgbkqhPTYvcXmwSeoifTIKFRLlXoaLRCZcxM&amp;_hsmi=87085363&amp;utm_content=87085363&amp;utm_source=hs_email&amp;hsCtaTracking=6fedf137-fd90-4f17-bfb4-d61f710ec7f8%7Cf2771843-6636-4969-9010-2d8d0389b89c</t>
  </si>
  <si>
    <t>1101@hotmail.com</t>
  </si>
  <si>
    <t>https://resources.simonelectric.com/simon-catalogo-vehiculo-electrico?utm_campaign=SIC%20-%20Veh%C3%ADculo%20El%C3%A9ctrico&amp;utm_medium=email&amp;_hsenc=p2ANqtz-9WRttPGEYuq9jWIAsorXH0UvxNYEo-AUtZzomRvwoYOL7mtMbobjV8kOpz3g25en6cQRrL&amp;_hsmi=87085302&amp;utm_content=87085302&amp;utm_source=hs_email&amp;hsCtaTracking=6fedf137-fd90-4f17-bfb4-d61f710ec7f8%7Cf2771843-6636-4969-9010-2d8d0389b89c</t>
  </si>
  <si>
    <t>1102@gmail.com</t>
  </si>
  <si>
    <t>https://resources.simonelectric.com/simon-ebook-vehiculo-electrico-0?gclid=Cj0KCQjw7qn1BRDqARIsAKMbHDbQA47hbXSZTAnyN4XSP5HfJS6ym6eSPvRfXTuTXlJ-lVaJkW9QBKkaAgp7EALw_wcB</t>
  </si>
  <si>
    <t>1103@montajeselectricosfase.com</t>
  </si>
  <si>
    <t>https://resources.simonelectric.com/simon-catalogo-vehiculo-electrico?utm_campaign=SIC%20-%20Veh%C3%ADculo%20El%C3%A9ctrico&amp;utm_medium=email&amp;_hsenc=p2ANqtz-8CbSXT7D7-B8Z4GeewW4rVokU5eq1AEQDmrS7O13zIbhCC0XaCqwQg63uiuo6iA06_cgKm&amp;_hsmi=87085302&amp;utm_content=87085302&amp;utm_source=hs_email&amp;hsCtaTracking=6fedf137-fd90-4f17-bfb4-d61f710ec7f8%7Cf2771843-6636-4969-9010-2d8d0389b89c</t>
  </si>
  <si>
    <t>1104@gmail.com</t>
  </si>
  <si>
    <t>https://resources.simonelectric.com/simon-catalogo-vehiculo-electrico?utm_campaign=SIC%20-%20Veh%C3%ADculo%20El%C3%A9ctrico&amp;utm_medium=email&amp;_hsenc=p2ANqtz-9CAX-RWU6ep_2KVyziScqP4sLgnqhyG9iLZvzBY4Q_HuMZ-b2ZGOQ-5sFQtemt5708AAEj&amp;_hsmi=87085302&amp;utm_content=87085302&amp;utm_source=hs_email&amp;hsCtaTracking=6fedf137-fd90-4f17-bfb4-d61f710ec7f8%7Cf2771843-6636-4969-9010-2d8d0389b89c</t>
  </si>
  <si>
    <t>1105@gmail.com</t>
  </si>
  <si>
    <t>https://resources.simonelectric.com/simon-catalogo-vehiculo-electrico?utm_campaign=SIC%20-%20Veh%C3%ADculo%20El%C3%A9ctrico&amp;utm_medium=email&amp;_hsenc=p2ANqtz-_t9kgot8q4JyO6oBriuxIinMHHDJfCC6q0Q9Tkziloj35lKhAIU1TIuhsfC3oi5BRGTAZc&amp;_hsmi=87085363&amp;utm_content=87085363&amp;utm_source=hs_email&amp;hsCtaTracking=6fedf137-fd90-4f17-bfb4-d61f710ec7f8%7Cf2771843-6636-4969-9010-2d8d0389b89c</t>
  </si>
  <si>
    <t>1106@gruponoria.com</t>
  </si>
  <si>
    <t>https://resources.simonelectric.com/simon-catalogo-vehiculo-electrico?utm_campaign=SIC%20-%20Veh%C3%ADculo%20El%C3%A9ctrico&amp;utm_medium=email&amp;_hsenc=p2ANqtz-9ZbA9rsBGGHGF2KD7D303U5vy1RXWMWk-QHqZxx1orwENAgjtkUvNZYXyC_4JuKxRP048q&amp;_hsmi=87085363&amp;utm_content=87085363&amp;utm_source=hs_email&amp;hsCtaTracking=6fedf137-fd90-4f17-bfb4-d61f710ec7f8%7Cf2771843-6636-4969-9010-2d8d0389b89c</t>
  </si>
  <si>
    <t>1107@ryaingenieros.com</t>
  </si>
  <si>
    <t>https://resources.simonelectric.com/simon-catalogo-vehiculo-electrico?utm_campaign=SIC%20-%20Veh%C3%ADculo%20El%C3%A9ctrico&amp;utm_medium=email&amp;_hsenc=p2ANqtz--WAgo_lbXMoRr2A--UsVjy12KDdw3PpV8o4j4lRjlKb71a4sxD7xQ562wtIiC1RpPcxj31&amp;_hsmi=87085302&amp;utm_content=87085302&amp;utm_source=hs_email&amp;hsCtaTracking=6fedf137-fd90-4f17-bfb4-d61f710ec7f8%7Cf2771843-6636-4969-9010-2d8d0389b89c</t>
  </si>
  <si>
    <t>1108@enginyerstarragona.cat</t>
  </si>
  <si>
    <t>https://resources.simonelectric.com/simon-catalogo-vehiculo-electrico?utm_campaign=SIC%20-%20Veh%C3%ADculo%20El%C3%A9ctrico&amp;utm_medium=email&amp;_hsenc=p2ANqtz-_ahXeNUJNlu1UvlRIbsHQ9MA72MRBN8dU4CWvV8C88istT1vzjeEuYwXEWEV93z5P07y9L&amp;_hsmi=87085363&amp;utm_content=87085363&amp;utm_source=hs_email&amp;hsCtaTracking=6fedf137-fd90-4f17-bfb4-d61f710ec7f8%7Cf2771843-6636-4969-9010-2d8d0389b89c</t>
  </si>
  <si>
    <t>1109@gmail.com</t>
  </si>
  <si>
    <t>https://resources.simonelectric.com/simon-catalogo-vehiculo-electrico?utm_campaign=SIC%20-%20Veh%C3%ADculo%20El%C3%A9ctrico&amp;utm_medium=email&amp;_hsenc=p2ANqtz-9n0rz_NBIUDf4rqlQP4mRk7e2DG1jjcgzMN2NR4R1Kd_so8Sme-nqLkGcIGiChdqspFUxE&amp;_hsmi=87085363&amp;utm_content=87085363&amp;utm_source=hs_email&amp;hsCtaTracking=6fedf137-fd90-4f17-bfb4-d61f710ec7f8%7Cf2771843-6636-4969-9010-2d8d0389b89c</t>
  </si>
  <si>
    <t>1110@gmail.com</t>
  </si>
  <si>
    <t>https://resources.simonelectric.com/simon-ebook-vehiculo-electrico-ppc?utm_source=facebook&amp;utm_medium=social_ads&amp;utm_campaign=vehiculo_electrico&amp;fbclid=IwAR13EpK0rU3MAC75OD5WRAaLcQJD6jCHszEasM3LVnR8wGsbPlOXbZ-tOzc</t>
  </si>
  <si>
    <t>1111@hotmail.com</t>
  </si>
  <si>
    <t>https://resources.simonelectric.com/simon-catalogo-vehiculo-electrico?utm_campaign=SIC%20-%20Veh%C3%ADculo%20El%C3%A9ctrico&amp;utm_medium=email&amp;_hsenc=p2ANqtz-_A2-X7-B4qgITqA6KDfC2RrsTTSbQ6VGRoyrzs_74PLklRLkkfNp_YESdlCuBq8xe996WS&amp;_hsmi=87085363&amp;utm_content=87085363&amp;utm_source=hs_email&amp;hsCtaTracking=6fedf137-fd90-4f17-bfb4-d61f710ec7f8%7Cf2771843-6636-4969-9010-2d8d0389b89c</t>
  </si>
  <si>
    <t>1112@covama.es</t>
  </si>
  <si>
    <t>1113@aurialux.com</t>
  </si>
  <si>
    <t>https://resources.simonelectric.com/simon-catalogo-vehiculo-electrico?utm_campaign=SIC%20-%20Veh%C3%ADculo%20El%C3%A9ctrico&amp;utm_medium=email&amp;_hsenc=p2ANqtz-_yhtzKDV2wk9qcuic3Lxn2mF7joFUQhR7coCcQex4cF90JUuf57LlwjmaJONr3ObPzqxms&amp;_hsmi=87085363&amp;utm_content=87085363&amp;utm_source=hs_email&amp;hsCtaTracking=6fedf137-fd90-4f17-bfb4-d61f710ec7f8%7Cf2771843-6636-4969-9010-2d8d0389b89c</t>
  </si>
  <si>
    <t>1114@teclisa.com</t>
  </si>
  <si>
    <t>https://resources.simonelectric.com/simon-catalogo-vehiculo-electrico?utm_campaign=SIC%20-%20Veh%C3%ADculo%20El%C3%A9ctrico&amp;utm_medium=email&amp;_hsenc=p2ANqtz-_R18L5stUf88C5XoHfIDk5KsSN4ockMAcVM3U4OjVdGlxPnu-AgJYLOsHz0lbzvP_SI2lK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</si>
  <si>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PuTcP5XulZRlKjShEiF3SNHKZv1aHaRDAy7x4WxQRVXxEpooHL3vg-uD6aZcjzy3vGSpc&amp;_hsmi=87085363&amp;utm_content=87085363&amp;utm_source=hs_email&amp;hsCtaTracking=6fedf137-fd90-4f17-bfb4-d61f710ec7f8%7Cf2771843-6636-4969-9010-2d8d0389b89c</t>
  </si>
  <si>
    <t>1115@muntanerelectro.com</t>
  </si>
  <si>
    <t>https://resources.simonelectric.com/simon-catalogo-vehiculo-electrico?utm_campaign=SIC%20-%20Veh%C3%ADculo%20El%C3%A9ctrico&amp;utm_medium=email&amp;_hsenc=p2ANqtz-8xk5qzuCoh_hnabwUoETCU9r9h3j0iXTnpz2lwrYZKHvG-xJplbRVzBapqFTkSbV5ZfahL&amp;_hsmi=87085363&amp;utm_content=87085363&amp;utm_source=hs_email&amp;hsCtaTracking=6fedf137-fd90-4f17-bfb4-d61f710ec7f8%7Cf2771843-6636-4969-9010-2d8d0389b89c</t>
  </si>
  <si>
    <t>1116@suelba.com</t>
  </si>
  <si>
    <t>https://resources.simonelectric.com/simon-catalogo-vehiculo-electrico?utm_campaign=SIC%20-%20Veh%C3%ADculo%20El%C3%A9ctrico&amp;utm_medium=email&amp;_hsenc=p2ANqtz-_44L7TyX3EqYTx-iCBSe9K4rtGkQMAl1yA49tn0098I8BPbSprm8hF_LG3lVc2MIWs7Xd9&amp;_hsmi=87085363&amp;utm_content=87085363&amp;utm_source=hs_email&amp;hsCtaTracking=6fedf137-fd90-4f17-bfb4-d61f710ec7f8%7Cf2771843-6636-4969-9010-2d8d0389b89c</t>
  </si>
  <si>
    <t>1117@hotmail.com</t>
  </si>
  <si>
    <t>https://resources.simonelectric.com/simon-catalogo-vehiculo-electrico?utm_campaign=SIC%20-%20Veh%C3%ADculo%20El%C3%A9ctrico&amp;utm_medium=email&amp;_hsenc=p2ANqtz-_Cd5kg25kX6srT059MqcAsUOzlDKbZOSTKyhs3Z6T8-mhm3ptKAnP2Ix828azr0fGHcy2A&amp;_hsmi=87085363&amp;utm_content=87085363&amp;utm_source=hs_email&amp;hsCtaTracking=6fedf137-fd90-4f17-bfb4-d61f710ec7f8%7Cf2771843-6636-4969-9010-2d8d0389b89c</t>
  </si>
  <si>
    <t>1118@coitiar.es</t>
  </si>
  <si>
    <t>1119@gmail.com</t>
  </si>
  <si>
    <t>https://resources.simonelectric.com/simon-catalogo-vehiculo-electrico?utm_campaign=SIC%20-%20Veh%C3%ADculo%20El%C3%A9ctrico&amp;utm_medium=email&amp;_hsenc=p2ANqtz-9H3lu3eDQPRggr9N13IoRbBYB-hEDB6ct7EEjGi432rqVWLuZab06bIlFZ7AKI4e8oIOff&amp;_hsmi=87085302&amp;utm_content=87085302&amp;utm_source=hs_email&amp;hsCtaTracking=6fedf137-fd90-4f17-bfb4-d61f710ec7f8%7Cf2771843-6636-4969-9010-2d8d0389b89c</t>
  </si>
  <si>
    <t>1120@sonepar.es</t>
  </si>
  <si>
    <t>https://resources.simonelectric.com/simon-catalogo-vehiculo-electrico?utm_campaign=SIC%20-%20Veh%C3%ADculo%20El%C3%A9ctrico&amp;utm_medium=email&amp;_hsenc=p2ANqtz--r5nePwDKmb64wzrHtoyE8dhumsfqUiLsJ-siUCwN_0ROYgSaHuUEL3S9vjOi6HCIlzyRm&amp;_hsmi=87085363&amp;utm_content=87085363&amp;utm_source=hs_email&amp;hsCtaTracking=6fedf137-fd90-4f17-bfb4-d61f710ec7f8%7Cf2771843-6636-4969-9010-2d8d0389b89c</t>
  </si>
  <si>
    <t>1121@gmail.com</t>
  </si>
  <si>
    <t>https://resources.simonelectric.com/simon-catalogo-vehiculo-electrico?utm_campaign=SIC%20-%20Veh%C3%ADculo%20El%C3%A9ctrico&amp;utm_medium=email&amp;_hsenc=p2ANqtz-9-BAfhqBac1g6e-wTKA2JW30qQlV7xWW80OcnHngtxHejdzanZh0xp79eJODqYHFc-93Bd&amp;_hsmi=87085363&amp;utm_content=87085363&amp;utm_source=hs_email&amp;hsCtaTracking=6fedf137-fd90-4f17-bfb4-d61f710ec7f8%7Cf2771843-6636-4969-9010-2d8d0389b89c</t>
  </si>
  <si>
    <t>1122@hotmail.es</t>
  </si>
  <si>
    <t>https://resources.simonelectric.com/simon-catalogo-vehiculo-electrico?utm_campaign=SIC%20-%20Veh%C3%ADculo%20El%C3%A9ctrico&amp;utm_medium=email&amp;_hsenc=p2ANqtz-9jr2hHQpi7lYY-BrizFcl-CyTjTdzBv4xWvyYZrJ0yqbiTq4KXb0y_KGNKXcYQNRbN8J0S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</si>
  <si>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UD3WegEebIOFAxGfmWiPlSk0yVDCMjXleX4fCIy5ckJ2OPErIS_5KiiT8l6yn48RTXR_d&amp;_hsmi=87085363&amp;utm_content=87085363&amp;utm_source=hs_email&amp;hsCtaTracking=6fedf137-fd90-4f17-bfb4-d61f710ec7f8%7Cf2771843-6636-4969-9010-2d8d0389b89c</t>
  </si>
  <si>
    <t>https://resources.simonelectric.com/simon-ebook-vehiculo-electrico-0?gclid=Cj0KCQjw7qn1BRDqARIsAKMbHDaqrqBU57pXH8XPBkqM1Yb3lJ67kcuI5XAdNkiaVAw-Vjyjx9Xe6b8aAii8EALw_wcB</t>
  </si>
  <si>
    <t>1123@gmail.com</t>
  </si>
  <si>
    <t>https://resources.simonelectric.com/simon-catalogo-vehiculo-electrico?utm_campaign=SIC%20-%20Veh%C3%ADculo%20El%C3%A9ctrico&amp;utm_medium=email&amp;_hsenc=p2ANqtz--UZ_Mj46whvdYApFKS5FTkZpUjWpri-aLY7DttUJOnnSZEMc_5gQkjpeWh1cFXEpLSn6MU&amp;_hsmi=87085363&amp;utm_content=87085363&amp;utm_source=hs_email&amp;hsCtaTracking=6fedf137-fd90-4f17-bfb4-d61f710ec7f8%7Cf2771843-6636-4969-9010-2d8d0389b89c</t>
  </si>
  <si>
    <t>1124@energonrenovables.es</t>
  </si>
  <si>
    <t>https://resources.simonelectric.com/simon-catalogo-vehiculo-electrico?utm_campaign=SIC%20-%20Veh%C3%ADculo%20El%C3%A9ctrico&amp;utm_medium=email&amp;_hsenc=p2ANqtz-9lk9gCtgNT-KpkxVQD99LyCmr8D-SNT8ebh2PMKLe0q6R22YOU2EhOKuZwGKL-ax60Zvr5&amp;_hsmi=87085363&amp;utm_content=87085363&amp;utm_source=hs_email&amp;hsCtaTracking=6fedf137-fd90-4f17-bfb4-d61f710ec7f8%7Cf2771843-6636-4969-9010-2d8d0389b89c</t>
  </si>
  <si>
    <t>1125@rocaingenieros.com</t>
  </si>
  <si>
    <t>https://resources.simonelectric.com/simon-catalogo-vehiculo-electrico?utm_campaign=SIC%20-%20Veh%C3%ADculo%20El%C3%A9ctrico&amp;utm_medium=email&amp;_hsenc=p2ANqtz-9miqr7B_Kxml_ThWDElp3QEL-xtJRp0rI0p0jzX-i9cTDf3ycQBnpAl2hJFHbgUyQz3a8F&amp;_hsmi=87085363&amp;utm_content=87085363&amp;utm_source=hs_email&amp;hsCtaTracking=6fedf137-fd90-4f17-bfb4-d61f710ec7f8%7Cf2771843-6636-4969-9010-2d8d0389b89c</t>
  </si>
  <si>
    <t>1126@viveme.es</t>
  </si>
  <si>
    <t>https://resources.simonelectric.com/simon-catalogo-vehiculo-electrico?utm_campaign=SIC%20-%20Veh%C3%ADculo%20El%C3%A9ctrico&amp;utm_medium=email&amp;_hsenc=p2ANqtz--5nhTzihgRyy9yNd781sdAJUrt5yTVYT0cCwP1xGIIuEdD_IdpWSQDxfVlo6LHFOxiwK2t&amp;_hsmi=87085363&amp;utm_content=87085363&amp;utm_source=hs_email&amp;hsCtaTracking=6fedf137-fd90-4f17-bfb4-d61f710ec7f8%7Cf2771843-6636-4969-9010-2d8d0389b89c</t>
  </si>
  <si>
    <t>1127@telefonica.net</t>
  </si>
  <si>
    <t>https://resources.simonelectric.com/simon-catalogo-vehiculo-electrico?utm_campaign=SIC%20-%20Veh%C3%ADculo%20El%C3%A9ctrico&amp;utm_medium=email&amp;_hsenc=p2ANqtz--qA4trfTNrEXLm1YzCB1k5pnuWgaFTeZDF8XxBSM3lkmS8B7sR5CkhhVMArNO2DT6DXrFx&amp;_hsmi=87085302&amp;utm_content=87085302&amp;utm_source=hs_email&amp;hsCtaTracking=6fedf137-fd90-4f17-bfb4-d61f710ec7f8%7Cf2771843-6636-4969-9010-2d8d0389b89c</t>
  </si>
  <si>
    <t>1128@fgingenieria.com</t>
  </si>
  <si>
    <t>https://resources.simonelectric.com/simon-catalogo-vehiculo-electrico?utm_campaign=SIC%20-%20Veh%C3%ADculo%20El%C3%A9ctrico&amp;utm_medium=email&amp;_hsenc=p2ANqtz-_usXXT5fQbB8KtY0woyxMGfppNxxnMg7iLBh1Sfdsm2Bvtztqcg29i40TJjvo0_4z3l50e&amp;_hsmi=87085302&amp;utm_content=87085302&amp;utm_source=hs_email&amp;hsCtaTracking=6fedf137-fd90-4f17-bfb4-d61f710ec7f8%7Cf2771843-6636-4969-9010-2d8d0389b89c</t>
  </si>
  <si>
    <t>1129@eselfri.com</t>
  </si>
  <si>
    <t>https://resources.simonelectric.com/simon-catalogo-vehiculo-electrico?utm_campaign=SIC%20-%20Veh%C3%ADculo%20El%C3%A9ctrico&amp;utm_medium=email&amp;_hsenc=p2ANqtz-9GeNe7SF8VMO0AoOkFU4gBoQm1R8ZOIvbc5jWb3X7GJDz-4F5ULv5jEz6CxuUizUaazMHC&amp;_hsmi=87085302&amp;utm_content=87085302&amp;utm_source=hs_email&amp;hsCtaTracking=6fedf137-fd90-4f17-bfb4-d61f710ec7f8%7Cf2771843-6636-4969-9010-2d8d0389b89c</t>
  </si>
  <si>
    <t>1130@kairsa.com</t>
  </si>
  <si>
    <t>https://resources.simonelectric.com/simon-catalogo-vehiculo-electrico?utm_campaign=SIC%20-%20Veh%C3%ADculo%20El%C3%A9ctrico&amp;utm_medium=email&amp;_hsenc=p2ANqtz-96DP43MICxfQeyctw6anzDGfWjLjNxizkc8Yezg6JSydYmEoNniHXC2s3ohG4wyXZxc3a0&amp;_hsmi=87085363&amp;utm_content=87085363&amp;utm_source=hs_email&amp;hsCtaTracking=6fedf137-fd90-4f17-bfb4-d61f710ec7f8%7Cf2771843-6636-4969-9010-2d8d0389b89c</t>
  </si>
  <si>
    <t>1131@gmail.com</t>
  </si>
  <si>
    <t>https://resources.simonelectric.com/simon-ebook-vehiculo-electrico-0?gclid=Cj0KCQjw7qn1BRDqARIsAKMbHDbz2Xt8QK5qJwG2QaXWl17Ae2cGb2FjKpwmBdjh6CZVPZK_TJCQ_OsaAkocEALw_wcB</t>
  </si>
  <si>
    <t>1132@yahoo.es</t>
  </si>
  <si>
    <t>https://resources.simonelectric.com/simon-catalogo-vehiculo-electrico?utm_campaign=SIC%20-%20Veh%C3%ADculo%20El%C3%A9ctrico&amp;utm_medium=email&amp;_hsenc=p2ANqtz-9Ep_tNp5y3ujzNL1lZxVKGyo9_tRYwJjkKByfsO9k1U3T8IRgRJhlP_4Cg6-DGbWl3bSFE&amp;_hsmi=87085363&amp;utm_content=87085363&amp;utm_source=hs_email&amp;hsCtaTracking=6fedf137-fd90-4f17-bfb4-d61f710ec7f8%7Cf2771843-6636-4969-9010-2d8d0389b89c</t>
  </si>
  <si>
    <t>1133@hotmail.com</t>
  </si>
  <si>
    <t>https://resources.simonelectric.com/simon-catalogo-vehiculo-electrico?utm_campaign=SIC%20-%20Veh%C3%ADculo%20El%C3%A9ctrico&amp;utm_medium=email&amp;_hsenc=p2ANqtz--G6EU53tdEX__q8UX_oCBVC4ixykD4qzZx1LsnCPgV4_M75kOmjt3ae_euFqZRUyTg3u2d&amp;_hsmi=87085363&amp;utm_content=87085363&amp;utm_source=hs_email&amp;hsCtaTracking=6fedf137-fd90-4f17-bfb4-d61f710ec7f8%7Cf2771843-6636-4969-9010-2d8d0389b89c</t>
  </si>
  <si>
    <t>1134@integratoledo.com</t>
  </si>
  <si>
    <t>https://resources.simonelectric.com/simon-catalogo-vehiculo-electrico?utm_campaign=SIC%20-%20Veh%C3%ADculo%20El%C3%A9ctrico&amp;utm_medium=email&amp;_hsenc=p2ANqtz-9xoeY4m7OZKvGQvAKvuyNwFySb2ppl45dAA16RFGkxl2d2dTp_LeeYm3YdnbJugaMRn1eD&amp;_hsmi=87085302&amp;utm_content=87085302&amp;utm_source=hs_email&amp;hsCtaTracking=6fedf137-fd90-4f17-bfb4-d61f710ec7f8%7Cf2771843-6636-4969-9010-2d8d0389b89c</t>
  </si>
  <si>
    <t>1135@gmail.com</t>
  </si>
  <si>
    <t>https://resources.simonelectric.com/simon-catalogo-vehiculo-electrico?utm_campaign=SIC%20-%20Veh%C3%ADculo%20El%C3%A9ctrico&amp;utm_medium=email&amp;_hsenc=p2ANqtz-8loTsuI03ZgDX4P1zV-AtKbNVLaAlwE2VUVc79AscrMtVeJTQ7hkiH7NWSRvhuwFHZsUkh&amp;_hsmi=87085363&amp;utm_content=87085363&amp;utm_source=hs_email&amp;hsCtaTracking=6fedf137-fd90-4f17-bfb4-d61f710ec7f8%7Cf2771843-6636-4969-9010-2d8d0389b89c</t>
  </si>
  <si>
    <t>1136@metalux.es</t>
  </si>
  <si>
    <t>https://resources.simonelectric.com/simon-catalogo-vehiculo-electrico?utm_campaign=SIC%20-%20Veh%C3%ADculo%20El%C3%A9ctrico&amp;utm_medium=email&amp;_hsenc=p2ANqtz-8rxH1j-_fhwWwzGks51jTVCVFlu1qTlCTx_VrbJaG_4KnwqMS51AEak0gLb98Y14GQeb3vXHXGc5qN6Pzmvz6sIEi7mg&amp;utm_source=hs_email&amp;utm_content=87085363&amp;hsCtaTracking=6fedf137-fd90-4f17-bfb4-d61f710ec7f8%7Cf2771843-6636-4969-9010-2d8d0389b89c</t>
  </si>
  <si>
    <t>1137@eiasein.es</t>
  </si>
  <si>
    <t>https://resources.simonelectric.com/simon-catalogo-vehiculo-electrico?utm_campaign=SIC%20-%20Veh%C3%ADculo%20El%C3%A9ctrico&amp;utm_medium=email&amp;_hsenc=p2ANqtz-865gKGXuES6ZeXa0R09IB8b7iiJoFkG-pOlsAQh1E3tpT4GvGQEx6PWmIJbMqEeDHHXQ56&amp;_hsmi=87085302&amp;utm_content=87085302&amp;utm_source=hs_email&amp;hsCtaTracking=6fedf137-fd90-4f17-bfb4-d61f710ec7f8%7Cf2771843-6636-4969-9010-2d8d0389b89c</t>
  </si>
  <si>
    <t>1138@arquired.es</t>
  </si>
  <si>
    <t>https://resources.simonelectric.com/simon-catalogo-vehiculo-electrico?utm_campaign=SIC%20-%20Veh%C3%ADculo%20El%C3%A9ctrico&amp;utm_medium=email&amp;_hsenc=p2ANqtz-9OG3Fx584qswWa04Samgt7t5SE2zbeupgW9vuQVrPMFo9FuRxOf0FRo7OQnUwCodnZwSTw&amp;_hsmi=87085363&amp;utm_content=87085363&amp;utm_source=hs_email&amp;hsCtaTracking=6fedf137-fd90-4f17-bfb4-d61f710ec7f8%7Cf2771843-6636-4969-9010-2d8d0389b89c</t>
  </si>
  <si>
    <t>1139@gmail.com</t>
  </si>
  <si>
    <t>https://resources.simonelectric.com/simon-catalogo-vehiculo-electrico?utm_campaign=SIC%20-%20Veh%C3%ADculo%20El%C3%A9ctrico&amp;utm_medium=email&amp;_hsenc=p2ANqtz-9nJt8v_35X64ZiOy-53EK1Cce-w05cghlb5nJvyB5g1lcBZ_8McTN9VcbW0iLN5Oq7kRyz&amp;_hsmi=87085363&amp;utm_content=87085363&amp;utm_source=hs_email&amp;hsCtaTracking=6fedf137-fd90-4f17-bfb4-d61f710ec7f8%7Cf2771843-6636-4969-9010-2d8d0389b89c</t>
  </si>
  <si>
    <t>1140@fer.es</t>
  </si>
  <si>
    <t>https://resources.simonelectric.com/simon-catalogo-vehiculo-electrico?utm_campaign=SIC%20-%20Veh%C3%ADculo%20El%C3%A9ctrico&amp;utm_medium=email&amp;_hsenc=p2ANqtz-9zzl8BfPu5KPeScfwTrvTR7IPjzzUePGxPw_AYktn1eD3uO9GxETz1gyvC6VZkRVmw0GHIELN9dgqR6s4W5vYDUCIR-w&amp;utm_source=hs_email&amp;utm_content=87085363&amp;hsCtaTracking=6fedf137-fd90-4f17-bfb4-d61f710ec7f8%7Cf2771843-6636-4969-9010-2d8d0389b89c</t>
  </si>
  <si>
    <t>1141@coitim.es</t>
  </si>
  <si>
    <t>https://resources.simonelectric.com/simon-catalogo-vehiculo-electrico?utm_campaign=SIC%20-%20Veh%C3%ADculo%20El%C3%A9ctrico&amp;utm_medium=email&amp;_hsenc=p2ANqtz-_6LkgW5-dg-_m-EFH9Y6cb6amWRrolaSVWHi_GuJBZns6DxVrJGXOV1e0bJntfKcHh1L2T&amp;_hsmi=87085363&amp;utm_content=87085363&amp;utm_source=hs_email&amp;hsCtaTracking=6fedf137-fd90-4f17-bfb4-d61f710ec7f8%7Cf2771843-6636-4969-9010-2d8d0389b89c</t>
  </si>
  <si>
    <t>1142@asmesl.es</t>
  </si>
  <si>
    <t>https://resources.simonelectric.com/simon-catalogo-vehiculo-electrico?utm_campaign=SIC%20-%20Veh%C3%ADculo%20El%C3%A9ctrico&amp;utm_medium=email&amp;_hsenc=p2ANqtz-_cw_EZ7bbZArHrKWHXpZQ8fKtpyvhRVp-8BrJaSCbPacLiefxET0nBB2ehwQHDXD6BUxGG&amp;_hsmi=87085363&amp;utm_content=87085363&amp;utm_source=hs_email&amp;hsCtaTracking=6fedf137-fd90-4f17-bfb4-d61f710ec7f8%7Cf2771843-6636-4969-9010-2d8d0389b89c</t>
  </si>
  <si>
    <t>1143@gmail.com</t>
  </si>
  <si>
    <t>https://resources.simonelectric.com/simon-catalogo-vehiculo-electrico?utm_campaign=SIC%20-%20Veh%C3%ADculo%20El%C3%A9ctrico&amp;utm_medium=email&amp;_hsenc=p2ANqtz-9l1TEIYcykbplNfLpi_RszoQHy7hsEImG1O-Zhlg5ipWmGJ71DIyYR-juFkHyYxGG-9oNJ&amp;_hsmi=87085302&amp;utm_content=87085302&amp;utm_source=hs_email&amp;hsCtaTracking=6fedf137-fd90-4f17-bfb4-d61f710ec7f8%7Cf2771843-6636-4969-9010-2d8d0389b89c</t>
  </si>
  <si>
    <t>1144@idponline.net</t>
  </si>
  <si>
    <t>https://resources.simonelectric.com/simon-catalogo-vehiculo-electrico?utm_campaign=SIC%20-%20Veh%C3%ADculo%20El%C3%A9ctrico&amp;utm_medium=email&amp;_hsenc=p2ANqtz-9Cpj7toXwd82GcGu24_LPKUlRRt5-CFBI0rJWyhMbBHXSY0PxCanN5Z7j7PDxzHjldyqpn&amp;_hsmi=87085302&amp;utm_content=87085302&amp;utm_source=hs_email&amp;hsCtaTracking=6fedf137-fd90-4f17-bfb4-d61f710ec7f8%7Cf2771843-6636-4969-9010-2d8d0389b89c</t>
  </si>
  <si>
    <t>1145@miretelectricidad.com</t>
  </si>
  <si>
    <t>https://resources.simonelectric.com/simon-ebook-vehiculo-electrico?utm_referrer=https%3A%2F%2Fwww.simonelectric.com%2Fblog%2Fvehiculo-electrico-todo-lo-que-tienes-que-saber-de-movilidad-sostenible%3Futm_campaign%3DSIC%2520-%2520Veh%25C3%25ADculo%2520El%25C3%25A9ctrico%26utm_medium%3Demail%26_hsenc%3Dp2ANqtz--u4SYdHnEdTlIORCunGhLAJxR7crFP8uP1Gq1X5ivbvSx-sRnP2LMUp_TP5K_0WVjObEe2%26_hsmi%3D84245558%26utm_content%3D84245558%26utm_source%3Dhs_automation%26hsCtaTracking%3D142b9333-ac5c-4efa-bb4a-d64b5cd618a7%257C1ecb110e-27d1-495c-b2c8-078959415359</t>
  </si>
  <si>
    <t>1146@hotmail.com</t>
  </si>
  <si>
    <t>https://resources.simonelectric.com/simon-catalogo-vehiculo-electrico?utm_campaign=SIC%20-%20Veh%C3%ADculo%20El%C3%A9ctrico&amp;utm_medium=email&amp;_hsenc=p2ANqtz-__wFeM8hkZybwNXw-YfOmGhdZ1YQFoNHinFENiQ-byl1GmprgosF2m9tTk5v8gNvKg0AJQ&amp;_hsmi=87085363&amp;utm_content=87085363&amp;utm_source=hs_email&amp;hsCtaTracking=6fedf137-fd90-4f17-bfb4-d61f710ec7f8%7Cf2771843-6636-4969-9010-2d8d0389b89c</t>
  </si>
  <si>
    <t>1147@magalux.es</t>
  </si>
  <si>
    <t>https://resources.simonelectric.com/simon-catalogo-vehiculo-electrico?utm_campaign=SIC%20-%20Veh%C3%ADculo%20El%C3%A9ctrico&amp;utm_medium=email&amp;_hsenc=p2ANqtz-9DZtjvb-DpibMGceU7Janp8oDMuRjnQWDWTdue3UxDq6zh2wyCqazFkn0PGrq1vk9_3xEh&amp;_hsmi=87085363&amp;utm_content=87085363&amp;utm_source=hs_email&amp;hsCtaTracking=6fedf137-fd90-4f17-bfb4-d61f710ec7f8%7Cf2771843-6636-4969-9010-2d8d0389b89c</t>
  </si>
  <si>
    <t>1148@dipusevilla.es</t>
  </si>
  <si>
    <t>https://resources.simonelectric.com/simon-catalogo-vehiculo-electrico?utm_campaign=SIC%20-%20Veh%C3%ADculo%20El%C3%A9ctrico&amp;utm_medium=email&amp;_hsenc=p2ANqtz-8Wt62KXf7KSpEQouYUBwWC3m27WwRNc2W_VQOBvNWyPfrFT51Rxv9pWPSIhhRXG46jUbGu&amp;_hsmi=87085363&amp;utm_content=87085363&amp;utm_source=hs_email&amp;hsCtaTracking=6fedf137-fd90-4f17-bfb4-d61f710ec7f8%7Cf2771843-6636-4969-9010-2d8d0389b89c</t>
  </si>
  <si>
    <t>1149@fillsdelluissureda.cat</t>
  </si>
  <si>
    <t>https://resources.simonelectric.com/simon-catalogo-vehiculo-electrico?utm_campaign=SIC%20-%20Veh%C3%ADculo%20El%C3%A9ctrico&amp;utm_medium=email&amp;_hsenc=p2ANqtz-9B4m7w4H6JefDl4fu27GNijext3iDYBb7CJbvf3euPLlpQ5BeZAO0m8cMFIe29HrLpFOSh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</si>
  <si>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A8rKR2bkrf6mIjV5bgYb7mMSa9KwXy5b_EVH42nHX8xlv1-w4qDQovSLxN8j3Z9iRhVgH&amp;_hsmi=87085302&amp;utm_content=87085302&amp;utm_source=hs_email&amp;hsCtaTracking=6fedf137-fd90-4f17-bfb4-d61f710ec7f8%7Cf2771843-6636-4969-9010-2d8d0389b89c</t>
  </si>
  <si>
    <t>1150@gmail.com</t>
  </si>
  <si>
    <t>https://resources.simonelectric.com/simon-catalogo-vehiculo-electrico?utm_campaign=SIC%20-%20Veh%C3%ADculo%20El%C3%A9ctrico&amp;utm_medium=email&amp;_hsenc=p2ANqtz-_DliV75HdF-B3gNKzSyerHXXH7F2rXAg0mFQei0uz5WeqspRSHocOmZo6sXrctkjoENVKd&amp;_hsmi=87085363&amp;utm_content=87085363&amp;utm_source=hs_email&amp;hsCtaTracking=6fedf137-fd90-4f17-bfb4-d61f710ec7f8%7Cf2771843-6636-4969-9010-2d8d0389b89c</t>
  </si>
  <si>
    <t>1151@telefonica.net</t>
  </si>
  <si>
    <t>https://resources.simonelectric.com/simon-catalogo-vehiculo-electrico?utm_campaign=SIC%20-%20Veh%C3%ADculo%20El%C3%A9ctrico&amp;utm_medium=email&amp;_hsenc=p2ANqtz-9zxTmNIStc9e_U41-Asmb-0Ml536FWGE2a2Ciux8t5mHIQEs2rnlkMCWfuFW9_T5_LO7cT&amp;_hsmi=87085302&amp;utm_content=87085302&amp;utm_source=hs_email&amp;hsCtaTracking=6fedf137-fd90-4f17-bfb4-d61f710ec7f8%7Cf2771843-6636-4969-9010-2d8d0389b89c</t>
  </si>
  <si>
    <t>1152@lahidro.net</t>
  </si>
  <si>
    <t>https://resources.simonelectric.com/simon-catalogo-vehiculo-electrico?utm_campaign=SIC%20-%20Veh%C3%ADculo%20El%C3%A9ctrico&amp;utm_medium=email&amp;_hsenc=p2ANqtz-_jTcwoH4zlKUt2Lat8D3RsEdd0Tt4vvZAq6UQABEktbDf9VfcRwgya_x_vJi5nILAIbzOg&amp;_hsmi=87085363&amp;utm_content=87085363&amp;utm_source=hs_email&amp;hsCtaTracking=6fedf137-fd90-4f17-bfb4-d61f710ec7f8%7Cf2771843-6636-4969-9010-2d8d0389b89c</t>
  </si>
  <si>
    <t>1153@hotmail.com</t>
  </si>
  <si>
    <t>https://resources.simonelectric.com/simon-catalogo-vehiculo-electrico?utm_campaign=SIC%20-%20Veh%C3%ADculo%20El%C3%A9ctrico&amp;utm_medium=email&amp;_hsenc=p2ANqtz--AiXbXOECwnmPfiMBgYxr3SEzyBYstDxdx98FI_shbyNRCSX679_zsj4BQcm093BlAyedR&amp;_hsmi=87085363&amp;utm_content=87085363&amp;utm_source=hs_email&amp;hsCtaTracking=6fedf137-fd90-4f17-bfb4-d61f710ec7f8%7Cf2771843-6636-4969-9010-2d8d0389b89c</t>
  </si>
  <si>
    <t>1154@gmail.com</t>
  </si>
  <si>
    <t>https://resources.simonelectric.com/simon-catalogo-vehiculo-electrico?utm_campaign=SIC%20-%20Veh%C3%ADculo%20El%C3%A9ctrico&amp;utm_medium=email&amp;_hsenc=p2ANqtz--iTWpkKEMoCY0W3wQIY8RdTYF0xkkMEj8LXWI35NPxHBvn7xZ8_e2aChybqasyu7hcsvkq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</si>
  <si>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mi=87085363&amp;_hsenc=p2ANqtz-9jwiXXAMcNTQEiV_FC5Gus4q-6Ds8qu7nUlXqhs_oIcn9-CvmADjpP3rzVFYZpFTgiNa8g&amp;utm_content=87085363&amp;utm_source=hs_email</t>
  </si>
  <si>
    <t>1155@mapelsl.com</t>
  </si>
  <si>
    <t>https://resources.simonelectric.com/simon-catalogo-vehiculo-electrico?utm_campaign=SIC%20-%20Veh%C3%ADculo%20El%C3%A9ctrico&amp;utm_medium=email&amp;_hsenc=p2ANqtz-9_L6zU6jbW5hwL0w_t0vtR-a9lV5eRTS4xtYJIocObhFRelzDv1Vkp_eQ6A3uwkG45RuxE&amp;_hsmi=87085363&amp;utm_content=87085363&amp;utm_source=hs_email&amp;hsCtaTracking=6fedf137-fd90-4f17-bfb4-d61f710ec7f8%7Cf2771843-6636-4969-9010-2d8d0389b89c</t>
  </si>
  <si>
    <t>1156@berrilanbim.com</t>
  </si>
  <si>
    <t>https://resources.simonelectric.com/simon-catalogo-vehiculo-electrico?utm_campaign=SIC%20-%20Veh%C3%ADculo%20El%C3%A9ctrico&amp;utm_medium=email&amp;_hsenc=p2ANqtz-9uiXY6bPYrHQf_HUOvl8hU68zb1mjr9lJyQD6FTAblZG-lONnmZIGb9yXVeIPn5irUfkjI&amp;_hsmi=87085302&amp;utm_content=87085302&amp;utm_source=hs_email&amp;hsCtaTracking=6fedf137-fd90-4f17-bfb4-d61f710ec7f8%7Cf2771843-6636-4969-9010-2d8d0389b89c</t>
  </si>
  <si>
    <t>1157@himalayaclimatizacionycontrol.es</t>
  </si>
  <si>
    <t>https://resources.simonelectric.com/simon-catalogo-vehiculo-electrico?utm_campaign=SIC%20-%20Veh%C3%ADculo%20El%C3%A9ctrico&amp;utm_medium=email&amp;_hsenc=p2ANqtz-_qANmUZK8E3O__prpXndRXYOhNB5qJxQKnW2jg0Sl3D-CqqvYtdoC98tZBVF3indKBXBx3&amp;_hsmi=87085363&amp;utm_content=87085363&amp;utm_source=hs_email&amp;hsCtaTracking=6fedf137-fd90-4f17-bfb4-d61f710ec7f8%7Cf2771843-6636-4969-9010-2d8d0389b89c</t>
  </si>
  <si>
    <t>1158@hotmail.com</t>
  </si>
  <si>
    <t>https://resources.simonelectric.com/simon-catalogo-vehiculo-electrico?utm_campaign=SIC%20-%20Veh%C3%ADculo%20El%C3%A9ctrico&amp;utm_medium=email&amp;_hsenc=p2ANqtz-9SGHOrazqRK8X8MAtGZcX12CjTPCaTzBkSPJFmhqvxxM1fqXE04FKZfg5XV9g4VkzRy69s&amp;_hsmi=87085363&amp;utm_content=87085363&amp;utm_source=hs_email&amp;hsCtaTracking=6fedf137-fd90-4f17-bfb4-d61f710ec7f8%7Cf2771843-6636-4969-9010-2d8d0389b89c</t>
  </si>
  <si>
    <t>1159@birtes.com.tr</t>
  </si>
  <si>
    <t>https://resources.simonelectric.com/simon-catalogo-vehiculo-electrico?utm_campaign=SIC%20-%20Veh%C3%ADculo%20El%C3%A9ctrico&amp;utm_medium=email&amp;_hsenc=p2ANqtz-_iMdyvFxd6PJ0cfD7FvZ-NYfeg1J6O75696SkU5pABWt7r71uNdVPH2jQxR-PdjMhZ3B4H&amp;_hsmi=87085363&amp;utm_content=87085363&amp;utm_source=hs_email&amp;hsCtaTracking=6fedf137-fd90-4f17-bfb4-d61f710ec7f8%7Cf2771843-6636-4969-9010-2d8d0389b89c</t>
  </si>
  <si>
    <t>1160@copcisa.com</t>
  </si>
  <si>
    <t>https://resources.simonelectric.com/simon-catalogo-vehiculo-electrico?utm_campaign=SIC%20-%20Veh%C3%ADculo%20El%C3%A9ctrico&amp;utm_medium=email&amp;_hsenc=p2ANqtz-8HVyQ6OKylFOGJ2V4_iRmb4DfeY84gJlTMpJvJOJe7YOCB-gfJ1__Rggmwq-6svmOxIS8C&amp;_hsmi=87085363&amp;utm_content=87085363&amp;utm_source=hs_email&amp;hsCtaTracking=6fedf137-fd90-4f17-bfb4-d61f710ec7f8%7Cf2771843-6636-4969-9010-2d8d0389b89c</t>
  </si>
  <si>
    <t>1161@sygsa.com</t>
  </si>
  <si>
    <t>https://resources.simonelectric.com/simon-catalogo-vehiculo-electrico?utm_campaign=SIC%20-%20Veh%C3%ADculo%20El%C3%A9ctrico&amp;utm_medium=email&amp;_hsenc=p2ANqtz-9VLU6hah6sQ-UYOMQpLWYfR08SL9mcMtPKrW3vm4Qge4hE92jt-llbjVY-nZoAHtwn8RqC&amp;_hsmi=87085363&amp;utm_content=87085363&amp;utm_source=hs_email&amp;hsCtaTracking=6fedf137-fd90-4f17-bfb4-d61f710ec7f8%7Cf2771843-6636-4969-9010-2d8d0389b89c</t>
  </si>
  <si>
    <t>1162@gmail.com</t>
  </si>
  <si>
    <t>https://resources.simonelectric.com/simon-catalogo-vehiculo-electrico?utm_campaign=SIC%20-%20Veh%C3%ADculo%20El%C3%A9ctrico&amp;utm_medium=email&amp;_hsenc=p2ANqtz-8QPfWvvusfo_gp0BwrNWwwcXf89SLXOiFsjCY3JxdKuVZ2OWJGTRIz8lGCx66sKfMxzODN&amp;_hsmi=87085302&amp;utm_content=87085302&amp;utm_source=hs_email&amp;hsCtaTracking=6fedf137-fd90-4f17-bfb4-d61f710ec7f8%7Cf2771843-6636-4969-9010-2d8d0389b89c</t>
  </si>
  <si>
    <t>1163@instalmasa.com</t>
  </si>
  <si>
    <t>https://resources.simonelectric.com/simon-catalogo-vehiculo-electrico?utm_campaign=SIC%20-%20Veh%C3%ADculo%20El%C3%A9ctrico&amp;utm_medium=email&amp;_hsenc=p2ANqtz-_tCqbFUw8eFa_ID_6xqF3jba7B68SNTR7Jl2CUQie05Mpmx8V8vxxSmyLgoXBOKqASZkUy&amp;_hsmi=87085363&amp;utm_content=87085363&amp;utm_source=hs_email&amp;hsCtaTracking=6fedf137-fd90-4f17-bfb4-d61f710ec7f8%7Cf2771843-6636-4969-9010-2d8d0389b89c</t>
  </si>
  <si>
    <t>1164@projecat.com</t>
  </si>
  <si>
    <t>https://resources.simonelectric.com/simon-catalogo-vehiculo-electrico?utm_campaign=SIC%20-%20Veh%C3%ADculo%20El%C3%A9ctrico&amp;utm_medium=email&amp;_hsenc=p2ANqtz-_f_0105BmyF2MHL26Tl1fnkFgJ1WdVDS9V-ZsOxS6FPPi1L8mU4WLVbpgUaGbwkxp5ebVu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</si>
  <si>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SUUmHYFnOf9TH3mbi1sE7pV78aE1RCdr6kgHCzeTgG86IzK7XrQf4w1ZwUhOTIfwy-H0_&amp;_hsmi=87085302&amp;utm_content=87085302&amp;utm_source=hs_email&amp;hsCtaTracking=6fedf137-fd90-4f17-bfb4-d61f710ec7f8%7Cf2771843-6636-4969-9010-2d8d0389b89c</t>
  </si>
  <si>
    <t>1165@gmail.com</t>
  </si>
  <si>
    <t>https://resources.simonelectric.com/simon-catalogo-vehiculo-electrico?utm_campaign=SIC%20-%20Veh%C3%ADculo%20El%C3%A9ctrico&amp;utm_medium=email&amp;_hsenc=p2ANqtz-_v2erVtbWYs-VbBrNFi8puEacl24VgKmm6MbmMlZjmM1XyWE1Z4sHmQu_cE71hry6CXVN7&amp;_hsmi=87085302&amp;utm_content=87085302&amp;utm_source=hs_email&amp;hsCtaTracking=6fedf137-fd90-4f17-bfb4-d61f710ec7f8%7Cf2771843-6636-4969-9010-2d8d0389b89c</t>
  </si>
  <si>
    <t>1166@hotmail.com</t>
  </si>
  <si>
    <t>https://resources.simonelectric.com/simon-catalogo-vehiculo-electrico?utm_campaign=SIC%20-%20Veh%C3%ADculo%20El%C3%A9ctrico&amp;utm_medium=email&amp;_hsenc=p2ANqtz-9Q4_LQvKS5zMZPwQUgId-deJtgG12JemyZlzGEL6a7H6tfUskvnrQVDEgQ9lqoXRsRgtlq&amp;_hsmi=87085302&amp;utm_content=87085302&amp;utm_source=hs_email&amp;hsCtaTracking=6fedf137-fd90-4f17-bfb4-d61f710ec7f8%7Cf2771843-6636-4969-9010-2d8d0389b89c</t>
  </si>
  <si>
    <t>1167@tselsur.es</t>
  </si>
  <si>
    <t>https://resources.simonelectric.com/simon-catalogo-vehiculo-electrico?utm_campaign=SIC%20-%20Veh%C3%ADculo%20El%C3%A9ctrico&amp;utm_medium=email&amp;_hsenc=p2ANqtz--3oF9lJpRMhb8zmQzXJhK04sPhEo1fl_Vtp1zC2dspQMNRvuzmXMxSWFrOMtY_hqF66EmI&amp;_hsmi=87085302&amp;utm_content=87085302&amp;utm_source=hs_email&amp;hsCtaTracking=6fedf137-fd90-4f17-bfb4-d61f710ec7f8%7Cf2771843-6636-4969-9010-2d8d0389b89c</t>
  </si>
  <si>
    <t>1168@renaultpineda.com</t>
  </si>
  <si>
    <t>https://resources.simonelectric.com/simon-catalogo-vehiculo-electrico?utm_campaign=SIC%20-%20Veh%C3%ADculo%20El%C3%A9ctrico&amp;utm_medium=email&amp;_hsenc=p2ANqtz-9ojRaJLzDqEAmdm4PwJKiQjSuIiJEn6WpljLdqVyLfRimlJGNyq33HTmjfpSOWyu0tcspv&amp;_hsmi=87085363&amp;utm_content=87085363&amp;utm_source=hs_email&amp;hsCtaTracking=6fedf137-fd90-4f17-bfb4-d61f710ec7f8%7Cf2771843-6636-4969-9010-2d8d0389b89c</t>
  </si>
  <si>
    <t>1169@gmail.com</t>
  </si>
  <si>
    <t>https://resources.simonelectric.com/simon-catalogo-vehiculo-electrico?utm_campaign=SIC%20-%20Veh%C3%ADculo%20El%C3%A9ctrico&amp;utm_medium=email&amp;_hsenc=p2ANqtz--_n2SZsyOZ6U5GzGZvxwKp1uRul1hvcdaUC38toDmVxXrxysUnR7JRaJaageQt8PV3or_K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</si>
  <si>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e7cyrXCGDi1VsrzF0UWL4kGgQsvr0Eet9vji9-EkhFo2ooyPwYc1Yqn7X7Rt-fAHoI0Gk&amp;_hsmi=87085363&amp;utm_content=87085363&amp;utm_source=hs_email&amp;hsCtaTracking=6fedf137-fd90-4f17-bfb4-d61f710ec7f8%7Cf2771843-6636-4969-9010-2d8d0389b89c</t>
  </si>
  <si>
    <t>1170@lahidro.net</t>
  </si>
  <si>
    <t>https://resources.simonelectric.com/simon-catalogo-vehiculo-electrico?utm_campaign=SIC%20-%20Veh%C3%ADculo%20El%C3%A9ctrico&amp;utm_medium=email&amp;_hsenc=p2ANqtz--13WpS3DfdZ9PtfxVOSXt8w5_MD7h6phKy1zXqK8UmXW6pqwv1_lGvHu9THA8FzpJZbUBz&amp;_hsmi=87085363&amp;utm_content=87085363&amp;utm_source=hs_email&amp;hsCtaTracking=6fedf137-fd90-4f17-bfb4-d61f710ec7f8%7Cf2771843-6636-4969-9010-2d8d0389b89c</t>
  </si>
  <si>
    <t>1171@albaida.es</t>
  </si>
  <si>
    <t>https://resources.simonelectric.com/simon-catalogo-vehiculo-electrico?utm_campaign=SIC%20-%20Veh%C3%ADculo%20El%C3%A9ctrico&amp;utm_medium=email&amp;_hsenc=p2ANqtz--Z50RHCYdJ-fSosf4DO6OujnAKIpmABsAvjc9a8nq-UB34YNoHD45Gw9kUjlpRaMETVyjL&amp;_hsmi=87085363&amp;utm_content=87085363&amp;utm_source=hs_email&amp;hsCtaTracking=6fedf137-fd90-4f17-bfb4-d61f710ec7f8%7Cf2771843-6636-4969-9010-2d8d0389b89c</t>
  </si>
  <si>
    <t>1172@sunkatel.com</t>
  </si>
  <si>
    <t>https://resources.simonelectric.com/simon-catalogo-vehiculo-electrico?utm_campaign=SIC%20-%20Veh%C3%ADculo%20El%C3%A9ctrico&amp;utm_medium=email&amp;_hsenc=p2ANqtz-_m1eYC0jH_mMcarcaf3QpK_Y7kqGKNG21AeY6X8x2ddb5cGK-CLM8nxxWn6vnsXgZTOVo4&amp;_hsmi=87085363&amp;utm_content=87085363&amp;utm_source=hs_email&amp;hsCtaTracking=6fedf137-fd90-4f17-bfb4-d61f710ec7f8%7Cf2771843-6636-4969-9010-2d8d0389b89c</t>
  </si>
  <si>
    <t>1173@vifrisan.com</t>
  </si>
  <si>
    <t>https://resources.simonelectric.com/simon-catalogo-vehiculo-electrico?utm_campaign=SIC%20-%20Veh%C3%ADculo%20El%C3%A9ctrico&amp;utm_medium=email&amp;_hsenc=p2ANqtz--wFR_qY-y7EHXGS3RyGR3866_lbe_3c5cs9LWeBQpvI079-umj302FQbFuTNvH6rOHA-mk&amp;_hsmi=87085302&amp;utm_content=87085302&amp;utm_source=hs_email&amp;hsCtaTracking=6fedf137-fd90-4f17-bfb4-d61f710ec7f8%7Cf2771843-6636-4969-9010-2d8d0389b89c</t>
  </si>
  <si>
    <t>1174@alem.es</t>
  </si>
  <si>
    <t>https://resources.simonelectric.com/simon-catalogo-vehiculo-electrico?utm_campaign=SIC%20-%20Veh%C3%ADculo%20El%C3%A9ctrico&amp;utm_medium=email&amp;_hsenc=p2ANqtz-9D09_FIKcrgULNJER7CkCNLyDtLkKMi7YiB5z8zdBViuq0ns3SV17zTu_DKxNdKDMyFeeZ&amp;_hsmi=87085302&amp;utm_content=87085302&amp;utm_source=hs_email&amp;hsCtaTracking=6fedf137-fd90-4f17-bfb4-d61f710ec7f8%7Cf2771843-6636-4969-9010-2d8d0389b89c</t>
  </si>
  <si>
    <t>1175@gmail.com</t>
  </si>
  <si>
    <t>https://resources.simonelectric.com/simon-catalogo-vehiculo-electrico?utm_campaign=SIC%20-%20Veh%C3%ADculo%20El%C3%A9ctrico&amp;utm_medium=email&amp;_hsenc=p2ANqtz-8WaGEzSP3UEtp1bxPqUvnz8LUG6hJF779cNpDmH-EzVy64mZbD9fBtNTKXLJh57ZQlf1HU&amp;_hsmi=87085363&amp;utm_content=87085363&amp;utm_source=hs_email&amp;hsCtaTracking=6fedf137-fd90-4f17-bfb4-d61f710ec7f8%7Cf2771843-6636-4969-9010-2d8d0389b89c</t>
  </si>
  <si>
    <t>1176@gmail.com</t>
  </si>
  <si>
    <t>https://resources.simonelectric.com/simon-catalogo-vehiculo-electrico?utm_campaign=SIC%20-%20Veh%C3%ADculo%20El%C3%A9ctrico&amp;utm_medium=email&amp;_hsenc=p2ANqtz-8CjEhxgj39NHT3uV5oQhBllorej_V5luf9pFKlw18H8N4ducsgNvjQJfSC-jbcsg2M-teW&amp;_hsmi=87085302&amp;utm_content=87085302&amp;utm_source=hs_email&amp;hsCtaTracking=6fedf137-fd90-4f17-bfb4-d61f710ec7f8%7Cf2771843-6636-4969-9010-2d8d0389b89c</t>
  </si>
  <si>
    <t>1177@imte.cat</t>
  </si>
  <si>
    <t>https://resources.simonelectric.com/simon-catalogo-vehiculo-electrico?utm_campaign=SIC%20-%20Veh%C3%ADculo%20El%C3%A9ctrico&amp;utm_medium=email&amp;_hsenc=p2ANqtz-8IeVHRnfp0mtioqPxV1lRLM4SMa9JEbB1xiiAU9bQKVLoXaeXhzmzGL-s6Zvl3-3iVwQIt&amp;_hsmi=87085302&amp;utm_content=87085302&amp;utm_source=hs_email&amp;hsCtaTracking=6fedf137-fd90-4f17-bfb4-d61f710ec7f8%7Cf2771843-6636-4969-9010-2d8d0389b89c</t>
  </si>
  <si>
    <t>1178@hotmail.com</t>
  </si>
  <si>
    <t>https://resources.simonelectric.com/simon-catalogo-vehiculo-electrico?utm_campaign=SIC%20-%20Veh%C3%ADculo%20El%C3%A9ctrico&amp;utm_medium=email&amp;_hsenc=p2ANqtz--9A702z_TfeGoTQFHczpqZfL16Is6ztcgScejy4Cclh-licjZcReQ_id74FUboNdYZdouJ&amp;_hsmi=87085363&amp;utm_content=87085363&amp;utm_source=hs_email&amp;hsCtaTracking=6fedf137-fd90-4f17-bfb4-d61f710ec7f8%7Cf2771843-6636-4969-9010-2d8d0389b89c</t>
  </si>
  <si>
    <t>1179@hotmail.com</t>
  </si>
  <si>
    <t>https://resources.simonelectric.com/simon-catalogo-vehiculo-electrico?utm_campaign=SIC%20-%20Veh%C3%ADculo%20El%C3%A9ctrico&amp;utm_medium=email&amp;_hsenc=p2ANqtz-_L7mX-rOOXbd5m01NwfovZI_hDy_7xUxSgUS6qW55MZfIRV2jWnK-iTuc8OS8BLfhM29P0&amp;_hsmi=87085363&amp;utm_content=87085363&amp;utm_source=hs_email&amp;hsCtaTracking=6fedf137-fd90-4f17-bfb4-d61f710ec7f8%7Cf2771843-6636-4969-9010-2d8d0389b89c</t>
  </si>
  <si>
    <t>1180@sonepar.es</t>
  </si>
  <si>
    <t>https://resources.simonelectric.com/simon-catalogo-vehiculo-electrico?utm_campaign=SIC%20-%20Veh%C3%ADculo%20El%C3%A9ctrico&amp;utm_medium=email&amp;_hsenc=p2ANqtz-9AAU4cLJaKjfzEI-fqc4vWDX-y1R9Uadrm8nVp2aXM4q0aWV2U7C6BaP0zudZr3ysauQ5-&amp;_hsmi=87085363&amp;utm_content=87085363&amp;utm_source=hs_email&amp;hsCtaTracking=6fedf137-fd90-4f17-bfb4-d61f710ec7f8%7Cf2771843-6636-4969-9010-2d8d0389b89c</t>
  </si>
  <si>
    <t>1181@mapfre.com</t>
  </si>
  <si>
    <t>https://resources.simonelectric.com/simon-catalogo-vehiculo-electrico?utm_campaign=SIC%20-%20Veh%C3%ADculo%20El%C3%A9ctrico&amp;utm_medium=email&amp;_hsenc=p2ANqtz--yjmORvOjSBjVKpm1Jq8Xu2Q2r1VYwJTyVEA4CYHCMwFLqpUJsCSD8QGInnIvi8XgfiEGn&amp;_hsmi=87085363&amp;utm_content=87085363&amp;utm_source=hs_email&amp;hsCtaTracking=6fedf137-fd90-4f17-bfb4-d61f710ec7f8%7Cf2771843-6636-4969-9010-2d8d0389b89c</t>
  </si>
  <si>
    <t>1182@damm.es</t>
  </si>
  <si>
    <t>https://resources.simonelectric.com/simon-catalogo-vehiculo-electrico?utm_campaign=SIC%20-%20Veh%C3%ADculo%20El%C3%A9ctrico&amp;utm_medium=email&amp;_hsenc=p2ANqtz-98a1k7cDm-UJNz5aQjcfFfNpe6g-4yOI83RisypTSmlYv63f2a8nUB3wefmhGT7JZyBESY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</si>
  <si>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Rn6H2ZHaph1DvfOf9aZPp16b_VgXJ7DLZhNX3mHclayOzMkr9LE4Xt87_pN5PJc-g2yIL&amp;_hsmi=87085302&amp;utm_content=87085302&amp;utm_source=hs_email&amp;hsCtaTracking=6fedf137-fd90-4f17-bfb4-d61f710ec7f8%7Cf2771843-6636-4969-9010-2d8d0389b89c</t>
  </si>
  <si>
    <t>1183@ddisl.com</t>
  </si>
  <si>
    <t>https://resources.simonelectric.com/simon-catalogo-vehiculo-electrico?utm_campaign=SIC%20-%20Veh%C3%ADculo%20El%C3%A9ctrico&amp;utm_medium=email&amp;_hsmi=87085302&amp;_hsenc=p2ANqtz-9aE16cCoPV-ybHB6Xf3Qv0dn3Q_t5uyzxOKROXdwwptK-7dGMjU5rrdFyENc9NbeYn7Z4H&amp;utm_content=87085302&amp;utm_source=hs_email</t>
  </si>
  <si>
    <t>1184@tecmotica.net</t>
  </si>
  <si>
    <t>https://resources.simonelectric.com/simon-catalogo-vehiculo-electrico?utm_campaign=SIC%20-%20Veh%C3%ADculo%20El%C3%A9ctrico&amp;utm_medium=email&amp;_hsenc=p2ANqtz--Y2GcIwmKsOlFPN0rPIftdMwhCHnlfAJNcRkJVg27-epMK4IHYbvkoHlCWKjSl3ZzihKMy&amp;_hsmi=87085363&amp;utm_content=87085363&amp;utm_source=hs_email&amp;hsCtaTracking=6fedf137-fd90-4f17-bfb4-d61f710ec7f8%7Cf2771843-6636-4969-9010-2d8d0389b89c</t>
  </si>
  <si>
    <t>1185@lmretavi.es</t>
  </si>
  <si>
    <t>https://resources.simonelectric.com/simon-catalogo-vehiculo-electrico?utm_campaign=SIC%20-%20Veh%C3%ADculo%20El%C3%A9ctrico&amp;utm_medium=email&amp;_hsenc=p2ANqtz-_SXEewpyAAzqqAPG0s9VbAB8csTSrwpmgfvm6e54xgPi-RlIzmfMbQXOgTWZFQt8g5BurB&amp;_hsmi=87085302&amp;utm_content=87085302&amp;utm_source=hs_email&amp;hsCtaTracking=6fedf137-fd90-4f17-bfb4-d61f710ec7f8%7Cf2771843-6636-4969-9010-2d8d0389b89c</t>
  </si>
  <si>
    <t>1186@gmail.com</t>
  </si>
  <si>
    <t>https://resources.simonelectric.com/simon-catalogo-vehiculo-electrico?utm_campaign=SIC%20-%20Veh%C3%ADculo%20El%C3%A9ctrico&amp;utm_medium=email&amp;_hsenc=p2ANqtz-8SxEXbVpNOWlEk-SXlJLdOjDwBwG4fmsuAeTJCRwRU7DO8v1g5Chhuzym0qjnLdwdKFUsP&amp;_hsmi=87085302&amp;utm_content=87085302&amp;utm_source=hs_email&amp;hsCtaTracking=6fedf137-fd90-4f17-bfb4-d61f710ec7f8%7Cf2771843-6636-4969-9010-2d8d0389b89c</t>
  </si>
  <si>
    <t>1187@gmail.com</t>
  </si>
  <si>
    <t>https://resources.simonelectric.com/simon-catalogo-vehiculo-electrico?utm_campaign=SIC%20-%20Veh%C3%ADculo%20El%C3%A9ctrico&amp;utm_medium=email&amp;_hsenc=p2ANqtz--oiP4qEf9mkRTUKlxQZW-CyUau7YQ7OndP56Hs8OHSGt-npNJSHslPNYOdsDFzIvM6A9cP&amp;_hsmi=87085363&amp;utm_content=87085363&amp;utm_source=hs_email&amp;hsCtaTracking=6fedf137-fd90-4f17-bfb4-d61f710ec7f8%7Cf2771843-6636-4969-9010-2d8d0389b89c</t>
  </si>
  <si>
    <t>1188@gmail.com</t>
  </si>
  <si>
    <t>https://resources.simonelectric.com/simon-catalogo-vehiculo-electrico?utm_campaign=SIC%20-%20Veh%C3%ADculo%20El%C3%A9ctrico&amp;utm_medium=email&amp;_hsenc=p2ANqtz-80oF0bIKTz3uXRhpOOxGXS5-2ztvTdqEQ1FQg4F6IzRwRQlOZkO-EmW3qdvwnSXtHdWjx5&amp;_hsmi=87085363&amp;utm_content=87085363&amp;utm_source=hs_email&amp;hsCtaTracking=6fedf137-fd90-4f17-bfb4-d61f710ec7f8%7Cf2771843-6636-4969-9010-2d8d0389b89c</t>
  </si>
  <si>
    <t>1189@gmail.com</t>
  </si>
  <si>
    <t>https://resources.simonelectric.com/simon-catalogo-vehiculo-electrico?utm_campaign=SIC%20-%20Veh%C3%ADculo%20El%C3%A9ctrico&amp;utm_medium=email&amp;_hsenc=p2ANqtz-9AQ-sSbmTo3Ui0SswM_pZDUVcsYwWlDVvtPzjnlq5ZwA3x1EtKyS4AW_P01-r2TIIzPC3m&amp;_hsmi=87085363&amp;utm_content=87085363&amp;utm_source=hs_email&amp;hsCtaTracking=6fedf137-fd90-4f17-bfb4-d61f710ec7f8%7Cf2771843-6636-4969-9010-2d8d0389b89c</t>
  </si>
  <si>
    <t>1190@telecable.es</t>
  </si>
  <si>
    <t>https://resources.simonelectric.com/simon-catalogo-vehiculo-electrico?utm_campaign=SIC%20-%20Veh%C3%ADculo%20El%C3%A9ctrico&amp;utm_medium=email&amp;_hsenc=p2ANqtz--tBvAGrwZ3gXkxezKMv48ufe4DY5Me4DSfbxHRihuwz-uZ57dizE2dtgMS24Cfu_2xkKrz&amp;_hsmi=87085363&amp;utm_content=87085363&amp;utm_source=hs_email&amp;hsCtaTracking=6fedf137-fd90-4f17-bfb4-d61f710ec7f8%7Cf2771843-6636-4969-9010-2d8d0389b89c</t>
  </si>
  <si>
    <t>1191@tinet.fut.es</t>
  </si>
  <si>
    <t>1192@toyota-canarias.es</t>
  </si>
  <si>
    <t>1193@grupoelectrostocks.com</t>
  </si>
  <si>
    <t>https://resources.simonelectric.com/simon-catalogo-vehiculo-electrico?utm_campaign=SIC%20-%20Veh%C3%ADculo%20El%C3%A9ctrico&amp;utm_medium=email&amp;_hsenc=p2ANqtz--W7CgAw9PFP27kornT2FfCIWgwuZKMBc33GkElXYtzey-fCDkXWLFe-SVJJhV7sP3d6_uZ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</si>
  <si>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WmIf_0ItgnhDY-oq73yk3iqZnM23BmvWlkq064xD5fbq6k2dxaC8mC8MOhrcHHp-5NDl3&amp;_hsmi=87085363&amp;utm_content=87085363&amp;utm_source=hs_email&amp;hsCtaTracking=6fedf137-fd90-4f17-bfb4-d61f710ec7f8%7Cf2771843-6636-4969-9010-2d8d0389b89c</t>
  </si>
  <si>
    <t>1194@hotmail.com</t>
  </si>
  <si>
    <t>https://resources.simonelectric.com/simon-catalogo-vehiculo-electrico?utm_campaign=SIC%20-%20Veh%C3%ADculo%20El%C3%A9ctrico&amp;utm_medium=email&amp;_hsenc=p2ANqtz-9RsnbbVeESRj5df-MgvJLhpT4e2NKZqZLr33Hrl3Npdv2mJuGC830lxZY_M1KOFUmIg5FU&amp;_hsmi=87085363&amp;utm_content=87085363&amp;utm_source=hs_email&amp;hsCtaTracking=6fedf137-fd90-4f17-bfb4-d61f710ec7f8%7Cf2771843-6636-4969-9010-2d8d0389b89c</t>
  </si>
  <si>
    <t>1195@gmail.com</t>
  </si>
  <si>
    <t>https://resources.simonelectric.com/simon-catalogo-vehiculo-electrico?utm_campaign=SIC%20-%20Veh%C3%ADculo%20El%C3%A9ctrico&amp;utm_medium=email&amp;_hsenc=p2ANqtz-_NB47qRSA3lYwA7tQq_t_czjo9-pwernti7EBMeJkx9SgmTPjt_Jcn8KhDwFLBrDb1Owmt&amp;_hsmi=87085363&amp;utm_content=87085363&amp;utm_source=hs_email&amp;hsCtaTracking=6fedf137-fd90-4f17-bfb4-d61f710ec7f8%7Cf2771843-6636-4969-9010-2d8d0389b89c</t>
  </si>
  <si>
    <t>1196@hotmail.com</t>
  </si>
  <si>
    <t>https://resources.simonelectric.com/simon-catalogo-vehiculo-electrico?utm_campaign=SIC%20-%20Veh%C3%ADculo%20El%C3%A9ctrico&amp;utm_medium=email&amp;_hsenc=p2ANqtz-94pu2C_2XCrjFipjxaJW33fl9jwLhNNXwgEa-sA2kgMXKoJT8wdFLlbAVByEqvihHcaTEY&amp;_hsmi=87085302&amp;utm_content=87085302&amp;utm_source=hs_email&amp;hsCtaTracking=6fedf137-fd90-4f17-bfb4-d61f710ec7f8%7Cf2771843-6636-4969-9010-2d8d0389b89c</t>
  </si>
  <si>
    <t>1197@electricidadcelec.com</t>
  </si>
  <si>
    <t>https://resources.simonelectric.com/simon-catalogo-vehiculo-electrico?utm_campaign=SIC%20-%20Veh%C3%ADculo%20El%C3%A9ctrico&amp;utm_medium=email&amp;_hsenc=p2ANqtz--s5LTX66Sf3udAoTSBhD_0h4e2gSOpHrv74s5rVCjbdRXu2Pbwt5x_V9C9FZi3MFZwBrF5&amp;_hsmi=87085302&amp;utm_content=87085302&amp;utm_source=hs_email&amp;hsCtaTracking=6fedf137-fd90-4f17-bfb4-d61f710ec7f8%7Cf2771843-6636-4969-9010-2d8d0389b89c</t>
  </si>
  <si>
    <t>1198@hotmail.com</t>
  </si>
  <si>
    <t>https://resources.simonelectric.com/simon-catalogo-vehiculo-electrico?utm_campaign=SIC%20-%20Veh%C3%ADculo%20El%C3%A9ctrico&amp;utm_medium=email&amp;_hsenc=p2ANqtz-9rSY0kn_y8Jt_xG3cOVAUBRXhvhvyQnO3AP89v_yxpU2zOccrEgHfTHQWTtbmklq-B2Sfx&amp;_hsmi=87085363&amp;utm_content=87085363&amp;utm_source=hs_email&amp;hsCtaTracking=6fedf137-fd90-4f17-bfb4-d61f710ec7f8%7Cf2771843-6636-4969-9010-2d8d0389b89c</t>
  </si>
  <si>
    <t>1199@qwerty.es</t>
  </si>
  <si>
    <t>https://resources.simonelectric.com/simon-catalogo-vehiculo-electrico?utm_campaign=SIC%20-%20Veh%C3%ADculo%20El%C3%A9ctrico&amp;utm_medium=email&amp;_hsenc=p2ANqtz-_ZwkjU8tRd5PvghWKKCZppnHXXEMUpY2aaBfpxiazKXVWofkzMw2MkUGxLGkZqZtHNDv-l&amp;_hsmi=87085363&amp;utm_content=87085363&amp;utm_source=hs_email&amp;hsCtaTracking=6fedf137-fd90-4f17-bfb4-d61f710ec7f8%7Cf2771843-6636-4969-9010-2d8d0389b89c</t>
  </si>
  <si>
    <t>1200@gg.com</t>
  </si>
  <si>
    <t>https://resources.simonelectric.com/simon-catalogo-vehiculo-electrico?utm_campaign=SIC%20-%20Veh%C3%ADculo%20El%C3%A9ctrico&amp;utm_medium=email&amp;_hsenc=p2ANqtz-9WLKplhlg9BF7nkkjmmvZg3Z_jOC2ud_R41olziIYLEKdJe870WPqg6XrKXnSzpDoegAOm&amp;_hsmi=87085363&amp;utm_content=87085363&amp;utm_source=hs_email&amp;hsCtaTracking=6fedf137-fd90-4f17-bfb4-d61f710ec7f8%7Cf2771843-6636-4969-9010-2d8d0389b89c</t>
  </si>
  <si>
    <t>1201@yahoo.es</t>
  </si>
  <si>
    <t>https://resources.simonelectric.com/simon-catalogo-vehiculo-electrico?utm_campaign=SIC%20-%20Veh%C3%ADculo%20El%C3%A9ctrico&amp;utm_medium=email&amp;_hsenc=p2ANqtz-9GOL88RC-0iWv-oGdbnRetOGqYzCgLUv76uUBCicBVT-LUpJc4abffxCKiH-LcJVsKwq2y&amp;_hsmi=87085363&amp;utm_content=87085363&amp;utm_source=hs_email&amp;hsCtaTracking=6fedf137-fd90-4f17-bfb4-d61f710ec7f8%7Cf2771843-6636-4969-9010-2d8d0389b89c</t>
  </si>
  <si>
    <t>1202@gmail.com</t>
  </si>
  <si>
    <t>https://resources.simonelectric.com/simon-catalogo-vehiculo-electrico?utm_campaign=SIC%20-%20Veh%C3%ADculo%20El%C3%A9ctrico&amp;utm_medium=email&amp;_hsenc=p2ANqtz--G7LUIYL9GEZU46x5M4FVEx4L9aK8WQie8BcyU1-yOpPqlaiPAA34HQWBGAzngsgkQ8tni&amp;_hsmi=87085363&amp;utm_content=87085363&amp;utm_source=hs_email&amp;hsCtaTracking=6fedf137-fd90-4f17-bfb4-d61f710ec7f8%7Cf2771843-6636-4969-9010-2d8d0389b89c</t>
  </si>
  <si>
    <t>1203@smarthaus.studio</t>
  </si>
  <si>
    <t>https://resources.simonelectric.com/simon-catalogo-vehiculo-electrico?utm_campaign=SIC%20-%20Veh%C3%ADculo%20El%C3%A9ctrico&amp;utm_medium=email&amp;_hsenc=p2ANqtz--0M6YNJTYUgAvzPz6uk-V_TYZykRM4nkQUguuAsWx-5I0kmgyNcxWCzv567jqP-89b0ypw&amp;_hsmi=87085363&amp;utm_content=87085363&amp;utm_source=hs_email&amp;hsCtaTracking=6fedf137-fd90-4f17-bfb4-d61f710ec7f8%7Cf2771843-6636-4969-9010-2d8d0389b89c</t>
  </si>
  <si>
    <t>1204@me.com</t>
  </si>
  <si>
    <t>https://resources.simonelectric.com/simon-catalogo-vehiculo-electrico?utm_campaign=SIC%20-%20Veh%C3%ADculo%20El%C3%A9ctrico&amp;utm_medium=email&amp;_hsenc=p2ANqtz--RNgu2tnkJbmO6wiwZ70KGnu-k76nbBUmHeBq8tXpYbmXcbfdNjoI-cw5EatfD-88u4EUY&amp;_hsmi=87085363&amp;utm_content=87085363&amp;utm_source=hs_email&amp;hsCtaTracking=6fedf137-fd90-4f17-bfb4-d61f710ec7f8%7Cf2771843-6636-4969-9010-2d8d0389b89c</t>
  </si>
  <si>
    <t>1205@telefonica.net</t>
  </si>
  <si>
    <t>https://resources.simonelectric.com/simon-catalogo-vehiculo-electrico?utm_campaign=SIC%20-%20Veh%C3%ADculo%20El%C3%A9ctrico&amp;utm_medium=email&amp;_hsenc=p2ANqtz-_xfBBWsTeFDGtzJhOTk7nlIG2UXGoEtjzfveXCfRHCIj5q_PdL2kFAw0bzfYICyCxmd2T-&amp;_hsmi=87085302&amp;utm_content=87085302&amp;utm_source=hs_email&amp;hsCtaTracking=6fedf137-fd90-4f17-bfb4-d61f710ec7f8%7Cf2771843-6636-4969-9010-2d8d0389b89c</t>
  </si>
  <si>
    <t>1206@gmail.com</t>
  </si>
  <si>
    <t>https://resources.simonelectric.com/simon-catalogo-vehiculo-electrico?utm_campaign=SIC%20-%20Veh%C3%ADculo%20El%C3%A9ctrico&amp;utm_medium=email&amp;_hsenc=p2ANqtz--XWZBjkb9t_45WPUDSKvFXfTr0upxty8tZlbAtKx6aQJ3CPymAawRw083Q9PfEXCpXNGYk&amp;_hsmi=87085363&amp;utm_content=87085363&amp;utm_source=hs_email&amp;hsCtaTracking=6fedf137-fd90-4f17-bfb4-d61f710ec7f8%7Cf2771843-6636-4969-9010-2d8d0389b89c</t>
  </si>
  <si>
    <t>1207@gmail.com</t>
  </si>
  <si>
    <t>https://resources.simonelectric.com/simon-catalogo-vehiculo-electrico?utm_campaign=SIC%20-%20Veh%C3%ADculo%20El%C3%A9ctrico&amp;utm_medium=email&amp;_hsenc=p2ANqtz--IWUPlgQBh6J36cCWAhUkJ0u4fPcgeaGCvC83oNpTraz_4Y3i0KVFYwJK0X0BoAq_klraT&amp;_hsmi=87085363&amp;utm_content=87085363&amp;utm_source=hs_email&amp;hsCtaTracking=6fedf137-fd90-4f17-bfb4-d61f710ec7f8%7Cf2771843-6636-4969-9010-2d8d0389b89c</t>
  </si>
  <si>
    <t>1208@gmail.com</t>
  </si>
  <si>
    <t>https://resources.simonelectric.com/simon-catalogo-vehiculo-electrico?utm_campaign=SIC%20-%20Veh%C3%ADculo%20El%C3%A9ctrico&amp;utm_medium=email&amp;_hsenc=p2ANqtz-9EQt6_LOwllvp-Cmr2espYqopADuUR6pXklWnnaieSDQEf2RKavywRHokI5U9mS2XtsQAL&amp;_hsmi=87085363&amp;utm_content=87085363&amp;utm_source=hs_email&amp;hsCtaTracking=6fedf137-fd90-4f17-bfb4-d61f710ec7f8%7Cf2771843-6636-4969-9010-2d8d0389b89c</t>
  </si>
  <si>
    <t>1209@hotmail.es</t>
  </si>
  <si>
    <t>https://resources.simonelectric.com/simon-catalogo-vehiculo-electrico?utm_campaign=SIC%20-%20Veh%C3%ADculo%20El%C3%A9ctrico&amp;utm_medium=email&amp;_hsenc=p2ANqtz-9Cl_a6TfIETcB0DgIZd9WtZ32NMGJ0Ok3jGPLJWZSxhIpUrDTvqkkup-d8Sqxx_x8EGKGB&amp;_hsmi=87085302&amp;utm_content=87085302&amp;utm_source=hs_email&amp;hsCtaTracking=6fedf137-fd90-4f17-bfb4-d61f710ec7f8%7Cf2771843-6636-4969-9010-2d8d0389b89c</t>
  </si>
  <si>
    <t>1210@pepepower.es</t>
  </si>
  <si>
    <t>https://resources.simonelectric.com/simon-catalogo-vehiculo-electrico?utm_campaign=SIC%20-%20Veh%C3%ADculo%20El%C3%A9ctrico&amp;utm_medium=email&amp;_hsenc=p2ANqtz-9rFJZfYrJ5UzdZRJQgHVYQmfZFY9raeycW081UBAe14ycsRAbH-7Ml-ms3FbeX6K6y4hcD&amp;_hsmi=87085302&amp;utm_content=87085302&amp;utm_source=hs_email&amp;hsCtaTracking=6fedf137-fd90-4f17-bfb4-d61f710ec7f8%7Cf2771843-6636-4969-9010-2d8d0389b89c</t>
  </si>
  <si>
    <t>1211@outlook.es</t>
  </si>
  <si>
    <t>https://resources.simonelectric.com/simon-catalogo-vehiculo-electrico?utm_campaign=SIC%20-%20Veh%C3%ADculo%20El%C3%A9ctrico&amp;utm_medium=email&amp;_hsmi=87085363&amp;_hsenc=p2ANqtz--RjbCKxha8c7SBJ_JGehJUMPyndq8TsPh597oVhzwtxCkIfPEomOWq2PkcHCoad9yJDrZC&amp;utm_content=87085363&amp;utm_source=hs_email</t>
  </si>
  <si>
    <t>1212@hotmail.com</t>
  </si>
  <si>
    <t>https://resources.simonelectric.com/simon-catalogo-vehiculo-electrico?utm_campaign=SIC%20-%20Veh%C3%ADculo%20El%C3%A9ctrico&amp;utm_medium=email&amp;_hsenc=p2ANqtz-8q0GJ35yBUEIQhPZS5ySyx9NKQSpjeZT_hzmwJsz4EQRyDtdHO0vVfMjdLdrOR-vLixs_U&amp;_hsmi=87085363&amp;utm_content=87085363&amp;utm_source=hs_email&amp;hsCtaTracking=6fedf137-fd90-4f17-bfb4-d61f710ec7f8%7Cf2771843-6636-4969-9010-2d8d0389b89c</t>
  </si>
  <si>
    <t>1213@hotmail.com</t>
  </si>
  <si>
    <t>https://resources.simonelectric.com/simon-catalogo-vehiculo-electrico?utm_campaign=SIC%20-%20Veh%C3%ADculo%20El%C3%A9ctrico&amp;utm_medium=email&amp;_hsenc=p2ANqtz-_l2UoRJR656fkW4X-bb6xdMdA-IlDFfYrn40JDsMMzARZKUuWRQ9tpXLGk2JUajDJYZN7e&amp;_hsmi=87085363&amp;utm_content=87085363&amp;utm_source=hs_email&amp;hsCtaTracking=6fedf137-fd90-4f17-bfb4-d61f710ec7f8%7Cf2771843-6636-4969-9010-2d8d0389b89c</t>
  </si>
  <si>
    <t>1214@gmail.com</t>
  </si>
  <si>
    <t>https://resources.simonelectric.com/simon-catalogo-vehiculo-electrico?utm_campaign=SIC%20-%20Veh%C3%ADculo%20El%C3%A9ctrico&amp;utm_medium=email&amp;_hsenc=p2ANqtz-8fHW2Y7ce3_8VA2pxcmxfIKo30YX-4dMPO-T3HIrhs7FvaGP4f9-lyFA6kr69-TNJS5aHC&amp;_hsmi=87085363&amp;utm_content=87085363&amp;utm_source=hs_email&amp;hsCtaTracking=6fedf137-fd90-4f17-bfb4-d61f710ec7f8%7Cf2771843-6636-4969-9010-2d8d0389b89c</t>
  </si>
  <si>
    <t>1215@subis.cat</t>
  </si>
  <si>
    <t>https://resources.simonelectric.com/simon-catalogo-vehiculo-electrico?utm_campaign=SIC%20-%20Veh%C3%ADculo%20El%C3%A9ctrico&amp;utm_medium=email&amp;_hsmi=87085363&amp;_hsenc=p2ANqtz--rbIqWp6bBIXin-lf3J9NG7L2cbogmPDutTzI4tJmdl_vE2OB8auM671FSCh0hRJ7zUBtj&amp;utm_content=87085363&amp;utm_source=hs_email</t>
  </si>
  <si>
    <t>1216@gmail.com</t>
  </si>
  <si>
    <t>https://resources.simonelectric.com/simon-catalogo-vehiculo-electrico?utm_campaign=SIC%20-%20Veh%C3%ADculo%20El%C3%A9ctrico&amp;utm_medium=email&amp;_hsenc=p2ANqtz-8_5g7QFahfJZPbgN4lCrC6oBOoeXRsfeh7KDTZWXrCHlooqahn13TAtSgwFORmkrU33QZu&amp;_hsmi=87085302&amp;utm_content=87085302&amp;utm_source=hs_email&amp;hsCtaTracking=6fedf137-fd90-4f17-bfb4-d61f710ec7f8%7Cf2771843-6636-4969-9010-2d8d0389b89c</t>
  </si>
  <si>
    <t>1217@gmail.com</t>
  </si>
  <si>
    <t>https://resources.simonelectric.com/simon-catalogo-vehiculo-electrico?utm_campaign=SIC%20-%20Veh%C3%ADculo%20El%C3%A9ctrico&amp;utm_medium=email&amp;_hsenc=p2ANqtz-8rNk_3ZTa3aNSp19Vt0SX-kA2gTdQWna3yYubWiRQ-2kW-MilMiM0c3LrkxRX_Wlwl8cQo&amp;_hsmi=87085363&amp;utm_content=87085363&amp;utm_source=hs_email&amp;hsCtaTracking=6fedf137-fd90-4f17-bfb4-d61f710ec7f8%7Cf2771843-6636-4969-9010-2d8d0389b89c</t>
  </si>
  <si>
    <t>1218@gmail.com</t>
  </si>
  <si>
    <t>https://resources.simonelectric.com/simon-catalogo-vehiculo-electrico?utm_campaign=SIC%20-%20Veh%C3%ADculo%20El%C3%A9ctrico&amp;utm_medium=email&amp;_hsenc=p2ANqtz--1PbK5unSFUS-i0qlbOuIF6-5fBuRIf6WI_JG-A4kEnItIq5tHg3ddX1UTI_XDVX1TKQG_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</si>
  <si>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oem4u7WqtLG2LBFnwqxaaB4riS283o_m5LeUwr1fqgwf-rt3JCkmVaW7Sdeqr0Fn758lc&amp;_hsmi=87085363&amp;utm_content=87085363&amp;utm_source=hs_email&amp;hsCtaTracking=6fedf137-fd90-4f17-bfb4-d61f710ec7f8%7Cf2771843-6636-4969-9010-2d8d0389b89c</t>
  </si>
  <si>
    <t>1219@actluz.com</t>
  </si>
  <si>
    <t>https://resources.simonelectric.com/simon-catalogo-vehiculo-electrico?utm_campaign=SIC%20-%20Veh%C3%ADculo%20El%C3%A9ctrico&amp;utm_medium=email&amp;_hsenc=p2ANqtz-9bPBuyFAxbMg-xTXL1ujlKMjU_P58AbDVVA03nxnZ4by6mqUTAw_nhkqtXO3YWEHfZmoGc&amp;_hsmi=87085302&amp;utm_content=87085302&amp;utm_source=hs_email&amp;hsCtaTracking=6fedf137-fd90-4f17-bfb4-d61f710ec7f8%7Cf2771843-6636-4969-9010-2d8d0389b89c</t>
  </si>
  <si>
    <t>1220@sanitariosbosco.es</t>
  </si>
  <si>
    <t>https://resources.simonelectric.com/simon-catalogo-vehiculo-electrico?utm_campaign=SIC%20-%20Veh%C3%ADculo%20El%C3%A9ctrico&amp;utm_medium=email&amp;_hsenc=p2ANqtz-8IsWfgjDRCE4PhSh0H_MlpsPFwU3l0184gWHlPU_m8NqdDhSM3Z3DrlAskTTG7ECdqcxU5&amp;_hsmi=87085363&amp;utm_content=87085363&amp;utm_source=hs_email&amp;hsCtaTracking=6fedf137-fd90-4f17-bfb4-d61f710ec7f8%7Cf2771843-6636-4969-9010-2d8d0389b89c</t>
  </si>
  <si>
    <t>1221@gencat.cat</t>
  </si>
  <si>
    <t>https://resources.simonelectric.com/simon-catalogo-vehiculo-electrico?utm_campaign=SIC%20-%20Veh%C3%ADculo%20El%C3%A9ctrico&amp;utm_medium=email&amp;_hsenc=p2ANqtz-94ytfdyUCiFfs3bqQQuW0QvJG04EujVdZZmcAlAWPb6wXSjjjo_prmhPIiBWVhaRo5LTVM&amp;_hsmi=87085363&amp;utm_content=87085363&amp;utm_source=hs_email&amp;hsCtaTracking=6fedf137-fd90-4f17-bfb4-d61f710ec7f8%7Cf2771843-6636-4969-9010-2d8d0389b89c</t>
  </si>
  <si>
    <t>1222@hotmail.com</t>
  </si>
  <si>
    <t>https://resources.simonelectric.com/simon-catalogo-vehiculo-electrico?utm_campaign=SIC%20-%20Veh%C3%ADculo%20El%C3%A9ctrico&amp;utm_medium=email&amp;_hsenc=p2ANqtz-9Bj7KuB8SZqePQoQtL_9RCtp1SmjEECGUl4NWAMPMKjUCLHeD3u8lM5ehA4T9c0beMUCQq&amp;_hsmi=87085302&amp;utm_content=87085302&amp;utm_source=hs_email&amp;hsCtaTracking=6fedf137-fd90-4f17-bfb4-d61f710ec7f8%7Cf2771843-6636-4969-9010-2d8d0389b89c</t>
  </si>
  <si>
    <t>1223@proyecta79.com</t>
  </si>
  <si>
    <t>https://resources.simonelectric.com/simon-catalogo-vehiculo-electrico?utm_campaign=SIC%20-%20Veh%C3%ADculo%20El%C3%A9ctrico&amp;utm_medium=email&amp;_hsenc=p2ANqtz-_ZjhQFqJP6L75JTrF3RKiYGnKRhHrqad0rxajkBAwt9rK1Cw8QQ1sg2anhjX1Uw_ZJTlRD&amp;_hsmi=87085302&amp;utm_content=87085302&amp;utm_source=hs_email&amp;hsCtaTracking=6fedf137-fd90-4f17-bfb4-d61f710ec7f8%7Cf2771843-6636-4969-9010-2d8d0389b89c</t>
  </si>
  <si>
    <t>1224@ipertec.es</t>
  </si>
  <si>
    <t>https://resources.simonelectric.com/simon-catalogo-vehiculo-electrico?utm_campaign=SIC%20-%20Veh%C3%ADculo%20El%C3%A9ctrico&amp;utm_medium=email&amp;_hsenc=p2ANqtz--CZdJRSZpMIFh9X_HTsDIowB9NlEqSsa_mfVDZGB9Gvrly3fL3OL4Eotkw-lbZuXDSnfHD&amp;_hsmi=87085302&amp;utm_content=87085302&amp;utm_source=hs_email&amp;hsCtaTracking=6fedf137-fd90-4f17-bfb4-d61f710ec7f8%7Cf2771843-6636-4969-9010-2d8d0389b89c</t>
  </si>
  <si>
    <t>1225@yahoo.es</t>
  </si>
  <si>
    <t>https://resources.simonelectric.com/simon-catalogo-vehiculo-electrico?utm_campaign=SIC%20-%20Veh%C3%ADculo%20El%C3%A9ctrico&amp;utm_medium=email&amp;_hsenc=p2ANqtz-9II60ynaHUoNiFE25yE16MI5xkozHbaxRnyt65xVi27SIn5jl_Ff7FtsWe7KwS1d3A0pp6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</si>
  <si>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eodSwwSU4JhSeFbhQSBneEFKHJM0IAWvk60H0xsQFYSEY0f0fgrpQZEcP1yBE-gNpfxVT&amp;_hsmi=87085302&amp;utm_content=87085302&amp;utm_source=hs_email&amp;hsCtaTracking=6fedf137-fd90-4f17-bfb4-d61f710ec7f8%7Cf2771843-6636-4969-9010-2d8d0389b89c</t>
  </si>
  <si>
    <t>1226@agiceringenieros.es</t>
  </si>
  <si>
    <t>https://resources.simonelectric.com/simon-catalogo-vehiculo-electrico?utm_campaign=SIC%20-%20Veh%C3%ADculo%20El%C3%A9ctrico&amp;utm_medium=email&amp;_hsenc=p2ANqtz-9qyGjXc9yZLIrN2q_dWMvDRfJDkC7Anfu4FOuAzfDt0NgRnYxk66tZ-t_zl68yWeZca0fs&amp;_hsmi=87085363&amp;utm_content=87085363&amp;utm_source=hs_email&amp;hsCtaTracking=6fedf137-fd90-4f17-bfb4-d61f710ec7f8%7Cf2771843-6636-4969-9010-2d8d0389b89c</t>
  </si>
  <si>
    <t>1227@telefonica.net</t>
  </si>
  <si>
    <t>https://resources.simonelectric.com/simon-catalogo-vehiculo-electrico?utm_campaign=SIC%20-%20Veh%C3%ADculo%20El%C3%A9ctrico&amp;utm_medium=email&amp;_hsenc=p2ANqtz--vFyR16SvY1gH0K1xWeuD7kGAwakimbym7NWPMe5qGxI1BX18VRqbOqekkdurhC06RQvoe&amp;_hsmi=87085363&amp;utm_content=87085363&amp;utm_source=hs_email&amp;hsCtaTracking=6fedf137-fd90-4f17-bfb4-d61f710ec7f8%7Cf2771843-6636-4969-9010-2d8d0389b89c</t>
  </si>
  <si>
    <t>1228@entax.es</t>
  </si>
  <si>
    <t>https://resources.simonelectric.com/simon-catalogo-vehiculo-electrico?utm_campaign=SIC%20-%20Veh%C3%ADculo%20El%C3%A9ctrico&amp;utm_medium=email&amp;_hsenc=p2ANqtz--BCd3EQqc1QCoinTbxegZnt5MpPxRRu_v1rQfQtWlXrEUEWaPRPAOspWrPqfq-Er29EZqH&amp;_hsmi=87085363&amp;utm_content=87085363&amp;utm_source=hs_email&amp;hsCtaTracking=6fedf137-fd90-4f17-bfb4-d61f710ec7f8%7Cf2771843-6636-4969-9010-2d8d0389b89c</t>
  </si>
  <si>
    <t>1229@yahoo.es</t>
  </si>
  <si>
    <t>https://resources.simonelectric.com/simon-catalogo-vehiculo-electrico?utm_campaign=SIC%20-%20Veh%C3%ADculo%20El%C3%A9ctrico&amp;utm_medium=email&amp;_hsenc=p2ANqtz-_tRlzMFpmUmQhIDlZuklo86dR6rQ4kjI4SzZckUbUvkPlid2efPhEEQLvoyASeEyjHAFU4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</si>
  <si>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cah_wHDPVElBdQlVahk6giAq_vZHycsiuwKpI_YMH0Mp1PbNdb15Zqdx23iXdUiEX1lZx&amp;_hsmi=87085363&amp;utm_content=87085363&amp;utm_source=hs_email&amp;hsCtaTracking=6fedf137-fd90-4f17-bfb4-d61f710ec7f8%7Cf2771843-6636-4969-9010-2d8d0389b89c</t>
  </si>
  <si>
    <t>1230@gmail.com</t>
  </si>
  <si>
    <t>https://resources.simonelectric.com/simon-catalogo-vehiculo-electrico?utm_campaign=SIC%20-%20Veh%C3%ADculo%20El%C3%A9ctrico&amp;utm_medium=email&amp;_hsenc=p2ANqtz-9YTtqsrSND8CIHtJwOild-xg_jP_nYyJW8XcUf0oLvbhFVCPZYypPxOFm-urbTGuCz9ODY&amp;_hsmi=87085302&amp;utm_content=87085302&amp;utm_source=hs_email&amp;hsCtaTracking=6fedf137-fd90-4f17-bfb4-d61f710ec7f8%7Cf2771843-6636-4969-9010-2d8d0389b89c</t>
  </si>
  <si>
    <t>1231@gmail.com</t>
  </si>
  <si>
    <t>https://resources.simonelectric.com/simon-catalogo-vehiculo-electrico?utm_campaign=SIC%20-%20Veh%C3%ADculo%20El%C3%A9ctrico&amp;utm_medium=email&amp;_hsenc=p2ANqtz-9VxsduRZVq5zQc6uZsv7nA8UMvPeromL_B66b87LPC3nje4s8mgZsVQk1zHgtUI4qfkNbl&amp;_hsmi=87085363&amp;utm_content=87085363&amp;utm_source=hs_email&amp;hsCtaTracking=6fedf137-fd90-4f17-bfb4-d61f710ec7f8%7Cf2771843-6636-4969-9010-2d8d0389b89c</t>
  </si>
  <si>
    <t>1232@planocaceres.com</t>
  </si>
  <si>
    <t>https://resources.simonelectric.com/simon-catalogo-vehiculo-electrico?utm_campaign=SIC%20-%20Veh%C3%ADculo%20El%C3%A9ctrico&amp;utm_medium=email&amp;_hsenc=p2ANqtz-8fso4himUgjkIFAV6d8iy0Kbsa7cES8G0fDM-c_65Vof7hnsUZ7r2Iy7ETwZ00v0PwaUJG&amp;_hsmi=87085302&amp;utm_content=87085302&amp;utm_source=hs_email&amp;hsCtaTracking=6fedf137-fd90-4f17-bfb4-d61f710ec7f8%7Cf2771843-6636-4969-9010-2d8d0389b89c</t>
  </si>
  <si>
    <t>1233@hotmail.com</t>
  </si>
  <si>
    <t>https://resources.simonelectric.com/simon-catalogo-vehiculo-electrico?utm_campaign=SIC%20-%20Veh%C3%ADculo%20El%C3%A9ctrico&amp;utm_medium=email&amp;_hsenc=p2ANqtz-8IIJ4yZDHrBCH-9pEsChMNbOKHLg14vSUeyhAhofpnnr2rzFg9RnguUUtEz82z_EYBihu-&amp;_hsmi=87085363&amp;utm_content=87085363&amp;utm_source=hs_email&amp;hsCtaTracking=6fedf137-fd90-4f17-bfb4-d61f710ec7f8%7Cf2771843-6636-4969-9010-2d8d0389b89c</t>
  </si>
  <si>
    <t>1234@gmail.com</t>
  </si>
  <si>
    <t>https://resources.simonelectric.com/simon-catalogo-vehiculo-electrico?utm_campaign=SIC%20-%20Veh%C3%ADculo%20El%C3%A9ctrico&amp;utm_medium=email&amp;_hsenc=p2ANqtz-_APmIxbHVB3jgGKXe8P2jiBkWo3fjcEz_b5LO2typ1u3PhN-Lp75W2Fp_Cn-D3dtEXplJQ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</si>
  <si>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RVSrHEcLzMuJulvgliuVzrn2w9fRxauCCm2u6PBV1aixmqOEIL_gah30IdfPNCTmZ32-1&amp;_hsmi=87085302&amp;utm_content=87085302&amp;utm_source=hs_email&amp;hsCtaTracking=6fedf137-fd90-4f17-bfb4-d61f710ec7f8%7Cf2771843-6636-4969-9010-2d8d0389b89c</t>
  </si>
  <si>
    <t>1235@gmail.com</t>
  </si>
  <si>
    <t>https://resources.simonelectric.com/simon-catalogo-vehiculo-electrico?utm_campaign=SIC%20-%20Veh%C3%ADculo%20El%C3%A9ctrico&amp;utm_medium=email&amp;_hsenc=p2ANqtz-_ZONXCFsePvoci9INOPmdKHvNbfgSJ1pbCnUzawUsQmTpTerH-hCDvs0Nn390PSxalQpue&amp;_hsmi=87085363&amp;utm_content=87085363&amp;utm_source=hs_email&amp;hsCtaTracking=6fedf137-fd90-4f17-bfb4-d61f710ec7f8%7Cf2771843-6636-4969-9010-2d8d0389b89c</t>
  </si>
  <si>
    <t>1236@hotmail.com</t>
  </si>
  <si>
    <t>https://resources.simonelectric.com/simon-catalogo-vehiculo-electrico?utm_campaign=SIC%20-%20Veh%C3%ADculo%20El%C3%A9ctrico&amp;utm_medium=email&amp;_hsenc=p2ANqtz-8kV_vqXTIUueLk35CvlHldUri8EPkDjoRnYqSEYiTTxdO5Em135gctaIfeFj7gqaDILYHj&amp;_hsmi=87085302&amp;utm_content=87085302&amp;utm_source=hs_email&amp;hsCtaTracking=6fedf137-fd90-4f17-bfb4-d61f710ec7f8%7Cf2771843-6636-4969-9010-2d8d0389b89c</t>
  </si>
  <si>
    <t>1237@gmail.com</t>
  </si>
  <si>
    <t>https://resources.simonelectric.com/simon-catalogo-vehiculo-electrico?utm_campaign=SIC%20-%20Veh%C3%ADculo%20El%C3%A9ctrico&amp;utm_medium=email&amp;_hsenc=p2ANqtz-8xGOeXDgq6JVzq0AHk2r746P0GdJj1mgUpCMBx5QnCPjFqz1OzGhRJqJFbT_aRMeiTaUdW&amp;_hsmi=87085363&amp;utm_content=87085363&amp;utm_source=hs_email&amp;hsCtaTracking=6fedf137-fd90-4f17-bfb4-d61f710ec7f8%7Cf2771843-6636-4969-9010-2d8d0389b89c</t>
  </si>
  <si>
    <t>1238@gmail.com</t>
  </si>
  <si>
    <t>https://resources.simonelectric.com/simon-catalogo-vehiculo-electrico?utm_campaign=SIC%20-%20Veh%C3%ADculo%20El%C3%A9ctrico&amp;utm_medium=email&amp;_hsenc=p2ANqtz--erY0iimqUgKYJjcqY6MLVRX2BKTa5ER_OEU4T98ctvMjavK1Ji_r5tuGlOaWTl8xnrXRN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</si>
  <si>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_BOhh-EfcvDl4lh-rtCwaOBh5NSNiCqu5vw7lBVzCaIF9IRASAZV9fenrckIWUzugvhZ3&amp;_hsmi=87085363&amp;utm_content=87085363&amp;utm_source=hs_email&amp;hsCtaTracking=6fedf137-fd90-4f17-bfb4-d61f710ec7f8%7Cf2771843-6636-4969-9010-2d8d0389b89c</t>
  </si>
  <si>
    <t>1239@telefonica.net</t>
  </si>
  <si>
    <t>https://resources.simonelectric.com/simon-catalogo-vehiculo-electrico?utm_campaign=SIC%20-%20Veh%C3%ADculo%20El%C3%A9ctrico&amp;utm_medium=email&amp;_hsmi=87085302&amp;_hsenc=p2ANqtz-_Ar5TIC-FmCTCsVp9x52XtyxCsBF7kwwsLLOc1GoAiulcKiJotC2fSSgyo8ulNW0_E7un8&amp;utm_content=87085302&amp;utm_source=hs_email</t>
  </si>
  <si>
    <t>1240@hotmail.com</t>
  </si>
  <si>
    <t>https://resources.simonelectric.com/simon-catalogo-vehiculo-electrico?utm_campaign=SIC%20-%20Veh%C3%ADculo%20El%C3%A9ctrico&amp;utm_medium=email&amp;_hsenc=p2ANqtz-_dFt28s0y_TNOZAN8xMxAQ1EaUeZ7AtyACI6YL45aaRaRORnJNuu6DPodDTVnLDUQVaN7T&amp;_hsmi=87085363&amp;utm_content=87085363&amp;utm_source=hs_email&amp;hsCtaTracking=6fedf137-fd90-4f17-bfb4-d61f710ec7f8%7Cf2771843-6636-4969-9010-2d8d0389b89c</t>
  </si>
  <si>
    <t>1241@gmail.com</t>
  </si>
  <si>
    <t>https://resources.simonelectric.com/simon-catalogo-vehiculo-electrico?utm_campaign=SIC%20-%20Veh%C3%ADculo%20El%C3%A9ctrico&amp;utm_medium=email&amp;_hsenc=p2ANqtz-9ZQe3IRBc92VzYStIBWl331iDQiZnhW8oTHaLcxqzViLNtJzDBMIR0AYuEox9jzFnmTlPH&amp;_hsmi=87085363&amp;utm_content=87085363&amp;utm_source=hs_email&amp;hsCtaTracking=6fedf137-fd90-4f17-bfb4-d61f710ec7f8%7Cf2771843-6636-4969-9010-2d8d0389b89c</t>
  </si>
  <si>
    <t>1242@hotmail.com</t>
  </si>
  <si>
    <t>https://resources.simonelectric.com/simon-catalogo-vehiculo-electrico?utm_campaign=SIC%20-%20Veh%C3%ADculo%20El%C3%A9ctrico&amp;utm_medium=email&amp;_hsenc=p2ANqtz--Nl-c8QNkyyJrQg0rMVW8h2S4Ekdv1RpAmTZnpJ7UlezqOpDKT6EqFdqSjjTzswNFUN3Hp&amp;_hsmi=87085363&amp;utm_content=87085363&amp;utm_source=hs_email&amp;hsCtaTracking=6fedf137-fd90-4f17-bfb4-d61f710ec7f8%7Cf2771843-6636-4969-9010-2d8d0389b89c</t>
  </si>
  <si>
    <t>1243@educa.jcyl.es</t>
  </si>
  <si>
    <t>https://resources.simonelectric.com/simon-catalogo-vehiculo-electrico?utm_campaign=SIC%20-%20Veh%C3%ADculo%20El%C3%A9ctrico&amp;utm_medium=email&amp;_hsenc=p2ANqtz-9TXoB1tsQkHGqhWH0sXHobd4GuBaygsCCoLwxsl7LV-Sh57LzxqAojOy1gYyZH98lhGf50&amp;_hsmi=87085363&amp;utm_content=87085363&amp;utm_source=hs_email&amp;hsCtaTracking=6fedf137-fd90-4f17-bfb4-d61f710ec7f8%7Cf2771843-6636-4969-9010-2d8d0389b89c</t>
  </si>
  <si>
    <t>1244@gmail.com</t>
  </si>
  <si>
    <t>https://resources.simonelectric.com/simon-catalogo-vehiculo-electrico?utm_campaign=SIC%20-%20Veh%C3%ADculo%20El%C3%A9ctrico&amp;utm_medium=email&amp;_hsmi=87085363&amp;_hsenc=p2ANqtz-9b1y-BdMYjTkl6FoJg6nEVMcYK_DvKMgGML4Qup2hGw6n7RIQDiratgZP195piB8CF3jWN&amp;utm_content=87085363&amp;utm_source=hs_email</t>
  </si>
  <si>
    <t>1245@hotmail.com</t>
  </si>
  <si>
    <t>https://resources.simonelectric.com/simon-catalogo-vehiculo-electrico?utm_campaign=SIC%20-%20Veh%C3%ADculo%20El%C3%A9ctrico&amp;utm_medium=email&amp;_hsenc=p2ANqtz-_peKMWb1LwPvGZj4sf3OkOTM0wj5ZnKe3P5w-TrcYvm_xUmVEDD1zhFqBX4aK-J5IOEqII&amp;_hsmi=87085363&amp;utm_content=87085363&amp;utm_source=hs_email&amp;hsCtaTracking=6fedf137-fd90-4f17-bfb4-d61f710ec7f8%7Cf2771843-6636-4969-9010-2d8d0389b89c</t>
  </si>
  <si>
    <t>1246@ecoltan.org</t>
  </si>
  <si>
    <t>https://resources.simonelectric.com/simon-catalogo-vehiculo-electrico?utm_campaign=SIC%20-%20Veh%C3%ADculo%20El%C3%A9ctrico&amp;utm_medium=email&amp;_hsenc=p2ANqtz-8bzPc8AYpeRYbGFCs2EL-C7-MBcCVIBK938TjHLJ-OtMqWJiHs3Sk5l-7pn1YS0GmxkSbH&amp;_hsmi=87085363&amp;utm_content=87085363&amp;utm_source=hs_email&amp;hsCtaTracking=6fedf137-fd90-4f17-bfb4-d61f710ec7f8%7Cf2771843-6636-4969-9010-2d8d0389b89c</t>
  </si>
  <si>
    <t>1247@gmail.com</t>
  </si>
  <si>
    <t>https://resources.simonelectric.com/simon-catalogo-vehiculo-electrico?utm_campaign=SIC%20-%20Veh%C3%ADculo%20El%C3%A9ctrico&amp;utm_medium=email&amp;_hsenc=p2ANqtz--AB-AUJUPQNlnRdBhj1LuCFTIGec14spymLq21gdwStToSHzEzbhhkix6vIPcWhVo5DLZ2&amp;_hsmi=87085363&amp;utm_content=87085363&amp;utm_source=hs_email&amp;hsCtaTracking=6fedf137-fd90-4f17-bfb4-d61f710ec7f8%7Cf2771843-6636-4969-9010-2d8d0389b89c</t>
  </si>
  <si>
    <t>1248@gmail.com</t>
  </si>
  <si>
    <t>https://resources.simonelectric.com/simon-catalogo-vehiculo-electrico?utm_campaign=SIC%20-%20Veh%C3%ADculo%20El%C3%A9ctrico&amp;utm_medium=email&amp;_hsenc=p2ANqtz-8vps8SSm6o84_Fq2oPF7LEhxdysXaO5dcS-9X3YFaAmzuR22DaQdjSrJSIEPbWFsH8mh3p&amp;_hsmi=87085363&amp;utm_content=87085363&amp;utm_source=hs_email&amp;hsCtaTracking=6fedf137-fd90-4f17-bfb4-d61f710ec7f8%7Cf2771843-6636-4969-9010-2d8d0389b89c</t>
  </si>
  <si>
    <t>1249@gmail.com</t>
  </si>
  <si>
    <t>https://resources.simonelectric.com/simon-catalogo-vehiculo-electrico?utm_campaign=SIC%20-%20Veh%C3%ADculo%20El%C3%A9ctrico&amp;utm_medium=email&amp;_hsenc=p2ANqtz-8tKyWT9V8Snc4Be6dz6Vi4d0oLiyLpQrZ7Lfs1E7tVrcEYODZWRd6xCfNrEipYvGIUJuiS&amp;_hsmi=87085363&amp;utm_content=87085363&amp;utm_source=hs_email&amp;hsCtaTracking=6fedf137-fd90-4f17-bfb4-d61f710ec7f8%7Cf2771843-6636-4969-9010-2d8d0389b89c</t>
  </si>
  <si>
    <t>1250@telefonica.net</t>
  </si>
  <si>
    <t>https://resources.simonelectric.com/simon-catalogo-vehiculo-electrico?utm_campaign=SIC%20-%20Veh%C3%ADculo%20El%C3%A9ctrico&amp;utm_medium=email&amp;_hsenc=p2ANqtz---EzzIZDSgcFDRuLtexyOU5i_eKnL8Fa-c7ukxEUobF3g5tNjOwPg1niZ_A__3O7yuG78H&amp;_hsmi=87085363&amp;utm_content=87085363&amp;utm_source=hs_email&amp;hsCtaTracking=6fedf137-fd90-4f17-bfb4-d61f710ec7f8%7Cf2771843-6636-4969-9010-2d8d0389b89c</t>
  </si>
  <si>
    <t>1251@gomurmya.com</t>
  </si>
  <si>
    <t>1252@desarrollotecnico.com</t>
  </si>
  <si>
    <t>https://resources.simonelectric.com/simon-catalogo-vehiculo-electrico?utm_campaign=SIC%20-%20Veh%C3%ADculo%20El%C3%A9ctrico&amp;utm_medium=email&amp;_hsenc=p2ANqtz-8WLpXvszXEU4Tx1whVdjgBif-HoayEPyIxHDaNIh2Kv3aZppjsb-gZdVqrK73r9xpfF0P-&amp;_hsmi=87085302&amp;utm_content=87085302&amp;utm_source=hs_email&amp;hsCtaTracking=6fedf137-fd90-4f17-bfb4-d61f710ec7f8%7Cf2771843-6636-4969-9010-2d8d0389b89c</t>
  </si>
  <si>
    <t>1253@gmail.com</t>
  </si>
  <si>
    <t>https://resources.simonelectric.com/simon-catalogo-vehiculo-electrico?utm_campaign=SIC%20-%20Veh%C3%ADculo%20El%C3%A9ctrico&amp;utm_medium=email&amp;_hsenc=p2ANqtz-945d66CWgmL2Rlgh-cJp9akQWqCyUNcvRqdNIy8XQRqzjinXqrweq4O8gHLmcr0NctoR7X&amp;_hsmi=87085302&amp;utm_content=87085302&amp;utm_source=hs_email&amp;hsCtaTracking=6fedf137-fd90-4f17-bfb4-d61f710ec7f8%7Cf2771843-6636-4969-9010-2d8d0389b89c</t>
  </si>
  <si>
    <t>1254@gmail.com</t>
  </si>
  <si>
    <t>https://resources.simonelectric.com/simon-catalogo-vehiculo-electrico?utm_campaign=SIC%20-%20Veh%C3%ADculo%20El%C3%A9ctrico&amp;utm_medium=email&amp;_hsenc=p2ANqtz-_OpHmtnz0pGPo_A72K4T4qu3kUAnwf7rY2q6Ris8AMa617Su69KVe1AMSDO86Xpkze0fHn&amp;_hsmi=87085363&amp;utm_content=87085363&amp;utm_source=hs_email&amp;hsCtaTracking=6fedf137-fd90-4f17-bfb4-d61f710ec7f8%7Cf2771843-6636-4969-9010-2d8d0389b89c</t>
  </si>
  <si>
    <t>1255@hotmail.com</t>
  </si>
  <si>
    <t>https://resources.simonelectric.com/simon-catalogo-vehiculo-electrico?utm_campaign=SIC%20-%20Veh%C3%ADculo%20El%C3%A9ctrico&amp;utm_medium=email&amp;_hsenc=p2ANqtz--Z-uMMp5k02gJDGNjP1iAriA3JB4JPTol5fxF8-j-nSkyvZYGdWg1rdEjq8gPWRpvTD_E1&amp;_hsmi=87085363&amp;utm_content=87085363&amp;utm_source=hs_email&amp;hsCtaTracking=6fedf137-fd90-4f17-bfb4-d61f710ec7f8%7Cf2771843-6636-4969-9010-2d8d0389b89c</t>
  </si>
  <si>
    <t>1256@gmail.com</t>
  </si>
  <si>
    <t>https://resources.simonelectric.com/simon-catalogo-vehiculo-electrico?utm_campaign=SIC%20-%20Veh%C3%ADculo%20El%C3%A9ctrico&amp;utm_medium=email&amp;_hsenc=p2ANqtz--QQKtde7B8VG0jiEz4XYENfY3XOoL5cd39_lKS61VdgVOpHJ344K83G1gC61Ve7ARawCVt&amp;_hsmi=87085363&amp;utm_content=87085363&amp;utm_source=hs_email&amp;hsCtaTracking=6fedf137-fd90-4f17-bfb4-d61f710ec7f8%7Cf2771843-6636-4969-9010-2d8d0389b89c</t>
  </si>
  <si>
    <t>1257@carsbarcelona.es</t>
  </si>
  <si>
    <t>https://resources.simonelectric.com/simon-catalogo-vehiculo-electrico?utm_campaign=SIC%20-%20Veh%C3%ADculo%20El%C3%A9ctrico&amp;utm_medium=email&amp;_hsenc=p2ANqtz-8jLFOILd5soAeuC3YXgesB4keU-k4Plz2u1nQ6XYDmZEKL96JAsTxxIVjpIVnYgt8R5ZwM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</si>
  <si>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ej4ckugpFybt8_0nqF6ssaPi63r1_T9V40EhWk-HQgVysO_DkPqBJ7-WC9DtB4Es3SLYj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</si>
  <si>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t5q0KoSWvtFXGFch9uvq9ralBx7RJogWFHofzOJKs_xrzmA4MJrq181ETjKW7g83WHB0h&amp;_hsmi=87085363&amp;utm_content=87085363&amp;utm_source=hs_email&amp;hsCtaTracking=6fedf137-fd90-4f17-bfb4-d61f710ec7f8%7Cf2771843-6636-4969-9010-2d8d0389b89c</t>
  </si>
  <si>
    <t>1258@gmail.com</t>
  </si>
  <si>
    <t>https://resources.simonelectric.com/simon-catalogo-vehiculo-electrico?utm_campaign=SIC%20-%20Veh%C3%ADculo%20El%C3%A9ctrico&amp;utm_medium=email&amp;_hsenc=p2ANqtz--2dDBFqLl8jZIwrobd6C6rCFq2rjreEH32m-NNjkNbL1fj2eGFuUXVpJIf-QRZNciDgnuf&amp;_hsmi=87085363&amp;utm_content=87085363&amp;utm_source=hs_email&amp;hsCtaTracking=6fedf137-fd90-4f17-bfb4-d61f710ec7f8%7Cf2771843-6636-4969-9010-2d8d0389b89c</t>
  </si>
  <si>
    <t>1259@radresa.com</t>
  </si>
  <si>
    <t>https://resources.simonelectric.com/simon-catalogo-vehiculo-electrico?utm_campaign=SIC%20-%20Veh%C3%ADculo%20El%C3%A9ctrico&amp;utm_medium=email&amp;_hsenc=p2ANqtz-8waqPpUBbYgkXq15kYfWVWajQNYR4zyNgMAQsqE-2It-QxllJRT181srSgbd-6qcWiZUxQ&amp;_hsmi=87085363&amp;utm_content=87085363&amp;utm_source=hs_email&amp;hsCtaTracking=6fedf137-fd90-4f17-bfb4-d61f710ec7f8%7Cf2771843-6636-4969-9010-2d8d0389b89c</t>
  </si>
  <si>
    <t>1260@gdr.es</t>
  </si>
  <si>
    <t>https://resources.simonelectric.com/simon-catalogo-vehiculo-electrico?utm_campaign=SIC%20-%20Veh%C3%ADculo%20El%C3%A9ctrico&amp;utm_medium=email&amp;_hsenc=p2ANqtz-_Xy-Cx8-Sb2T5ycrdRATSxXurrpTDX4qBl_QQwYTZVLZQrOyjpVHYDHcMAmvy1w4z9wTdn&amp;_hsmi=87085363&amp;utm_content=87085363&amp;utm_source=hs_email&amp;hsCtaTracking=6fedf137-fd90-4f17-bfb4-d61f710ec7f8%7Cf2771843-6636-4969-9010-2d8d0389b89c</t>
  </si>
  <si>
    <t>1261@e-copitile.es</t>
  </si>
  <si>
    <t>https://resources.simonelectric.com/simon-catalogo-vehiculo-electrico?utm_campaign=SIC%20-%20Veh%C3%ADculo%20El%C3%A9ctrico&amp;utm_medium=email&amp;_hsmi=87085302&amp;_hsenc=p2ANqtz-8J8_FWiDUOmYj1VPZ9uFPxkmzQSZnZ7CR27Mgddi0PLEX0fgGEtXtMHDyVDQnaTxuCnjEH&amp;utm_content=87085302&amp;utm_source=hs_email</t>
  </si>
  <si>
    <t>1262@hotmail.com</t>
  </si>
  <si>
    <t>https://resources.simonelectric.com/simon-catalogo-vehiculo-electrico?utm_campaign=SIC%20-%20Veh%C3%ADculo%20El%C3%A9ctrico&amp;utm_medium=email&amp;_hsenc=p2ANqtz-_KmYfkyMiQ6X8w8ygqre_Bq4MDhu_G9_4YuU_k2yBJSxY56cC9Ri6g9oDLReEkz63HG19a&amp;_hsmi=87085363&amp;utm_content=87085363&amp;utm_source=hs_email&amp;hsCtaTracking=6fedf137-fd90-4f17-bfb4-d61f710ec7f8%7Cf2771843-6636-4969-9010-2d8d0389b89c</t>
  </si>
  <si>
    <t>1263@hotmail.com</t>
  </si>
  <si>
    <t>https://resources.simonelectric.com/simon-catalogo-vehiculo-electrico?utm_campaign=SIC%20-%20Veh%C3%ADculo%20El%C3%A9ctrico&amp;utm_medium=email&amp;_hsenc=p2ANqtz-8e2ZhiSD1qz3OSYA3eeiqelP7HgUOlJVQpw8FSTqL9f9lmGwWXC0OIRpq44f76tYi1fjOa&amp;_hsmi=87085363&amp;utm_content=87085363&amp;utm_source=hs_email&amp;hsCtaTracking=6fedf137-fd90-4f17-bfb4-d61f710ec7f8%7Cf2771843-6636-4969-9010-2d8d0389b89c</t>
  </si>
  <si>
    <t>1264@gmail.com</t>
  </si>
  <si>
    <t>https://resources.simonelectric.com/simon-catalogo-vehiculo-electrico?utm_campaign=SIC%20-%20Veh%C3%ADculo%20El%C3%A9ctrico&amp;utm_medium=email&amp;_hsenc=p2ANqtz-8oAO9fzna1jUM7SmdjOUJc2SlDgIK3WJka9xAnqoKhE9GH9hyrq4_dA5rtNWPF_cgUV6Hk&amp;_hsmi=87085302&amp;utm_content=87085302&amp;utm_source=hs_email&amp;hsCtaTracking=6fedf137-fd90-4f17-bfb4-d61f710ec7f8%7Cf2771843-6636-4969-9010-2d8d0389b89c</t>
  </si>
  <si>
    <t>1265@hotmail.com</t>
  </si>
  <si>
    <t>https://resources.simonelectric.com/simon-catalogo-vehiculo-electrico?utm_campaign=SIC%20-%20Veh%C3%ADculo%20El%C3%A9ctrico&amp;utm_medium=email&amp;_hsenc=p2ANqtz-_a23dNqP9re6OgprZP_L44me_Uu4aT-vcP7awyTdGJ6QLAE2u94h4GJlV2cbKiGdSb5qzA&amp;_hsmi=87085302&amp;utm_content=87085302&amp;utm_source=hs_email&amp;hsCtaTracking=6fedf137-fd90-4f17-bfb4-d61f710ec7f8%7Cf2771843-6636-4969-9010-2d8d0389b89c</t>
  </si>
  <si>
    <t>1266@gmail.com</t>
  </si>
  <si>
    <t>https://resources.simonelectric.com/simon-catalogo-vehiculo-electrico?utm_campaign=SIC%20-%20Veh%C3%ADculo%20El%C3%A9ctrico&amp;utm_medium=email&amp;_hsenc=p2ANqtz-9BQ6IXWpJ2JaEXak33hkIOFqHuSXqKpRpa8tRdQb9Zfj3uz0SkMWOEZNZudlUDCvACWszV&amp;_hsmi=87085363&amp;utm_content=87085363&amp;utm_source=hs_email&amp;hsCtaTracking=6fedf137-fd90-4f17-bfb4-d61f710ec7f8%7Cf2771843-6636-4969-9010-2d8d0389b89c</t>
  </si>
  <si>
    <t>1267@motor2000.net</t>
  </si>
  <si>
    <t>https://resources.simonelectric.com/simon-catalogo-vehiculo-electrico?utm_campaign=SIC%20-%20Veh%C3%ADculo%20El%C3%A9ctrico&amp;utm_medium=email&amp;_hsenc=p2ANqtz-8-FwTuIrSnvjXvPTTAEqPsPbTiKZA3qVLlElX9atKP5zDOWck2-jvmEBP-uMYoUYoz1-pr&amp;_hsmi=87085363&amp;utm_content=87085363&amp;utm_source=hs_email&amp;hsCtaTracking=6fedf137-fd90-4f17-bfb4-d61f710ec7f8%7Cf2771843-6636-4969-9010-2d8d0389b89c</t>
  </si>
  <si>
    <t>1268@gamai.com</t>
  </si>
  <si>
    <t>https://resources.simonelectric.com/simon-catalogo-vehiculo-electrico?utm_campaign=SIC%20-%20Veh%C3%ADculo%20El%C3%A9ctrico&amp;utm_medium=email&amp;_hsenc=p2ANqtz-8EYeCnTWRsP6KimlLkSwJtnG5yQjGIOej78-vg-8FUOcLOSyAmNXr3bzw4tsvRJmTRXJd-&amp;_hsmi=87085302&amp;utm_content=87085302&amp;utm_source=hs_email&amp;hsCtaTracking=6fedf137-fd90-4f17-bfb4-d61f710ec7f8%7Cf2771843-6636-4969-9010-2d8d0389b89c</t>
  </si>
  <si>
    <t>1269@kuartafase.com</t>
  </si>
  <si>
    <t>https://resources.simonelectric.com/simon-catalogo-vehiculo-electrico?utm_campaign=SIC%20-%20Veh%C3%ADculo%20El%C3%A9ctrico&amp;utm_medium=email&amp;_hsenc=p2ANqtz--YN1R-M70TyJa3JQ5d-uAAixryvtSOIVtlj4w4r-W6GrK9Vnshwk1ckAbDbwaf7cyv4V_P&amp;_hsmi=87085302&amp;utm_content=87085302&amp;utm_source=hs_email&amp;hsCtaTracking=6fedf137-fd90-4f17-bfb4-d61f710ec7f8%7Cf2771843-6636-4969-9010-2d8d0389b89c</t>
  </si>
  <si>
    <t>1270@solcansl.com</t>
  </si>
  <si>
    <t>https://resources.simonelectric.com/simon-catalogo-vehiculo-electrico?utm_campaign=SIC%20-%20Veh%C3%ADculo%20El%C3%A9ctrico&amp;utm_medium=email&amp;_hsenc=p2ANqtz-8X6dtjzx8BYAideVsCDxwTqVe53eARWi8YXc95f_LElr6jAlysoJHTqzAT7TiZ2Oqq9x_Y&amp;_hsmi=87085363&amp;utm_content=87085363&amp;utm_source=hs_email&amp;hsCtaTracking=6fedf137-fd90-4f17-bfb4-d61f710ec7f8%7Cf2771843-6636-4969-9010-2d8d0389b89c</t>
  </si>
  <si>
    <t>1271@yahoo.es</t>
  </si>
  <si>
    <t>https://resources.simonelectric.com/simon-catalogo-vehiculo-electrico?utm_campaign=SIC%20-%20Veh%C3%ADculo%20El%C3%A9ctrico&amp;utm_medium=email&amp;_hsmi=87085363&amp;_hsenc=p2ANqtz-_rV9RhhLYDhp1azAZH99IW7BACcWBwY6UREd1ka81mWgmV-AbWP8BHbRSsXXtklL2Gavjt&amp;utm_content=87085363&amp;utm_source=hs_email</t>
  </si>
  <si>
    <t>1272@gmail.com</t>
  </si>
  <si>
    <t>https://resources.simonelectric.com/simon-catalogo-vehiculo-electrico?utm_campaign=SIC%20-%20Veh%C3%ADculo%20El%C3%A9ctrico&amp;utm_medium=email&amp;_hsenc=p2ANqtz-_JaBDJ58Mp0W7vLLAB4zfVNdthGiJzlbVtwRuZW5znBhsFE3KMk3_HUPXvAEpUH-vkXrOu&amp;_hsmi=87085363&amp;utm_content=87085363&amp;utm_source=hs_email&amp;hsCtaTracking=6fedf137-fd90-4f17-bfb4-d61f710ec7f8%7Cf2771843-6636-4969-9010-2d8d0389b89c</t>
  </si>
  <si>
    <t>1273@telefonica.net</t>
  </si>
  <si>
    <t>https://resources.simonelectric.com/simon-catalogo-vehiculo-electrico?utm_campaign=SIC%20-%20Veh%C3%ADculo%20El%C3%A9ctrico&amp;utm_medium=email&amp;_hsenc=p2ANqtz-8R7YCpFfGRPsfKbL__dchasCtyGrjXKNliqQ0l5z0yc8Lc8uhmZl77BWARoWU7h8qVKY9y&amp;_hsmi=87085363&amp;utm_content=87085363&amp;utm_source=hs_email&amp;hsCtaTracking=6fedf137-fd90-4f17-bfb4-d61f710ec7f8%7Cf2771843-6636-4969-9010-2d8d0389b89c</t>
  </si>
  <si>
    <t>1274@gmail.com</t>
  </si>
  <si>
    <t>https://resources.simonelectric.com/simon-catalogo-vehiculo-electrico?utm_campaign=SIC%20-%20Veh%C3%ADculo%20El%C3%A9ctrico&amp;utm_medium=email&amp;_hsenc=p2ANqtz-8jlEPNocSArRLpjCXzkRN1A8CMUajvfXUuVChQadn2-WYd3h6YYzZwJkXrCMYWCelvlgVm&amp;_hsmi=87085363&amp;utm_content=87085363&amp;utm_source=hs_email&amp;hsCtaTracking=6fedf137-fd90-4f17-bfb4-d61f710ec7f8%7Cf2771843-6636-4969-9010-2d8d0389b89c</t>
  </si>
  <si>
    <t>1275@sonepar.es</t>
  </si>
  <si>
    <t>https://resources.simonelectric.com/simon-catalogo-vehiculo-electrico?utm_campaign=SIC%20-%20Veh%C3%ADculo%20El%C3%A9ctrico&amp;utm_medium=email&amp;_hsmi=87085363&amp;_hsenc=p2ANqtz-98RAHXzIrqmRSIFDTmWOUzR31lqPcaB6jGBm8HsM9ilCsugW0ILrse8yXWb4EM2bwej48a&amp;utm_content=87085363&amp;utm_source=hs_email</t>
  </si>
  <si>
    <t>1276@protomar.es</t>
  </si>
  <si>
    <t>https://resources.simonelectric.com/simon-catalogo-vehiculo-electrico?utm_campaign=SIC%20-%20Veh%C3%ADculo%20El%C3%A9ctrico&amp;utm_medium=email&amp;_hsenc=p2ANqtz--ED_4cwzwFPUU0LZ3nmmeYfL22NK_vLI1WPb5xzulhlXtjINGf8UQVz-Il4_ej_hSVsvaV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</si>
  <si>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LhQVwlDqLIXb5aL44m7ZFMWT0Che-TsQt7VN_Rs0bkcSFPyy57E-8B0vVnqTPj9jrkUhD&amp;_hsmi=87085302&amp;utm_content=87085302&amp;utm_source=hs_email&amp;hsCtaTracking=6fedf137-fd90-4f17-bfb4-d61f710ec7f8%7Cf2771843-6636-4969-9010-2d8d0389b89c</t>
  </si>
  <si>
    <t>1277@sonepar.es</t>
  </si>
  <si>
    <t>https://resources.simonelectric.com/simon-catalogo-vehiculo-electrico?utm_campaign=SIC%20-%20Veh%C3%ADculo%20El%C3%A9ctrico&amp;utm_medium=email&amp;_hsenc=p2ANqtz--2OdgtZs6Vlr9rXSstJAQ381bvIYI-uF9MmPHlWVaS-0bX3bvdp6bbw62WHesVXhU3bLXC&amp;_hsmi=87085363&amp;utm_content=87085363&amp;utm_source=hs_email&amp;hsCtaTracking=6fedf137-fd90-4f17-bfb4-d61f710ec7f8%7Cf2771843-6636-4969-9010-2d8d0389b89c</t>
  </si>
  <si>
    <t>1278@gmail.com</t>
  </si>
  <si>
    <t>https://resources.simonelectric.com/simon-catalogo-vehiculo-electrico?utm_campaign=SIC%20-%20Veh%C3%ADculo%20El%C3%A9ctrico&amp;utm_medium=email&amp;_hsenc=p2ANqtz-_UBoBkWmgAMct4nuEH1n4CgTUngY9cf2AcZ_BCNKiaxuVLGGJVfIObyfhsW4TD8g9fI6O0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</si>
  <si>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Q2wYC97IS2_QpQ53mCFYnM7Id3Mi7h88lHE8UrfQoLjUWWVB6RqSHBbpP1WcF97QtAkiB&amp;_hsmi=87085363&amp;utm_content=87085363&amp;utm_source=hs_email&amp;hsCtaTracking=6fedf137-fd90-4f17-bfb4-d61f710ec7f8%7Cf2771843-6636-4969-9010-2d8d0389b89c</t>
  </si>
  <si>
    <t>1279@fccco.com</t>
  </si>
  <si>
    <t>https://resources.simonelectric.com/simon-catalogo-vehiculo-electrico?utm_campaign=SIC%20-%20Veh%C3%ADculo%20El%C3%A9ctrico&amp;utm_medium=email&amp;_hsenc=p2ANqtz-_Alr-SL0IGszZ_tYkBqLZN-zFLCdJJT_nxjoi7G4S7ABl_atF8YdgjtJPhjDXNnEt6gwG8&amp;_hsmi=87085302&amp;utm_content=87085302&amp;utm_source=hs_email&amp;hsCtaTracking=6fedf137-fd90-4f17-bfb4-d61f710ec7f8%7Cf2771843-6636-4969-9010-2d8d0389b89c</t>
  </si>
  <si>
    <t>1280@coitiar.es</t>
  </si>
  <si>
    <t>https://resources.simonelectric.com/simon-catalogo-vehiculo-electrico?utm_campaign=SIC%20-%20Veh%C3%ADculo%20El%C3%A9ctrico&amp;utm_medium=email&amp;_hsenc=p2ANqtz--G-1UbbzyC4tBAr6Lxsz61XhYv-DD66IYAidJQLnVDWFZ0jHjiomK0sUCdG5cn77eNypKC&amp;_hsmi=87085363&amp;utm_content=87085363&amp;utm_source=hs_email&amp;hsCtaTracking=6fedf137-fd90-4f17-bfb4-d61f710ec7f8%7Cf2771843-6636-4969-9010-2d8d0389b89c</t>
  </si>
  <si>
    <t>1281@albillos.com</t>
  </si>
  <si>
    <t>https://resources.simonelectric.com/simon-catalogo-vehiculo-electrico?utm_campaign=SIC%20-%20Veh%C3%ADculo%20El%C3%A9ctrico&amp;utm_medium=email&amp;_hsenc=p2ANqtz--TanHd6qHeig19JCggl26lksC5-ign7JE1f44MG0OHqJeat04FYALhN52e0fGueNDJ5wCr&amp;_hsmi=87085363&amp;utm_content=87085363&amp;utm_source=hs_email&amp;hsCtaTracking=6fedf137-fd90-4f17-bfb4-d61f710ec7f8%7Cf2771843-6636-4969-9010-2d8d0389b89c</t>
  </si>
  <si>
    <t>1282@hotmail.com</t>
  </si>
  <si>
    <t>https://resources.simonelectric.com/simon-catalogo-vehiculo-electrico?utm_campaign=SIC%20-%20Veh%C3%ADculo%20El%C3%A9ctrico&amp;utm_medium=email&amp;_hsenc=p2ANqtz-98dsV5SmSF3wmXOMncDqHKY6hB1dE0ovNXEOboidIIPtk783qQifocyfkPJgGv3tKGiwI3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</si>
  <si>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IHOzkhZpRhlPBMqxaAOjbw0ZeL6bHe6X9mmsBi4rx06d4PiMO_GYJiPpcyilg3_L6pPmR&amp;_hsmi=87085363&amp;utm_content=87085363&amp;utm_source=hs_email&amp;hsCtaTracking=6fedf137-fd90-4f17-bfb4-d61f710ec7f8%7Cf2771843-6636-4969-9010-2d8d0389b89c</t>
  </si>
  <si>
    <t>1283@gmail.com</t>
  </si>
  <si>
    <t>https://resources.simonelectric.com/simon-catalogo-vehiculo-electrico?utm_campaign=SIC%20-%20Veh%C3%ADculo%20El%C3%A9ctrico&amp;utm_medium=email&amp;_hsenc=p2ANqtz-9uQKyp16zBdij83I45U4NozPUXwxHZPbBFDXGPxMTO03_rHT_Nw5VsulCWcguNQYQMHmST&amp;_hsmi=87085363&amp;utm_content=87085363&amp;utm_source=hs_email&amp;hsCtaTracking=6fedf137-fd90-4f17-bfb4-d61f710ec7f8%7Cf2771843-6636-4969-9010-2d8d0389b89c</t>
  </si>
  <si>
    <t>1284@gmail.com</t>
  </si>
  <si>
    <t>https://resources.simonelectric.com/simon-catalogo-vehiculo-electrico?utm_campaign=SIC%20-%20Veh%C3%ADculo%20El%C3%A9ctrico&amp;utm_medium=email&amp;_hsenc=p2ANqtz--BKQ0LPqPCaRH1EpeR2XeDjUh4W8O8DMNN0x_lg0mke--wcrsayERiyxvOf9yzP0WX9JVg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</si>
  <si>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TZMpeBQR5AtUYjQ09fx9MK2QpeaQP8TNZ8C3wXlg_JJgI1_sgY1mNwMo6dNGzAYDHYhb1Fnx4Yn8lcJyZG_VSgxLd2QyLYSPmoEjuYF-9FCAietc&amp;utm_source=hs_email&amp;utm_content=87085363&amp;hsCtaTracking=6fedf137-fd90-4f17-bfb4-d61f710ec7f8%7Cf2771843-6636-4969-9010-2d8d0389b89c</t>
  </si>
  <si>
    <t>1285@e3ingenieria.com</t>
  </si>
  <si>
    <t>https://resources.simonelectric.com/simon-catalogo-vehiculo-electrico?utm_campaign=SIC%20-%20Veh%C3%ADculo%20El%C3%A9ctrico&amp;utm_medium=email&amp;_hsenc=p2ANqtz-8ACQ9rM8cH4t-p_6Fx2r4xFvS-ML611jH5_8RdeB4HhW55v8evXFVemyjpvuECagPETgWS&amp;_hsmi=87085302&amp;utm_content=87085302&amp;utm_source=hs_email&amp;hsCtaTracking=6fedf137-fd90-4f17-bfb4-d61f710ec7f8%7Cf2771843-6636-4969-9010-2d8d0389b89c</t>
  </si>
  <si>
    <t>1286@instalacionespiru.es</t>
  </si>
  <si>
    <t>https://resources.simonelectric.com/simon-catalogo-vehiculo-electrico?utm_campaign=SIC%20-%20Veh%C3%ADculo%20El%C3%A9ctrico&amp;utm_medium=email&amp;_hsenc=p2ANqtz--sCyob7tjR8xrW7EQKNoppKoRPKMCJWB7T_X52WGqpWzgMntkrGGTRo3ooFn87dxwmQqTk&amp;_hsmi=87085363&amp;utm_content=87085363&amp;utm_source=hs_email&amp;hsCtaTracking=6fedf137-fd90-4f17-bfb4-d61f710ec7f8%7Cf2771843-6636-4969-9010-2d8d0389b89c</t>
  </si>
  <si>
    <t>1287@aytosalamanca.es</t>
  </si>
  <si>
    <t>https://resources.simonelectric.com/simon-catalogo-vehiculo-electrico?utm_campaign=SIC%20-%20Veh%C3%ADculo%20El%C3%A9ctrico&amp;utm_medium=email&amp;_hsenc=p2ANqtz-92f0zewLZpoc0MNY_Gk27SAKAGauu1A9aN-WDjRxh5Tf_aV_P3K4NMWjTA2JjZRH3MViYe&amp;_hsmi=87085302&amp;utm_content=87085302&amp;utm_source=hs_email&amp;hsCtaTracking=6fedf137-fd90-4f17-bfb4-d61f710ec7f8%7Cf2771843-6636-4969-9010-2d8d0389b89c</t>
  </si>
  <si>
    <t>1288@serpel.es</t>
  </si>
  <si>
    <t>https://resources.simonelectric.com/simon-catalogo-vehiculo-electrico?utm_campaign=SIC%20-%20Veh%C3%ADculo%20El%C3%A9ctrico&amp;utm_medium=email&amp;_hsenc=p2ANqtz-9QPElNLTct6C-1B_eww8mZ7Xd9NjdAyH0pWL1yDsvdUF11wwYiJok-tpTHoU069peZ982v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</si>
  <si>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IRPPMie-Ot0KBOWqRdaG1a-_GXYY2v6MSmTgLRfOgHBMbdz9y9rHu_lCGlhnT7qyll30Q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</si>
  <si>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fu6v9y7z6J97QmNni2xKAz8f0jM_q7TT5iTuJAhLiPI_Iz1TofLLxqgZtTIh8l0RrYitZ&amp;_hsmi=87085363&amp;utm_content=87085363&amp;utm_source=hs_email&amp;hsCtaTracking=6fedf137-fd90-4f17-bfb4-d61f710ec7f8%7Cf2771843-6636-4969-9010-2d8d0389b89c</t>
  </si>
  <si>
    <t>1289@gmail.com</t>
  </si>
  <si>
    <t>https://resources.simonelectric.com/simon-catalogo-vehiculo-electrico?utm_campaign=SIC%20-%20Veh%C3%ADculo%20El%C3%A9ctrico&amp;utm_medium=email&amp;_hsenc=p2ANqtz-9z_ZYx9BFazKTqxEibyD5xtg_KPpuUBj4CttT1sD1tWYbkqrdxJAiyuh6TK_wI8629zug7&amp;_hsmi=87085363&amp;utm_content=87085363&amp;utm_source=hs_email&amp;hsCtaTracking=6fedf137-fd90-4f17-bfb4-d61f710ec7f8%7Cf2771843-6636-4969-9010-2d8d0389b89c</t>
  </si>
  <si>
    <t>1290@tesma.es</t>
  </si>
  <si>
    <t>https://resources.simonelectric.com/simon-catalogo-vehiculo-electrico?utm_campaign=SIC%20-%20Veh%C3%ADculo%20El%C3%A9ctrico&amp;utm_medium=email&amp;_hsenc=p2ANqtz--xIpwYut_fVzsel6oSAmp-JHCwUFT95wGbYkywpyoxy87R80CpvBx8ByF9yYDsOukvj_QB&amp;_hsmi=87085363&amp;utm_content=87085363&amp;utm_source=hs_email&amp;hsCtaTracking=6fedf137-fd90-4f17-bfb4-d61f710ec7f8%7Cf2771843-6636-4969-9010-2d8d0389b89c</t>
  </si>
  <si>
    <t>1291@macegroup.com</t>
  </si>
  <si>
    <t>https://resources.simonelectric.com/simon-catalogo-vehiculo-electrico?utm_campaign=SIC%20-%20Veh%C3%ADculo%20El%C3%A9ctrico&amp;utm_medium=email&amp;_hsenc=p2ANqtz--q7joo2VMU-rBaed9SmbQ4ZXQ3rEfhJbpRK61P3ExKB3pRE-ANvN-QJDTytBnHYluxuCD5&amp;_hsmi=87085302&amp;utm_content=87085302&amp;utm_source=hs_email&amp;hsCtaTracking=6fedf137-fd90-4f17-bfb4-d61f710ec7f8%7Cf2771843-6636-4969-9010-2d8d0389b89c</t>
  </si>
  <si>
    <t>1292@gmail.com</t>
  </si>
  <si>
    <t>https://resources.simonelectric.com/simon-catalogo-vehiculo-electrico?utm_campaign=SIC%20-%20Veh%C3%ADculo%20El%C3%A9ctrico&amp;utm_medium=email&amp;_hsenc=p2ANqtz-8FKYRAUKzFTrgv9ORIVwqdWMpBRPfg3qOYX7vH9tRHs6KCKhGsPHtwa_z5_XIkp83CG3cH&amp;_hsmi=87085363&amp;utm_content=87085363&amp;utm_source=hs_email&amp;hsCtaTracking=6fedf137-fd90-4f17-bfb4-d61f710ec7f8%7Cf2771843-6636-4969-9010-2d8d0389b89c</t>
  </si>
  <si>
    <t>1293@gmail.com</t>
  </si>
  <si>
    <t>https://resources.simonelectric.com/simon-catalogo-vehiculo-electrico?utm_campaign=SIC%20-%20Veh%C3%ADculo%20El%C3%A9ctrico&amp;utm_medium=email&amp;_hsenc=p2ANqtz-8B44BIgjRUW0MvEKJDhQwbEh8xAaIpfWzgoANl4UXFiXQcX21A4Ukxv22LmBz-pc2AXomc&amp;_hsmi=87085363&amp;utm_content=87085363&amp;utm_source=hs_email&amp;hsCtaTracking=6fedf137-fd90-4f17-bfb4-d61f710ec7f8%7Cf2771843-6636-4969-9010-2d8d0389b89c</t>
  </si>
  <si>
    <t>1294@gmail.com</t>
  </si>
  <si>
    <t>https://resources.simonelectric.com/simon-catalogo-vehiculo-electrico?utm_campaign=SIC%20-%20Veh%C3%ADculo%20El%C3%A9ctrico&amp;utm_medium=email&amp;_hsenc=p2ANqtz--K_C-JR9BB-VvU8iPl4aVrfghcwqFZquOiCt6WJO4xifkvw1b1nlbOn985fkxjsiPqJWW4&amp;_hsmi=87085302&amp;utm_content=87085302&amp;utm_source=hs_email&amp;hsCtaTracking=6fedf137-fd90-4f17-bfb4-d61f710ec7f8%7Cf2771843-6636-4969-9010-2d8d0389b89c</t>
  </si>
  <si>
    <t>1295@hotmail.es</t>
  </si>
  <si>
    <t>https://resources.simonelectric.com/simon-catalogo-vehiculo-electrico?utm_campaign=SIC%20-%20Veh%C3%ADculo%20El%C3%A9ctrico&amp;utm_medium=email&amp;_hsenc=p2ANqtz-8RqEVndMhclBHSgOHUDtZSWtyhZ-OrbuJiHY94EX_4QnIYCwtYjZHF10OdPONCH5eutFW0&amp;_hsmi=87085363&amp;utm_content=87085363&amp;utm_source=hs_email&amp;hsCtaTracking=6fedf137-fd90-4f17-bfb4-d61f710ec7f8%7Cf2771843-6636-4969-9010-2d8d0389b89c</t>
  </si>
  <si>
    <t>1296@gmail.com</t>
  </si>
  <si>
    <t>https://resources.simonelectric.com/simon-catalogo-vehiculo-electrico?utm_campaign=SIC%20-%20Veh%C3%ADculo%20El%C3%A9ctrico&amp;utm_medium=email&amp;_hsenc=p2ANqtz--USEcYbirzne3EkEU4WX3t0XkYP8N1e6Cbd9opS-eINX-15StLqRYk44IZ6_IOBF13BF0l&amp;_hsmi=87085363&amp;utm_content=87085363&amp;utm_source=hs_email&amp;hsCtaTracking=6fedf137-fd90-4f17-bfb4-d61f710ec7f8%7Cf2771843-6636-4969-9010-2d8d0389b89c</t>
  </si>
  <si>
    <t>1297@silmarinstalacions.com</t>
  </si>
  <si>
    <t>https://resources.simonelectric.com/simon-catalogo-vehiculo-electrico?utm_campaign=SIC%20-%20Veh%C3%ADculo%20El%C3%A9ctrico&amp;utm_medium=email&amp;_hsenc=p2ANqtz--pHlgH8sJ5j-VVJjDdurzPz9KvL070U-jO7pVdWhW9HlG_6j9Lu8XX4w8VgLVb6TUlUdgw&amp;_hsmi=87085302&amp;utm_content=87085302&amp;utm_source=hs_email&amp;hsCtaTracking=6fedf137-fd90-4f17-bfb4-d61f710ec7f8%7Cf2771843-6636-4969-9010-2d8d0389b89c</t>
  </si>
  <si>
    <t>1298@gmail.com</t>
  </si>
  <si>
    <t>https://resources.simonelectric.com/simon-catalogo-vehiculo-electrico?utm_campaign=SIC%20-%20Veh%C3%ADculo%20El%C3%A9ctrico&amp;utm_medium=email&amp;_hsenc=p2ANqtz-8b4oaE1b4NeNFaJ9pPSGJplnrNZAE0HPIji52egeFK48-YjUO6tC6eRA8Jw7qgsNSHUMzL&amp;_hsmi=87085363&amp;utm_content=87085363&amp;utm_source=hs_email&amp;hsCtaTracking=6fedf137-fd90-4f17-bfb4-d61f710ec7f8%7Cf2771843-6636-4969-9010-2d8d0389b89c</t>
  </si>
  <si>
    <t>1299@sonepar.es</t>
  </si>
  <si>
    <t>https://resources.simonelectric.com/simon-catalogo-vehiculo-electrico?utm_campaign=SIC%20-%20Veh%C3%ADculo%20El%C3%A9ctrico&amp;utm_medium=email&amp;_hsenc=p2ANqtz-8oj3Et0Up33IdiKbAEyzk2T76b2c3e5dlAO6TOJnO3mx4BbhXLze8gNK3DbsMwWgox1mlC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</si>
  <si>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-90dGi-oCZsU2cBXyTQhTA9eyk1etAzi6jInrVdG4thjSTunjo0Puu8xzBFLtxdSYfq1Dkb&amp;_hsmi=87085302&amp;utm_content=87085302&amp;utm_source=hs_email&amp;hsCtaTracking=6fedf137-fd90-4f17-bfb4-d61f710ec7f8%7Cf2771843-6636-4969-9010-2d8d0389b89c</t>
  </si>
  <si>
    <t>1300@movistar.es</t>
  </si>
  <si>
    <t>https://resources.simonelectric.com/simon-catalogo-vehiculo-electrico?utm_campaign=SIC%20-%20Veh%C3%ADculo%20El%C3%A9ctrico&amp;utm_medium=email&amp;_hsenc=p2ANqtz-_XuAcJcpUABBEvxrRFGR93dkdVveMQzvj186t9i0PeJbqJkUIoiBJxWyh_BnqE0lQt5SlF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</si>
  <si>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jfLMJ6qlQyrDPYdFXoICYggUQyOYCZe0AdvrOrY4odJ0Ah2h2aOD5fmkyIqpxPIE-GitS&amp;_hsmi=87085302&amp;utm_content=87085302&amp;utm_source=hs_email&amp;hsCtaTracking=6fedf137-fd90-4f17-bfb4-d61f710ec7f8%7Cf2771843-6636-4969-9010-2d8d0389b89c</t>
  </si>
  <si>
    <t>1301@electricidadaldama.com</t>
  </si>
  <si>
    <t>https://resources.simonelectric.com/simon-catalogo-vehiculo-electrico?utm_campaign=SIC%20-%20Veh%C3%ADculo%20El%C3%A9ctrico&amp;utm_medium=email&amp;_hsenc=p2ANqtz--9926cUWvs71hyuT-YCB6DtNr08_XBrr46NAzJ8Nhm8pX9w5au_73U7_qY330dM-hddspu&amp;_hsmi=87085363&amp;utm_content=87085363&amp;utm_source=hs_email&amp;hsCtaTracking=6fedf137-fd90-4f17-bfb4-d61f710ec7f8%7Cf2771843-6636-4969-9010-2d8d0389b89c</t>
  </si>
  <si>
    <t>1302@alem.es</t>
  </si>
  <si>
    <t>https://resources.simonelectric.com/simon-catalogo-vehiculo-electrico?utm_campaign=SIC%20-%20Veh%C3%ADculo%20El%C3%A9ctrico&amp;utm_medium=email&amp;_hsmi=87085363&amp;_hsenc=p2ANqtz--HFfO-LzVGtH5eWRB8pug6rcSJKHOLgSfDBqFP6JlobH9DGs6CSw-V1aVayV__gzaAQNpv&amp;utm_content=87085363&amp;utm_source=hs_email</t>
  </si>
  <si>
    <t>1303@hotmail.com</t>
  </si>
  <si>
    <t>https://resources.simonelectric.com/simon-catalogo-vehiculo-electrico?utm_campaign=SIC%20-%20Veh%C3%ADculo%20El%C3%A9ctrico&amp;utm_medium=email&amp;_hsenc=p2ANqtz-_ociPnsfobuSdNWupwBbelfKsQ6qzyTDI361YG-OBLHrp5rHVL5rCJYKqnIy-TB7dKMf5I&amp;_hsmi=87085363&amp;utm_content=87085363&amp;utm_source=hs_email&amp;hsCtaTracking=6fedf137-fd90-4f17-bfb4-d61f710ec7f8%7Cf2771843-6636-4969-9010-2d8d0389b89c</t>
  </si>
  <si>
    <t>1304@ingenibo.com</t>
  </si>
  <si>
    <t>https://resources.simonelectric.com/simon-catalogo-vehiculo-electrico?utm_campaign=SIC%20-%20Veh%C3%ADculo%20El%C3%A9ctrico&amp;utm_medium=email&amp;_hsenc=p2ANqtz-9vZbR-w6gjQLagwENJ8OTxVjckkFGuwAF8uszaq9E9FCNpUp1aVll83ZrnvI5po9Vh2E8l&amp;_hsmi=87085302&amp;utm_content=87085302&amp;utm_source=hs_email&amp;hsCtaTracking=6fedf137-fd90-4f17-bfb4-d61f710ec7f8%7Cf2771843-6636-4969-9010-2d8d0389b89c</t>
  </si>
  <si>
    <t>1305@checa67.es</t>
  </si>
  <si>
    <t>https://resources.simonelectric.com/simon-catalogo-vehiculo-electrico?utm_campaign=SIC%20-%20Veh%C3%ADculo%20El%C3%A9ctrico&amp;utm_medium=email&amp;_hsenc=p2ANqtz-9rVAof5g96R5mHgrerkEbiMimLMjAQNWKLUeICS4NnGlKLvM_vv3h_Nzlpm90F2NDqVdQl&amp;_hsmi=87085302&amp;utm_content=87085302&amp;utm_source=hs_email&amp;hsCtaTracking=6fedf137-fd90-4f17-bfb4-d61f710ec7f8%7Cf2771843-6636-4969-9010-2d8d0389b89c</t>
  </si>
  <si>
    <t>1306@instalacionesyobrasdelrio.com</t>
  </si>
  <si>
    <t>https://resources.simonelectric.com/simon-catalogo-vehiculo-electrico?utm_campaign=SIC%20-%20Veh%C3%ADculo%20El%C3%A9ctrico&amp;utm_medium=email&amp;_hsenc=p2ANqtz--PTtExezCZ9MoSW4oOuz3qmnJ_fEozRQ0ftszUKC6oncR7nUK8udLjyQGVxRuOeiTCjniM&amp;_hsmi=87085363&amp;utm_content=87085363&amp;utm_source=hs_email&amp;hsCtaTracking=6fedf137-fd90-4f17-bfb4-d61f710ec7f8%7Cf2771843-6636-4969-9010-2d8d0389b89c</t>
  </si>
  <si>
    <t>1307@gmail.com</t>
  </si>
  <si>
    <t>https://resources.simonelectric.com/simon-catalogo-vehiculo-electrico?utm_campaign=SIC%20-%20Veh%C3%ADculo%20El%C3%A9ctrico&amp;utm_medium=email&amp;_hsenc=p2ANqtz--XYzlp0VFpp-_N0vAZHlbBHEVemEYyAlLtxXc6x1NH14ueCz7MybgVDIpbpsJzo1PJplTR&amp;_hsmi=87085363&amp;utm_content=87085363&amp;utm_source=hs_email&amp;hsCtaTracking=6fedf137-fd90-4f17-bfb4-d61f710ec7f8%7Cf2771843-6636-4969-9010-2d8d0389b89c</t>
  </si>
  <si>
    <t>1308@tdgi.pt</t>
  </si>
  <si>
    <t>https://resources.simonelectric.com/simon-catalogo-vehiculo-electrico?utm_campaign=SIC%20-%20Veh%C3%ADculo%20El%C3%A9ctrico&amp;utm_medium=email&amp;_hsenc=p2ANqtz-84Lbn-OF0b3Q2PNDIL_wqZyMk2B7xegfeNBYVjiL8zOdX37jBn_0FaHHm6UOlMUkCM7CQl&amp;_hsmi=87085363&amp;utm_content=87085363&amp;utm_source=hs_email&amp;hsCtaTracking=6fedf137-fd90-4f17-bfb4-d61f710ec7f8%7Cf2771843-6636-4969-9010-2d8d0389b89c</t>
  </si>
  <si>
    <t>1309@gmail.com</t>
  </si>
  <si>
    <t>https://resources.simonelectric.com/simon-catalogo-vehiculo-electrico?utm_campaign=SIC%20-%20Veh%C3%ADculo%20El%C3%A9ctrico&amp;utm_medium=email&amp;_hsenc=p2ANqtz-858hWemfRw5Y6h39qkz8nrSa2cJr2VBxFkTEUqcLMqSPHjzpODCgGo5CR9j29Vsw4_ajpQ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</si>
  <si>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vGKXXeIIFij2WPtjIsB-fPwQVYbvl3dBI7GDXZchGxZRrrLhX_IuFQEdlIk1lfX9mooWA&amp;_hsmi=87085302&amp;utm_content=87085302&amp;utm_source=hs_email&amp;hsCtaTracking=6fedf137-fd90-4f17-bfb4-d61f710ec7f8%7Cf2771843-6636-4969-9010-2d8d0389b89c</t>
  </si>
  <si>
    <t>1310@hotmail.com</t>
  </si>
  <si>
    <t>https://resources.simonelectric.com/simon-catalogo-vehiculo-electrico?utm_campaign=SIC%20-%20Veh%C3%ADculo%20El%C3%A9ctrico&amp;utm_medium=email&amp;_hsenc=p2ANqtz-_Rd4mKPmIgOvvaIKQeiaOaGvSXCEkwXOJgaiBgptPIu9RxZbBfbWaVF9CUVmwTzjxFMAdV&amp;_hsmi=87085363&amp;utm_content=87085363&amp;utm_source=hs_email&amp;hsCtaTracking=6fedf137-fd90-4f17-bfb4-d61f710ec7f8%7Cf2771843-6636-4969-9010-2d8d0389b89c</t>
  </si>
  <si>
    <t>1311@gmail.com</t>
  </si>
  <si>
    <t>https://resources.simonelectric.com/simon-catalogo-vehiculo-electrico?utm_campaign=SIC%20-%20Veh%C3%ADculo%20El%C3%A9ctrico&amp;utm_medium=email&amp;_hsenc=p2ANqtz--QrjvRwkw5kC42zPLov3dkO7eZ21Je53vvDYpn5De_nrG_O42yESbHlnUZYMJ_IFa7V6W_&amp;_hsmi=87085302&amp;utm_content=87085302&amp;utm_source=hs_email&amp;hsCtaTracking=6fedf137-fd90-4f17-bfb4-d61f710ec7f8%7Cf2771843-6636-4969-9010-2d8d0389b89c</t>
  </si>
  <si>
    <t>1312@gmail.com</t>
  </si>
  <si>
    <t>https://resources.simonelectric.com/simon-ebook-vehiculo-electrico-ppc?utm_source=facebook&amp;utm_medium=social_ads&amp;utm_campaign=vehiculo_electrico&amp;fbclid=IwAR2eMRFAhi1TDSrGROZ9Syvxn1NDLuq5cmFF57Ti6X5ESNZ5wnTlpqo2yh0</t>
  </si>
  <si>
    <t>1313@adober.es</t>
  </si>
  <si>
    <t>https://resources.simonelectric.com/simon-catalogo-vehiculo-electrico?utm_campaign=SIC%20-%20Veh%C3%ADculo%20El%C3%A9ctrico&amp;utm_medium=email&amp;_hsenc=p2ANqtz-8ba7bym8iOeTjdtC3ewyv9b8-pWmUKbLYHef0sqIA6XX2ijLJ5CZVgVkLTJobwyQKXMzhc&amp;_hsmi=87085302&amp;utm_content=87085302&amp;utm_source=hs_email&amp;hsCtaTracking=6fedf137-fd90-4f17-bfb4-d61f710ec7f8%7Cf2771843-6636-4969-9010-2d8d0389b89c</t>
  </si>
  <si>
    <t>1314@jtelectricperu.com</t>
  </si>
  <si>
    <t>https://resources.simonelectric.com/simon-catalogo-vehiculo-electrico?utm_campaign=SIC%20-%20Veh%C3%ADculo%20El%C3%A9ctrico&amp;utm_medium=email&amp;_hsenc=p2ANqtz-9PBtgE9vmoY7lzuAyrQ8F0gAmcGcWx8a9U4kET-WNuASMCyqqR5-bhUUFTH1UbCu1X8E35&amp;_hsmi=87085363&amp;utm_content=87085363&amp;utm_source=hs_email&amp;hsCtaTracking=6fedf137-fd90-4f17-bfb4-d61f710ec7f8%7Cf2771843-6636-4969-9010-2d8d0389b89c</t>
  </si>
  <si>
    <t>1315@riello-tdl.com</t>
  </si>
  <si>
    <t>https://resources.simonelectric.com/simon-catalogo-vehiculo-electrico?utm_campaign=SIC%20-%20Veh%C3%ADculo%20El%C3%A9ctrico&amp;utm_medium=email&amp;_hsenc=p2ANqtz--oNGlpTJPn0V2YdCMC_AJeLhRshwA1vtodP8aWE-D1TyqD2MyLGIQdKXDQY8vocOPdwwmf&amp;_hsmi=87085363&amp;utm_content=87085363&amp;utm_source=hs_email&amp;hsCtaTracking=6fedf137-fd90-4f17-bfb4-d61f710ec7f8%7Cf2771843-6636-4969-9010-2d8d0389b89c</t>
  </si>
  <si>
    <t>1316@proyndust.es</t>
  </si>
  <si>
    <t>https://resources.simonelectric.com/simon-catalogo-vehiculo-electrico?utm_campaign=SIC%20-%20Veh%C3%ADculo%20El%C3%A9ctrico&amp;utm_medium=email&amp;_hsenc=p2ANqtz-_60LMrP5SgVAUWyLJIsNsnC-xCF9Vr9yqLrEC6Te0XH8CJxNW0nJyauQ1TJ6ejRCdhiniXc4T6Tr5CLgt3HQW8eXqdNQ&amp;utm_source=hs_email&amp;utm_content=87085363&amp;hsCtaTracking=6fedf137-fd90-4f17-bfb4-d61f710ec7f8%7Cf2771843-6636-4969-9010-2d8d0389b89c</t>
  </si>
  <si>
    <t>1317@gmail.com</t>
  </si>
  <si>
    <t>https://resources.simonelectric.com/simon-catalogo-vehiculo-electrico?utm_campaign=SIC%20-%20Veh%C3%ADculo%20El%C3%A9ctrico&amp;utm_medium=email&amp;_hsenc=p2ANqtz--cRos6nigakW0dSG7KMuE3vupnHdmz70pjX0Cm9eDbWWsHMqmyWy6ch85AZ1oIqh86zFZ1&amp;_hsmi=87085363&amp;utm_content=87085363&amp;utm_source=hs_email&amp;hsCtaTracking=6fedf137-fd90-4f17-bfb4-d61f710ec7f8%7Cf2771843-6636-4969-9010-2d8d0389b89c</t>
  </si>
  <si>
    <t>1318@inteleclamancha.com</t>
  </si>
  <si>
    <t>https://resources.simonelectric.com/simon-catalogo-vehiculo-electrico?utm_campaign=SIC%20-%20Veh%C3%ADculo%20El%C3%A9ctrico&amp;utm_medium=email&amp;_hsmi=87085363&amp;_hsenc=p2ANqtz-8-7zcXFWnnSYKDgQIwL4LCA4yFX0gbO2rfAQ89pFeoPP4MBpNXVxmNuvRnU7x_aDzHP9cY&amp;utm_content=87085363&amp;utm_source=hs_email</t>
  </si>
  <si>
    <t>1319@masfarne.info</t>
  </si>
  <si>
    <t>https://resources.simonelectric.com/simon-catalogo-vehiculo-electrico?utm_campaign=SIC%20-%20Veh%C3%ADculo%20El%C3%A9ctrico&amp;utm_medium=email&amp;_hsenc=p2ANqtz-_JZOUzYIWZQaxUg5Dcj3i6yyXIwFzzAWdn1HNTn8H-23VUWAVjcXld-zDWgA7zFY5Qw158&amp;_hsmi=87085363&amp;utm_content=87085363&amp;utm_source=hs_email&amp;hsCtaTracking=6fedf137-fd90-4f17-bfb4-d61f710ec7f8%7Cf2771843-6636-4969-9010-2d8d0389b89c</t>
  </si>
  <si>
    <t>1320@gmail.com</t>
  </si>
  <si>
    <t>https://resources.simonelectric.com/simon-catalogo-vehiculo-electrico?utm_campaign=SIC%20-%20Veh%C3%ADculo%20El%C3%A9ctrico&amp;utm_medium=email&amp;_hsenc=p2ANqtz--76ezADRIkm2WLblm1Zikrw13pYqtNXTMdvzEHodarxR0VoXAIEL074DjnTBbWwap5pBF9&amp;_hsmi=87085302&amp;utm_content=87085302&amp;utm_source=hs_email&amp;hsCtaTracking=6fedf137-fd90-4f17-bfb4-d61f710ec7f8%7Cf2771843-6636-4969-9010-2d8d0389b89c</t>
  </si>
  <si>
    <t>1321@gmail.com</t>
  </si>
  <si>
    <t>https://resources.simonelectric.com/simon-catalogo-vehiculo-electrico?utm_campaign=SIC%20-%20Veh%C3%ADculo%20El%C3%A9ctrico&amp;utm_medium=email&amp;_hsenc=p2ANqtz-8Zf67wGIIZY6sn6xHjdjcpLT-Vm3sgIvErfM3KHTZPIUNvbvntKs7P6P2MnTqSXEK8N41-&amp;_hsmi=87085363&amp;utm_content=87085363&amp;utm_source=hs_email&amp;hsCtaTracking=6fedf137-fd90-4f17-bfb4-d61f710ec7f8%7Cf2771843-6636-4969-9010-2d8d0389b89c</t>
  </si>
  <si>
    <t>1322@gmail.com</t>
  </si>
  <si>
    <t>https://resources.simonelectric.com/simon-catalogo-vehiculo-electrico?utm_campaign=SIC%20-%20Veh%C3%ADculo%20El%C3%A9ctrico&amp;utm_medium=email&amp;_hsenc=p2ANqtz-9BLtGn5IJ69lQ-SUNXx9rXIBV40mmfYMrP2n_ofniCFcIL_wLKSvIGoRAgZQGtAW_MrP3Q&amp;_hsmi=87085363&amp;utm_content=87085363&amp;utm_source=hs_email&amp;hsCtaTracking=6fedf137-fd90-4f17-bfb4-d61f710ec7f8%7Cf2771843-6636-4969-9010-2d8d0389b89c</t>
  </si>
  <si>
    <t>1323@gmail.com</t>
  </si>
  <si>
    <t>https://resources.simonelectric.com/simon-catalogo-vehiculo-electrico?utm_campaign=SIC%20-%20Veh%C3%ADculo%20El%C3%A9ctrico&amp;utm_medium=email&amp;_hsenc=p2ANqtz-_M4_P4ld5a2I5VG-DUAYYss3L6gxYk4mMJlqsJEDEbb6h4w17nf-lrdkgcArpKle5r4T_8&amp;_hsmi=87085363&amp;utm_content=87085363&amp;utm_source=hs_email&amp;hsCtaTracking=6fedf137-fd90-4f17-bfb4-d61f710ec7f8%7Cf2771843-6636-4969-9010-2d8d0389b89c</t>
  </si>
  <si>
    <t>1324@hotmail.com</t>
  </si>
  <si>
    <t>https://resources.simonelectric.com/simon-ebook-vehiculo-electrico?utm_campaign=SIC%20-%20Veh%C3%ADculo%20El%C3%A9ctrico&amp;utm_medium=email&amp;_hsenc=p2ANqtz--QC2UVWjrXrXh5j1EQaq6FWn6kzn9ZDzwZLhgZHKoQDXJlCguApmFVEiAoBn1fFQbnt55fkr0ijjjZpjIfh1tOVYKWaQ&amp;_hsmi=71033675&amp;utm_source=hs_automation&amp;utm_content=71033675&amp;hsCtaTracking=2e94ebfc-d414-4389-870c-d2f266a9420b%7C587ac4dc-a49a-4bdc-b449-e36f5d95395b</t>
  </si>
  <si>
    <t>1325@gmail.com</t>
  </si>
  <si>
    <t>https://resources.simonelectric.com/simon-catalogo-vehiculo-electrico?utm_campaign=SIC%20-%20Veh%C3%ADculo%20El%C3%A9ctrico&amp;utm_medium=email&amp;_hsmi=87085302&amp;_hsenc=p2ANqtz-_NoVD08xjGhyX7wGTmPmCWmCH6FJ6qS9dRm1WMrYlWzBVtXfMDzPvdEYUccipA-Q8Qps3c&amp;utm_content=87085302&amp;utm_source=hs_email</t>
  </si>
  <si>
    <t>1326@saltoki.es</t>
  </si>
  <si>
    <t>https://resources.simonelectric.com/simon-catalogo-vehiculo-electrico?utm_campaign=SIC%20-%20Veh%C3%ADculo%20El%C3%A9ctrico&amp;utm_medium=email&amp;_hsenc=p2ANqtz-8PUl6PRskVz3_FA9_GwEwAHvBwyQt3Q1AcyvLfohl0xhdnlH1Xq6vp1QWUcAuqC7V0jUkF&amp;_hsmi=87085363&amp;utm_content=87085363&amp;utm_source=hs_email&amp;hsCtaTracking=6fedf137-fd90-4f17-bfb4-d61f710ec7f8%7Cf2771843-6636-4969-9010-2d8d0389b89c</t>
  </si>
  <si>
    <t>1327@tinet.org</t>
  </si>
  <si>
    <t>https://resources.simonelectric.com/simon-catalogo-vehiculo-electrico?utm_campaign=SIC%20-%20Veh%C3%ADculo%20El%C3%A9ctrico&amp;utm_medium=email&amp;_hsenc=p2ANqtz-9V5TqTzF76zLg4S25Z1PN_AElRJFyYjH9C1roZaapHMjGE16MDj2UeyDcASVkfT13UHkRG&amp;_hsmi=87085363&amp;utm_content=87085363&amp;utm_source=hs_email&amp;hsCtaTracking=6fedf137-fd90-4f17-bfb4-d61f710ec7f8%7Cf2771843-6636-4969-9010-2d8d0389b89c</t>
  </si>
  <si>
    <t>1328@gmail.com</t>
  </si>
  <si>
    <t>https://resources.simonelectric.com/simon-catalogo-vehiculo-electrico?utm_campaign=SIC%20-%20Veh%C3%ADculo%20El%C3%A9ctrico&amp;utm_medium=email&amp;_hsenc=p2ANqtz-9fbpxrrFu7WJfyeI3o85jGKV0oYzhBUmbi-jvPxDZz3sWP_8hk9W8CBIbEZR5DqEl_GqwL&amp;_hsmi=87085363&amp;utm_content=87085363&amp;utm_source=hs_email&amp;hsCtaTracking=6fedf137-fd90-4f17-bfb4-d61f710ec7f8%7Cf2771843-6636-4969-9010-2d8d0389b89c</t>
  </si>
  <si>
    <t>1329@gmail.com</t>
  </si>
  <si>
    <t>https://resources.simonelectric.com/simon-catalogo-vehiculo-electrico?utm_campaign=SIC%20-%20Veh%C3%ADculo%20El%C3%A9ctrico&amp;utm_medium=email&amp;_hsenc=p2ANqtz-9I5lSkj9V9MjXP4S3bZ0MgbZQmuUk9IR-HrYfNZpu_21PVQObUN6Q4n6wKrWxwJ5eOEXr5&amp;_hsmi=87085363&amp;utm_content=87085363&amp;utm_source=hs_email&amp;hsCtaTracking=6fedf137-fd90-4f17-bfb4-d61f710ec7f8%7Cf2771843-6636-4969-9010-2d8d0389b89c</t>
  </si>
  <si>
    <t>1330@comb.cat</t>
  </si>
  <si>
    <t>https://resources.simonelectric.com/simon-catalogo-vehiculo-electrico?utm_campaign=SIC%20-%20Veh%C3%ADculo%20El%C3%A9ctrico&amp;utm_medium=email&amp;_hsenc=p2ANqtz-_-1ynjd-xMPxCgasOzMCnAtSm9pviCQO_7FeYlTrvY-TFhIR1aVA1gXceOAY9RxhOaT2Vk&amp;_hsmi=87085363&amp;utm_content=87085363&amp;utm_source=hs_email&amp;hsCtaTracking=6fedf137-fd90-4f17-bfb4-d61f710ec7f8%7Cf2771843-6636-4969-9010-2d8d0389b89c</t>
  </si>
  <si>
    <t>1331@gmail.com</t>
  </si>
  <si>
    <t>https://resources.simonelectric.com/simon-catalogo-vehiculo-electrico?utm_campaign=SIC%20-%20Veh%C3%ADculo%20El%C3%A9ctrico&amp;utm_medium=email&amp;_hsenc=p2ANqtz-8ZT1v_Z5nZA3zZMpzQeDmbfpPmhkxnfQrhIg0bdwP41LYC_Qy5qqAf7SAIgJD8vPCmn7kf&amp;_hsmi=87085363&amp;utm_content=87085363&amp;utm_source=hs_email&amp;hsCtaTracking=6fedf137-fd90-4f17-bfb4-d61f710ec7f8%7Cf2771843-6636-4969-9010-2d8d0389b89c</t>
  </si>
  <si>
    <t>1332@novarquia.es</t>
  </si>
  <si>
    <t>https://resources.simonelectric.com/simon-catalogo-vehiculo-electrico?utm_campaign=SIC%20-%20Veh%C3%ADculo%20El%C3%A9ctrico&amp;utm_medium=email&amp;_hsenc=p2ANqtz-9s3ZgLzr2gECDWXCfReAWGFVr4211FHNINnq2qKtn724OlTJe3JaLwcdhOj0aEjEf8OC4q&amp;_hsmi=87085302&amp;utm_content=87085302&amp;utm_source=hs_email&amp;hsCtaTracking=6fedf137-fd90-4f17-bfb4-d61f710ec7f8%7Cf2771843-6636-4969-9010-2d8d0389b89c</t>
  </si>
  <si>
    <t>1333@lantec.es</t>
  </si>
  <si>
    <t>https://resources.simonelectric.com/simon-catalogo-vehiculo-electrico?utm_campaign=SIC%20-%20Veh%C3%ADculo%20El%C3%A9ctrico&amp;utm_medium=email&amp;_hsenc=p2ANqtz-8WE7ruMQxCJaB1I6NSweKWouoJWk-u6DY7AiQbRkFjZBwjX5PeN4wEWT5M5n7mWeG9uYjm&amp;_hsmi=87085363&amp;utm_content=87085363&amp;utm_source=hs_email&amp;hsCtaTracking=6fedf137-fd90-4f17-bfb4-d61f710ec7f8%7Cf2771843-6636-4969-9010-2d8d0389b89c</t>
  </si>
  <si>
    <t>1334@hotmail.es</t>
  </si>
  <si>
    <t>https://resources.simonelectric.com/simon-catalogo-vehiculo-electrico?utm_campaign=SIC%20-%20Veh%C3%ADculo%20El%C3%A9ctrico&amp;utm_medium=email&amp;_hsenc=p2ANqtz-8gemTqDVi9Q3MgTJpoiN8l6wo9aZWkkcBm0SfDf8yxZRtBYXtsk61kbNLOPWTDW382_nPm&amp;_hsmi=87085363&amp;utm_content=87085363&amp;utm_source=hs_email&amp;hsCtaTracking=6fedf137-fd90-4f17-bfb4-d61f710ec7f8%7Cf2771843-6636-4969-9010-2d8d0389b89c</t>
  </si>
  <si>
    <t>1335@santalucia.es</t>
  </si>
  <si>
    <t>https://resources.simonelectric.com/simon-catalogo-vehiculo-electrico?utm_campaign=SIC%20-%20Veh%C3%ADculo%20El%C3%A9ctrico&amp;utm_medium=email&amp;_hsenc=p2ANqtz-9BD1iMz4j4yHNJXU59ikam0_FoK6enV4z3p1kpyAx0MW4zb2u5zA59bhgmMZodp5_OfBI0&amp;_hsmi=87085363&amp;utm_content=87085363&amp;utm_source=hs_email&amp;hsCtaTracking=6fedf137-fd90-4f17-bfb4-d61f710ec7f8%7Cf2771843-6636-4969-9010-2d8d0389b89c</t>
  </si>
  <si>
    <t>1336@yahoo.es</t>
  </si>
  <si>
    <t>https://resources.simonelectric.com/simon-catalogo-vehiculo-electrico?utm_campaign=SIC%20-%20Veh%C3%ADculo%20El%C3%A9ctrico&amp;utm_medium=email&amp;_hsenc=p2ANqtz-_yuRLhyaZbcjcbluw6kTuFToo4ugJulNODa51gtjaY0WHhPJ5QCU9oZ9OO0zOtjbzFEK4Q&amp;_hsmi=87085363&amp;utm_content=87085363&amp;utm_source=hs_email&amp;hsCtaTracking=6fedf137-fd90-4f17-bfb4-d61f710ec7f8%7Cf2771843-6636-4969-9010-2d8d0389b89c</t>
  </si>
  <si>
    <t>1337@grupoelectrostocks.com</t>
  </si>
  <si>
    <t>https://resources.simonelectric.com/simon-catalogo-vehiculo-electrico?utm_campaign=SIC%20-%20Veh%C3%ADculo%20El%C3%A9ctrico&amp;utm_medium=email&amp;_hsenc=p2ANqtz-8CmoXUQm-XJEcsmpGVwjIJRXBnmDsB9_OUMeKbzyrQENePwlMtyqQBcsWyN1kqS_LSN2Ij&amp;_hsmi=87085363&amp;utm_content=87085363&amp;utm_source=hs_email&amp;hsCtaTracking=6fedf137-fd90-4f17-bfb4-d61f710ec7f8%7Cf2771843-6636-4969-9010-2d8d0389b89c</t>
  </si>
  <si>
    <t>1338@gmail.com</t>
  </si>
  <si>
    <t>https://resources.simonelectric.com/simon-catalogo-vehiculo-electrico?utm_campaign=SIC%20-%20Veh%C3%ADculo%20El%C3%A9ctrico&amp;utm_medium=email&amp;_hsenc=p2ANqtz-9c-YeYlQvzbfl0ebJfFRPf4BzN2IHL6FQndVtHxVUYp0dfkl9OObz61ertiRV8Cq56Pmba&amp;_hsmi=87085363&amp;utm_content=87085363&amp;utm_source=hs_email&amp;hsCtaTracking=6fedf137-fd90-4f17-bfb4-d61f710ec7f8%7Cf2771843-6636-4969-9010-2d8d0389b89c</t>
  </si>
  <si>
    <t>1339@electrogalmar.es</t>
  </si>
  <si>
    <t>https://resources.simonelectric.com/simon-catalogo-vehiculo-electrico?utm_campaign=SIC%20-%20Veh%C3%ADculo%20El%C3%A9ctrico&amp;utm_medium=email&amp;_hsenc=p2ANqtz-8etvR5U0EdPy6ggIvFt7qJRBWZFSE7cTqeI9SMW2qYb9KmcWFkV1NV9D8ODevYYx2-idQp&amp;_hsmi=87085302&amp;utm_content=87085302&amp;utm_source=hs_email&amp;hsCtaTracking=6fedf137-fd90-4f17-bfb4-d61f710ec7f8%7Cf2771843-6636-4969-9010-2d8d0389b89c</t>
  </si>
  <si>
    <t>1340@silezgrup.com</t>
  </si>
  <si>
    <t>https://resources.simonelectric.com/simon-catalogo-vehiculo-electrico?utm_campaign=SIC%20-%20Veh%C3%ADculo%20El%C3%A9ctrico&amp;utm_medium=email&amp;_hsenc=p2ANqtz-9CAlZht3xkAD7pGjGgPRDHkHdc-YnQReH7iHnxdCPIcuEgW_RtGc1kMdBQovfJCADuhE5p&amp;_hsmi=87085363&amp;utm_content=87085363&amp;utm_source=hs_email&amp;hsCtaTracking=6fedf137-fd90-4f17-bfb4-d61f710ec7f8%7Cf2771843-6636-4969-9010-2d8d0389b89c</t>
  </si>
  <si>
    <t>1341@electricidadinstalvi.com</t>
  </si>
  <si>
    <t>https://resources.simonelectric.com/simon-catalogo-vehiculo-electrico?utm_campaign=SIC%20-%20Veh%C3%ADculo%20El%C3%A9ctrico&amp;utm_medium=email&amp;_hsenc=p2ANqtz-9-gnIxYrbJsm1TMpb4HUdmPCkhgdfQhDGL4VzYYRI2S3AKDSOx72S6bt2pph5_HRpe5pJ8&amp;_hsmi=87085363&amp;utm_content=87085363&amp;utm_source=hs_email&amp;hsCtaTracking=6fedf137-fd90-4f17-bfb4-d61f710ec7f8%7Cf2771843-6636-4969-9010-2d8d0389b89c</t>
  </si>
  <si>
    <t>1342@ic3sl.com</t>
  </si>
  <si>
    <t>https://resources.simonelectric.com/simon-catalogo-vehiculo-electrico?utm_campaign=SIC%20-%20Veh%C3%ADculo%20El%C3%A9ctrico&amp;utm_medium=email&amp;_hsenc=p2ANqtz-94cPHW8gb5uwOsZeEWZG66lzBEvkZ-u9ilfzpIpcGr8hdLd_zuOeNFcv6q8F3town4YXFm&amp;_hsmi=87085302&amp;utm_content=87085302&amp;utm_source=hs_email&amp;hsCtaTracking=6fedf137-fd90-4f17-bfb4-d61f710ec7f8%7Cf2771843-6636-4969-9010-2d8d0389b89c</t>
  </si>
  <si>
    <t>1343@hotmail.com</t>
  </si>
  <si>
    <t>https://resources.simonelectric.com/simon-catalogo-vehiculo-electrico?utm_campaign=SIC%20-%20Veh%C3%ADculo%20El%C3%A9ctrico&amp;utm_medium=email&amp;_hsenc=p2ANqtz-_NpMH9krf_VQd9XQqjwp7sLHc2Cm5gzBz_a7YAcIyf63maS7nVm0VhUoYAzIU3miVrb-Vm&amp;_hsmi=87085363&amp;utm_content=87085363&amp;utm_source=hs_email&amp;hsCtaTracking=6fedf137-fd90-4f17-bfb4-d61f710ec7f8%7Cf2771843-6636-4969-9010-2d8d0389b89c</t>
  </si>
  <si>
    <t>1344@gmail.com</t>
  </si>
  <si>
    <t>https://resources.simonelectric.com/simon-catalogo-vehiculo-electrico?utm_campaign=SIC%20-%20Veh%C3%ADculo%20El%C3%A9ctrico&amp;utm_medium=email&amp;_hsenc=p2ANqtz-9L8z2-gaxNDxgcKWkQwGa2RWudnoTR6OOHOMDFnpBoESSmjrBLNnC0l7gb-b4JAc3kzkDd&amp;_hsmi=87085363&amp;utm_content=87085363&amp;utm_source=hs_email&amp;hsCtaTracking=6fedf137-fd90-4f17-bfb4-d61f710ec7f8%7Cf2771843-6636-4969-9010-2d8d0389b89c</t>
  </si>
  <si>
    <t>1345@telefonica.net</t>
  </si>
  <si>
    <t>https://resources.simonelectric.com/simon-catalogo-vehiculo-electrico?utm_campaign=SIC%20-%20Veh%C3%ADculo%20El%C3%A9ctrico&amp;utm_medium=email&amp;_hsmi=87085363&amp;_hsenc=p2ANqtz--PA-xBLQGbVljJ0DWk6uDURZQqXfjJj8K_uCgkW71C55MgBgNNunv2bD25aVBf0qQHgK4q&amp;utm_content=87085363&amp;utm_source=hs_email</t>
  </si>
  <si>
    <t>1346@boslan.com</t>
  </si>
  <si>
    <t>https://resources.simonelectric.com/simon-catalogo-vehiculo-electrico?utm_campaign=SIC%20-%20Veh%C3%ADculo%20El%C3%A9ctrico&amp;utm_medium=email&amp;_hsenc=p2ANqtz--0c27f0AW9lPjDjb0gjFEp7r6GAaHugLbDaK12azFI01VdjYliq4etKzBK19itOSNktM0Z&amp;_hsmi=87085363&amp;utm_content=87085363&amp;utm_source=hs_email&amp;hsCtaTracking=6fedf137-fd90-4f17-bfb4-d61f710ec7f8%7Cf2771843-6636-4969-9010-2d8d0389b89c</t>
  </si>
  <si>
    <t>1347@ormazabal.com</t>
  </si>
  <si>
    <t>https://resources.simonelectric.com/simon-catalogo-vehiculo-electrico?utm_campaign=SIC%20-%20Veh%C3%ADculo%20El%C3%A9ctrico&amp;utm_medium=email&amp;_hsenc=p2ANqtz-8BnByRUOJ4x4fdSpQlDtRzrxEpyu1FyI2auyBnn0BIVeC8iYYE9PV0ozQGgl1shrgsgDaM&amp;_hsmi=87085363&amp;utm_content=87085363&amp;utm_source=hs_email&amp;hsCtaTracking=6fedf137-fd90-4f17-bfb4-d61f710ec7f8%7Cf2771843-6636-4969-9010-2d8d0389b89c</t>
  </si>
  <si>
    <t>1348@gmail.com</t>
  </si>
  <si>
    <t>https://resources.simonelectric.com/simon-catalogo-vehiculo-electrico?utm_campaign=SIC%20-%20Veh%C3%ADculo%20El%C3%A9ctrico&amp;utm_medium=email&amp;_hsenc=p2ANqtz-9ICyrQIV31qzszyJoG8Re9oZEAzH5fUoflTk7zcJoBo_N6mggy9RMRKObzciVX3LVhug2k&amp;_hsmi=87085363&amp;utm_content=87085363&amp;utm_source=hs_email&amp;hsCtaTracking=6fedf137-fd90-4f17-bfb4-d61f710ec7f8%7Cf2771843-6636-4969-9010-2d8d0389b89c</t>
  </si>
  <si>
    <t>1349@gmail.com</t>
  </si>
  <si>
    <t>1350@gmail.com</t>
  </si>
  <si>
    <t>https://resources.simonelectric.com/simon-catalogo-vehiculo-electrico?utm_campaign=SIC%20-%20Veh%C3%ADculo%20El%C3%A9ctrico&amp;utm_medium=email&amp;_hsenc=p2ANqtz-8-UODwb4SiDYvatPyWT6YocGmO-nvWSNWcJCnwySo7WDgd4Yir1rp_wImHT6vMXVCCxFr2&amp;_hsmi=87085363&amp;utm_content=87085363&amp;utm_source=hs_email&amp;hsCtaTracking=6fedf137-fd90-4f17-bfb4-d61f710ec7f8%7Cf2771843-6636-4969-9010-2d8d0389b89c</t>
  </si>
  <si>
    <t>1351@conselldemallorca.net</t>
  </si>
  <si>
    <t>https://resources.simonelectric.com/simon-catalogo-vehiculo-electrico?__hstc=83084745.a3a4201c505b56977679c63e8f9f9418.1588164584779.1588164584779.1588164584779.1&amp;__hssc=83084745.2.1588164584780&amp;__hsfp=3208746756</t>
  </si>
  <si>
    <t>1352@autelec.net</t>
  </si>
  <si>
    <t>https://resources.simonelectric.com/simon-catalogo-vehiculo-electrico?utm_campaign=SIC%20-%20Veh%C3%ADculo%20El%C3%A9ctrico&amp;utm_medium=email&amp;_hsenc=p2ANqtz-9fhy_t1dtGR3td3tvbTk5zNManU2kw6QPV7jmOuDh7LrxTERQdTWck64BLkp2Bu90Hlfgs&amp;_hsmi=87085302&amp;utm_content=87085302&amp;utm_source=hs_email&amp;hsCtaTracking=6fedf137-fd90-4f17-bfb4-d61f710ec7f8%7Cf2771843-6636-4969-9010-2d8d0389b89c</t>
  </si>
  <si>
    <t>1353@cairo.ad</t>
  </si>
  <si>
    <t>https://resources.simonelectric.com/simon-catalogo-vehiculo-electrico?utm_campaign=SIC%20-%20Veh%C3%ADculo%20El%C3%A9ctrico&amp;utm_medium=email&amp;_hsenc=p2ANqtz--vtdvQFdKA8oE4HhldSHIJCq2gS9S6vVyqtSYcphSOSRWvm9mZ0NjoN2h7xxPp_WWm6o03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</si>
  <si>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F2wJQ4IUpbECxHoJ3Pw4u2a_kRaORA3LHBVJpoILQizyHv63aOa928Wz2mOppxwxz9L5Y&amp;_hsmi=87085363&amp;utm_content=87085363&amp;utm_source=hs_email&amp;hsCtaTracking=6fedf137-fd90-4f17-bfb4-d61f710ec7f8%7Cf2771843-6636-4969-9010-2d8d0389b89c</t>
  </si>
  <si>
    <t>1354@hotmail.com</t>
  </si>
  <si>
    <t>https://resources.simonelectric.com/simon-catalogo-vehiculo-electrico?utm_campaign=SIC%20-%20Veh%C3%ADculo%20El%C3%A9ctrico&amp;utm_medium=email&amp;_hsenc=p2ANqtz-9x970nBK4L80wXM5LfBrMs9Iqwl6_CnTvps2H-deSi1nOpZroMQk2xy2cHhwsf6LDB-UdX&amp;_hsmi=87085302&amp;utm_content=87085302&amp;utm_source=hs_email&amp;hsCtaTracking=6fedf137-fd90-4f17-bfb4-d61f710ec7f8%7Cf2771843-6636-4969-9010-2d8d0389b89c</t>
  </si>
  <si>
    <t>1355@gmail.com</t>
  </si>
  <si>
    <t>https://resources.simonelectric.com/simon-catalogo-vehiculo-electrico?utm_campaign=SIC%20-%20Veh%C3%ADculo%20El%C3%A9ctrico&amp;utm_medium=email&amp;_hsenc=p2ANqtz-9XJqOYgXkwlnhtztPna7kgtDTKWNROwH0edVx7nAmb1wtQKZuuadzCNS6qfmxiERFGLIwo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</si>
  <si>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_hdSyBMMNqv9s_3YcIbwp9w_UZW6V3vGWjDzYuRD2GJmIhGPs7XcQfR3dslIyABPES6Rv&amp;_hsmi=87085363&amp;utm_content=87085363&amp;utm_source=hs_email&amp;hsCtaTracking=6fedf137-fd90-4f17-bfb4-d61f710ec7f8%7Cf2771843-6636-4969-9010-2d8d0389b89c</t>
  </si>
  <si>
    <t>1356@hotmail.com</t>
  </si>
  <si>
    <t>https://resources.simonelectric.com/simon-catalogo-vehiculo-electrico?utm_campaign=SIC%20-%20Veh%C3%ADculo%20El%C3%A9ctrico&amp;utm_medium=email&amp;_hsenc=p2ANqtz-8TkYhS6kd8Wkjr0qGsnpGXfK4oAmQ-jzkLxQdLnL0Bfbi5iH-9z0F2NL1bbl1Kzi_pHS6M&amp;_hsmi=87085363&amp;utm_content=87085363&amp;utm_source=hs_email&amp;hsCtaTracking=6fedf137-fd90-4f17-bfb4-d61f710ec7f8%7Cf2771843-6636-4969-9010-2d8d0389b89c</t>
  </si>
  <si>
    <t>1357@gmail.com</t>
  </si>
  <si>
    <t>https://resources.simonelectric.com/simon-catalogo-vehiculo-electrico?utm_campaign=SIC%20-%20Veh%C3%ADculo%20El%C3%A9ctrico&amp;utm_medium=email&amp;_hsenc=p2ANqtz--7yqcCV_dvDTSAZfx6wEH8EWjgjPLfTBwFSyF89GGohKCh5EXt5LNfLKkUn_Plh-RR_A7O&amp;_hsmi=87085363&amp;utm_content=87085363&amp;utm_source=hs_email&amp;hsCtaTracking=6fedf137-fd90-4f17-bfb4-d61f710ec7f8%7Cf2771843-6636-4969-9010-2d8d0389b89c</t>
  </si>
  <si>
    <t>1358@gmail.com</t>
  </si>
  <si>
    <t>https://resources.simonelectric.com/simon-catalogo-vehiculo-electrico?utm_campaign=SIC%20-%20Veh%C3%ADculo%20El%C3%A9ctrico&amp;utm_medium=email&amp;_hsenc=p2ANqtz-9ZbSHDbmqvQ5YSfC9cDcUOzHkwNukRPQKyWn8_hVOzpYKrXrqFhgtXPrxfn_CFWmM1PCEI&amp;_hsmi=87085302&amp;utm_content=87085302&amp;utm_source=hs_email&amp;hsCtaTracking=6fedf137-fd90-4f17-bfb4-d61f710ec7f8%7Cf2771843-6636-4969-9010-2d8d0389b89c</t>
  </si>
  <si>
    <t>1359@grupotandal.com</t>
  </si>
  <si>
    <t>https://resources.simonelectric.com/simon-catalogo-vehiculo-electrico?utm_campaign=SIC%20-%20Veh%C3%ADculo%20El%C3%A9ctrico&amp;utm_medium=email&amp;_hsenc=p2ANqtz-_QHn-XF4o6ni-WCYc_hba4_OTAPFxnw3kdZsPoTKhI7Hs6v4wXXeBM9IIqLEEXz0Zs4b88&amp;_hsmi=87085363&amp;utm_content=87085363&amp;utm_source=hs_email&amp;hsCtaTracking=6fedf137-fd90-4f17-bfb4-d61f710ec7f8%7Cf2771843-6636-4969-9010-2d8d0389b89c</t>
  </si>
  <si>
    <t>1360@hotmail.com</t>
  </si>
  <si>
    <t>https://resources.simonelectric.com/simon-catalogo-vehiculo-electrico?utm_campaign=SIC%20-%20Veh%C3%ADculo%20El%C3%A9ctrico&amp;utm_medium=email&amp;_hsenc=p2ANqtz--BuAx8fSINtzkipBeGgJ9l1_4dZXBOgHO3vvOi_0l7vaj43D-1d17z2zPCSSon9ykuXhLU&amp;_hsmi=87085363&amp;utm_content=87085363&amp;utm_source=hs_email&amp;hsCtaTracking=6fedf137-fd90-4f17-bfb4-d61f710ec7f8%7Cf2771843-6636-4969-9010-2d8d0389b89c</t>
  </si>
  <si>
    <t>1361@gmail.com</t>
  </si>
  <si>
    <t>https://resources.simonelectric.com/simon-catalogo-vehiculo-electrico?utm_campaign=SIC%20-%20Veh%C3%ADculo%20El%C3%A9ctrico&amp;utm_medium=email&amp;_hsenc=p2ANqtz-_L821dytZPnw6-qGQpF6xao6dZjoIoMpxag2CxhLHVZ83eDxIqOtO3g9ssw644-fwvUT0t&amp;_hsmi=87085302&amp;utm_content=87085302&amp;utm_source=hs_email&amp;hsCtaTracking=6fedf137-fd90-4f17-bfb4-d61f710ec7f8%7Cf2771843-6636-4969-9010-2d8d0389b89c</t>
  </si>
  <si>
    <t>1362@gmail.com</t>
  </si>
  <si>
    <t>https://resources.simonelectric.com/simon-catalogo-vehiculo-electrico?utm_campaign=SIC%20-%20Veh%C3%ADculo%20El%C3%A9ctrico&amp;utm_medium=email&amp;_hsenc=p2ANqtz-__qIJFLUhkyBq79_PoAAxF--T2rhZ21h2YDez-aDq9idiAMmn-ixvo6vNzBM2jXNelwkY4&amp;_hsmi=87085363&amp;utm_content=87085363&amp;utm_source=hs_email&amp;hsCtaTracking=6fedf137-fd90-4f17-bfb4-d61f710ec7f8%7Cf2771843-6636-4969-9010-2d8d0389b89c</t>
  </si>
  <si>
    <t>1363@hotmail.com</t>
  </si>
  <si>
    <t>https://resources.simonelectric.com/simon-catalogo-vehiculo-electrico?utm_campaign=SIC%20-%20Veh%C3%ADculo%20El%C3%A9ctrico&amp;utm_medium=email&amp;_hsenc=p2ANqtz-_20fNxGLQFh2g13V5Qb1pEkxUPrSce-cD_iC37pnX54StJbrYdc9Bp8X0ks5gr8G_eXP7v&amp;_hsmi=87085363&amp;utm_content=87085363&amp;utm_source=hs_email&amp;hsCtaTracking=6fedf137-fd90-4f17-bfb4-d61f710ec7f8%7Cf2771843-6636-4969-9010-2d8d0389b89c</t>
  </si>
  <si>
    <t>1364@eirazola.com</t>
  </si>
  <si>
    <t>https://resources.simonelectric.com/simon-catalogo-vehiculo-electrico?utm_campaign=SIC%20-%20Veh%C3%ADculo%20El%C3%A9ctrico&amp;utm_medium=email&amp;_hsenc=p2ANqtz-_CDmXzBVIEvVLT4DC7PunPCAt1zndN1Dgs-y5nRFT5ohdOgjq9zaayH4kEJtErP5EjRbqI&amp;_hsmi=87085363&amp;utm_content=87085363&amp;utm_source=hs_email&amp;hsCtaTracking=6fedf137-fd90-4f17-bfb4-d61f710ec7f8%7Cf2771843-6636-4969-9010-2d8d0389b89c</t>
  </si>
  <si>
    <t>1365@hotmail.com</t>
  </si>
  <si>
    <t>https://resources.simonelectric.com/simon-catalogo-vehiculo-electrico?utm_campaign=SIC%20-%20Veh%C3%ADculo%20El%C3%A9ctrico&amp;utm_medium=email&amp;_hsenc=p2ANqtz-_4gcVbFDtkt9E2_RZvCPfeS10232NPnR774-2A1xRIE8jS-JjgkElK4jRvtp7p3F2VGBUN&amp;_hsmi=87085363&amp;utm_content=87085363&amp;utm_source=hs_email&amp;hsCtaTracking=6fedf137-fd90-4f17-bfb4-d61f710ec7f8%7Cf2771843-6636-4969-9010-2d8d0389b89c</t>
  </si>
  <si>
    <t>1366@electroalco.es</t>
  </si>
  <si>
    <t>https://resources.simonelectric.com/simon-catalogo-vehiculo-electrico?utm_campaign=SIC%20-%20Veh%C3%ADculo%20El%C3%A9ctrico&amp;utm_medium=email&amp;_hsenc=p2ANqtz-9h2rhpcSWVe5TyjpkSznGaRr9bbqdrDNBTXo5oQyca7PpAD_5J7QGArUAO-9KmcR3uVa4M&amp;_hsmi=87085363&amp;utm_content=87085363&amp;utm_source=hs_email&amp;hsCtaTracking=6fedf137-fd90-4f17-bfb4-d61f710ec7f8%7Cf2771843-6636-4969-9010-2d8d0389b89c</t>
  </si>
  <si>
    <t>1367@telecable.es</t>
  </si>
  <si>
    <t>https://resources.simonelectric.com/simon-catalogo-vehiculo-electrico?utm_campaign=SIC%20-%20Veh%C3%ADculo%20El%C3%A9ctrico&amp;utm_medium=email&amp;_hsmi=87085302&amp;_hsenc=p2ANqtz-8TY7f1EC4ud5UgdLHmA7ERhgLJx74mXh--EfrPyJ9CPOlUxBmui4C4HwOE0-Wa2cfhXITl&amp;utm_content=87085302&amp;utm_source=hs_email</t>
  </si>
  <si>
    <t>1368@baselec.es</t>
  </si>
  <si>
    <t>https://resources.simonelectric.com/simon-catalogo-vehiculo-electrico?utm_campaign=SIC%20-%20Veh%C3%ADculo%20El%C3%A9ctrico&amp;utm_medium=email&amp;_hsenc=p2ANqtz--PeXEK0Egd0Cd6rwGoQ7kmFpiXM3F0NivtBAFMFau0GCNkUWhMvs_MFsTcD8wG5sT3_tK_&amp;_hsmi=87085363&amp;utm_content=87085363&amp;utm_source=hs_email&amp;hsCtaTracking=6fedf137-fd90-4f17-bfb4-d61f710ec7f8%7Cf2771843-6636-4969-9010-2d8d0389b89c</t>
  </si>
  <si>
    <t>1369@atribal.es</t>
  </si>
  <si>
    <t>https://resources.simonelectric.com/simon-catalogo-vehiculo-electrico?utm_campaign=SIC%20-%20Veh%C3%ADculo%20El%C3%A9ctrico&amp;utm_medium=email&amp;_hsenc=p2ANqtz-_sgpk4fOaYanYXpygIi6bChYvXAWGIIgRspne0V2UYIY8lvCV_oIJs30TTPTDjtB1mCPk4&amp;_hsmi=87085302&amp;utm_content=87085302&amp;utm_source=hs_email&amp;hsCtaTracking=6fedf137-fd90-4f17-bfb4-d61f710ec7f8%7Cf2771843-6636-4969-9010-2d8d0389b89c</t>
  </si>
  <si>
    <t>1370@hotmail.com</t>
  </si>
  <si>
    <t>https://resources.simonelectric.com/simon-catalogo-vehiculo-electrico?utm_campaign=SIC%20-%20Veh%C3%ADculo%20El%C3%A9ctrico&amp;utm_medium=email&amp;_hsenc=p2ANqtz-83UQ2fJ9N6eot6FwwrQbCzUXveCX8cpKDeM6fT4tQLXkiKo7892XipX4K7RuDFnWbOP7dc&amp;_hsmi=87085363&amp;utm_content=87085363&amp;utm_source=hs_email&amp;hsCtaTracking=6fedf137-fd90-4f17-bfb4-d61f710ec7f8%7Cf2771843-6636-4969-9010-2d8d0389b89c</t>
  </si>
  <si>
    <t>1371@gmail.com</t>
  </si>
  <si>
    <t>https://resources.simonelectric.com/simon-catalogo-vehiculo-electrico?utm_campaign=SIC%20-%20Veh%C3%ADculo%20El%C3%A9ctrico&amp;utm_medium=email&amp;_hsenc=p2ANqtz-82uYrhisCK2KOK40rqdkrRFjXtF-f0U26LIyXOunaIAZO_FiFrNHsbT2IdHfWIXAVQkbMo&amp;_hsmi=87085302&amp;utm_content=87085302&amp;utm_source=hs_email&amp;hsCtaTracking=6fedf137-fd90-4f17-bfb4-d61f710ec7f8%7Cf2771843-6636-4969-9010-2d8d0389b89c</t>
  </si>
  <si>
    <t>1372@telefonica.net</t>
  </si>
  <si>
    <t>https://resources.simonelectric.com/simon-catalogo-vehiculo-electrico?utm_campaign=SIC%20-%20Veh%C3%ADculo%20El%C3%A9ctrico&amp;utm_medium=email&amp;_hsenc=p2ANqtz--3hTNWIHtWJX4heCFVywULFhGMW-Y1T80aZxhxY8iF4AmjGzliIkSouJ1J9-K3qwG3GvQE&amp;_hsmi=87085363&amp;utm_content=87085363&amp;utm_source=hs_email&amp;hsCtaTracking=6fedf137-fd90-4f17-bfb4-d61f710ec7f8%7Cf2771843-6636-4969-9010-2d8d0389b89c</t>
  </si>
  <si>
    <t>1373@electrolucman.com</t>
  </si>
  <si>
    <t>https://resources.simonelectric.com/simon-catalogo-vehiculo-electrico?utm_campaign=SIC%20-%20Veh%C3%ADculo%20El%C3%A9ctrico&amp;utm_medium=email&amp;_hsenc=p2ANqtz-_VE40o8K3wmubJdu9AujOA1O5-BtIbzdMGt6LKhTjaCs5JHHCyWB8Nt9oUIMVPPMArqsp5&amp;_hsmi=87085363&amp;utm_content=87085363&amp;utm_source=hs_email&amp;hsCtaTracking=6fedf137-fd90-4f17-bfb4-d61f710ec7f8%7Cf2771843-6636-4969-9010-2d8d0389b89c</t>
  </si>
  <si>
    <t>1374@autelec.net</t>
  </si>
  <si>
    <t>https://resources.simonelectric.com/simon-catalogo-vehiculo-electrico?utm_campaign=SIC%20-%20Veh%C3%ADculo%20El%C3%A9ctrico&amp;utm_medium=email&amp;_hsenc=p2ANqtz--4sFyXaQOl25kotPq_T6_Z_eWDOVMpjAWeW_4c3vE9kiQNow4vwGjzYitvr1_2xcsOzhKO&amp;_hsmi=87085302&amp;utm_content=87085302&amp;utm_source=hs_email&amp;hsCtaTracking=6fedf137-fd90-4f17-bfb4-d61f710ec7f8%7Cf2771843-6636-4969-9010-2d8d0389b89c</t>
  </si>
  <si>
    <t>1375@gmail.com</t>
  </si>
  <si>
    <t>https://resources.simonelectric.com/simon-catalogo-vehiculo-electrico?utm_campaign=SIC%20-%20Veh%C3%ADculo%20El%C3%A9ctrico&amp;utm_medium=email&amp;_hsenc=p2ANqtz-94ksiJ2VJl_BsgNMkOY5tSJ-qd5ltpJc2I469URs405pVZplf0qgurwesJGVgcDh0l9RPX&amp;_hsmi=87085363&amp;utm_content=87085363&amp;utm_source=hs_email&amp;hsCtaTracking=6fedf137-fd90-4f17-bfb4-d61f710ec7f8%7Cf2771843-6636-4969-9010-2d8d0389b89c</t>
  </si>
  <si>
    <t>1376@telefonica.net</t>
  </si>
  <si>
    <t>https://resources.simonelectric.com/simon-catalogo-vehiculo-electrico?utm_campaign=SIC%20-%20Veh%C3%ADculo%20El%C3%A9ctrico&amp;utm_medium=email&amp;_hsenc=p2ANqtz-83HCkXSFIyLnCTiYPkJMfdOv9ILu7gZUNgiuJmG0O3HNY4Rz65IFFFZ30RMxFBKO_NtxaK&amp;_hsmi=87085363&amp;utm_content=87085363&amp;utm_source=hs_email&amp;hsCtaTracking=6fedf137-fd90-4f17-bfb4-d61f710ec7f8%7Cf2771843-6636-4969-9010-2d8d0389b89c</t>
  </si>
  <si>
    <t>1377@hotmail.com</t>
  </si>
  <si>
    <t>https://resources.simonelectric.com/simon-catalogo-vehiculo-electrico?utm_campaign=SIC%20-%20Veh%C3%ADculo%20El%C3%A9ctrico&amp;utm_medium=email&amp;_hsenc=p2ANqtz--iRH5n5jm2nEz-FARcPfz6dhD78i_oHM4gZFLONP3J6LChhZXbLBuIkYelXw_Vdnn2yyOV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</si>
  <si>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yhP7koYQZ8TRxstyETLUCpFqjpicEMagusji551y6t9uzR7ebeHbExAVZXIzNOCwDUwLO&amp;_hsmi=87085363&amp;utm_content=87085363&amp;utm_source=hs_email&amp;hsCtaTracking=6fedf137-fd90-4f17-bfb4-d61f710ec7f8%7Cf2771843-6636-4969-9010-2d8d0389b89c</t>
  </si>
  <si>
    <t>1378@electromat.com</t>
  </si>
  <si>
    <t>https://resources.simonelectric.com/simon-catalogo-vehiculo-electrico?utm_campaign=SIC%20-%20Veh%C3%ADculo%20El%C3%A9ctrico&amp;utm_medium=email&amp;_hsenc=p2ANqtz-9VfNtSqt_O7euy4cMo5RZ6eSkSISUnh_4sUHYTnMwXzP6s4zmV2dvN8PtN5ZMikOaw2Zc8&amp;_hsmi=87085363&amp;utm_content=87085363&amp;utm_source=hs_email&amp;hsCtaTracking=6fedf137-fd90-4f17-bfb4-d61f710ec7f8%7Cf2771843-6636-4969-9010-2d8d0389b89c</t>
  </si>
  <si>
    <t>1379@hotmail.com</t>
  </si>
  <si>
    <t>https://resources.simonelectric.com/simon-catalogo-vehiculo-electrico?utm_campaign=SIC%20-%20Veh%C3%ADculo%20El%C3%A9ctrico&amp;utm_medium=email&amp;_hsenc=p2ANqtz--sjQA18TJFQr7x23ikr6YadNSyvo1aVPvkURABwZScnzZYb3j7gy3BxkkNOSOgsV_bo0nZ&amp;_hsmi=87085363&amp;utm_content=87085363&amp;utm_source=hs_email&amp;hsCtaTracking=6fedf137-fd90-4f17-bfb4-d61f710ec7f8%7Cf2771843-6636-4969-9010-2d8d0389b89c</t>
  </si>
  <si>
    <t>1380@gmail.com</t>
  </si>
  <si>
    <t>https://resources.simonelectric.com/simon-catalogo-vehiculo-electrico?utm_campaign=SIC%20-%20Veh%C3%ADculo%20El%C3%A9ctrico&amp;utm_medium=email&amp;_hsenc=p2ANqtz-84NQoiJYd7hoKXl0n3o46ex537S2aZckbdEj_SKgOQJL3YHjtJ9yvNk9knZa-gex6ed5Qv&amp;_hsmi=87085363&amp;utm_content=87085363&amp;utm_source=hs_email&amp;hsCtaTracking=6fedf137-fd90-4f17-bfb4-d61f710ec7f8%7Cf2771843-6636-4969-9010-2d8d0389b89c</t>
  </si>
  <si>
    <t>1381@msn.com</t>
  </si>
  <si>
    <t>https://resources.simonelectric.com/simon-catalogo-vehiculo-electrico?utm_campaign=SIC%20-%20Veh%C3%ADculo%20El%C3%A9ctrico&amp;utm_medium=email&amp;_hsenc=p2ANqtz-_OGvfriLDMcxyg3ZifQsm930z1dSVcf5yKJ5Nl1oxaCP8Cjyo6oh6VnsujTOPOS7vyKlK0&amp;_hsmi=87085363&amp;utm_content=87085363&amp;utm_source=hs_email&amp;hsCtaTracking=6fedf137-fd90-4f17-bfb4-d61f710ec7f8%7Cf2771843-6636-4969-9010-2d8d0389b89c</t>
  </si>
  <si>
    <t>1382@gmail.com</t>
  </si>
  <si>
    <t>https://resources.simonelectric.com/simon-catalogo-vehiculo-electrico?utm_campaign=SIC%20-%20Veh%C3%ADculo%20El%C3%A9ctrico&amp;utm_medium=email&amp;_hsenc=p2ANqtz-_pjND4d9jfF8o1jIAga5CwhCbBJJ2SNGSwZ75kBuN7SjY3S08b2bbHYMUxADQhbjswLpqV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</si>
  <si>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KvTqXrfdIcKYGSg-l-LUBpd5XNV576zObZfkLcWvq2KJMKKJyjv0RuijO7hLqHUKyuUZP&amp;_hsmi=87085302&amp;utm_content=87085302&amp;utm_source=hs_email&amp;hsCtaTracking=6fedf137-fd90-4f17-bfb4-d61f710ec7f8%7Cf2771843-6636-4969-9010-2d8d0389b89c</t>
  </si>
  <si>
    <t>1383@grupoazmont.com</t>
  </si>
  <si>
    <t>https://resources.simonelectric.com/simon-catalogo-vehiculo-electrico?utm_campaign=SIC%20-%20Veh%C3%ADculo%20El%C3%A9ctrico&amp;utm_medium=email&amp;_hsenc=p2ANqtz-_poFOlJlGZyDoS66xhkU4QxEJdj7voEUo7eIJ00ZCjAnNxcgzW05qclsoUaOx6E6mKdw9LaDuQZLLHFw6Cx1GrpvffDg&amp;utm_source=hs_email&amp;utm_content=87085363&amp;hsCtaTracking=6fedf137-fd90-4f17-bfb4-d61f710ec7f8%7Cf2771843-6636-4969-9010-2d8d0389b89c</t>
  </si>
  <si>
    <t>1384@eringenieria.com</t>
  </si>
  <si>
    <t>https://resources.simonelectric.com/simon-catalogo-vehiculo-electrico?utm_campaign=SIC%20-%20Veh%C3%ADculo%20El%C3%A9ctrico&amp;utm_medium=email&amp;_hsenc=p2ANqtz-8xfASw4m6oHzi__Xt2_Aeyi9rNdJHMLyD4oJgGyqFXJSg8luMjTz0No5vediLwkSlHdkhX&amp;_hsmi=87085363&amp;utm_content=87085363&amp;utm_source=hs_email&amp;hsCtaTracking=6fedf137-fd90-4f17-bfb4-d61f710ec7f8%7Cf2771843-6636-4969-9010-2d8d0389b89c</t>
  </si>
  <si>
    <t>1385@telefonica.net</t>
  </si>
  <si>
    <t>https://resources.simonelectric.com/simon-catalogo-vehiculo-electrico?utm_campaign=SIC%20-%20Veh%C3%ADculo%20El%C3%A9ctrico&amp;utm_medium=email&amp;_hsenc=p2ANqtz-8T8TPXiTTR-SMIAXxeh0O6B987QdjLpsbBwCosZXhQwSKx2woA7_CTvJURYZn0zYhtoYHE&amp;_hsmi=87085363&amp;utm_content=87085363&amp;utm_source=hs_email&amp;hsCtaTracking=6fedf137-fd90-4f17-bfb4-d61f710ec7f8%7Cf2771843-6636-4969-9010-2d8d0389b89c</t>
  </si>
  <si>
    <t>1386@grupoevc.es</t>
  </si>
  <si>
    <t>https://resources.simonelectric.com/simon-catalogo-vehiculo-electrico?utm_campaign=SIC%20-%20Veh%C3%ADculo%20El%C3%A9ctrico&amp;utm_medium=email&amp;_hsenc=p2ANqtz-9HQwc-igPbq9AJnCW5MkzYhBHovcO4NeztRLb-TFylrcyP36NvJ50zkXG81cnxNdyMdBC8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</si>
  <si>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spv5L2Wc8Sz-4swysZW_d2FVI6TvfSE7M5S_yxaKwg-KcjLWeIj8ZKAYrEm7Zx7fRQvZE&amp;_hsmi=87085363&amp;utm_content=87085363&amp;utm_source=hs_email&amp;hsCtaTracking=6fedf137-fd90-4f17-bfb4-d61f710ec7f8%7Cf2771843-6636-4969-9010-2d8d0389b89c</t>
  </si>
  <si>
    <t>1387@yahoo.com.mx</t>
  </si>
  <si>
    <t>https://resources.simonelectric.com/simon-catalogo-vehiculo-electrico?utm_campaign=SIC%20-%20Veh%C3%ADculo%20El%C3%A9ctrico&amp;utm_medium=email&amp;_hsenc=p2ANqtz--bvUh9qzaFmGEwm-3zHCId9kGwOOwziOaUIcEosD-2Emot-R3j_IzS0m3PblMjsnDUuuQx&amp;_hsmi=87085363&amp;utm_content=87085363&amp;utm_source=hs_email&amp;hsCtaTracking=6fedf137-fd90-4f17-bfb4-d61f710ec7f8%7Cf2771843-6636-4969-9010-2d8d0389b89c</t>
  </si>
  <si>
    <t>1388@covama.es</t>
  </si>
  <si>
    <t>https://resources.simonelectric.com/simon-catalogo-vehiculo-electrico?utm_campaign=SIC%20-%20Veh%C3%ADculo%20El%C3%A9ctrico&amp;utm_medium=email&amp;_hsenc=p2ANqtz--tF8-eZs3pIkFZgsRDv_BKUwHkcCXeGSkxgbEdaKACeETi6Ji8hHDHPjU8ndOacYUniskr&amp;_hsmi=87085363&amp;utm_content=87085363&amp;utm_source=hs_email&amp;hsCtaTracking=6fedf137-fd90-4f17-bfb4-d61f710ec7f8%7Cf2771843-6636-4969-9010-2d8d0389b89c</t>
  </si>
  <si>
    <t>1389@hotmail.com</t>
  </si>
  <si>
    <t>https://resources.simonelectric.com/simon-catalogo-vehiculo-electrico?utm_campaign=SIC%20-%20Veh%C3%ADculo%20El%C3%A9ctrico&amp;utm_medium=email&amp;_hsenc=p2ANqtz-9SxLCMihaCFhH9L0DNtSwQShcwf7OecDEOYwklDeBupvuTIA8Po0mMNCqQtZNFOPhrtwTv&amp;_hsmi=87085302&amp;utm_content=87085302&amp;utm_source=hs_email&amp;hsCtaTracking=6fedf137-fd90-4f17-bfb4-d61f710ec7f8%7Cf2771843-6636-4969-9010-2d8d0389b89c</t>
  </si>
  <si>
    <t>1390@gmail.com</t>
  </si>
  <si>
    <t>https://resources.simonelectric.com/simon-catalogo-vehiculo-electrico?utm_campaign=SIC%20-%20Veh%C3%ADculo%20El%C3%A9ctrico&amp;utm_medium=email&amp;_hsenc=p2ANqtz-9DWfvkx0G_5Ofr9_168V8U7bLMh7RILYIAbuqEvgvrH15OOmql-3OWAH4jlIDh4vt1z6WD&amp;_hsmi=87085363&amp;utm_content=87085363&amp;utm_source=hs_email&amp;hsCtaTracking=6fedf137-fd90-4f17-bfb4-d61f710ec7f8%7Cf2771843-6636-4969-9010-2d8d0389b89c</t>
  </si>
  <si>
    <t>1391@grupojab.es</t>
  </si>
  <si>
    <t>https://resources.simonelectric.com/simon-catalogo-vehiculo-electrico?utm_campaign=SIC%20-%20Veh%C3%ADculo%20El%C3%A9ctrico&amp;utm_medium=email&amp;_hsenc=p2ANqtz--uiOPnfA5fq5NhZxudf3HZLf2hCxIwyQTcujhi7Ouq_momZc3KEfpPNChLk_V9B4eykqU6&amp;_hsmi=87085363&amp;utm_content=87085363&amp;utm_source=hs_email&amp;hsCtaTracking=6fedf137-fd90-4f17-bfb4-d61f710ec7f8%7Cf2771843-6636-4969-9010-2d8d0389b89c</t>
  </si>
  <si>
    <t>1392@msn.com</t>
  </si>
  <si>
    <t>https://resources.simonelectric.com/simon-catalogo-vehiculo-electrico?utm_campaign=SIC%20-%20Veh%C3%ADculo%20El%C3%A9ctrico&amp;utm_medium=email&amp;_hsenc=p2ANqtz--MtVidlBqfQf9QqeCjftCdAOPgu5LoqvHLyUyrtDNgOSf_dNOHDCNAzs7onkZVwICttfBX&amp;_hsmi=87085363&amp;utm_content=87085363&amp;utm_source=hs_email&amp;hsCtaTracking=6fedf137-fd90-4f17-bfb4-d61f710ec7f8%7Cf2771843-6636-4969-9010-2d8d0389b89c</t>
  </si>
  <si>
    <t>1393@electricidadguerra.com</t>
  </si>
  <si>
    <t>https://resources.simonelectric.com/simon-catalogo-vehiculo-electrico?utm_campaign=SIC%20-%20Veh%C3%ADculo%20El%C3%A9ctrico&amp;utm_medium=email&amp;_hsenc=p2ANqtz-9eTYC-uA8zQaexPBfkPqr-GfA0qFKb794IPl0ECTvMruV2b5p8VJy6Z3WmnRGNknTrDlHk&amp;_hsmi=87085363&amp;utm_content=87085363&amp;utm_source=hs_email&amp;hsCtaTracking=6fedf137-fd90-4f17-bfb4-d61f710ec7f8%7Cf2771843-6636-4969-9010-2d8d0389b89c</t>
  </si>
  <si>
    <t>1394@gmail.com</t>
  </si>
  <si>
    <t>https://resources.simonelectric.com/simon-catalogo-vehiculo-electrico?utm_campaign=SIC%20-%20Veh%C3%ADculo%20El%C3%A9ctrico&amp;utm_medium=email&amp;_hsenc=p2ANqtz-_YnKxi2nUQ2v14WbrLOhDZMvcDELpDFy6iaHhLQd820r4oGpptShwxYCuaYp6vBCwgFWAy&amp;_hsmi=87085363&amp;utm_content=87085363&amp;utm_source=hs_email&amp;hsCtaTracking=6fedf137-fd90-4f17-bfb4-d61f710ec7f8%7Cf2771843-6636-4969-9010-2d8d0389b89c</t>
  </si>
  <si>
    <t>1395@cenorma.com</t>
  </si>
  <si>
    <t>https://resources.simonelectric.com/simon-catalogo-vehiculo-electrico?utm_campaign=SIC%20-%20Veh%C3%ADculo%20El%C3%A9ctrico&amp;utm_medium=email&amp;_hsenc=p2ANqtz--ShPUU092qMbcJBJw7W0sQZANGGfKLuSlBqpAL4nII_CfLGtQ2ehcrKxVwSHzjGioA7Syi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</si>
  <si>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BIDpI12gMSkroU770wuw2OpCZfdrpPMO_W9skJgZmPkK4S8txk_Y4e0eoJ2Wc2uwki1Tj&amp;_hsmi=87085302&amp;utm_content=87085302&amp;utm_source=hs_email&amp;hsCtaTracking=6fedf137-fd90-4f17-bfb4-d61f710ec7f8%7Cf2771843-6636-4969-9010-2d8d0389b89c</t>
  </si>
  <si>
    <t>1396@telefonica.net</t>
  </si>
  <si>
    <t>https://resources.simonelectric.com/simon-catalogo-vehiculo-electrico?utm_campaign=SIC%20-%20Veh%C3%ADculo%20El%C3%A9ctrico&amp;utm_medium=email&amp;_hsmi=87085302&amp;_hsenc=p2ANqtz-8IY17RtTrHYAwSzj2XoLLKqLyXxzGNFNTAJmX_3TiXnxtnunvVXmzNh_XTaE_fQ4pzVBdQ&amp;utm_content=87085302&amp;utm_source=hs_email</t>
  </si>
  <si>
    <t>1397@olibayas.net</t>
  </si>
  <si>
    <t>https://resources.simonelectric.com/simon-catalogo-vehiculo-electrico?utm_campaign=SIC%20-%20Veh%C3%ADculo%20El%C3%A9ctrico&amp;utm_medium=email&amp;_hsenc=p2ANqtz-8g-69cPLLPql_OcC6yWu6GRB3Ih07yeqO5FoVuOQ_avTLIrQRTHxk1jK7-mrf3H_hhCY8Q&amp;_hsmi=87085363&amp;utm_content=87085363&amp;utm_source=hs_email&amp;hsCtaTracking=6fedf137-fd90-4f17-bfb4-d61f710ec7f8%7Cf2771843-6636-4969-9010-2d8d0389b89c</t>
  </si>
  <si>
    <t>1398@teclisa.com</t>
  </si>
  <si>
    <t>https://resources.simonelectric.com/simon-catalogo-vehiculo-electrico?utm_campaign=SIC%20-%20Veh%C3%ADculo%20El%C3%A9ctrico&amp;utm_medium=email&amp;_hsenc=p2ANqtz-_G08XKPwtd6Tpi4D6jZvdRSwlcapkz5xpIG4hpDIazan9l9gzbHehBKosLapifxEHJiMRu&amp;_hsmi=87085363&amp;utm_content=87085363&amp;utm_source=hs_email&amp;hsCtaTracking=6fedf137-fd90-4f17-bfb4-d61f710ec7f8%7Cf2771843-6636-4969-9010-2d8d0389b89c</t>
  </si>
  <si>
    <t>1399@gmail.com</t>
  </si>
  <si>
    <t>https://resources.simonelectric.com/simon-catalogo-vehiculo-electrico?utm_campaign=SIC%20-%20Veh%C3%ADculo%20El%C3%A9ctrico&amp;utm_medium=email&amp;_hsenc=p2ANqtz--tQiqghyL6byTjQPscY1nmA4vqdWMlYffDZeFBuBy9fOkSAaL5a30rLfzl-3otDDeeYWAK&amp;_hsmi=87085363&amp;utm_content=87085363&amp;utm_source=hs_email&amp;hsCtaTracking=6fedf137-fd90-4f17-bfb4-d61f710ec7f8%7Cf2771843-6636-4969-9010-2d8d0389b89c</t>
  </si>
  <si>
    <t>1400@apeh.org</t>
  </si>
  <si>
    <t>https://resources.simonelectric.com/simon-catalogo-vehiculo-electrico?utm_campaign=SIC%20-%20Veh%C3%ADculo%20El%C3%A9ctrico&amp;utm_medium=email&amp;_hsenc=p2ANqtz-_tqJaqM10aYqpBuSO6J7O8VaaafrOceRBik6tU8wFOyxnorlnkzZlVi3dJYt9UpPae2kdX7DV2Qa3Jth4gLjkMOH0tmRAIbjGEHxMFxwaMJWVh8XM&amp;utm_source=hs_email&amp;utm_content=87085363&amp;hsCtaTracking=6fedf137-fd90-4f17-bfb4-d61f710ec7f8%7Cf2771843-6636-4969-9010-2d8d0389b89c</t>
  </si>
  <si>
    <t>1401@auditenergia.com</t>
  </si>
  <si>
    <t>https://resources.simonelectric.com/simon-catalogo-vehiculo-electrico?utm_campaign=SIC%20-%20Veh%C3%ADculo%20El%C3%A9ctrico&amp;utm_medium=email&amp;_hsenc=p2ANqtz--thh2PwOc9m6l0TDRT0jxGpb4gMo5lZb3YkzXjP9FK7X9ls1jWCxKeH0sW8-2Lr-u5zA7M&amp;_hsmi=87085302&amp;utm_content=87085302&amp;utm_source=hs_email&amp;hsCtaTracking=6fedf137-fd90-4f17-bfb4-d61f710ec7f8%7Cf2771843-6636-4969-9010-2d8d0389b89c</t>
  </si>
  <si>
    <t>1402@gmail.com</t>
  </si>
  <si>
    <t>https://resources.simonelectric.com/simon-catalogo-vehiculo-electrico?utm_campaign=SIC%20-%20Veh%C3%ADculo%20El%C3%A9ctrico&amp;utm_medium=email&amp;_hsenc=p2ANqtz--kF0JyL0p77uDeVo94NAZNYiZrNITPZF__-aOSUWvjEVFAI4D0O3uwFbq5uVMW5J-GESmm&amp;_hsmi=87085363&amp;utm_content=87085363&amp;utm_source=hs_email&amp;hsCtaTracking=6fedf137-fd90-4f17-bfb4-d61f710ec7f8%7Cf2771843-6636-4969-9010-2d8d0389b89c</t>
  </si>
  <si>
    <t>1403@grupoelectrostocks.com</t>
  </si>
  <si>
    <t>https://resources.simonelectric.com/simon-catalogo-vehiculo-electrico?utm_campaign=SIC%20-%20Veh%C3%ADculo%20El%C3%A9ctrico&amp;utm_medium=email&amp;_hsenc=p2ANqtz-8kxcVAGolHJykOZZ1HfDerq7rlG2EhlwEunEaoggCyyFmSgkZaVlbiinRQfJcO-ALuio54&amp;_hsmi=87085363&amp;utm_content=87085363&amp;utm_source=hs_email&amp;hsCtaTracking=6fedf137-fd90-4f17-bfb4-d61f710ec7f8%7Cf2771843-6636-4969-9010-2d8d0389b89c</t>
  </si>
  <si>
    <t>1404@eurocabos.es</t>
  </si>
  <si>
    <t>https://resources.simonelectric.com/simon-catalogo-vehiculo-electrico?utm_campaign=SIC%20-%20Veh%C3%ADculo%20El%C3%A9ctrico&amp;utm_medium=email&amp;_hsenc=p2ANqtz-_SsN0RRx_jUSOP--NOQWOayCoSFzHH3VygAHzNgESxVS0j33xAmiKcvgJFqKua8KwMtKgc&amp;_hsmi=87085363&amp;utm_content=87085363&amp;utm_source=hs_email&amp;hsCtaTracking=6fedf137-fd90-4f17-bfb4-d61f710ec7f8%7Cf2771843-6636-4969-9010-2d8d0389b89c</t>
  </si>
  <si>
    <t>1405@arreglosoluciones.com</t>
  </si>
  <si>
    <t>https://resources.simonelectric.com/simon-catalogo-vehiculo-electrico?utm_campaign=SIC%20-%20Veh%C3%ADculo%20El%C3%A9ctrico&amp;utm_medium=email&amp;_hsenc=p2ANqtz-_cfOr-76n9m-BVBWvCSbBwtCC_5-uaboYa_lV_S4CGIHOoI-G136E24wuyzWbMGqd96C3l&amp;_hsmi=87085363&amp;utm_content=87085363&amp;utm_source=hs_email&amp;hsCtaTracking=6fedf137-fd90-4f17-bfb4-d61f710ec7f8%7Cf2771843-6636-4969-9010-2d8d0389b89c</t>
  </si>
  <si>
    <t>1406@gmail.com</t>
  </si>
  <si>
    <t>https://resources.simonelectric.com/simon-catalogo-vehiculo-electrico?utm_campaign=SIC%20-%20Veh%C3%ADculo%20El%C3%A9ctrico&amp;utm_medium=email&amp;_hsenc=p2ANqtz--8hNR__HV8cPe_ar2ZY7wGRw7XBvOB0mvfbZSpB03pdi5lbZ2y5QJ4dYAiBgIZbGA63zKO&amp;_hsmi=87085302&amp;utm_content=87085302&amp;utm_source=hs_email&amp;hsCtaTracking=6fedf137-fd90-4f17-bfb4-d61f710ec7f8%7Cf2771843-6636-4969-9010-2d8d0389b89c</t>
  </si>
  <si>
    <t>1407@gmail.com</t>
  </si>
  <si>
    <t>https://resources.simonelectric.com/simon-catalogo-vehiculo-electrico?utm_campaign=SIC%20-%20Veh%C3%ADculo%20El%C3%A9ctrico&amp;utm_medium=email&amp;_hsenc=p2ANqtz--9dKwjtq5S_9payB6JDaBxY1vpl4F-X91El99DiM_T5o9ER9Ie6nKFYdxqOB_14rIoca57&amp;_hsmi=87085363&amp;utm_content=87085363&amp;utm_source=hs_email&amp;hsCtaTracking=6fedf137-fd90-4f17-bfb4-d61f710ec7f8%7Cf2771843-6636-4969-9010-2d8d0389b89c</t>
  </si>
  <si>
    <t>1408@cepsa.com</t>
  </si>
  <si>
    <t>https://resources.simonelectric.com/simon-catalogo-vehiculo-electrico?utm_campaign=SIC%20-%20Veh%C3%ADculo%20El%C3%A9ctrico&amp;utm_medium=email&amp;_hsenc=p2ANqtz-_erPRlQbXT1XTahQNlumLG2e6yn84QY3hrVa3w92pKoF-yGwNZBLD5CZ5yRYmNJ2Krh7E1rdZ_L45KAL9l0RrzZZmBRoHpl9TUEQioBHw6nflP2V8&amp;utm_source=hs_email&amp;utm_content=87085363&amp;hsCtaTracking=6fedf137-fd90-4f17-bfb4-d61f710ec7f8%7Cf2771843-6636-4969-9010-2d8d0389b89c</t>
  </si>
  <si>
    <t>1409@simon.es</t>
  </si>
  <si>
    <t>https://resources.simonelectric.com/simon-catalogo-vehiculo-electrico?utm_campaign=SIC%20-%20Veh%C3%ADculo%20El%C3%A9ctrico&amp;utm_medium=email&amp;_hsenc=p2ANqtz-91uu2hKrEfpfzZzyMKRuZWywN8UjpeSkfg958gDWwbefMN3RgKLwzgbJnNVC1O6xTyt8Ky&amp;_hsmi=87085363&amp;utm_content=87085363&amp;utm_source=hs_email&amp;hsCtaTracking=6fedf137-fd90-4f17-bfb4-d61f710ec7f8%7Cf2771843-6636-4969-9010-2d8d0389b89c</t>
  </si>
  <si>
    <t>1410@elecnor.es</t>
  </si>
  <si>
    <t>https://resources.simonelectric.com/simon-catalogo-vehiculo-electrico?utm_campaign=SIC%20-%20Veh%C3%ADculo%20El%C3%A9ctrico&amp;utm_medium=email&amp;_hsenc=p2ANqtz--CQUGIrxk8TMmS4KfcZctpg13eOZxG7DKFIyistAweDt0X9jcSyzt94HkHa3boMhrBuolw&amp;_hsmi=87085302&amp;utm_content=87085302&amp;utm_source=hs_email&amp;hsCtaTracking=6fedf137-fd90-4f17-bfb4-d61f710ec7f8%7Cf2771843-6636-4969-9010-2d8d0389b89c</t>
  </si>
  <si>
    <t>1411@ujaen.es</t>
  </si>
  <si>
    <t>https://resources.simonelectric.com/simon-catalogo-vehiculo-electrico?utm_campaign=SIC%20-%20Veh%C3%ADculo%20El%C3%A9ctrico&amp;utm_medium=email&amp;_hsenc=p2ANqtz--lVXem8dMrQWRUk2LrV-rQThiR7RDoM7WmHS4muX5VXeQH7QLPuUmIb46lhGJWCyzZKISx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</si>
  <si>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hyIgc00pY0ghZmAyAnbBqE-3m2V3Tgg5w3xer9QmIu8RumFvWVQsW2USAmQ2tsVhH8Iy4&amp;_hsmi=87085363&amp;utm_content=87085363&amp;utm_source=hs_email&amp;hsCtaTracking=6fedf137-fd90-4f17-bfb4-d61f710ec7f8%7Cf2771843-6636-4969-9010-2d8d0389b89c</t>
  </si>
  <si>
    <t>1412@electryser.com</t>
  </si>
  <si>
    <t>https://resources.simonelectric.com/simon-catalogo-vehiculo-electrico?utm_campaign=SIC%20-%20Veh%C3%ADculo%20El%C3%A9ctrico&amp;utm_medium=email&amp;_hsenc=p2ANqtz-_jJJS5ex2Ndu3hgquYq0TSv5tjRWsQvxc0HaOijaAYn7uPKiPXGFtAWzbL9kvEcPSCaU2E&amp;_hsmi=87085302&amp;utm_content=87085302&amp;utm_source=hs_email&amp;hsCtaTracking=6fedf137-fd90-4f17-bfb4-d61f710ec7f8%7Cf2771843-6636-4969-9010-2d8d0389b89c</t>
  </si>
  <si>
    <t>1413@gmail.com</t>
  </si>
  <si>
    <t>https://resources.simonelectric.com/simon-catalogo-vehiculo-electrico?utm_campaign=SIC%20-%20Veh%C3%ADculo%20El%C3%A9ctrico&amp;utm_medium=email&amp;_hsenc=p2ANqtz-98DQqi6zkqW2nWOZWgnCt2a-Nwg7lAHmtgFe25jPyDoNcB5MfejCQC27lS6UKl1svqylgx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</si>
  <si>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PrvPEBEnIzL4Jo_OWhSVEUY8IA3em7hmE6bB81S2gbnRA4ToeXWKqBbGBy1gOGz9vSu89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</si>
  <si>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btAqk8oTGGt_qkzjeWPfvqPuR-a-TWd6MeGBZUYc5OtOADy9_RWaQyitX1UybtAkQRqrl&amp;_hsmi=87085363&amp;utm_content=87085363&amp;utm_source=hs_email&amp;hsCtaTracking=6fedf137-fd90-4f17-bfb4-d61f710ec7f8%7Cf2771843-6636-4969-9010-2d8d0389b89c</t>
  </si>
  <si>
    <t>1414@gmail.com</t>
  </si>
  <si>
    <t>https://resources.simonelectric.com/simon-catalogo-vehiculo-electrico?utm_campaign=SIC%20-%20Veh%C3%ADculo%20El%C3%A9ctrico&amp;utm_medium=email&amp;_hsenc=p2ANqtz--p5dKVaA_Tuz3wwHmCh_EZMaQHS3CgJYj5EoJ3CUjTUtEWSjw2ANXhT8n4YxXZV_D-RoqG&amp;_hsmi=87085363&amp;utm_content=87085363&amp;utm_source=hs_email&amp;hsCtaTracking=6fedf137-fd90-4f17-bfb4-d61f710ec7f8%7Cf2771843-6636-4969-9010-2d8d0389b89c</t>
  </si>
  <si>
    <t>1415@coytesa.com</t>
  </si>
  <si>
    <t>https://resources.simonelectric.com/simon-catalogo-vehiculo-electrico?utm_campaign=SIC%20-%20Veh%C3%ADculo%20El%C3%A9ctrico&amp;utm_medium=email&amp;_hsenc=p2ANqtz-_tgI31udjc5O6MI50g10a88W9IN4tDbck5qkvULre_0Dbr1rY6bkHXe2nT1jlA2luJEQxY&amp;_hsmi=87085363&amp;utm_content=87085363&amp;utm_source=hs_email&amp;hsCtaTracking=6fedf137-fd90-4f17-bfb4-d61f710ec7f8%7Cf2771843-6636-4969-9010-2d8d0389b89c</t>
  </si>
  <si>
    <t>1416@edifesa.com</t>
  </si>
  <si>
    <t>https://resources.simonelectric.com/simon-catalogo-vehiculo-electrico?utm_campaign=SIC%20-%20Veh%C3%ADculo%20El%C3%A9ctrico&amp;utm_medium=email&amp;_hsenc=p2ANqtz--D-uC27icIcruLSOQvD4bC9WSb3XwwdCwly4MT3wOkVbbozV2fX4wjIWqr0E2YGKCN8cxx&amp;_hsmi=87085363&amp;utm_content=87085363&amp;utm_source=hs_email&amp;hsCtaTracking=6fedf137-fd90-4f17-bfb4-d61f710ec7f8%7Cf2771843-6636-4969-9010-2d8d0389b89c</t>
  </si>
  <si>
    <t>1417@gmail.com</t>
  </si>
  <si>
    <t>https://resources.simonelectric.com/simon-catalogo-vehiculo-electrico?utm_campaign=SIC%20-%20Veh%C3%ADculo%20El%C3%A9ctrico&amp;utm_medium=email&amp;_hsenc=p2ANqtz--_Vnae0qMgrYWdiqgAFG3_MEEZOxbN5m4QySQJT2W-pKT1bIiG7pVzOpKXY3WaQsHXvxel&amp;_hsmi=87085302&amp;utm_content=87085302&amp;utm_source=hs_email&amp;hsCtaTracking=6fedf137-fd90-4f17-bfb4-d61f710ec7f8%7Cf2771843-6636-4969-9010-2d8d0389b89c</t>
  </si>
  <si>
    <t>1418@gmail.com</t>
  </si>
  <si>
    <t>https://resources.simonelectric.com/simon-catalogo-vehiculo-electrico?utm_campaign=SIC%20-%20Veh%C3%ADculo%20El%C3%A9ctrico&amp;utm_medium=email&amp;_hsenc=p2ANqtz-98CcnFREM3IfbSsMfGj0trTbUkJt0VfJdxCI3yeXwqVxKwcH4Aaabues0ga-2qQMAWYSGA&amp;_hsmi=87085363&amp;utm_content=87085363&amp;utm_source=hs_email&amp;hsCtaTracking=6fedf137-fd90-4f17-bfb4-d61f710ec7f8%7Cf2771843-6636-4969-9010-2d8d0389b89c</t>
  </si>
  <si>
    <t>1419@gmail.com</t>
  </si>
  <si>
    <t>https://resources.simonelectric.com/simon-catalogo-vehiculo-electrico?utm_campaign=SIC%20-%20Veh%C3%ADculo%20El%C3%A9ctrico&amp;utm_medium=email&amp;_hsenc=p2ANqtz-8XgkPQ1giMjGLB0_4BHibHRg8AnF0OGCR2Cw8vRmWLgtlTmssnmuwQJUXLohTyr4KVPD0L&amp;_hsmi=87085363&amp;utm_content=87085363&amp;utm_source=hs_email&amp;hsCtaTracking=6fedf137-fd90-4f17-bfb4-d61f710ec7f8%7Cf2771843-6636-4969-9010-2d8d0389b89c</t>
  </si>
  <si>
    <t>1420@globalelectrica.com</t>
  </si>
  <si>
    <t>https://resources.simonelectric.com/simon-catalogo-vehiculo-electrico?utm_campaign=SIC%20-%20Veh%C3%ADculo%20El%C3%A9ctrico&amp;utm_medium=email&amp;_hsenc=p2ANqtz---15tDzvECdBJxXaI3z7DoGt4z-Kj2kC4vE3tTf3bAszKc91Wm5sU7hy4OE6vm02US9LZz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</si>
  <si>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ct8SGeXPGFTpo8xP6brn7gphkZ-YXK7O3wrp5FXpP0Wg0U3LFMPKzcHu70t4F8RvjzFG-&amp;_hsmi=87085363&amp;utm_content=87085363&amp;utm_source=hs_email&amp;hsCtaTracking=6fedf137-fd90-4f17-bfb4-d61f710ec7f8%7Cf2771843-6636-4969-9010-2d8d0389b89c</t>
  </si>
  <si>
    <t>1421@itesasl.com</t>
  </si>
  <si>
    <t>https://resources.simonelectric.com/simon-catalogo-vehiculo-electrico?utm_campaign=SIC%20-%20Veh%C3%ADculo%20El%C3%A9ctrico&amp;utm_medium=email&amp;_hsenc=p2ANqtz-9XyogBgM7KZwz_WtS4CBHmqCRgeO_LoZTUZCfgBzX52ydqnfk9mqk54JmxRzT4erKWtTzP&amp;_hsmi=87085302&amp;utm_content=87085302&amp;utm_source=hs_email&amp;hsCtaTracking=6fedf137-fd90-4f17-bfb4-d61f710ec7f8%7Cf2771843-6636-4969-9010-2d8d0389b89c</t>
  </si>
  <si>
    <t>1422@gmail.com</t>
  </si>
  <si>
    <t>https://resources.simonelectric.com/simon-catalogo-vehiculo-electrico?utm_campaign=SIC%20-%20Veh%C3%ADculo%20El%C3%A9ctrico&amp;utm_medium=email&amp;_hsenc=p2ANqtz-_VvpRydVeVEEf3DCeOdmP3v2NQCdxy1kjmuPY-vcyIOqN-d_QEgaKGcOVZ2-5uVkHVwgAh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</si>
  <si>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mi=87085363&amp;_hsenc=p2ANqtz--y_QoffACZqNnjTXNblAUQpWWQt_cg1jjUnv7xtmhAd0SJ_ca-AF_XQ6HOEYKA8UlKq9nn&amp;utm_content=87085363&amp;utm_source=hs_email</t>
  </si>
  <si>
    <t>1423@telefonica.net</t>
  </si>
  <si>
    <t>https://resources.simonelectric.com/simon-catalogo-vehiculo-electrico?utm_campaign=SIC%20-%20Veh%C3%ADculo%20El%C3%A9ctrico&amp;utm_medium=email&amp;_hsmi=87085363&amp;_hsenc=p2ANqtz--VgaYYeTkdaevKCeKFBJO61wL9ZEhrj7whPxfnTQDk58WLAACxmlLw_WdSL3xQPiyHggPV&amp;utm_content=87085363&amp;utm_source=hs_email</t>
  </si>
  <si>
    <t>1424@gmail.com</t>
  </si>
  <si>
    <t>https://resources.simonelectric.com/simon-catalogo-vehiculo-electrico?utm_campaign=SIC%20-%20Veh%C3%ADculo%20El%C3%A9ctrico&amp;utm_medium=email&amp;_hsenc=p2ANqtz--RWayPZMyqnu6NxEzvT3ooVJlW6h_eam047odBYnYEMYDcjkLX7Lxx_btKxdE9g6K2ACzZ&amp;_hsmi=87085363&amp;utm_content=87085363&amp;utm_source=hs_email&amp;hsCtaTracking=6fedf137-fd90-4f17-bfb4-d61f710ec7f8%7Cf2771843-6636-4969-9010-2d8d0389b89c</t>
  </si>
  <si>
    <t>1425@elezvi.com</t>
  </si>
  <si>
    <t>https://resources.simonelectric.com/simon-catalogo-vehiculo-electrico?utm_campaign=SIC%20-%20Veh%C3%ADculo%20El%C3%A9ctrico&amp;utm_medium=email&amp;_hsenc=p2ANqtz--tx_BKORWrRipFcGob8VK-LGSR0Ol2wupWBBYFH5uHGbodIpYf0PTmpTakRYYsPJluu1Du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</si>
  <si>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KpZBWTYsyBbPNxCcdiAXF-yijjPxM430d88blc3OG2S-Mt__-tN_MGI7r1fekM_9lvr_H&amp;_hsmi=87085363&amp;utm_content=87085363&amp;utm_source=hs_email&amp;hsCtaTracking=6fedf137-fd90-4f17-bfb4-d61f710ec7f8%7Cf2771843-6636-4969-9010-2d8d0389b89c</t>
  </si>
  <si>
    <t>1426@gmail.com</t>
  </si>
  <si>
    <t>https://resources.simonelectric.com/simon-catalogo-vehiculo-electrico?utm_campaign=SIC%20-%20Veh%C3%ADculo%20El%C3%A9ctrico&amp;utm_medium=email&amp;_hsenc=p2ANqtz-_XoFgMqV6H3xdUhohY3MMKEincTOAxYm9k6J4zqGCdPjzldDVp7KER0Iq5dDA11cWqB60E&amp;_hsmi=87085363&amp;utm_content=87085363&amp;utm_source=hs_email&amp;hsCtaTracking=6fedf137-fd90-4f17-bfb4-d61f710ec7f8%7Cf2771843-6636-4969-9010-2d8d0389b89c</t>
  </si>
  <si>
    <t>1427@hotmail.es</t>
  </si>
  <si>
    <t>https://resources.simonelectric.com/simon-catalogo-vehiculo-electrico?utm_campaign=SIC%20-%20Veh%C3%ADculo%20El%C3%A9ctrico&amp;utm_medium=email&amp;_hsenc=p2ANqtz-9Z-mW821kRnMnnyFcQUlHc_0WwFFPrnJuhikIp9bAvqG7lZNSZLq11y5xlIpdJYlgQ8pV3&amp;_hsmi=87085363&amp;utm_content=87085363&amp;utm_source=hs_email&amp;hsCtaTracking=6fedf137-fd90-4f17-bfb4-d61f710ec7f8%7Cf2771843-6636-4969-9010-2d8d0389b89c</t>
  </si>
  <si>
    <t>1428@gadeaingenieros.com</t>
  </si>
  <si>
    <t>https://resources.simonelectric.com/simon-catalogo-vehiculo-electrico?utm_campaign=SIC%20-%20Veh%C3%ADculo%20El%C3%A9ctrico&amp;utm_medium=email&amp;_hsenc=p2ANqtz-9afrI2B3FKWzJ-9mGw9eLPtmc62m627hcdbuyoyl3PE5ieJk-r4gJJzYDtxhZ1NMBMH7fv&amp;_hsmi=87085302&amp;utm_content=87085302&amp;utm_source=hs_email&amp;hsCtaTracking=6fedf137-fd90-4f17-bfb4-d61f710ec7f8%7Cf2771843-6636-4969-9010-2d8d0389b89c</t>
  </si>
  <si>
    <t>1429@yahoo.es</t>
  </si>
  <si>
    <t>https://resources.simonelectric.com/simon-catalogo-vehiculo-electrico?utm_campaign=SIC%20-%20Veh%C3%ADculo%20El%C3%A9ctrico&amp;utm_medium=email&amp;_hsenc=p2ANqtz-_aKMu8Ke4NDjoNChF3riORWOlNXmo8qqtE-OXWFzQFZ_xBsf8PngB8aaLZ_UGLryjhcDFM&amp;_hsmi=87085363&amp;utm_content=87085363&amp;utm_source=hs_email&amp;hsCtaTracking=6fedf137-fd90-4f17-bfb4-d61f710ec7f8%7Cf2771843-6636-4969-9010-2d8d0389b89c</t>
  </si>
  <si>
    <t>1430@outlook.es</t>
  </si>
  <si>
    <t>https://resources.simonelectric.com/simon-catalogo-vehiculo-electrico?utm_campaign=SIC%20-%20Veh%C3%ADculo%20El%C3%A9ctrico&amp;utm_medium=email&amp;_hsenc=p2ANqtz-_jWquQCIDvZbtMJAnn0SCYxg2g_aJ3Wl21nMOdA2urx1s9l8jTwxohYlyPv9z0NBbqZqVk&amp;_hsmi=87085302&amp;utm_content=87085302&amp;utm_source=hs_email&amp;hsCtaTracking=6fedf137-fd90-4f17-bfb4-d61f710ec7f8%7Cf2771843-6636-4969-9010-2d8d0389b89c</t>
  </si>
  <si>
    <t>1431@jgingenieros.es</t>
  </si>
  <si>
    <t>https://resources.simonelectric.com/simon-catalogo-vehiculo-electrico?utm_campaign=SIC%20-%20Veh%C3%ADculo%20El%C3%A9ctrico&amp;utm_medium=email&amp;_hsenc=p2ANqtz-86YjRfGwPzmOCHdpeC4jIJob8zMOSoBJqwhybGuSDnXhvVAXiA-FDy79tXSF1nhMpAkCly&amp;_hsmi=87085363&amp;utm_content=87085363&amp;utm_source=hs_email&amp;hsCtaTracking=6fedf137-fd90-4f17-bfb4-d61f710ec7f8%7Cf2771843-6636-4969-9010-2d8d0389b89c</t>
  </si>
  <si>
    <t>1432@gmail.com</t>
  </si>
  <si>
    <t>https://resources.simonelectric.com/simon-catalogo-vehiculo-electrico?utm_campaign=SIC%20-%20Veh%C3%ADculo%20El%C3%A9ctrico&amp;utm_medium=email&amp;_hsenc=p2ANqtz-94-dwD6i6_xSjE0X3HtgfpFQFw01AUUJmM3VpHzuZqisHzLs9NCako56tlnHrMgegvVkWs&amp;_hsmi=87085363&amp;utm_content=87085363&amp;utm_source=hs_email&amp;hsCtaTracking=6fedf137-fd90-4f17-bfb4-d61f710ec7f8%7Cf2771843-6636-4969-9010-2d8d0389b89c</t>
  </si>
  <si>
    <t>1433@apeme.es</t>
  </si>
  <si>
    <t>https://resources.simonelectric.com/simon-catalogo-vehiculo-electrico?utm_campaign=SIC%20-%20Veh%C3%ADculo%20El%C3%A9ctrico&amp;utm_medium=email&amp;_hsenc=p2ANqtz-_2vCIeQATbKGIS0ftYoq3R3H2clJP2xkcPLKVJRFtYcVTega-EdJEoqTsyhBloiBTGrZZf&amp;_hsmi=87085363&amp;utm_content=87085363&amp;utm_source=hs_email&amp;hsCtaTracking=6fedf137-fd90-4f17-bfb4-d61f710ec7f8%7Cf2771843-6636-4969-9010-2d8d0389b89c</t>
  </si>
  <si>
    <t>1434@planamar.com</t>
  </si>
  <si>
    <t>https://resources.simonelectric.com/simon-catalogo-vehiculo-electrico?utm_campaign=SIC%20-%20Veh%C3%ADculo%20El%C3%A9ctrico&amp;utm_medium=email&amp;_hsenc=p2ANqtz-_zBvxJk55VgdNxrP22nu8Tb1EN1l02G4BgnLdRDFvtxj8_2TipF0POpxOqS5xCBeuUJAS-&amp;_hsmi=87085363&amp;utm_content=87085363&amp;utm_source=hs_email&amp;hsCtaTracking=6fedf137-fd90-4f17-bfb4-d61f710ec7f8%7Cf2771843-6636-4969-9010-2d8d0389b89c</t>
  </si>
  <si>
    <t>1435@serindex.es</t>
  </si>
  <si>
    <t>https://resources.simonelectric.com/simon-catalogo-vehiculo-electrico?utm_campaign=SIC%20-%20Veh%C3%ADculo%20El%C3%A9ctrico&amp;utm_medium=email&amp;_hsenc=p2ANqtz--8ViID-nIhM2YzJwEV-qhpP-3i7jDaONkm69ZE5QgXBLm1PW3EUjgZxXcTdX34Kk-fAwXN&amp;_hsmi=87085302&amp;utm_content=87085302&amp;utm_source=hs_email&amp;hsCtaTracking=6fedf137-fd90-4f17-bfb4-d61f710ec7f8%7Cf2771843-6636-4969-9010-2d8d0389b89c</t>
  </si>
  <si>
    <t>1436@deerns.com</t>
  </si>
  <si>
    <t>https://resources.simonelectric.com/simon-catalogo-vehiculo-electrico?utm_campaign=SIC%20-%20Veh%C3%ADculo%20El%C3%A9ctrico&amp;utm_medium=email&amp;_hsmi=87085302&amp;_hsenc=p2ANqtz-8tFwYsMg5NJt7FQFnQT05z8dr4-sY2pfu3cI9kSXi6f5zEAq-byKGLVRW7TUSMTmNdC0uW&amp;utm_content=87085302&amp;utm_source=hs_email</t>
  </si>
  <si>
    <t>1437@indal-tec.com</t>
  </si>
  <si>
    <t>https://resources.simonelectric.com/simon-catalogo-vehiculo-electrico?utm_campaign=SIC%20-%20Veh%C3%ADculo%20El%C3%A9ctrico&amp;utm_medium=email&amp;_hsenc=p2ANqtz-_Qx4jybX6G6g9MrvZnC_gavAPO6GiMFFSaYEx1aXiNJ4ph_dTDEAUcKydpLdf9b30mMYeA&amp;_hsmi=87085302&amp;utm_content=87085302&amp;utm_source=hs_email&amp;hsCtaTracking=6fedf137-fd90-4f17-bfb4-d61f710ec7f8%7Cf2771843-6636-4969-9010-2d8d0389b89c</t>
  </si>
  <si>
    <t>1438@hotmail.com</t>
  </si>
  <si>
    <t>https://resources.simonelectric.com/simon-catalogo-vehiculo-electrico?utm_campaign=SIC%20-%20Veh%C3%ADculo%20El%C3%A9ctrico&amp;utm_medium=email&amp;_hsenc=p2ANqtz-9dSlTixD3lC5Ya0A-Djlq4SIJTqB4N8Sx67_wGbqjMuNpGMiQ1vPt58xg72NOUPgGserU8&amp;_hsmi=87085302&amp;utm_content=87085302&amp;utm_source=hs_email&amp;hsCtaTracking=6fedf137-fd90-4f17-bfb4-d61f710ec7f8%7Cf2771843-6636-4969-9010-2d8d0389b89c</t>
  </si>
  <si>
    <t>1439@amingenieros.com</t>
  </si>
  <si>
    <t>https://resources.simonelectric.com/simon-catalogo-vehiculo-electrico?utm_campaign=SIC%20-%20Veh%C3%ADculo%20El%C3%A9ctrico&amp;utm_medium=email&amp;_hsenc=p2ANqtz-_kUoOAJJUpxwdx-nTOBxsXFS6ZzQznaxtDaDMnQhak0QbK9l9TXi_dipbG9RrAy2hkCsLf&amp;_hsmi=87085363&amp;utm_content=87085363&amp;utm_source=hs_email&amp;hsCtaTracking=6fedf137-fd90-4f17-bfb4-d61f710ec7f8%7Cf2771843-6636-4969-9010-2d8d0389b89c</t>
  </si>
  <si>
    <t>1440@hotmail.com</t>
  </si>
  <si>
    <t>https://resources.simonelectric.com/simon-catalogo-vehiculo-electrico?utm_campaign=SIC%20-%20Veh%C3%ADculo%20El%C3%A9ctrico&amp;utm_medium=email&amp;_hsenc=p2ANqtz-8f_spYzWu_boLfe3B8_VJx8z7jXD77yMC7gJ0IphB76dcTBxFRT6G6HAoMp-I8OAXrX86e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</si>
  <si>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mi=87085302&amp;_hsenc=p2ANqtz-9qVyT6696r-xFJ02UXIVFnJYq-Dm3Vp16rqHarjtEQHdlrVYtWADo7OPGXMsoQPY-gLYFf&amp;utm_content=87085302&amp;utm_source=hs_email</t>
  </si>
  <si>
    <t>1441@gmail.com</t>
  </si>
  <si>
    <t>https://resources.simonelectric.com/simon-catalogo-vehiculo-electrico?utm_campaign=SIC%20-%20Veh%C3%ADculo%20El%C3%A9ctrico&amp;utm_medium=email&amp;_hsenc=p2ANqtz-_9UyVBR62An_nJf8lgqZniCAHHDeWsiL0QYmfYzyb7MBxVvm2cIVCXIfWUGYIHE-wixB6R&amp;_hsmi=87085363&amp;utm_content=87085363&amp;utm_source=hs_email&amp;hsCtaTracking=6fedf137-fd90-4f17-bfb4-d61f710ec7f8%7Cf2771843-6636-4969-9010-2d8d0389b89c</t>
  </si>
  <si>
    <t>1442@sonepar.es</t>
  </si>
  <si>
    <t>https://resources.simonelectric.com/simon-catalogo-vehiculo-electrico?utm_campaign=SIC%20-%20Veh%C3%ADculo%20El%C3%A9ctrico&amp;utm_medium=email&amp;_hsenc=p2ANqtz-_Be2N9K-Cig8Ub-h62drtD_qHEzY8T0NVwaAa5zsB5tREHHWukSoll_DoIqsd0zhvkSMIk&amp;_hsmi=87085363&amp;utm_content=87085363&amp;utm_source=hs_email&amp;hsCtaTracking=6fedf137-fd90-4f17-bfb4-d61f710ec7f8%7Cf2771843-6636-4969-9010-2d8d0389b89c</t>
  </si>
  <si>
    <t>1443@hotmail.com</t>
  </si>
  <si>
    <t>https://resources.simonelectric.com/simon-catalogo-vehiculo-electrico?utm_campaign=SIC%20-%20Veh%C3%ADculo%20El%C3%A9ctrico&amp;utm_medium=email&amp;_hsenc=p2ANqtz--9KpakDsMvOr1aoPjTmbuwgu91F4eJkXBasG3Hsokh_eSsExhhHgSX-C2CHzivCUslqH_h&amp;_hsmi=87085363&amp;utm_content=87085363&amp;utm_source=hs_email&amp;hsCtaTracking=6fedf137-fd90-4f17-bfb4-d61f710ec7f8%7Cf2771843-6636-4969-9010-2d8d0389b89c</t>
  </si>
  <si>
    <t>1444@gmail.com</t>
  </si>
  <si>
    <t>https://resources.simonelectric.com/simon-catalogo-vehiculo-electrico?utm_campaign=SIC%20-%20Veh%C3%ADculo%20El%C3%A9ctrico&amp;utm_medium=email&amp;_hsenc=p2ANqtz-8iLUTzeUdw8QWvrDdqBGT31wR13X81nW7uX6qmlBh1a8umj_Q7YcmZrfI2_-rMqrlnIv_x&amp;_hsmi=87085363&amp;utm_content=87085363&amp;utm_source=hs_email&amp;hsCtaTracking=6fedf137-fd90-4f17-bfb4-d61f710ec7f8%7Cf2771843-6636-4969-9010-2d8d0389b89c</t>
  </si>
  <si>
    <t>1445@gmail.com</t>
  </si>
  <si>
    <t>1446@gmail.com</t>
  </si>
  <si>
    <t>https://resources.simonelectric.com/simon-catalogo-vehiculo-electrico?utm_campaign=SIC%20-%20Veh%C3%ADculo%20El%C3%A9ctrico&amp;utm_medium=email&amp;_hsenc=p2ANqtz-_ZO6MjJtcsDpeGbTde3blUKHsGcWTPuZbDfEFIwhr25T12k8uATWy4L0PP8RslLbUb2Dsd&amp;_hsmi=87085363&amp;utm_content=87085363&amp;utm_source=hs_email&amp;hsCtaTracking=6fedf137-fd90-4f17-bfb4-d61f710ec7f8%7Cf2771843-6636-4969-9010-2d8d0389b89c</t>
  </si>
  <si>
    <t>1447@galektra.es</t>
  </si>
  <si>
    <t>https://resources.simonelectric.com/simon-catalogo-vehiculo-electrico?utm_campaign=SIC%20-%20Veh%C3%ADculo%20El%C3%A9ctrico&amp;utm_medium=email&amp;_hsenc=p2ANqtz-_QuaXk0e4ssM0bBr7jwMWD8lGeVBZDQlRCX1bldQbHqVczKznTPFW_sx_6Ff38G8q4qImo&amp;_hsmi=87085363&amp;utm_content=87085363&amp;utm_source=hs_email&amp;hsCtaTracking=6fedf137-fd90-4f17-bfb4-d61f710ec7f8%7Cf2771843-6636-4969-9010-2d8d0389b89c</t>
  </si>
  <si>
    <t>1448@renowattandorra.com</t>
  </si>
  <si>
    <t>https://resources.simonelectric.com/simon-catalogo-vehiculo-electrico?utm_campaign=SIC%20-%20Veh%C3%ADculo%20El%C3%A9ctrico&amp;utm_medium=email&amp;_hsenc=p2ANqtz-_pfZwW0UrePC2akkxSYvWQi2wEaadnjgVWPHebek8ei3sOfWgx8AwNl9op35SBCXMtjx9P&amp;_hsmi=87085363&amp;utm_content=87085363&amp;utm_source=hs_email&amp;hsCtaTracking=6fedf137-fd90-4f17-bfb4-d61f710ec7f8%7Cf2771843-6636-4969-9010-2d8d0389b89c</t>
  </si>
  <si>
    <t>1449@aseisa.es</t>
  </si>
  <si>
    <t>https://resources.simonelectric.com/simon-catalogo-vehiculo-electrico?utm_campaign=SIC%20-%20Veh%C3%ADculo%20El%C3%A9ctrico&amp;utm_medium=email&amp;_hsenc=p2ANqtz-_WFbDftMkbEPcxp0Hj5CKzT5fVN9AgzcKsJ_PSaj5uzwa8hjuGUiIjoIr3NKUKlx5sjZya&amp;_hsmi=87085363&amp;utm_content=87085363&amp;utm_source=hs_email&amp;hsCtaTracking=6fedf137-fd90-4f17-bfb4-d61f710ec7f8%7Cf2771843-6636-4969-9010-2d8d0389b89c</t>
  </si>
  <si>
    <t>1450@hotmail.com</t>
  </si>
  <si>
    <t>https://resources.simonelectric.com/simon-catalogo-vehiculo-electrico?utm_campaign=SIC%20-%20Veh%C3%ADculo%20El%C3%A9ctrico&amp;utm_medium=email&amp;_hsenc=p2ANqtz--8TQssKUlfBP-lN9aXel6RyvQHiz3TyHQvNk5OQX_8h3RVi7Sq1aTuXEuaN8MCf3Ww1uDK&amp;_hsmi=87085363&amp;utm_content=87085363&amp;utm_source=hs_email&amp;hsCtaTracking=6fedf137-fd90-4f17-bfb4-d61f710ec7f8%7Cf2771843-6636-4969-9010-2d8d0389b89c</t>
  </si>
  <si>
    <t>1451@electrocuebar.com</t>
  </si>
  <si>
    <t>https://resources.simonelectric.com/simon-catalogo-vehiculo-electrico?utm_campaign=SIC%20-%20Veh%C3%ADculo%20El%C3%A9ctrico&amp;utm_medium=email&amp;_hsenc=p2ANqtz-8G65CnBl2GH8kpdrbiBmTpxkLKQq2bmbRxyA07R1hmi6aAKC7LHrJ4lZa9XAoMp7GY1mdk&amp;_hsmi=87085302&amp;utm_content=87085302&amp;utm_source=hs_email&amp;hsCtaTracking=6fedf137-fd90-4f17-bfb4-d61f710ec7f8%7Cf2771843-6636-4969-9010-2d8d0389b89c</t>
  </si>
  <si>
    <t>1452@ricarsat.com</t>
  </si>
  <si>
    <t>https://resources.simonelectric.com/simon-catalogo-vehiculo-electrico?utm_campaign=SIC%20-%20Veh%C3%ADculo%20El%C3%A9ctrico&amp;utm_medium=email&amp;_hsenc=p2ANqtz-89I-mcOefAhI7R9sOhzApnJNoZDEvBJ5XLXa59tokxI4qmfVZiieGrHZMGb1lwcUYXEB5G&amp;_hsmi=87085302&amp;utm_content=87085302&amp;utm_source=hs_email&amp;hsCtaTracking=6fedf137-fd90-4f17-bfb4-d61f710ec7f8%7Cf2771843-6636-4969-9010-2d8d0389b89c</t>
  </si>
  <si>
    <t>1453@ingenierosdecadiz.es</t>
  </si>
  <si>
    <t>https://resources.simonelectric.com/simon-catalogo-vehiculo-electrico?utm_campaign=SIC%20-%20Veh%C3%ADculo%20El%C3%A9ctrico&amp;utm_medium=email&amp;_hsenc=p2ANqtz--2gwZ6zRpEjLNnCItbMx7uPXnTDaNSp3SWfjCOhKqEXysINSeWHXb7h0RMFHR6ukNHTaGP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</si>
  <si>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_UBjz0oqlv-GuQSnUc8_1yHvUylRhAF3tp1TwZhO3Mv2o-UQ3t3izI13oyJ9sEUwogVEY&amp;_hsmi=87085302&amp;utm_content=87085302&amp;utm_source=hs_email&amp;hsCtaTracking=6fedf137-fd90-4f17-bfb4-d61f710ec7f8%7Cf2771843-6636-4969-9010-2d8d0389b89c</t>
  </si>
  <si>
    <t>1454@yahoo.es</t>
  </si>
  <si>
    <t>https://resources.simonelectric.com/simon-catalogo-vehiculo-electrico?utm_campaign=SIC%20-%20Veh%C3%ADculo%20El%C3%A9ctrico&amp;utm_medium=email&amp;_hsenc=p2ANqtz-8wsOxLVK9ub8U-zdUMY7iOo530BWHl1f-6ETWimYJhzxf2DOubpbmW3HDh_cZxjPD--2kg&amp;_hsmi=87085363&amp;utm_content=87085363&amp;utm_source=hs_email&amp;hsCtaTracking=6fedf137-fd90-4f17-bfb4-d61f710ec7f8%7Cf2771843-6636-4969-9010-2d8d0389b89c</t>
  </si>
  <si>
    <t>1455@gmail.com</t>
  </si>
  <si>
    <t>https://resources.simonelectric.com/simon-catalogo-vehiculo-electrico?utm_campaign=SIC%20-%20Veh%C3%ADculo%20El%C3%A9ctrico&amp;utm_medium=email&amp;_hsenc=p2ANqtz-9FhTkRluh9QNJRjpfJlzpfT0Yp7IQmPekMewsAn2eD1lvXot9bmsvHY6A4KiLNNUBa5-Ad&amp;_hsmi=87085363&amp;utm_content=87085363&amp;utm_source=hs_email&amp;hsCtaTracking=6fedf137-fd90-4f17-bfb4-d61f710ec7f8%7Cf2771843-6636-4969-9010-2d8d0389b89c</t>
  </si>
  <si>
    <t>1456@telefonica.net</t>
  </si>
  <si>
    <t>https://resources.simonelectric.com/simon-catalogo-vehiculo-electrico?utm_campaign=SIC%20-%20Veh%C3%ADculo%20El%C3%A9ctrico&amp;utm_medium=email&amp;_hsenc=p2ANqtz-8X0Z_PRxHdoT78ic8Sg-bYdqN16TxDx4bQr0mAiy8MWXV-IXYRFxVYp9w87f_bq0wP63Bv&amp;_hsmi=87085363&amp;utm_content=87085363&amp;utm_source=hs_email&amp;hsCtaTracking=6fedf137-fd90-4f17-bfb4-d61f710ec7f8%7Cf2771843-6636-4969-9010-2d8d0389b89c</t>
  </si>
  <si>
    <t>1457@covama.es</t>
  </si>
  <si>
    <t>https://resources.simonelectric.com/simon-catalogo-vehiculo-electrico?utm_campaign=SIC%20-%20Veh%C3%ADculo%20El%C3%A9ctrico&amp;utm_medium=email&amp;_hsenc=p2ANqtz-9cO7frqmTL_73b5s6nybwtysqx9tnnIWOGw_RM-V_1XqmqQmt9fYqf3nMOR8kGPMYUUgmD&amp;_hsmi=87085363&amp;utm_content=87085363&amp;utm_source=hs_email&amp;hsCtaTracking=6fedf137-fd90-4f17-bfb4-d61f710ec7f8%7Cf2771843-6636-4969-9010-2d8d0389b89c</t>
  </si>
  <si>
    <t>1458@gmail.com</t>
  </si>
  <si>
    <t>https://resources.simonelectric.com/simon-catalogo-vehiculo-electrico?utm_campaign=SIC%20-%20Veh%C3%ADculo%20El%C3%A9ctrico&amp;utm_medium=email&amp;_hsmi=87085363&amp;_hsenc=p2ANqtz-8seqLA4cBqSYiACFPJancBqkmbV7DF46ITvgR2Q_kZTTCDLuwNq9jJeH-sBW1YPKLIi3pe&amp;utm_content=87085363&amp;utm_source=hs_email</t>
  </si>
  <si>
    <t>1459@mican.es</t>
  </si>
  <si>
    <t>https://resources.simonelectric.com/simon-catalogo-vehiculo-electrico?utm_campaign=SIC%20-%20Veh%C3%ADculo%20El%C3%A9ctrico&amp;utm_medium=email&amp;_hsenc=p2ANqtz-99JfEb5rSVHD3ORCXLQL8eRvPe0oUVMetz1L4c4Rz7nEYNS1qJLT5yJl3c8P8hcfXOfxQ6&amp;_hsmi=87085363&amp;utm_content=87085363&amp;utm_source=hs_email&amp;hsCtaTracking=6fedf137-fd90-4f17-bfb4-d61f710ec7f8%7Cf2771843-6636-4969-9010-2d8d0389b89c</t>
  </si>
  <si>
    <t>1460@gmail.com</t>
  </si>
  <si>
    <t>https://resources.simonelectric.com/simon-catalogo-vehiculo-electrico?utm_campaign=SIC%20-%20Veh%C3%ADculo%20El%C3%A9ctrico&amp;utm_medium=email&amp;_hsenc=p2ANqtz-90YsvvEtNQKltUXzx5B79YxCvsInhl-VS9mHQfSY8BBOjV4dq88VEqIm6XGdLGAot6MrIF&amp;_hsmi=87085302&amp;utm_content=87085302&amp;utm_source=hs_email&amp;hsCtaTracking=6fedf137-fd90-4f17-bfb4-d61f710ec7f8%7Cf2771843-6636-4969-9010-2d8d0389b89c</t>
  </si>
  <si>
    <t>1461@gmail.com</t>
  </si>
  <si>
    <t>https://resources.simonelectric.com/simon-catalogo-vehiculo-electrico?utm_campaign=SIC%20-%20Veh%C3%ADculo%20El%C3%A9ctrico&amp;utm_medium=email&amp;_hsenc=p2ANqtz-8HXmBMEa8mDtFXrCzFZLLZIZ5JuDCyqh2He5ndcc5fxYC7lXGLH1SDO-73LStEn1ha8XeG&amp;_hsmi=87085302&amp;utm_content=87085302&amp;utm_source=hs_email&amp;hsCtaTracking=6fedf137-fd90-4f17-bfb4-d61f710ec7f8%7Cf2771843-6636-4969-9010-2d8d0389b89c</t>
  </si>
  <si>
    <t>1462@cadlan.com</t>
  </si>
  <si>
    <t>https://resources.simonelectric.com/simon-catalogo-vehiculo-electrico?utm_campaign=SIC%20-%20Veh%C3%ADculo%20El%C3%A9ctrico&amp;utm_medium=email&amp;_hsenc=p2ANqtz-_BzFzaCin5aKiZ_WoUgBXol3yB0pE7WrC03bbQLbG3GmfpeS14e7TsSblWYJ-akX2922Oy&amp;_hsmi=87085302&amp;utm_content=87085302&amp;utm_source=hs_email&amp;hsCtaTracking=6fedf137-fd90-4f17-bfb4-d61f710ec7f8%7Cf2771843-6636-4969-9010-2d8d0389b89c</t>
  </si>
  <si>
    <t>1463@sicarsl.es</t>
  </si>
  <si>
    <t>https://resources.simonelectric.com/simon-catalogo-vehiculo-electrico?utm_campaign=SIC%20-%20Veh%C3%ADculo%20El%C3%A9ctrico&amp;utm_medium=email&amp;_hsenc=p2ANqtz-_jHlSSKzbm48r6n3xr8mezqcQtR90hKSiNpQ91mD-PkLl7PPl5ysb3yxwzercEXotgJ8gL&amp;_hsmi=87085363&amp;utm_content=87085363&amp;utm_source=hs_email&amp;hsCtaTracking=6fedf137-fd90-4f17-bfb4-d61f710ec7f8%7Cf2771843-6636-4969-9010-2d8d0389b89c</t>
  </si>
  <si>
    <t>1464@gmail.com</t>
  </si>
  <si>
    <t>https://resources.simonelectric.com/simon-catalogo-vehiculo-electrico?utm_campaign=SIC%20-%20Veh%C3%ADculo%20El%C3%A9ctrico&amp;utm_medium=email&amp;_hsenc=p2ANqtz-945fq10NsuTQ2CKwIupoLluFT5rlWmJ_SsLMzAAl7h1885lDKmC243ofBiOD9e5ENuRk4N&amp;_hsmi=87085363&amp;utm_content=87085363&amp;utm_source=hs_email&amp;hsCtaTracking=6fedf137-fd90-4f17-bfb4-d61f710ec7f8%7Cf2771843-6636-4969-9010-2d8d0389b89c</t>
  </si>
  <si>
    <t>1465@guielec.es</t>
  </si>
  <si>
    <t>https://resources.simonelectric.com/simon-catalogo-vehiculo-electrico?utm_campaign=SIC%20-%20Veh%C3%ADculo%20El%C3%A9ctrico&amp;utm_medium=email&amp;_hsenc=p2ANqtz-9y07iHhNSFEWy4ZL22tqzTMoUoSiTgEEwGgb9J-nVsBBw8YrID_ZdD1oHKgnRFrHNQKQkt&amp;_hsmi=87085363&amp;utm_content=87085363&amp;utm_source=hs_email&amp;hsCtaTracking=6fedf137-fd90-4f17-bfb4-d61f710ec7f8%7Cf2771843-6636-4969-9010-2d8d0389b89c</t>
  </si>
  <si>
    <t>1466@telegrado.es</t>
  </si>
  <si>
    <t>https://resources.simonelectric.com/simon-catalogo-vehiculo-electrico?utm_campaign=SIC%20-%20Veh%C3%ADculo%20El%C3%A9ctrico&amp;utm_medium=email&amp;_hsmi=87085302&amp;_hsenc=p2ANqtz-93F2c8NShUauodPnoc1Vi1X2k88jEZHCtjdmXdYhxL3iA6BacSoxGBbiHZ73o9NLmFh0uu&amp;utm_content=87085302&amp;utm_source=hs_email</t>
  </si>
  <si>
    <t>1467@agave-broadcast.es</t>
  </si>
  <si>
    <t>https://resources.simonelectric.com/simon-catalogo-vehiculo-electrico?utm_campaign=SIC%20-%20Veh%C3%ADculo%20El%C3%A9ctrico&amp;utm_medium=email&amp;_hsenc=p2ANqtz-_fbAHHoY6G6gNRnDaqnHX3MYFX0yzbi7UDZydBKv02RSoqDVkDEU9UwmzOwlYJyBTBkiQs&amp;_hsmi=87085363&amp;utm_content=87085363&amp;utm_source=hs_email&amp;hsCtaTracking=6fedf137-fd90-4f17-bfb4-d61f710ec7f8%7Cf2771843-6636-4969-9010-2d8d0389b89c</t>
  </si>
  <si>
    <t>1468@gmail.com</t>
  </si>
  <si>
    <t>https://resources.simonelectric.com/simon-catalogo-vehiculo-electrico?utm_campaign=SIC%20-%20Veh%C3%ADculo%20El%C3%A9ctrico&amp;utm_medium=email&amp;_hsenc=p2ANqtz--99vMdGNbPapsLCRPVgHeWtInMG6Tn1EbsFaP5NvlChTKKJzWYDi9N5ZUbUQPXxRlUADW4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</si>
  <si>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FTTDyRAMuld4uvVVN7rAgHENhPtIPTCFDIT814AalMLQ4MNrffQDl_WOlVln6cquErOYw&amp;_hsmi=87085363&amp;utm_content=87085363&amp;utm_source=hs_email&amp;hsCtaTracking=6fedf137-fd90-4f17-bfb4-d61f710ec7f8%7Cf2771843-6636-4969-9010-2d8d0389b89c</t>
  </si>
  <si>
    <t>1469@hotmail.com</t>
  </si>
  <si>
    <t>https://resources.simonelectric.com/simon-catalogo-vehiculo-electrico?utm_campaign=SIC%20-%20Veh%C3%ADculo%20El%C3%A9ctrico&amp;utm_medium=email&amp;_hsenc=p2ANqtz-8X-i7FVYgWJooSMv_lJWDGCHprzGbqJmwbnd8rdFmke3nIxtzKZ4J9oGUHog8dSBgh_wU6&amp;_hsmi=87085363&amp;utm_content=87085363&amp;utm_source=hs_email&amp;hsCtaTracking=6fedf137-fd90-4f17-bfb4-d61f710ec7f8%7Cf2771843-6636-4969-9010-2d8d0389b89c</t>
  </si>
  <si>
    <t>1470@gmail.com</t>
  </si>
  <si>
    <t>https://resources.simonelectric.com/simon-catalogo-vehiculo-electrico?utm_campaign=SIC%20-%20Veh%C3%ADculo%20El%C3%A9ctrico&amp;utm_medium=email&amp;_hsenc=p2ANqtz-_bzC9yRHP6LVy5xLAblkGLTH_11puEbVvQKyJTcKkYKekKQLlfea5TA1WwzOOLBsS7g52L&amp;_hsmi=87085363&amp;utm_content=87085363&amp;utm_source=hs_email&amp;hsCtaTracking=6fedf137-fd90-4f17-bfb4-d61f710ec7f8%7Cf2771843-6636-4969-9010-2d8d0389b89c</t>
  </si>
  <si>
    <t>1471@tcasertec.com</t>
  </si>
  <si>
    <t>https://resources.simonelectric.com/simon-catalogo-vehiculo-electrico?utm_campaign=SIC%20-%20Veh%C3%ADculo%20El%C3%A9ctrico&amp;utm_medium=email&amp;_hsenc=p2ANqtz-_AQZf-0c7TDZh2o9ev_biY_8s1ia3EngtZFiinm1ZfaV3MxRIc80QX5rHst9aW2ECQDmng&amp;_hsmi=87085363&amp;utm_content=87085363&amp;utm_source=hs_email&amp;hsCtaTracking=6fedf137-fd90-4f17-bfb4-d61f710ec7f8%7Cf2771843-6636-4969-9010-2d8d0389b89c</t>
  </si>
  <si>
    <t>1472@yahoo.es</t>
  </si>
  <si>
    <t>https://resources.simonelectric.com/simon-catalogo-vehiculo-electrico?utm_campaign=SIC%20-%20Veh%C3%ADculo%20El%C3%A9ctrico&amp;utm_medium=email&amp;_hsenc=p2ANqtz-84lEJa53fMJB78Cdc_GQX0hzTtfVh5IhBTHowWbucTBjVVob4EOy1X6JEU26mw65wPNkPV&amp;_hsmi=87085363&amp;utm_content=87085363&amp;utm_source=hs_email&amp;hsCtaTracking=6fedf137-fd90-4f17-bfb4-d61f710ec7f8%7Cf2771843-6636-4969-9010-2d8d0389b89c</t>
  </si>
  <si>
    <t>1473@hotmail.com</t>
  </si>
  <si>
    <t>https://resources.simonelectric.com/simon-catalogo-vehiculo-electrico?utm_campaign=SIC%20-%20Veh%C3%ADculo%20El%C3%A9ctrico&amp;utm_medium=email&amp;_hsenc=p2ANqtz-_aE2prO4h4VMZjaft_q7Er67l0fn3bsh_4pfeFxvXWKOJkwy7ngbQGUY2O8GopofhOD4QL&amp;_hsmi=87085302&amp;utm_content=87085302&amp;utm_source=hs_email&amp;hsCtaTracking=6fedf137-fd90-4f17-bfb4-d61f710ec7f8%7Cf2771843-6636-4969-9010-2d8d0389b89c</t>
  </si>
  <si>
    <t>1474@urgon.es</t>
  </si>
  <si>
    <t>https://resources.simonelectric.com/simon-catalogo-vehiculo-electrico?utm_campaign=SIC%20-%20Veh%C3%ADculo%20El%C3%A9ctrico&amp;utm_medium=email&amp;_hsmi=87085363&amp;_hsenc=p2ANqtz--b725kzp2b1s_EhPf4m82zBJ7NCdVSo218MeDQpFyzQCFhcJVv5S-iGaB_oRAFrsWi45JU&amp;utm_content=87085363&amp;utm_source=hs_email</t>
  </si>
  <si>
    <t>1475@electricidadreset.es</t>
  </si>
  <si>
    <t>https://resources.simonelectric.com/simon-catalogo-vehiculo-electrico?utm_campaign=SIC%20-%20Veh%C3%ADculo%20El%C3%A9ctrico&amp;utm_medium=email&amp;_hsenc=p2ANqtz-_NHlE69mbu4uQ3JnFDlUczpA8R8MUSSifHeA-e3XdhBA6p_xz9SG0GoqY1FxdvJYk7eFTq&amp;_hsmi=87085302&amp;utm_content=87085302&amp;utm_source=hs_email&amp;hsCtaTracking=6fedf137-fd90-4f17-bfb4-d61f710ec7f8%7Cf2771843-6636-4969-9010-2d8d0389b89c</t>
  </si>
  <si>
    <t>1476@sonepar.es</t>
  </si>
  <si>
    <t>https://resources.simonelectric.com/simon-catalogo-vehiculo-electrico?utm_campaign=SIC%20-%20Veh%C3%ADculo%20El%C3%A9ctrico&amp;utm_medium=email&amp;_hsenc=p2ANqtz-9p39deLRiDBRZxasMlJXGYnfgWgBnX6tfgsD8sIv6vrteZpMmo5N1_OGsuC_qcwneWLjBV&amp;_hsmi=87085363&amp;utm_content=87085363&amp;utm_source=hs_email&amp;hsCtaTracking=6fedf137-fd90-4f17-bfb4-d61f710ec7f8%7Cf2771843-6636-4969-9010-2d8d0389b89c</t>
  </si>
  <si>
    <t>1477@sonepar.es</t>
  </si>
  <si>
    <t>https://resources.simonelectric.com/simon-catalogo-vehiculo-electrico?utm_campaign=SIC%20-%20Veh%C3%ADculo%20El%C3%A9ctrico&amp;utm_medium=email&amp;_hsenc=p2ANqtz-9vHpyI0knXWmUgYUAP4ige9CCbWHw3CPf37I4jucnBkct79Py3ijHGRNsjBVAvU8NUgJeQ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</si>
  <si>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OWYA7lTo6XMzoyknsTCOlTBwsxio9hKDAofsqgJXRhQnfUb4XaN9bOh__YjS6Bmak6g_M&amp;_hsmi=87085363&amp;utm_content=87085363&amp;utm_source=hs_email&amp;hsCtaTracking=6fedf137-fd90-4f17-bfb4-d61f710ec7f8%7Cf2771843-6636-4969-9010-2d8d0389b89c</t>
  </si>
  <si>
    <t>1478@gmail.com</t>
  </si>
  <si>
    <t>https://resources.simonelectric.com/simon-catalogo-vehiculo-electrico?utm_campaign=SIC%20-%20Veh%C3%ADculo%20El%C3%A9ctrico&amp;utm_medium=email&amp;_hsenc=p2ANqtz-9wZ7jA1mTxpLib4EyGkno9kDbibBR-iSRK95xXcX4HB0C9ddLIyuLDfNG05OX4f77n9sVK&amp;_hsmi=87085302&amp;utm_content=87085302&amp;utm_source=hs_email&amp;hsCtaTracking=6fedf137-fd90-4f17-bfb4-d61f710ec7f8%7Cf2771843-6636-4969-9010-2d8d0389b89c</t>
  </si>
  <si>
    <t>1479@iespunyes.com</t>
  </si>
  <si>
    <t>https://resources.simonelectric.com/simon-catalogo-vehiculo-electrico?utm_campaign=SIC%20-%20Veh%C3%ADculo%20El%C3%A9ctrico&amp;utm_medium=email&amp;_hsenc=p2ANqtz-9g0Y4aE2aNrpwB23-qoljzMokF91z1Kxaj7ul1Crmi3XIfkx4hqB09mZmvjVybnebfhaRD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</si>
  <si>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aqX4ZJfJ8x_nEHqA7bH95lwP0VOkF3SF3_WPGOMMXPWrMlM5qI6wE9cLgZWD_VWu-X7bu&amp;_hsmi=87085363&amp;utm_content=87085363&amp;utm_source=hs_email&amp;hsCtaTracking=6fedf137-fd90-4f17-bfb4-d61f710ec7f8%7Cf2771843-6636-4969-9010-2d8d0389b89c</t>
  </si>
  <si>
    <t>1480@coiim.es</t>
  </si>
  <si>
    <t>https://resources.simonelectric.com/simon-catalogo-vehiculo-electrico?utm_campaign=SIC%20-%20Veh%C3%ADculo%20El%C3%A9ctrico&amp;utm_medium=email&amp;_hsenc=p2ANqtz--WcYSLwQgeCYVKSYJXNRfTRgxUV_vLPgoG9Nbh-0UckviLBocLTt18V2BaOs6bJd7_dcl7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</si>
  <si>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dqhhXhXUubL89ETrflfwMgZNrGr5r9YQkkBD7VoAeBDqE7_rB3RTwP8jqflbStZIaA78B&amp;_hsmi=87085363&amp;utm_content=87085363&amp;utm_source=hs_email&amp;hsCtaTracking=6fedf137-fd90-4f17-bfb4-d61f710ec7f8%7Cf2771843-6636-4969-9010-2d8d0389b89c</t>
  </si>
  <si>
    <t>1481@iesmercurio.es</t>
  </si>
  <si>
    <t>https://resources.simonelectric.com/simon-catalogo-vehiculo-electrico?utm_campaign=SIC%20-%20Veh%C3%ADculo%20El%C3%A9ctrico&amp;utm_medium=email&amp;_hsenc=p2ANqtz--a7v8xiTe-kDehFchr5JCkfjQmn-M7fz6TSmkSb7fdZU1lokMJ0gms9HE6fKk677xj4vdE&amp;_hsmi=87085363&amp;utm_content=87085363&amp;utm_source=hs_email&amp;hsCtaTracking=6fedf137-fd90-4f17-bfb4-d61f710ec7f8%7Cf2771843-6636-4969-9010-2d8d0389b89c</t>
  </si>
  <si>
    <t>1482@gmail.com</t>
  </si>
  <si>
    <t>https://resources.simonelectric.com/simon-catalogo-vehiculo-electrico?utm_campaign=SIC%20-%20Veh%C3%ADculo%20El%C3%A9ctrico&amp;utm_medium=email&amp;_hsenc=p2ANqtz-9f7h434mSBA9Bq3c9BfXHGWPbpRHZWVaZFu9SvGFLn7rgDD83qcNy_nnnZwUVzt2Vn4Jaz&amp;_hsmi=87085363&amp;utm_content=87085363&amp;utm_source=hs_email&amp;hsCtaTracking=6fedf137-fd90-4f17-bfb4-d61f710ec7f8%7Cf2771843-6636-4969-9010-2d8d0389b89c</t>
  </si>
  <si>
    <t>1483@gruponovelec.com</t>
  </si>
  <si>
    <t>https://resources.simonelectric.com/simon-catalogo-vehiculo-electrico?utm_campaign=SIC%20-%20Veh%C3%ADculo%20El%C3%A9ctrico&amp;utm_medium=email&amp;_hsenc=p2ANqtz-9B_8B64DE41yAFd_wSvWO4EXdUZNt-yQTrA1jOXP2CGu835keyi95i6cJU8e2sD6RrEv_7&amp;_hsmi=87085363&amp;utm_content=87085363&amp;utm_source=hs_email&amp;hsCtaTracking=6fedf137-fd90-4f17-bfb4-d61f710ec7f8%7Cf2771843-6636-4969-9010-2d8d0389b89c</t>
  </si>
  <si>
    <t>1484@r3recymed.com</t>
  </si>
  <si>
    <t>https://resources.simonelectric.com/simon-catalogo-vehiculo-electrico?utm_campaign=SIC%20-%20Veh%C3%ADculo%20El%C3%A9ctrico&amp;utm_medium=email&amp;_hsenc=p2ANqtz-9xLGkAKowq3kxOMLFYkpFzYdsfmGF92yxIS3X37I3PJN-jVCKXm6ItBxM8T-xYUZ-ejdx9&amp;_hsmi=87085363&amp;utm_content=87085363&amp;utm_source=hs_email&amp;hsCtaTracking=6fedf137-fd90-4f17-bfb4-d61f710ec7f8%7Cf2771843-6636-4969-9010-2d8d0389b89c</t>
  </si>
  <si>
    <t>1485@simon.es</t>
  </si>
  <si>
    <t>https://resources.simonelectric.com/simon-catalogo-vehiculo-electrico?utm_campaign=SIC%20-%20Veh%C3%ADculo%20El%C3%A9ctrico&amp;utm_medium=email&amp;_hsenc=p2ANqtz-8kjv6e6OSWrKVR0Ls498kTcO97kPd0JMWRPjV43q3z_v2tArNhB__K7KlE3AwRC80mmdWE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</si>
  <si>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mi=87085302&amp;_hsenc=p2ANqtz-_nicYc-UF0c4bo4D2Uaq7Bytj3Ly2kL0YtBglGrgNFJ3UQgar_NmpI7D9NspJ1r8xSfEu2&amp;utm_content=87085302&amp;utm_source=hs_email</t>
  </si>
  <si>
    <t>1486@gmail.com</t>
  </si>
  <si>
    <t>https://resources.simonelectric.com/simon-catalogo-vehiculo-electrico?utm_campaign=SIC%20-%20Veh%C3%ADculo%20El%C3%A9ctrico&amp;utm_medium=email&amp;_hsmi=87085363&amp;_hsenc=p2ANqtz-8Yk9wGDHHquFN1kv2aFTjtdgff-BbcfJUh0JZwi7kVgVo6K2qvAxhV9vLytQdOrF1OrvRE&amp;utm_content=87085363&amp;utm_source=hs_email</t>
  </si>
  <si>
    <t>1487@gmail.com</t>
  </si>
  <si>
    <t>https://resources.simonelectric.com/simon-catalogo-vehiculo-electrico?utm_campaign=SIC%20-%20Veh%C3%ADculo%20El%C3%A9ctrico&amp;utm_medium=email&amp;_hsenc=p2ANqtz-8di4LwCEr5t_ZhWnObWriyJC1qTKFh_pLa2NfVBSmSgq5QJQF0wpLIrioi4bD0rq_eSUsv&amp;_hsmi=87085363&amp;utm_content=87085363&amp;utm_source=hs_email&amp;hsCtaTracking=6fedf137-fd90-4f17-bfb4-d61f710ec7f8%7Cf2771843-6636-4969-9010-2d8d0389b89c</t>
  </si>
  <si>
    <t>1488@telefonica.net</t>
  </si>
  <si>
    <t>https://resources.simonelectric.com/simon-catalogo-vehiculo-electrico?utm_campaign=SIC%20-%20Veh%C3%ADculo%20El%C3%A9ctrico&amp;utm_medium=email&amp;_hsenc=p2ANqtz-__UI8D37kun29GuT9XJZ7Hybd5TLsSkisI89CCqY9tg5Rn4K8d7CR8HBQNAZAlw6Aa4zky&amp;_hsmi=87085363&amp;utm_content=87085363&amp;utm_source=hs_email&amp;hsCtaTracking=6fedf137-fd90-4f17-bfb4-d61f710ec7f8%7Cf2771843-6636-4969-9010-2d8d0389b89c</t>
  </si>
  <si>
    <t>1489@gmail.com</t>
  </si>
  <si>
    <t>https://resources.simonelectric.com/simon-catalogo-vehiculo-electrico?utm_campaign=SIC%20-%20Veh%C3%ADculo%20El%C3%A9ctrico&amp;utm_medium=email&amp;_hsenc=p2ANqtz-94cUjy93ax5UvhDMQLYN3JznGDcZp-6SSG4GhFHHDSfGxWXH4raYWgy6L88Y_5SE2WONjJ&amp;_hsmi=87085363&amp;utm_content=87085363&amp;utm_source=hs_email&amp;hsCtaTracking=6fedf137-fd90-4f17-bfb4-d61f710ec7f8%7Cf2771843-6636-4969-9010-2d8d0389b89c</t>
  </si>
  <si>
    <t>1490@hotmail.com</t>
  </si>
  <si>
    <t>https://resources.simonelectric.com/simon-catalogo-vehiculo-electrico?utm_campaign=SIC%20-%20Veh%C3%ADculo%20El%C3%A9ctrico&amp;utm_medium=email&amp;_hsenc=p2ANqtz-8M5OfFoN5rMWT6FSHCvNzPSHHmqQAJ8KvypwZzczCyIoBcql6ec2om5YNQVeVkiUa9fDs2&amp;_hsmi=87085363&amp;utm_content=87085363&amp;utm_source=hs_email&amp;hsCtaTracking=6fedf137-fd90-4f17-bfb4-d61f710ec7f8%7Cf2771843-6636-4969-9010-2d8d0389b89c</t>
  </si>
  <si>
    <t>1491@donbany.com</t>
  </si>
  <si>
    <t>https://resources.simonelectric.com/simon-catalogo-vehiculo-electrico?utm_campaign=SIC%20-%20Veh%C3%ADculo%20El%C3%A9ctrico&amp;utm_medium=email&amp;_hsenc=p2ANqtz--CEj384FL0PJjfL8SW_0ykuJR6PnRxauRLWWwXLTQYOAQHuQ6jxMxWixh8Po8JbISX6ZEJ&amp;_hsmi=87085363&amp;utm_content=87085363&amp;utm_source=hs_email&amp;hsCtaTracking=6fedf137-fd90-4f17-bfb4-d61f710ec7f8%7Cf2771843-6636-4969-9010-2d8d0389b89c</t>
  </si>
  <si>
    <t>1492@aurialux.com</t>
  </si>
  <si>
    <t>https://resources.simonelectric.com/simon-catalogo-vehiculo-electrico?utm_campaign=SIC%20-%20Veh%C3%ADculo%20El%C3%A9ctrico&amp;utm_medium=email&amp;_hsenc=p2ANqtz-_P4us3iBKs2ipxXWab74UO7GTjeKiKERywIbCJAWGpFY2labAVvoSjp697VZi4PY8t8paY&amp;_hsmi=87085363&amp;utm_content=87085363&amp;utm_source=hs_email&amp;hsCtaTracking=6fedf137-fd90-4f17-bfb4-d61f710ec7f8%7Cf2771843-6636-4969-9010-2d8d0389b89c</t>
  </si>
  <si>
    <t>1493@hotmail.com</t>
  </si>
  <si>
    <t>https://resources.simonelectric.com/simon-catalogo-vehiculo-electrico?utm_campaign=SIC%20-%20Veh%C3%ADculo%20El%C3%A9ctrico&amp;utm_medium=email&amp;_hsenc=p2ANqtz-9-fDZ-rmxcyl__C2-bP67s8QdKlqcR4wkdWcBrg-2sR0F6OY5WG-PY4dursN6NlmbVStEJ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</si>
  <si>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jwPBJaDiJwVivAh-tKC_KXZZ9TvP1LImPzW2UiLxVrSLAbnooyBKvMPkbpTgxleCqb2l7&amp;_hsmi=87085302&amp;utm_content=87085302&amp;utm_source=hs_email&amp;hsCtaTracking=6fedf137-fd90-4f17-bfb4-d61f710ec7f8%7Cf2771843-6636-4969-9010-2d8d0389b89c</t>
  </si>
  <si>
    <t>1494@gmail.com</t>
  </si>
  <si>
    <t>https://resources.simonelectric.com/simon-catalogo-vehiculo-electrico?utm_campaign=SIC%20-%20Veh%C3%ADculo%20El%C3%A9ctrico&amp;utm_medium=email&amp;_hsenc=p2ANqtz-_3JIAXaH8RPxWQiVrGmk1lhNY5Wr6rsY54nQyc_AYLnwC6BDUz19EBf0fxWELe8Ox8hU7C&amp;_hsmi=87085363&amp;utm_content=87085363&amp;utm_source=hs_email&amp;hsCtaTracking=6fedf137-fd90-4f17-bfb4-d61f710ec7f8%7Cf2771843-6636-4969-9010-2d8d0389b89c</t>
  </si>
  <si>
    <t>1495@grupcluster.com</t>
  </si>
  <si>
    <t>https://resources.simonelectric.com/simon-catalogo-vehiculo-electrico?utm_campaign=SIC%20-%20Veh%C3%ADculo%20El%C3%A9ctrico&amp;utm_medium=email&amp;_hsmi=87085363&amp;_hsenc=p2ANqtz-9v6KKuntLENkEsSrmuq9SVCCBUZULPpIYQj62Li79uyQ8HrF8ts_ZDAjOZ8cgqcD--TLWD&amp;utm_content=87085363&amp;utm_source=hs_email</t>
  </si>
  <si>
    <t>1496@coitt.es</t>
  </si>
  <si>
    <t>https://resources.simonelectric.com/simon-catalogo-vehiculo-electrico?utm_campaign=SIC%20-%20Veh%C3%ADculo%20El%C3%A9ctrico&amp;utm_medium=email&amp;_hsenc=p2ANqtz-8LSKXQZQ5_8gKxIBL05gOhJ7PHyGcSlk8YAN-Q800H9iBTf9vLc5MJL-V4ZkMJbF7id-1Z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</si>
  <si>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-7oPJlDnaRMrOkZlQI4BTAyaaEEOSxnm4UyO5K0ASfK_LDemnIdSYHdrnuhzDv94OMzLhb&amp;_hsmi=87085363&amp;utm_content=87085363&amp;utm_source=hs_email&amp;hsCtaTracking=6fedf137-fd90-4f17-bfb4-d61f710ec7f8%7Cf2771843-6636-4969-9010-2d8d0389b89c</t>
  </si>
  <si>
    <t>1497@covama.es</t>
  </si>
  <si>
    <t>https://resources.simonelectric.com/simon-catalogo-vehiculo-electrico?utm_campaign=SIC%20-%20Veh%C3%ADculo%20El%C3%A9ctrico&amp;utm_medium=email&amp;_hsenc=p2ANqtz-_tu0Xe6nzeZ5Hsp7MkjrxFD_Zebx2PWkSLXoq1GKtOjNx-5G6tka6ZQiOVUXnzuaPbY2xx&amp;_hsmi=87085363&amp;utm_content=87085363&amp;utm_source=hs_email&amp;hsCtaTracking=6fedf137-fd90-4f17-bfb4-d61f710ec7f8%7Cf2771843-6636-4969-9010-2d8d0389b89c</t>
  </si>
  <si>
    <t>1498@gmail.com</t>
  </si>
  <si>
    <t>https://resources.simonelectric.com/simon-catalogo-vehiculo-electrico?utm_campaign=SIC%20-%20Veh%C3%ADculo%20El%C3%A9ctrico&amp;utm_medium=email&amp;_hsenc=p2ANqtz-912xWltavk0MJjiYpMwFrbCVKKxQmcTUUYGVZH2xZW0B2c4xI1bN6kkJWpW7M6QETF34cM&amp;_hsmi=87085363&amp;utm_content=87085363&amp;utm_source=hs_email&amp;hsCtaTracking=6fedf137-fd90-4f17-bfb4-d61f710ec7f8%7Cf2771843-6636-4969-9010-2d8d0389b89c</t>
  </si>
  <si>
    <t>1499@sonepar.es</t>
  </si>
  <si>
    <t>https://resources.simonelectric.com/simon-catalogo-vehiculo-electrico?utm_campaign=SIC%20-%20Veh%C3%ADculo%20El%C3%A9ctrico&amp;utm_medium=email&amp;_hsenc=p2ANqtz--h0ieUObSArGCmbY2aa66TxLGme03bl08pI8_FTFsMIgrQbxui0XnbnSo1QGKEgz06SIBN&amp;_hsmi=87085363&amp;utm_content=87085363&amp;utm_source=hs_email&amp;hsCtaTracking=6fedf137-fd90-4f17-bfb4-d61f710ec7f8%7Cf2771843-6636-4969-9010-2d8d0389b89c</t>
  </si>
  <si>
    <t>1500@covama.es</t>
  </si>
  <si>
    <t>https://resources.simonelectric.com/simon-catalogo-vehiculo-electrico?utm_campaign=SIC%20-%20Veh%C3%ADculo%20El%C3%A9ctrico&amp;utm_medium=email&amp;_hsenc=p2ANqtz-_IBA57EPIZSt0ClNeqeqIp2ilwV75UsNVVjbWIegzqUO1imHIvx389rVKUclg2nUcJk2wV&amp;_hsmi=87085363&amp;utm_content=87085363&amp;utm_source=hs_email&amp;hsCtaTracking=6fedf137-fd90-4f17-bfb4-d61f710ec7f8%7Cf2771843-6636-4969-9010-2d8d0389b89c</t>
  </si>
  <si>
    <t>1501@clientes.euskaltel.es</t>
  </si>
  <si>
    <t>https://resources.simonelectric.com/simon-catalogo-vehiculo-electrico?utm_campaign=SIC%20-%20Veh%C3%ADculo%20El%C3%A9ctrico&amp;utm_medium=email&amp;_hsenc=p2ANqtz--Z9Jj6JzTTJ4lrSdId00exchHSK7ClaZYU-Anil167_U85kOJaI2wkoGMFfRzYUnZLIzfB&amp;_hsmi=87085363&amp;utm_content=87085363&amp;utm_source=hs_email&amp;hsCtaTracking=6fedf137-fd90-4f17-bfb4-d61f710ec7f8%7Cf2771843-6636-4969-9010-2d8d0389b89c</t>
  </si>
  <si>
    <t>1502@educastur.org</t>
  </si>
  <si>
    <t>https://resources.simonelectric.com/simon-catalogo-vehiculo-electrico?utm_campaign=SIC%20-%20Veh%C3%ADculo%20El%C3%A9ctrico&amp;utm_medium=email&amp;_hsenc=p2ANqtz-_NOl31RcqYjtFb-rGDnJGGgFw1fiQNtl4LP9-EYvhYHBTCfrJkvruZ8UaDAHJ3Fz6DPRwB&amp;_hsmi=87085363&amp;utm_content=87085363&amp;utm_source=hs_email&amp;hsCtaTracking=6fedf137-fd90-4f17-bfb4-d61f710ec7f8%7Cf2771843-6636-4969-9010-2d8d0389b89c</t>
  </si>
  <si>
    <t>1503@simon.es</t>
  </si>
  <si>
    <t>https://resources.simonelectric.com/simon-catalogo-vehiculo-electrico?utm_campaign=SIC%20-%20Veh%C3%ADculo%20El%C3%A9ctrico&amp;utm_medium=email&amp;_hsenc=p2ANqtz-8LaEdPOJYjna69wDf73uBxZ94qM7z9Bj1693BpewCWvqDBr65LqdG64Wpo8OYCCrBtIRZE&amp;_hsmi=87085302&amp;utm_content=87085302&amp;utm_source=hs_email&amp;hsCtaTracking=6fedf137-fd90-4f17-bfb4-d61f710ec7f8%7Cf2771843-6636-4969-9010-2d8d0389b89c</t>
  </si>
  <si>
    <t>1504@gmail.com</t>
  </si>
  <si>
    <t>https://resources.simonelectric.com/simon-catalogo-vehiculo-electrico?utm_campaign=SIC%20-%20Veh%C3%ADculo%20El%C3%A9ctrico&amp;utm_medium=email&amp;_hsenc=p2ANqtz--4Kiu_Krinuao3fqc9x9q_EmlcEna2eXResVKeoTCPKh_76mXeDToOVUth1TldNKGG--_x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</si>
  <si>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ivBt6-eCl-IAet116rQisIkG7v53ZvI7DsYCl4BdwBqvdR14o2usrMgki4w8e8dY5WlpT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</si>
  <si>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H_qZ9oB-G154Gxr8is3MQu2xLYxa-JeHep_cCBujyFINu5btnhtejxR17S7x0rTe4BSvx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</si>
  <si>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-82pTJjyfSxU2Y_K8A5Fxg8KPXz8VtYMibCuByO0JCxlMAzK54ingmU0gHDTaYJzzlne2OO&amp;_hsmi=87085363&amp;utm_content=87085363&amp;utm_source=hs_email&amp;hsCtaTracking=6fedf137-fd90-4f17-bfb4-d61f710ec7f8%7Cf2771843-6636-4969-9010-2d8d0389b89c</t>
  </si>
  <si>
    <t>1505@gmail.com</t>
  </si>
  <si>
    <t>https://resources.simonelectric.com/simon-catalogo-vehiculo-electrico?utm_campaign=SIC%20-%20Veh%C3%ADculo%20El%C3%A9ctrico&amp;utm_medium=email&amp;_hsenc=p2ANqtz-9Tug6rklusWYPTbYQkYXEWDYdRX2pd1I9l0VxU9195R2vJmsp0bogYEDDJ5wuJXXEjlvL6&amp;_hsmi=87085363&amp;utm_content=87085363&amp;utm_source=hs_email&amp;hsCtaTracking=6fedf137-fd90-4f17-bfb4-d61f710ec7f8%7Cf2771843-6636-4969-9010-2d8d0389b89c</t>
  </si>
  <si>
    <t>1506@dhorma.com</t>
  </si>
  <si>
    <t>https://resources.simonelectric.com/simon-catalogo-vehiculo-electrico?utm_campaign=SIC%20-%20Veh%C3%ADculo%20El%C3%A9ctrico&amp;utm_medium=email&amp;_hsenc=p2ANqtz-9X5-ILTEyurrEuOoNkPvtbM_sRvkyX0Y0f6UFu9WgBXBBq4QuC9HJv7trigE-tDFeQmEon&amp;_hsmi=87085302&amp;utm_content=87085302&amp;utm_source=hs_email&amp;hsCtaTracking=6fedf137-fd90-4f17-bfb4-d61f710ec7f8%7Cf2771843-6636-4969-9010-2d8d0389b89c</t>
  </si>
  <si>
    <t>1507@hotmail.com</t>
  </si>
  <si>
    <t>https://resources.simonelectric.com/simon-catalogo-vehiculo-electrico?utm_campaign=SIC%20-%20Veh%C3%ADculo%20El%C3%A9ctrico&amp;utm_medium=email&amp;_hsenc=p2ANqtz--G4Bug4p_oVU5l_ZbUJUDo1KIWaEJ7zDPlo6TeeD0BzXANbEwQsEEGvJEbBoxS_2vEWv_V&amp;_hsmi=87085363&amp;utm_content=87085363&amp;utm_source=hs_email&amp;hsCtaTracking=6fedf137-fd90-4f17-bfb4-d61f710ec7f8%7Cf2771843-6636-4969-9010-2d8d0389b89c</t>
  </si>
  <si>
    <t>1508@gmail.com</t>
  </si>
  <si>
    <t>https://resources.simonelectric.com/simon-catalogo-vehiculo-electrico?utm_campaign=SIC%20-%20Veh%C3%ADculo%20El%C3%A9ctrico&amp;utm_medium=email&amp;_hsenc=p2ANqtz-_PCCiMWxHHLS94scRVBsKL_UcSnpPGirH7_VpRAuP699i0fr-UEwi5pajbL6HYtxAICtxh&amp;_hsmi=87085363&amp;utm_content=87085363&amp;utm_source=hs_email&amp;hsCtaTracking=6fedf137-fd90-4f17-bfb4-d61f710ec7f8%7Cf2771843-6636-4969-9010-2d8d0389b89c</t>
  </si>
  <si>
    <t>1509@xonxa.com</t>
  </si>
  <si>
    <t>https://resources.simonelectric.com/simon-catalogo-vehiculo-electrico?utm_campaign=SIC%20-%20Veh%C3%ADculo%20El%C3%A9ctrico&amp;utm_medium=email&amp;_hsenc=p2ANqtz-9SLnVUn4zuI8xgvl1lq_IAu4kNO_yIXJO4tezy8xrfF2M7D6VUYDa9inajRIvU6DzWOza1&amp;_hsmi=87085302&amp;utm_content=87085302&amp;utm_source=hs_email&amp;hsCtaTracking=6fedf137-fd90-4f17-bfb4-d61f710ec7f8%7Cf2771843-6636-4969-9010-2d8d0389b89c</t>
  </si>
  <si>
    <t>1510@adelanteenergia.es</t>
  </si>
  <si>
    <t>https://resources.simonelectric.com/simon-catalogo-vehiculo-electrico?utm_campaign=SIC%20-%20Veh%C3%ADculo%20El%C3%A9ctrico&amp;utm_medium=email&amp;_hsenc=p2ANqtz-_8qvXIhNw_F3peXe_VGngkUX93-JsyY82G8n3HLu6UzulnTEvUNiT8v0QlNnD5Ni9GjBOy&amp;_hsmi=87085363&amp;utm_content=87085363&amp;utm_source=hs_email&amp;hsCtaTracking=6fedf137-fd90-4f17-bfb4-d61f710ec7f8%7Cf2771843-6636-4969-9010-2d8d0389b89c</t>
  </si>
  <si>
    <t>1511@hotmail.com</t>
  </si>
  <si>
    <t>https://resources.simonelectric.com/simon-catalogo-vehiculo-electrico?utm_campaign=SIC%20-%20Veh%C3%ADculo%20El%C3%A9ctrico&amp;utm_medium=email&amp;_hsenc=p2ANqtz-8u930_PUECkvL97LcooHrqBZ8j-207EOnQtzIejrbW1i5AkBgGsZTU1epl-qgNrhAjBHYK&amp;_hsmi=87085363&amp;utm_content=87085363&amp;utm_source=hs_email&amp;hsCtaTracking=6fedf137-fd90-4f17-bfb4-d61f710ec7f8%7Cf2771843-6636-4969-9010-2d8d0389b89c</t>
  </si>
  <si>
    <t>1512@elecox.es</t>
  </si>
  <si>
    <t>https://resources.simonelectric.com/simon-catalogo-vehiculo-electrico?utm_campaign=SIC%20-%20Veh%C3%ADculo%20El%C3%A9ctrico&amp;utm_medium=email&amp;_hsenc=p2ANqtz-8wcxVUJgRO9V9JQA0IpdHdWvMTSt9PM0hWE9YlLnx-xVtiSq4_-WHsObdlGlQxvQvn3gzR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</si>
  <si>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IlyaF9sfEhO4GyUAydUWhtU62qLh6pWttK8CT6Fr3ik8_CUFsJsjacsP7bBKGCu0G7UEo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</si>
  <si>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nJPdR3BLXQW80Ju1hNw1lhKbluKVFhGCmN97O9Mz39G6SEZVjdffBrzjyr4FVkA9F5_jg&amp;_hsmi=87085302&amp;utm_content=87085302&amp;utm_source=hs_email&amp;hsCtaTracking=6fedf137-fd90-4f17-bfb4-d61f710ec7f8%7Cf2771843-6636-4969-9010-2d8d0389b89c</t>
  </si>
  <si>
    <t>1513@simon.es</t>
  </si>
  <si>
    <t>https://resources.simonelectric.com/simon-catalogo-vehiculo-electrico?utm_campaign=SIC%20-%20Veh%C3%ADculo%20El%C3%A9ctrico&amp;utm_medium=email&amp;_hsenc=p2ANqtz-_Ime1MmEIqGod4n1gTQ-m2zgfYIO0PDtfJMzF5xJUUs8FsSiIeyv11hqxbqgJ080O3QTzH&amp;_hsmi=87085363&amp;utm_content=87085363&amp;utm_source=hs_email&amp;hsCtaTracking=6fedf137-fd90-4f17-bfb4-d61f710ec7f8%7Cf2771843-6636-4969-9010-2d8d0389b89c</t>
  </si>
  <si>
    <t>1514@hotmail.com</t>
  </si>
  <si>
    <t>https://resources.simonelectric.com/simon-catalogo-vehiculo-electrico?utm_campaign=SIC%20-%20Veh%C3%ADculo%20El%C3%A9ctrico&amp;utm_medium=email&amp;_hsenc=p2ANqtz--YLfE2inqd5n7oI26hgsiMWNayTzycKL9ym249PRa3x2jveGnjfizWfaYS_CyfjX7KciQp&amp;_hsmi=87085363&amp;utm_content=87085363&amp;utm_source=hs_email&amp;hsCtaTracking=6fedf137-fd90-4f17-bfb4-d61f710ec7f8%7Cf2771843-6636-4969-9010-2d8d0389b89c</t>
  </si>
  <si>
    <t>1515@expertline.es</t>
  </si>
  <si>
    <t>https://resources.simonelectric.com/simon-catalogo-vehiculo-electrico?utm_campaign=SIC%20-%20Veh%C3%ADculo%20El%C3%A9ctrico&amp;utm_medium=email&amp;_hsenc=p2ANqtz-89mLewzA4RbUaiigYu7xdaCKgZHyvNacbMMyfmDkR5TANIcmozxPB2n4gmHvovRBTUjbTh&amp;_hsmi=87085363&amp;utm_content=87085363&amp;utm_source=hs_email&amp;hsCtaTracking=6fedf137-fd90-4f17-bfb4-d61f710ec7f8%7Cf2771843-6636-4969-9010-2d8d0389b89c</t>
  </si>
  <si>
    <t>1516@gmail.com</t>
  </si>
  <si>
    <t>https://resources.simonelectric.com/simon-catalogo-vehiculo-electrico?utm_campaign=SIC%20-%20Veh%C3%ADculo%20El%C3%A9ctrico&amp;utm_medium=email&amp;_hsmi=87085363&amp;_hsenc=p2ANqtz-9PCdn7N3GqIietwb0Q5HA-lYXeSgE6Y1rKwsjw4J_X4JvDUzxQYdT4OLIZznsHPJmIWMkw&amp;utm_content=87085363&amp;utm_source=hs_email</t>
  </si>
  <si>
    <t>1517@hotmail.com</t>
  </si>
  <si>
    <t>https://resources.simonelectric.com/simon-catalogo-vehiculo-electrico?utm_campaign=SIC%20-%20Veh%C3%ADculo%20El%C3%A9ctrico&amp;utm_medium=email&amp;_hsenc=p2ANqtz--4FMUHNbi1WDqOajiOpisWxb6dXqq3ndvWKB32-uhrBQKtWbFbqgatjVV1yy8f8B4IQgBS&amp;_hsmi=87085363&amp;utm_content=87085363&amp;utm_source=hs_email&amp;hsCtaTracking=6fedf137-fd90-4f17-bfb4-d61f710ec7f8%7Cf2771843-6636-4969-9010-2d8d0389b89c</t>
  </si>
  <si>
    <t>1518@gmail.com</t>
  </si>
  <si>
    <t>https://resources.simonelectric.com/simon-catalogo-vehiculo-electrico?utm_campaign=SIC%20-%20Veh%C3%ADculo%20El%C3%A9ctrico&amp;utm_medium=email&amp;_hsenc=p2ANqtz-_KgiKasAmkbNHezN9TsbgT9fjo8-qpbsON1hf5qomVAogNm9-_yaRD9eQkgA_QaFIyvfNl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</si>
  <si>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XBwBhgoH63FDuohd4XcyNwCcl_A0ffxGim_p67CB_F-ns3Na-K-F-YEHfj7nPQlcTm6bg&amp;_hsmi=87085302&amp;utm_content=87085302&amp;utm_source=hs_email&amp;hsCtaTracking=6fedf137-fd90-4f17-bfb4-d61f710ec7f8%7Cf2771843-6636-4969-9010-2d8d0389b89c</t>
  </si>
  <si>
    <t>1519@tadelec.com</t>
  </si>
  <si>
    <t>https://resources.simonelectric.com/simon-catalogo-vehiculo-electrico?utm_campaign=SIC%20-%20Veh%C3%ADculo%20El%C3%A9ctrico&amp;utm_medium=email&amp;_hsmi=87085302&amp;_hsenc=p2ANqtz-_hLn59ONKy90dqrhJ7E2ZVkBBO3AN3sbSMa1bOm4KeL9yr8q3MlYonWiSQBDCexvn0bhzI&amp;utm_content=87085302&amp;utm_source=hs_email</t>
  </si>
  <si>
    <t>https://resources.simonelectric.com/simon-catalogo-vehiculo-electrico?utm_campaign=SIC%20-%20Veh%C3%ADculo%20El%C3%A9ctrico&amp;utm_medium=email&amp;_hsenc=p2ANqtz-8Muz6KboX44VUamp_ll6II7tlR4mk372DxNRBpYWDNYAQ27iEQvZ7Dl3YMCI-ue11G1V94&amp;_hsmi=87085302&amp;utm_content=87085302&amp;utm_source=hs_email&amp;hsCtaTracking=6fedf137-fd90-4f17-bfb4-d61f710ec7f8%7Cf2771843-6636-4969-9010-2d8d0389b89c</t>
  </si>
  <si>
    <t>1520@cebrinsa.es</t>
  </si>
  <si>
    <t>https://resources.simonelectric.com/simon-catalogo-vehiculo-electrico?utm_campaign=SIC%20-%20Veh%C3%ADculo%20El%C3%A9ctrico&amp;utm_medium=email&amp;_hsenc=p2ANqtz-9-KkKnfKH4ZxC3jI17-Bri9-LvGf-uMw5JejY9giYHUr-egIWRI9rwdEc8snYzS61Mkgtd&amp;_hsmi=87085363&amp;utm_content=87085363&amp;utm_source=hs_email&amp;hsCtaTracking=6fedf137-fd90-4f17-bfb4-d61f710ec7f8%7Cf2771843-6636-4969-9010-2d8d0389b89c</t>
  </si>
  <si>
    <t>1521@hotmail.com</t>
  </si>
  <si>
    <t>https://resources.simonelectric.com/simon-catalogo-vehiculo-electrico?utm_campaign=SIC%20-%20Veh%C3%ADculo%20El%C3%A9ctrico&amp;utm_medium=email&amp;_hsmi=87085302&amp;_hsenc=p2ANqtz-94v3722URPcnRnw2eCWr6FISFz1TOrfTck0x63a6wTh2KN3hVgVd41utX1AyCjgNh58OpC&amp;utm_content=87085302&amp;utm_source=hs_email</t>
  </si>
  <si>
    <t>1522@agad.cat</t>
  </si>
  <si>
    <t>https://resources.simonelectric.com/simon-catalogo-vehiculo-electrico?utm_campaign=SIC%20-%20Veh%C3%ADculo%20El%C3%A9ctrico&amp;utm_medium=email&amp;_hsenc=p2ANqtz-8eHR72okzHElB6m_1x-M_doJiJTsweKYhnqDXFtN1v5D4qVStYiI-oFSqKX4ahjT_hh8Ci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</si>
  <si>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-91narCpgZQpDO_iQI4TiMrj3M_GxL0mFJmhqJ5WVKImK6qfTlVVqohtmrhMon4KB-phV-i&amp;_hsmi=87085363&amp;utm_content=87085363&amp;utm_source=hs_email&amp;hsCtaTracking=6fedf137-fd90-4f17-bfb4-d61f710ec7f8%7Cf2771843-6636-4969-9010-2d8d0389b89c</t>
  </si>
  <si>
    <t>1523@ofitep.com</t>
  </si>
  <si>
    <t>https://resources.simonelectric.com/simon-catalogo-vehiculo-electrico?utm_campaign=SIC%20-%20Veh%C3%ADculo%20El%C3%A9ctrico&amp;utm_medium=email&amp;_hsenc=p2ANqtz-9SiYnpYpxMkpav13ix2VWZk-cQw8Q30gl_7mgr9Uh9RJqbd1LfOJ62ZYwP0qaoG9q3dK4mDAoXdci9grQKRMpY8UWrcA&amp;utm_source=hs_email&amp;utm_content=87085302&amp;hsCtaTracking=6fedf137-fd90-4f17-bfb4-d61f710ec7f8%7Cf2771843-6636-4969-9010-2d8d0389b89c</t>
  </si>
  <si>
    <t>1524@suministrosserpis.es</t>
  </si>
  <si>
    <t>https://resources.simonelectric.com/simon-catalogo-vehiculo-electrico?utm_campaign=SIC%20-%20Veh%C3%ADculo%20El%C3%A9ctrico&amp;utm_medium=email&amp;_hsmi=87085363&amp;_hsenc=p2ANqtz--cOsVM4fR6-ipSY9V0K-OdwL57ebUd38kicpP5I860sd1FKLpqMuplJEI0XwIVfT45i3jk&amp;utm_content=87085363&amp;utm_source=hs_email</t>
  </si>
  <si>
    <t>1525@abcgrup.com</t>
  </si>
  <si>
    <t>https://resources.simonelectric.com/simon-catalogo-vehiculo-electrico?utm_campaign=SIC%20-%20Veh%C3%ADculo%20El%C3%A9ctrico&amp;utm_medium=email&amp;_hsenc=p2ANqtz-8rFBSeMC81TcuwB3y45ygcuvubjnFuACMy89Ha3tU43WkX-ADxK0L_wAP5ObLu-CvTagwV&amp;_hsmi=87085363&amp;utm_content=87085363&amp;utm_source=hs_email&amp;hsCtaTracking=6fedf137-fd90-4f17-bfb4-d61f710ec7f8%7Cf2771843-6636-4969-9010-2d8d0389b89c</t>
  </si>
  <si>
    <t>1526@gmail.com</t>
  </si>
  <si>
    <t>https://resources.simonelectric.com/simon-catalogo-vehiculo-electrico?utm_campaign=SIC%20-%20Veh%C3%ADculo%20El%C3%A9ctrico&amp;utm_medium=email&amp;_hsenc=p2ANqtz-8x5fo5YrnUfKGO1YnksiBsymahjRW5SrTrRRYODosJU6byhn90NQyGzpkxo0ldm3gJGv6j&amp;_hsmi=87085363&amp;utm_content=87085363&amp;utm_source=hs_email&amp;hsCtaTracking=6fedf137-fd90-4f17-bfb4-d61f710ec7f8%7Cf2771843-6636-4969-9010-2d8d0389b89c</t>
  </si>
  <si>
    <t>1527@prodelec.es</t>
  </si>
  <si>
    <t>https://resources.simonelectric.com/simon-catalogo-vehiculo-electrico?utm_campaign=SIC%20-%20Veh%C3%ADculo%20El%C3%A9ctrico&amp;utm_medium=email&amp;_hsenc=p2ANqtz-8a0j5NwkIbdEDS58x6P6pxCDuw4Is-b8w2SDnWy7jrGl9ptE1TSwHkkUBkscJv7Bs9-z2b&amp;_hsmi=87085363&amp;utm_content=87085363&amp;utm_source=hs_email&amp;hsCtaTracking=6fedf137-fd90-4f17-bfb4-d61f710ec7f8%7Cf2771843-6636-4969-9010-2d8d0389b89c</t>
  </si>
  <si>
    <t>1528@sitiaingenieria.com</t>
  </si>
  <si>
    <t>https://resources.simonelectric.com/simon-catalogo-vehiculo-electrico?utm_campaign=SIC%20-%20Veh%C3%ADculo%20El%C3%A9ctrico&amp;utm_medium=email&amp;_hsmi=87085302&amp;_hsenc=p2ANqtz-99q6oGOZo3zolL8JB_SOze_4OclOWeH7bWGRLYY_NsPFT4aB-QKShZjhPbGIbpYzGDb4Vh&amp;utm_content=87085302&amp;utm_source=hs_email</t>
  </si>
  <si>
    <t>1529@simon.es</t>
  </si>
  <si>
    <t>https://resources.simonelectric.com/simon-catalogo-vehiculo-electrico?utm_campaign=SIC%20-%20Veh%C3%ADculo%20El%C3%A9ctrico&amp;utm_medium=email&amp;_hsenc=p2ANqtz-8mJXWckSEWy6Ro-DPB24LwBBPscbSueYib9azm03z5oON8A693hyEa8GXsfsMpDSCOCJd2&amp;_hsmi=87085363&amp;utm_content=87085363&amp;utm_source=hs_email&amp;hsCtaTracking=6fedf137-fd90-4f17-bfb4-d61f710ec7f8%7Cf2771843-6636-4969-9010-2d8d0389b89c</t>
  </si>
  <si>
    <t>1530@aller.es</t>
  </si>
  <si>
    <t>https://resources.simonelectric.com/simon-catalogo-vehiculo-electrico?utm_campaign=SIC%20-%20Veh%C3%ADculo%20El%C3%A9ctrico&amp;utm_medium=email&amp;_hsenc=p2ANqtz--a-EdLE0BCw21kkr3c1WkSWXmFM7M0_9V3kym8CZCDErxwlWDHq1NvL0e0P9cqn_UCPkwd&amp;_hsmi=87085302&amp;utm_content=87085302&amp;utm_source=hs_email&amp;hsCtaTracking=6fedf137-fd90-4f17-bfb4-d61f710ec7f8%7Cf2771843-6636-4969-9010-2d8d0389b89c</t>
  </si>
  <si>
    <t>1531@telefonica.net</t>
  </si>
  <si>
    <t>https://resources.simonelectric.com/simon-catalogo-vehiculo-electrico?utm_campaign=SIC%20-%20Veh%C3%ADculo%20El%C3%A9ctrico&amp;utm_medium=email&amp;_hsenc=p2ANqtz-9tXzSH-dV1qzQ_nejKTNhdFNOpKUbK2MAyzCtYFVJR4pbWnjDXeYZRD-4aI6PEzUeUqOnP&amp;_hsmi=87085363&amp;utm_content=87085363&amp;utm_source=hs_email&amp;hsCtaTracking=6fedf137-fd90-4f17-bfb4-d61f710ec7f8%7Cf2771843-6636-4969-9010-2d8d0389b89c</t>
  </si>
  <si>
    <t>1532@telefonica.net</t>
  </si>
  <si>
    <t>https://resources.simonelectric.com/simon-catalogo-vehiculo-electrico?utm_campaign=SIC%20-%20Veh%C3%ADculo%20El%C3%A9ctrico&amp;utm_medium=email&amp;_hsenc=p2ANqtz--Y9rHLvIYSrrQoq_uswa9mVqoomuRuQhd0vDtJizwSXWQwt1rqNCeGgLkiMUPDe_qQpWN6&amp;_hsmi=87085363&amp;utm_content=87085363&amp;utm_source=hs_email&amp;hsCtaTracking=6fedf137-fd90-4f17-bfb4-d61f710ec7f8%7Cf2771843-6636-4969-9010-2d8d0389b89c</t>
  </si>
  <si>
    <t>1533@gmail.com</t>
  </si>
  <si>
    <t>https://resources.simonelectric.com/simon-catalogo-vehiculo-electrico?utm_campaign=SIC%20-%20Veh%C3%ADculo%20El%C3%A9ctrico&amp;utm_medium=email&amp;_hsenc=p2ANqtz-94zA2PqHHw5KpMh-Klm0sK-0u2D7QcRhFzRJw5aClC0xwz4oNDDgmGvHhj59czkIVAYcCq&amp;_hsmi=87085363&amp;utm_content=87085363&amp;utm_source=hs_email&amp;hsCtaTracking=6fedf137-fd90-4f17-bfb4-d61f710ec7f8%7Cf2771843-6636-4969-9010-2d8d0389b89c</t>
  </si>
  <si>
    <t>1534@gmail.com</t>
  </si>
  <si>
    <t>https://resources.simonelectric.com/simon-catalogo-vehiculo-electrico?utm_campaign=SIC%20-%20Veh%C3%ADculo%20El%C3%A9ctrico&amp;utm_medium=email&amp;_hsenc=p2ANqtz-_YXrEjmBEJn67rR2s4u-AJ_2G_9ZgY9BlVHLw4Bh0CUg__ZgkHIwuOGy0C1aBStiQ9dJHy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</si>
  <si>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mLadMH5w8Tsl1PwbYBo_5htKbP2kdc7zfxBzOXPBgCicFjoTeBBW1rxOFr5Lw4ySLHuXVdhfq7y-pKCjT_QmSm5cysVSm7ly2914z_mbK5_wdl-E&amp;utm_source=hs_email&amp;utm_content=87085363&amp;hsCtaTracking=6fedf137-fd90-4f17-bfb4-d61f710ec7f8%7Cf2771843-6636-4969-9010-2d8d0389b89c</t>
  </si>
  <si>
    <t>1535@hotmail.com</t>
  </si>
  <si>
    <t>https://resources.simonelectric.com/simon-catalogo-vehiculo-electrico?utm_campaign=SIC%20-%20Veh%C3%ADculo%20El%C3%A9ctrico&amp;utm_medium=email&amp;_hsenc=p2ANqtz--zkCnhIqbJxVlgo4wyCtzsiesQ1J37CUQmzIo-Cfy5bSxHsE5M_Pi6gYDZwsfQCSFcZREu&amp;_hsmi=87085363&amp;utm_content=87085363&amp;utm_source=hs_email&amp;hsCtaTracking=6fedf137-fd90-4f17-bfb4-d61f710ec7f8%7Cf2771843-6636-4969-9010-2d8d0389b89c</t>
  </si>
  <si>
    <t>1536@estudiosyproyectos.com</t>
  </si>
  <si>
    <t>https://resources.simonelectric.com/simon-catalogo-vehiculo-electrico?utm_campaign=SIC%20-%20Veh%C3%ADculo%20El%C3%A9ctrico&amp;utm_medium=email&amp;_hsenc=p2ANqtz-__0NjTITcTKplQOED93p5MIaSB4eeCSxj_rs9CQeMelQxh30UiztUayyVRv04IKsmGsUZTrs6fx1KExim_fHs27Ak_1mYegt-ES1yAQfqKAlXfhIg&amp;utm_source=hs_email&amp;utm_content=87085302&amp;hsCtaTracking=6fedf137-fd90-4f17-bfb4-d61f710ec7f8%7Cf2771843-6636-4969-9010-2d8d0389b89c</t>
  </si>
  <si>
    <t>1537@prysmiangroup.com</t>
  </si>
  <si>
    <t>https://resources.simonelectric.com/simon-catalogo-vehiculo-electrico?utm_campaign=SIC%20-%20Veh%C3%ADculo%20El%C3%A9ctrico&amp;utm_medium=email&amp;_hsenc=p2ANqtz-88hS3OqdvSez4c4YiuUAi1RwRmEhCq6T1X1AcRLjwjvSuPbvl02_90iv-vJHquc_mrd6xR&amp;_hsmi=87085363&amp;utm_content=87085363&amp;utm_source=hs_email&amp;hsCtaTracking=6fedf137-fd90-4f17-bfb4-d61f710ec7f8%7Cf2771843-6636-4969-9010-2d8d0389b89c</t>
  </si>
  <si>
    <t>1538@auditenergia.com</t>
  </si>
  <si>
    <t>https://resources.simonelectric.com/simon-catalogo-vehiculo-electrico?utm_campaign=SIC%20-%20Veh%C3%ADculo%20El%C3%A9ctrico&amp;utm_medium=email&amp;_hsenc=p2ANqtz-81zw7TWO9vwRZlN0h1KCHzaBN0HyBrH36t446r5xf7Y6G8_Ylc8p9M_vFC14X9hlhEYF-T&amp;_hsmi=87085363&amp;utm_content=87085363&amp;utm_source=hs_email&amp;hsCtaTracking=6fedf137-fd90-4f17-bfb4-d61f710ec7f8%7Cf2771843-6636-4969-9010-2d8d0389b89c</t>
  </si>
  <si>
    <t>1539@hotmail.com</t>
  </si>
  <si>
    <t>https://resources.simonelectric.com/simon-catalogo-vehiculo-electrico?utm_campaign=SIC%20-%20Veh%C3%ADculo%20El%C3%A9ctrico&amp;utm_medium=email&amp;_hsenc=p2ANqtz-9Nb8in0hprN2_qL-vZ_frPqffnVCk8F1refaw-xoUMsML_JFoO7OW_X8WDIKXz88GO0qVi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</si>
  <si>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rMKHFk78sIgPJElB4zjc_j44PyLiUGayDGr_hKyFJZ1pC1smHpIRbM6BcMxd65Vwe4Xxu&amp;_hsmi=87085363&amp;utm_content=87085363&amp;utm_source=hs_email&amp;hsCtaTracking=6fedf137-fd90-4f17-bfb4-d61f710ec7f8%7Cf2771843-6636-4969-9010-2d8d0389b89c</t>
  </si>
  <si>
    <t>1540@heliopol.es</t>
  </si>
  <si>
    <t>https://resources.simonelectric.com/simon-catalogo-vehiculo-electrico?utm_campaign=SIC%20-%20Veh%C3%ADculo%20El%C3%A9ctrico&amp;utm_medium=email&amp;_hsenc=p2ANqtz-8ux_OUSe3GyAJyBdxCpb61CT46XHIUjK-kh9ZDYgR8PKXpg4yKsgcK95GpV4JpakcqjsRB&amp;_hsmi=87085363&amp;utm_content=87085363&amp;utm_source=hs_email&amp;hsCtaTracking=6fedf137-fd90-4f17-bfb4-d61f710ec7f8%7Cf2771843-6636-4969-9010-2d8d0389b89c</t>
  </si>
  <si>
    <t>1541@acp-level.es</t>
  </si>
  <si>
    <t>https://resources.simonelectric.com/simon-catalogo-vehiculo-electrico?utm_campaign=SIC%20-%20Veh%C3%ADculo%20El%C3%A9ctrico&amp;utm_medium=email&amp;_hsenc=p2ANqtz-_xEBCFEXtqQ3vNPHfK8AKwWaeBTLCMR7oKklbADswJA-nU3jMFyq3jzMzMM4WDtyWcgqtRt72gQkgiyDfzNaY6Zkv62w&amp;utm_source=hs_email&amp;utm_content=87085363&amp;hsCtaTracking=6fedf137-fd90-4f17-bfb4-d61f710ec7f8%7Cf2771843-6636-4969-9010-2d8d0389b89c</t>
  </si>
  <si>
    <t>1542@meomsl.com</t>
  </si>
  <si>
    <t>https://resources.simonelectric.com/simon-catalogo-vehiculo-electrico?utm_campaign=SIC%20-%20Veh%C3%ADculo%20El%C3%A9ctrico&amp;utm_medium=email&amp;_hsenc=p2ANqtz-9lhKS6rMZAVXxlmo9WwVNY3RawGkKzCLr--4sB-WjxAjI2KwSPQTjxWTsMpv34g4K8rxXZ&amp;_hsmi=87085302&amp;utm_content=87085302&amp;utm_source=hs_email&amp;hsCtaTracking=6fedf137-fd90-4f17-bfb4-d61f710ec7f8%7Cf2771843-6636-4969-9010-2d8d0389b89c</t>
  </si>
  <si>
    <t>1543@cotpa.com</t>
  </si>
  <si>
    <t>https://resources.simonelectric.com/simon-catalogo-vehiculo-electrico?utm_campaign=SIC%20-%20Veh%C3%ADculo%20El%C3%A9ctrico&amp;utm_medium=email&amp;_hsenc=p2ANqtz-9FpX3ds0nGXLfS5WKI6Dtxa8lhD8TUuxhX5ZH_Vc_9822deh500sgDhLMeuSqFwkQ8mr9_&amp;_hsmi=87085363&amp;utm_content=87085363&amp;utm_source=hs_email&amp;hsCtaTracking=6fedf137-fd90-4f17-bfb4-d61f710ec7f8%7Cf2771843-6636-4969-9010-2d8d0389b89c</t>
  </si>
  <si>
    <t>1544@hotmail.com</t>
  </si>
  <si>
    <t>https://resources.simonelectric.com/simon-catalogo-vehiculo-electrico?utm_campaign=SIC%20-%20Veh%C3%ADculo%20El%C3%A9ctrico&amp;utm_medium=email&amp;_hsenc=p2ANqtz-_CdbYD8t636YqGXW0_pfHwALKNGDHTKaYUB0v6VzMXiy97gILRQuMsVR9FM9fhxyrdxFQH&amp;_hsmi=87085363&amp;utm_content=87085363&amp;utm_source=hs_email&amp;hsCtaTracking=6fedf137-fd90-4f17-bfb4-d61f710ec7f8%7Cf2771843-6636-4969-9010-2d8d0389b89c</t>
  </si>
  <si>
    <t>1545@hotmail.com</t>
  </si>
  <si>
    <t>https://resources.simonelectric.com/simon-catalogo-vehiculo-electrico?utm_campaign=SIC%20-%20Veh%C3%ADculo%20El%C3%A9ctrico&amp;utm_medium=email&amp;_hsenc=p2ANqtz-9FPwEo97PzJlcogaIOStDTsbnIc8okai-sCB5fLZO0PPnVLNNRiiygaFDZ-_PRL2hVndnu&amp;_hsmi=87085363&amp;utm_content=87085363&amp;utm_source=hs_email&amp;hsCtaTracking=6fedf137-fd90-4f17-bfb4-d61f710ec7f8%7Cf2771843-6636-4969-9010-2d8d0389b89c</t>
  </si>
  <si>
    <t>1546@gmail.com</t>
  </si>
  <si>
    <t>https://resources.simonelectric.com/simon-catalogo-vehiculo-electrico?utm_campaign=SIC%20-%20Veh%C3%ADculo%20El%C3%A9ctrico&amp;utm_medium=email&amp;_hsmi=87085302&amp;_hsenc=p2ANqtz-9NB0g2m1ZND1ZksjkHmIKzk9E99G6P_DOTXcEpWm9dlgEtn7sraOqrU3eg_me1pl6y9w0l&amp;utm_content=87085302&amp;utm_source=hs_email</t>
  </si>
  <si>
    <t>1547@gmail.com</t>
  </si>
  <si>
    <t>https://resources.simonelectric.com/simon-catalogo-vehiculo-electrico?utm_campaign=SIC%20-%20Veh%C3%ADculo%20El%C3%A9ctrico&amp;utm_medium=email&amp;_hsenc=p2ANqtz--n9NS8q3bhk4xpdeVy9Yb-Hrvx7mt62hRbmLu1KwfT5ZUWRPoUEGEeWO0Ge_KgWTYxWN3J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</si>
  <si>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nHjEeyVIOnHRAt9cqdy-CCs6fuhsWyCrkC-7QnkZ-f-ReSMznsdyttcQd-_JxT8vDtZVz&amp;_hsmi=87085302&amp;utm_content=87085302&amp;utm_source=hs_email&amp;hsCtaTracking=6fedf137-fd90-4f17-bfb4-d61f710ec7f8%7Cf2771843-6636-4969-9010-2d8d0389b89c</t>
  </si>
  <si>
    <t>1548@gva.es</t>
  </si>
  <si>
    <t>https://resources.simonelectric.com/simon-catalogo-vehiculo-electrico?utm_campaign=SIC%20-%20Veh%C3%ADculo%20El%C3%A9ctrico&amp;utm_medium=email&amp;_hsenc=p2ANqtz-8IK_a6ixczX8jD8ZieWG-7L1qlliflOW_bPKAlVVy-anPll1fAjDYDOmDgt7JwPvtPlsSr&amp;_hsmi=87085363&amp;utm_content=87085363&amp;utm_source=hs_email&amp;hsCtaTracking=6fedf137-fd90-4f17-bfb4-d61f710ec7f8%7Cf2771843-6636-4969-9010-2d8d0389b89c</t>
  </si>
  <si>
    <t>1549@urgon.es</t>
  </si>
  <si>
    <t>https://resources.simonelectric.com/simon-catalogo-vehiculo-electrico?utm_campaign=SIC%20-%20Veh%C3%ADculo%20El%C3%A9ctrico&amp;utm_medium=email&amp;_hsenc=p2ANqtz--FsRoiV7RodFDqhz8ViMu8xOz_1csesAqXefLaPh8CyesSCmrPMvc3xXzMSMlVAcUdUzoX&amp;_hsmi=87085363&amp;utm_content=87085363&amp;utm_source=hs_email&amp;hsCtaTracking=6fedf137-fd90-4f17-bfb4-d61f710ec7f8%7Cf2771843-6636-4969-9010-2d8d0389b89c</t>
  </si>
  <si>
    <t>1550@die.upv.es</t>
  </si>
  <si>
    <t>https://resources.simonelectric.com/simon-catalogo-vehiculo-electrico?utm_campaign=SIC%20-%20Veh%C3%ADculo%20El%C3%A9ctrico&amp;utm_medium=email&amp;_hsenc=p2ANqtz-8e7giNYQc5iVx7ItcxtrX35sHsOri1JKRHPl350XmL6B03uCe9Im5tjcBewMXsl3zzWe3i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</si>
  <si>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uJEWPtYgfXKMs_Rcqrm_2TWalyfsEgiqz7ylGj1BISszvuSCvwBxuwa8SPGMPhCV26_ap&amp;_hsmi=87085302&amp;utm_content=87085302&amp;utm_source=hs_email&amp;hsCtaTracking=6fedf137-fd90-4f17-bfb4-d61f710ec7f8%7Cf2771843-6636-4969-9010-2d8d0389b89c</t>
  </si>
  <si>
    <t>1551@avatry.es</t>
  </si>
  <si>
    <t>https://resources.simonelectric.com/simon-catalogo-vehiculo-electrico?utm_campaign=SIC%20-%20Veh%C3%ADculo%20El%C3%A9ctrico&amp;utm_medium=email&amp;_hsmi=87085302&amp;_hsenc=p2ANqtz-_d5R-N5O17Ozt6Ga_rBjz_BUmvIr0YmpBJYUtJXfJ2kpVilI2MK_LYoBrLsb5zU9qfKxAS&amp;utm_content=87085302&amp;utm_source=hs_email</t>
  </si>
  <si>
    <t>1552@yahoo.es</t>
  </si>
  <si>
    <t>https://resources.simonelectric.com/simon-catalogo-vehiculo-electrico?utm_campaign=SIC%20-%20Veh%C3%ADculo%20El%C3%A9ctrico&amp;utm_medium=email&amp;_hsenc=p2ANqtz-9idKHhVforJzgu27LvnmRrRA54CAh2WFT9H3PRjUnyagZyR-1eMezvKsV7mGxMi7KmMVBB&amp;_hsmi=87085302&amp;utm_content=87085302&amp;utm_source=hs_email&amp;hsCtaTracking=6fedf137-fd90-4f17-bfb4-d61f710ec7f8%7Cf2771843-6636-4969-9010-2d8d0389b89c</t>
  </si>
  <si>
    <t>1553@arfecons.es</t>
  </si>
  <si>
    <t>https://resources.simonelectric.com/simon-catalogo-vehiculo-electrico?utm_campaign=SIC%20-%20Veh%C3%ADculo%20El%C3%A9ctrico&amp;utm_medium=email&amp;_hsenc=p2ANqtz-_n3VlJxlbH4V0vtdl5iFw26acs2ptOj9ixqNR_BFiHsqrAln7Z8NR8Tn_ngsEzj2pbMUh0&amp;_hsmi=87085363&amp;utm_content=87085363&amp;utm_source=hs_email&amp;hsCtaTracking=6fedf137-fd90-4f17-bfb4-d61f710ec7f8%7Cf2771843-6636-4969-9010-2d8d0389b89c</t>
  </si>
  <si>
    <t>1554@simon.es</t>
  </si>
  <si>
    <t>https://resources.simonelectric.com/simon-catalogo-vehiculo-electrico?utm_campaign=SIC%20-%20Veh%C3%ADculo%20El%C3%A9ctrico&amp;utm_medium=email&amp;_hsenc=p2ANqtz-931JhqI-FOjonsYnlpbUsnQ6C0CZfvLb2ni6RWA4Kcsl7CbMTucTqELXrsDmvzGc77kV_7&amp;_hsmi=87085363&amp;utm_content=87085363&amp;utm_source=hs_email&amp;hsCtaTracking=6fedf137-fd90-4f17-bfb4-d61f710ec7f8%7Cf2771843-6636-4969-9010-2d8d0389b89c</t>
  </si>
  <si>
    <t>1555@marinstal.com</t>
  </si>
  <si>
    <t>https://resources.simonelectric.com/simon-catalogo-vehiculo-electrico?utm_campaign=SIC%20-%20Veh%C3%ADculo%20El%C3%A9ctrico&amp;utm_medium=email&amp;_hsenc=p2ANqtz-9DlkilpgDupGyb7jDIOx9Uv6X-BmMu2O3Clf5Yxu2IgGFKL2tq-0jOALDjE4kkvYSm0VDp&amp;_hsmi=87085363&amp;utm_content=87085363&amp;utm_source=hs_email&amp;hsCtaTracking=6fedf137-fd90-4f17-bfb4-d61f710ec7f8%7Cf2771843-6636-4969-9010-2d8d0389b89c</t>
  </si>
  <si>
    <t>1556@electricidadguerra.com</t>
  </si>
  <si>
    <t>https://resources.simonelectric.com/simon-catalogo-vehiculo-electrico?utm_campaign=SIC%20-%20Veh%C3%ADculo%20El%C3%A9ctrico&amp;utm_medium=email&amp;_hsenc=p2ANqtz-8PMUvjDAElyDcV7v4Sv5VxotdRMfgXzU9REKiYyBg9rDWXC60xA9c9i75BpK7aDICaoNsg&amp;_hsmi=87085363&amp;utm_content=87085363&amp;utm_source=hs_email&amp;hsCtaTracking=6fedf137-fd90-4f17-bfb4-d61f710ec7f8%7Cf2771843-6636-4969-9010-2d8d0389b89c</t>
  </si>
  <si>
    <t>1557@gmail.com</t>
  </si>
  <si>
    <t>https://resources.simonelectric.com/simon-catalogo-vehiculo-electrico?utm_campaign=SIC%20-%20Veh%C3%ADculo%20El%C3%A9ctrico&amp;utm_medium=email&amp;_hsenc=p2ANqtz-_1TpTF3zXIEuNSdk8feHxMe_VIg0O_XVF-LjDDiFWYmqugcIOWiBUATVaGOAsWHM9b1N5w&amp;_hsmi=87085363&amp;utm_content=87085363&amp;utm_source=hs_email&amp;hsCtaTracking=6fedf137-fd90-4f17-bfb4-d61f710ec7f8%7Cf2771843-6636-4969-9010-2d8d0389b89c</t>
  </si>
  <si>
    <t>1558@gmail.com</t>
  </si>
  <si>
    <t>https://resources.simonelectric.com/simon-catalogo-vehiculo-electrico?utm_campaign=SIC%20-%20Veh%C3%ADculo%20El%C3%A9ctrico&amp;utm_medium=email&amp;_hsenc=p2ANqtz--kYStjsCuZ7J6xtlEU4gknNAfxoLd7gOXxwBL2scspsCVeezAQsCo_coYOPS7YdxoiOzj8&amp;_hsmi=87085363&amp;utm_content=87085363&amp;utm_source=hs_email&amp;hsCtaTracking=6fedf137-fd90-4f17-bfb4-d61f710ec7f8%7Cf2771843-6636-4969-9010-2d8d0389b89c</t>
  </si>
  <si>
    <t>1559@strong.es</t>
  </si>
  <si>
    <t>https://resources.simonelectric.com/simon-catalogo-vehiculo-electrico?utm_campaign=SIC%20-%20Veh%C3%ADculo%20El%C3%A9ctrico&amp;utm_medium=email&amp;_hsenc=p2ANqtz-83OxlkSSVkIGwsxDhnSFBLJucSqJDz80MGTP-bQR7huyVdBqVpMIWJq9eHmRYAZhdsHMgQ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</si>
  <si>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inAC5v3Os0IPbbkBia8-6NOxgEDXcQFIcRGzLwEbUNVX0kMicASSUqmDBOqI4nb46fr7L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</si>
  <si>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-8-W8Cef_wX7DRVN1ApHqg42tCvdhbe6ZsVoYImdti1zAVtCA6-H9ACEEExiatiR0Zj-YZi&amp;_hsmi=87085363&amp;utm_content=87085363&amp;utm_source=hs_email&amp;hsCtaTracking=6fedf137-fd90-4f17-bfb4-d61f710ec7f8%7Cf2771843-6636-4969-9010-2d8d0389b89c</t>
  </si>
  <si>
    <t>1560@copitival.es</t>
  </si>
  <si>
    <t>https://resources.simonelectric.com/simon-catalogo-vehiculo-electrico?utm_campaign=SIC%20-%20Veh%C3%ADculo%20El%C3%A9ctrico&amp;utm_medium=email&amp;_hsenc=p2ANqtz-8GPwK_tZJArAqfC8pI3ykxGvoC2hvj15bBnXZd_a_furfoH7pHZD4LVSPSQeniW2Vr5zx4&amp;_hsmi=87085363&amp;utm_content=87085363&amp;utm_source=hs_email&amp;hsCtaTracking=6fedf137-fd90-4f17-bfb4-d61f710ec7f8%7Cf2771843-6636-4969-9010-2d8d0389b89c</t>
  </si>
  <si>
    <t>1561@elecvic.com</t>
  </si>
  <si>
    <t>https://resources.simonelectric.com/simon-catalogo-vehiculo-electrico?utm_campaign=SIC%20-%20Veh%C3%ADculo%20El%C3%A9ctrico&amp;utm_medium=email&amp;_hsenc=p2ANqtz--RDNVYzfMoF04dvme6kADsgBkNZ3FBz7qHJI7_wjTXDRfpLcjE1cZLYcCtmTKw3K3e2OpW&amp;_hsmi=87085302&amp;utm_content=87085302&amp;utm_source=hs_email&amp;hsCtaTracking=6fedf137-fd90-4f17-bfb4-d61f710ec7f8%7Cf2771843-6636-4969-9010-2d8d0389b89c</t>
  </si>
  <si>
    <t>1562@gmail.com</t>
  </si>
  <si>
    <t>https://resources.simonelectric.com/simon-catalogo-vehiculo-electrico?utm_campaign=SIC%20-%20Veh%C3%ADculo%20El%C3%A9ctrico&amp;utm_medium=email&amp;_hsenc=p2ANqtz-98i6EFiFPFZG6it-MsVj59YPI3ErHcyjgz85k0wMw18ODe7cY1oXRYOVLL1GpOlg9VZ0yg&amp;_hsmi=87085363&amp;utm_content=87085363&amp;utm_source=hs_email&amp;hsCtaTracking=6fedf137-fd90-4f17-bfb4-d61f710ec7f8%7Cf2771843-6636-4969-9010-2d8d0389b89c</t>
  </si>
  <si>
    <t>1563@emtvalencia.es</t>
  </si>
  <si>
    <t>https://resources.simonelectric.com/simon-catalogo-vehiculo-electrico?utm_campaign=SIC%20-%20Veh%C3%ADculo%20El%C3%A9ctrico&amp;utm_medium=email&amp;_hsenc=p2ANqtz-_DsROYkdtTy8UynMqrKXnIJvOMStyiW36eiELyQO1f29XTz9tfianIJw0zteI4jgPHp-mn&amp;_hsmi=87085363&amp;utm_content=87085363&amp;utm_source=hs_email&amp;hsCtaTracking=6fedf137-fd90-4f17-bfb4-d61f710ec7f8%7Cf2771843-6636-4969-9010-2d8d0389b89c</t>
  </si>
  <si>
    <t>1564@dimelsa.es</t>
  </si>
  <si>
    <t>https://resources.simonelectric.com/simon-catalogo-vehiculo-electrico?utm_campaign=SIC%20-%20Veh%C3%ADculo%20El%C3%A9ctrico&amp;utm_medium=email&amp;_hsenc=p2ANqtz-_vhZP3EYrg_7Vg4DtXbhtxpzwsPzcDLrgYvjyNM122Fxu9_SfaHXI3uGR-eJ3Va8aIFt1w&amp;_hsmi=87085363&amp;utm_content=87085363&amp;utm_source=hs_email&amp;hsCtaTracking=6fedf137-fd90-4f17-bfb4-d61f710ec7f8%7Cf2771843-6636-4969-9010-2d8d0389b89c</t>
  </si>
  <si>
    <t>1565@simon.es</t>
  </si>
  <si>
    <t>https://resources.simonelectric.com/simon-catalogo-vehiculo-electrico?utm_campaign=SIC%20-%20Veh%C3%ADculo%20El%C3%A9ctrico&amp;utm_medium=email&amp;_hsenc=p2ANqtz-_eXO1GoFqYFuQ8yjBvveYoPLOhw0ddRaRy-Gox97iYVBmHJVcCOVOspOinplClmXfZsy-k&amp;_hsmi=87085363&amp;utm_content=87085363&amp;utm_source=hs_email&amp;hsCtaTracking=6fedf137-fd90-4f17-bfb4-d61f710ec7f8%7Cf2771843-6636-4969-9010-2d8d0389b89c</t>
  </si>
  <si>
    <t>1566@elecparamos.com</t>
  </si>
  <si>
    <t>https://resources.simonelectric.com/simon-catalogo-vehiculo-electrico?utm_campaign=SIC%20-%20Veh%C3%ADculo%20El%C3%A9ctrico&amp;utm_medium=email&amp;_hsenc=p2ANqtz--q2DeionmxN6JCPYI0n5NqQHudKz4D2A29Kaj5gRnp6o651cSx48j6jzmrLbcOCbDq-Oj3&amp;_hsmi=87085363&amp;utm_content=87085363&amp;utm_source=hs_email&amp;hsCtaTracking=6fedf137-fd90-4f17-bfb4-d61f710ec7f8%7Cf2771843-6636-4969-9010-2d8d0389b89c</t>
  </si>
  <si>
    <t>1567@egarriga.com</t>
  </si>
  <si>
    <t>https://resources.simonelectric.com/simon-catalogo-vehiculo-electrico?utm_campaign=SIC%20-%20Veh%C3%ADculo%20El%C3%A9ctrico&amp;utm_medium=email&amp;_hsenc=p2ANqtz--XOp2hCYPu4fdDuFM8b2ykuAIWkOsloM2HTOgYjoqHyJUac6Ea5w-P8y7c4oSCfn1eTNPo&amp;_hsmi=87085302&amp;utm_content=87085302&amp;utm_source=hs_email&amp;hsCtaTracking=6fedf137-fd90-4f17-bfb4-d61f710ec7f8%7Cf2771843-6636-4969-9010-2d8d0389b89c</t>
  </si>
  <si>
    <t>1568@gmail.com</t>
  </si>
  <si>
    <t>https://resources.simonelectric.com/simon-catalogo-vehiculo-electrico?utm_campaign=SIC%20-%20Veh%C3%ADculo%20El%C3%A9ctrico&amp;utm_medium=email&amp;_hsenc=p2ANqtz-868_9khPytUMMbo88lFJSHSjEsuo6cOjzDg3lR7hYqMQrV10NZRp9AuC4tpeqNIsHiOPrV&amp;_hsmi=87085363&amp;utm_content=87085363&amp;utm_source=hs_email&amp;hsCtaTracking=6fedf137-fd90-4f17-bfb4-d61f710ec7f8%7Cf2771843-6636-4969-9010-2d8d0389b89c</t>
  </si>
  <si>
    <t>1569@ecag.es</t>
  </si>
  <si>
    <t>https://resources.simonelectric.com/simon-catalogo-vehiculo-electrico?utm_campaign=SIC%20-%20Veh%C3%ADculo%20El%C3%A9ctrico&amp;utm_medium=email&amp;_hsenc=p2ANqtz-9-UtCv4R4gwi7wym7TM1fy6wsfz2NdzzRcNkBCwQbXM4MSyo5kuI_AojkJHULKBZAM1ppMms_mD2-oj2-cHSi6vqdYaQ&amp;utm_source=hs_email&amp;utm_content=87085302&amp;hsCtaTracking=6fedf137-fd90-4f17-bfb4-d61f710ec7f8%7Cf2771843-6636-4969-9010-2d8d0389b89c</t>
  </si>
  <si>
    <t>1570@yahoo.es</t>
  </si>
  <si>
    <t>https://resources.simonelectric.com/simon-catalogo-vehiculo-electrico?utm_campaign=SIC%20-%20Veh%C3%ADculo%20El%C3%A9ctrico&amp;utm_medium=email&amp;_hsenc=p2ANqtz-8LslhLw0rzaXuVomqyLXRu98EQVUftBSa_cKrlLhpgGwavUlTprMOGhngjIesRMnMMpHBY&amp;_hsmi=87085363&amp;utm_content=87085363&amp;utm_source=hs_email&amp;hsCtaTracking=6fedf137-fd90-4f17-bfb4-d61f710ec7f8%7Cf2771843-6636-4969-9010-2d8d0389b89c</t>
  </si>
  <si>
    <t>1571@electrolid.es</t>
  </si>
  <si>
    <t>https://resources.simonelectric.com/simon-catalogo-vehiculo-electrico?utm_campaign=SIC%20-%20Veh%C3%ADculo%20El%C3%A9ctrico&amp;utm_medium=email&amp;_hsenc=p2ANqtz-8i3z8kinRSllf2PI60ouNxaTiLtiuC69z3bdADdCnvuVHum4IijBYaOJTylcNlvwRhN60B&amp;_hsmi=87085302&amp;utm_content=87085302&amp;utm_source=hs_email&amp;hsCtaTracking=6fedf137-fd90-4f17-bfb4-d61f710ec7f8%7Cf2771843-6636-4969-9010-2d8d0389b89c</t>
  </si>
  <si>
    <t>1572@flotatsyasociados.com</t>
  </si>
  <si>
    <t>https://resources.simonelectric.com/simon-catalogo-vehiculo-electrico?utm_campaign=SIC%20-%20Veh%C3%ADculo%20El%C3%A9ctrico&amp;utm_medium=email&amp;_hsenc=p2ANqtz-9xuRNMNAfbBYmUE0CP_zdtZ0tkzL-tjXqUTwVHsW6Ftqx3Y9FctVhhhLKEHSsA0Ezzsee6&amp;_hsmi=87085363&amp;utm_content=87085363&amp;utm_source=hs_email&amp;hsCtaTracking=6fedf137-fd90-4f17-bfb4-d61f710ec7f8%7Cf2771843-6636-4969-9010-2d8d0389b89c</t>
  </si>
  <si>
    <t>1573@hotmail.com</t>
  </si>
  <si>
    <t>https://resources.simonelectric.com/simon-catalogo-vehiculo-electrico?utm_campaign=SIC%20-%20Veh%C3%ADculo%20El%C3%A9ctrico&amp;utm_medium=email&amp;_hsenc=p2ANqtz--ShBREMK9G_rlNTOvhBdYgaLS9_y5_Uucyityr_p-85pmkIjhD-vC7rL12T5l7n-KNP3xv&amp;_hsmi=87085302&amp;utm_content=87085302&amp;utm_source=hs_email&amp;hsCtaTracking=6fedf137-fd90-4f17-bfb4-d61f710ec7f8%7Cf2771843-6636-4969-9010-2d8d0389b89c</t>
  </si>
  <si>
    <t>1574@gmail.com</t>
  </si>
  <si>
    <t>https://resources.simonelectric.com/simon-catalogo-vehiculo-electrico?utm_campaign=SIC%20-%20Veh%C3%ADculo%20El%C3%A9ctrico&amp;utm_medium=email&amp;_hsenc=p2ANqtz-_srZwvZVhDCoHre6LL3Mu8RSMS_PsW8fNXZLRWHiQtOJS7LnSq_X6L87MJ8URf2-c05CnA&amp;_hsmi=87085363&amp;utm_content=87085363&amp;utm_source=hs_email&amp;hsCtaTracking=6fedf137-fd90-4f17-bfb4-d61f710ec7f8%7Cf2771843-6636-4969-9010-2d8d0389b89c</t>
  </si>
  <si>
    <t>1575@gmail.com</t>
  </si>
  <si>
    <t>https://resources.simonelectric.com/simon-catalogo-vehiculo-electrico?utm_campaign=SIC%20-%20Veh%C3%ADculo%20El%C3%A9ctrico&amp;utm_medium=email&amp;_hsenc=p2ANqtz-8j7qp-N4AZzmczptNPJMfgzS6ZW-RshfNKi_fM6lSxkH6UX8bObZBmiRuj7_GzdyRir5Wj&amp;_hsmi=87085363&amp;utm_content=87085363&amp;utm_source=hs_email&amp;hsCtaTracking=6fedf137-fd90-4f17-bfb4-d61f710ec7f8%7Cf2771843-6636-4969-9010-2d8d0389b89c</t>
  </si>
  <si>
    <t>1576@conrad.cat</t>
  </si>
  <si>
    <t>https://resources.simonelectric.com/simon-catalogo-vehiculo-electrico?utm_campaign=SIC%20-%20Veh%C3%ADculo%20El%C3%A9ctrico&amp;utm_medium=email&amp;_hsenc=p2ANqtz-8p_7Np4PbHwWVxwgLZPq0_CsSBoaZjDEfP4fM4iMrtZTPxyPPwbI4QjtTg-x5R9XimbhCy&amp;_hsmi=87085363&amp;utm_content=87085363&amp;utm_source=hs_email&amp;hsCtaTracking=6fedf137-fd90-4f17-bfb4-d61f710ec7f8%7Cf2771843-6636-4969-9010-2d8d0389b89c</t>
  </si>
  <si>
    <t>1577@cimelsa.com</t>
  </si>
  <si>
    <t>https://resources.simonelectric.com/simon-catalogo-vehiculo-electrico?utm_campaign=SIC%20-%20Veh%C3%ADculo%20El%C3%A9ctrico&amp;utm_medium=email&amp;_hsenc=p2ANqtz--GMG9am9h0uCRBtBMYmbARSvNg3OMxyg0Bt_xKCVjQJce_HX4QW5MapUWrXhyW_IZVfzle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</si>
  <si>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EMl24ZMbseDnR58hVqmq6x5SXH1KYfLH3gDcBOIeLDYjr3zCBJiKYpGhQtfeSyHlS1ay9&amp;_hsmi=87085302&amp;utm_content=87085302&amp;utm_source=hs_email&amp;hsCtaTracking=6fedf137-fd90-4f17-bfb4-d61f710ec7f8%7Cf2771843-6636-4969-9010-2d8d0389b89c</t>
  </si>
  <si>
    <t>1578@covama.es</t>
  </si>
  <si>
    <t>https://resources.simonelectric.com/simon-catalogo-vehiculo-electrico?utm_campaign=SIC%20-%20Veh%C3%ADculo%20El%C3%A9ctrico&amp;utm_medium=email&amp;_hsenc=p2ANqtz-_bOwNZoZ_KOXJnuueEbhnyYbXfXnkW3GPUyodyRrSStMWuzs2eWG1dZgs-QHSqRvrYCJLm&amp;_hsmi=87085363&amp;utm_content=87085363&amp;utm_source=hs_email&amp;hsCtaTracking=6fedf137-fd90-4f17-bfb4-d61f710ec7f8%7Cf2771843-6636-4969-9010-2d8d0389b89c</t>
  </si>
  <si>
    <t>1579@inblau.es</t>
  </si>
  <si>
    <t>https://resources.simonelectric.com/simon-catalogo-vehiculo-electrico?utm_campaign=SIC%20-%20Veh%C3%ADculo%20El%C3%A9ctrico&amp;utm_medium=email&amp;_hsenc=p2ANqtz--hwcjOaXMcEUENaeYJtCccwki7y8sSl5W1flfbVfIkZ-32pwZNvobwEsnuNGvBBZ_eIz56&amp;_hsmi=87085363&amp;utm_content=87085363&amp;utm_source=hs_email&amp;hsCtaTracking=6fedf137-fd90-4f17-bfb4-d61f710ec7f8%7Cf2771843-6636-4969-9010-2d8d0389b89c</t>
  </si>
  <si>
    <t>1580@grupotesein.com</t>
  </si>
  <si>
    <t>https://resources.simonelectric.com/simon-catalogo-vehiculo-electrico?utm_campaign=SIC%20-%20Veh%C3%ADculo%20El%C3%A9ctrico&amp;utm_medium=email&amp;_hsenc=p2ANqtz-8YdfdTFzPmbPmEcB4hpcqJqzyZ-R7tFaTwgtMrk9faneAcrJ1AXrJM-zOLqWjdQH78sDps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</si>
  <si>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hsckqriUCuLqwee7O2nHjleQb-lNLGP3GWyucADazEk1tWB5tEIXZoal2dd-2VuZN_AvN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</si>
  <si>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fmP53irEtGS6BOvDUhXptkL9lHuePRW1JdKsb3mNIa8IvSj3uJUQROF08SrBHJkRjphZJ&amp;_hsmi=87085363&amp;utm_content=87085363&amp;utm_source=hs_email&amp;hsCtaTracking=6fedf137-fd90-4f17-bfb4-d61f710ec7f8%7Cf2771843-6636-4969-9010-2d8d0389b89c</t>
  </si>
  <si>
    <t>1581@arpeestudio.com</t>
  </si>
  <si>
    <t>https://resources.simonelectric.com/simon-catalogo-vehiculo-electrico?utm_campaign=SIC%20-%20Veh%C3%ADculo%20El%C3%A9ctrico&amp;utm_medium=email&amp;_hsenc=p2ANqtz-9vGa_xFnqfvT2BtkEejmbTJTx70Ld87xhJEsgXZWIy-XggvogkuaCHUIQTZvf4WfXWD7SZ&amp;_hsmi=87085363&amp;utm_content=87085363&amp;utm_source=hs_email&amp;hsCtaTracking=6fedf137-fd90-4f17-bfb4-d61f710ec7f8%7Cf2771843-6636-4969-9010-2d8d0389b89c</t>
  </si>
  <si>
    <t>1582@edu.xunta.es</t>
  </si>
  <si>
    <t>https://resources.simonelectric.com/simon-catalogo-vehiculo-electrico?utm_campaign=SIC%20-%20Veh%C3%ADculo%20El%C3%A9ctrico&amp;utm_medium=email&amp;_hsenc=p2ANqtz-8VcOTqD9CtoSvRPhR2FExd6riP9hmd4bYMiaj15GvfE78bbc88WXHmpjBSr-Ac4AF-3oMR&amp;_hsmi=87085363&amp;utm_content=87085363&amp;utm_source=hs_email&amp;hsCtaTracking=6fedf137-fd90-4f17-bfb4-d61f710ec7f8%7Cf2771843-6636-4969-9010-2d8d0389b89c</t>
  </si>
  <si>
    <t>1583@hotmail.com</t>
  </si>
  <si>
    <t>https://resources.simonelectric.com/simon-catalogo-vehiculo-electrico?utm_campaign=SIC%20-%20Veh%C3%ADculo%20El%C3%A9ctrico&amp;utm_medium=email&amp;_hsenc=p2ANqtz-9DFGzi79O8dORwmaNoKoGG5lD74Y2rhFdWyUbEIsTAQfvpy3tucwo58uOtlRSZOQmCv8Aa&amp;_hsmi=87085363&amp;utm_content=87085363&amp;utm_source=hs_email&amp;hsCtaTracking=6fedf137-fd90-4f17-bfb4-d61f710ec7f8%7Cf2771843-6636-4969-9010-2d8d0389b89c</t>
  </si>
  <si>
    <t>1584@gmail.com</t>
  </si>
  <si>
    <t>https://resources.simonelectric.com/simon-catalogo-vehiculo-electrico?utm_campaign=SIC%20-%20Veh%C3%ADculo%20El%C3%A9ctrico&amp;utm_medium=email&amp;_hsenc=p2ANqtz-_WLoyC6io21fg4KxqHuELXlKhYaDO_PD7_E5bg1q2MRg3V4E7xCMVT4Z-gwJYrLkiE78gC&amp;_hsmi=87085363&amp;utm_content=87085363&amp;utm_source=hs_email&amp;hsCtaTracking=6fedf137-fd90-4f17-bfb4-d61f710ec7f8%7Cf2771843-6636-4969-9010-2d8d0389b89c</t>
  </si>
  <si>
    <t>1585@vialuz.es</t>
  </si>
  <si>
    <t>https://resources.simonelectric.com/simon-catalogo-vehiculo-electrico?utm_campaign=SIC%20-%20Veh%C3%ADculo%20El%C3%A9ctrico&amp;utm_medium=email&amp;_hsenc=p2ANqtz-9-xEbMIIADVysLe9vJtyMGPDgu8F6SA88mg9_dYxmzEGN8Q31SXM-uFuMAqHKct28sMChW&amp;_hsmi=87085363&amp;utm_content=87085363&amp;utm_source=hs_email&amp;hsCtaTracking=6fedf137-fd90-4f17-bfb4-d61f710ec7f8%7Cf2771843-6636-4969-9010-2d8d0389b89c</t>
  </si>
  <si>
    <t>1586@genserma.es</t>
  </si>
  <si>
    <t>https://resources.simonelectric.com/simon-catalogo-vehiculo-electrico?utm_campaign=SIC%20-%20Veh%C3%ADculo%20El%C3%A9ctrico&amp;utm_medium=email&amp;_hsmi=87085302&amp;_hsenc=p2ANqtz-8Jnw09jUTxGTvDz2aFcMgvirwoOPe_Dsq7zpPjhpX_pfnkJDLBpjFthdr6-so2eNN2j4h2&amp;utm_content=87085302&amp;utm_source=hs_email</t>
  </si>
  <si>
    <t>https://resources.simonelectric.com/simon-catalogo-vehiculo-electrico?utm_campaign=SIC%20-%20Veh%C3%ADculo%20El%C3%A9ctrico&amp;utm_medium=email&amp;_hsenc=p2ANqtz-_gnDxhoxYPIox_dnfiRz8C66Bs-UyI9CQy2AUr_fUiKb4HT8DOrXfBe6OJc90iToDNDzHK&amp;_hsmi=87085363&amp;utm_content=87085363&amp;utm_source=hs_email&amp;hsCtaTracking=6fedf137-fd90-4f17-bfb4-d61f710ec7f8%7Cf2771843-6636-4969-9010-2d8d0389b89c</t>
  </si>
  <si>
    <t>1587@naturgy.com</t>
  </si>
  <si>
    <t>https://resources.simonelectric.com/simon-catalogo-vehiculo-electrico?utm_campaign=SIC%20-%20Veh%C3%ADculo%20El%C3%A9ctrico&amp;utm_medium=email&amp;_hsenc=p2ANqtz-9cUgpu1IiL5hSScE3Ttah4CV-iBzYJl0PbEvs1jw8mpJisdKBlg7RFeCePsCoUDrhqE_AK&amp;_hsmi=87085363&amp;utm_content=87085363&amp;utm_source=hs_email&amp;hsCtaTracking=6fedf137-fd90-4f17-bfb4-d61f710ec7f8%7Cf2771843-6636-4969-9010-2d8d0389b89c</t>
  </si>
  <si>
    <t>1588@jgingenieros.es</t>
  </si>
  <si>
    <t>https://resources.simonelectric.com/simon-catalogo-vehiculo-electrico?utm_campaign=SIC%20-%20Veh%C3%ADculo%20El%C3%A9ctrico&amp;utm_medium=email&amp;_hsenc=p2ANqtz-98bn1K5g5yNNP2YfJ6eemUZJ98_ysdIGYQeHQ4-kRS5wXVkcq0VdCkKfyTj32KbEG8nt2M&amp;_hsmi=87085302&amp;utm_content=87085302&amp;utm_source=hs_email&amp;hsCtaTracking=6fedf137-fd90-4f17-bfb4-d61f710ec7f8%7Cf2771843-6636-4969-9010-2d8d0389b89c</t>
  </si>
  <si>
    <t>1589@gmail.com</t>
  </si>
  <si>
    <t>https://resources.simonelectric.com/simon-catalogo-vehiculo-electrico?utm_campaign=SIC%20-%20Veh%C3%ADculo%20El%C3%A9ctrico&amp;utm_medium=email&amp;_hsenc=p2ANqtz-_teLrjZPiXt2X9L1klhXHskVJHL4eO8Nh-SamguLuFzHocrGfWY0dCtiG36PwsY45d4uHc&amp;_hsmi=87085363&amp;utm_content=87085363&amp;utm_source=hs_email&amp;hsCtaTracking=6fedf137-fd90-4f17-bfb4-d61f710ec7f8%7Cf2771843-6636-4969-9010-2d8d0389b89c</t>
  </si>
  <si>
    <t>1590@efik.cat</t>
  </si>
  <si>
    <t>https://resources.simonelectric.com/simon-catalogo-vehiculo-electrico?utm_campaign=SIC%20-%20Veh%C3%ADculo%20El%C3%A9ctrico&amp;utm_medium=email&amp;_hsenc=p2ANqtz--DjjKXizNMfpPDscU6_u2G70NvZtytGjCES6i8RqgiwTBKP3LDvOrIu7G0Yc72yG3p0cl0&amp;_hsmi=87085363&amp;utm_content=87085363&amp;utm_source=hs_email&amp;hsCtaTracking=6fedf137-fd90-4f17-bfb4-d61f710ec7f8%7Cf2771843-6636-4969-9010-2d8d0389b89c</t>
  </si>
  <si>
    <t>1591@gmail.com</t>
  </si>
  <si>
    <t>https://resources.simonelectric.com/simon-catalogo-vehiculo-electrico?utm_campaign=SIC%20-%20Veh%C3%ADculo%20El%C3%A9ctrico&amp;utm_medium=email&amp;_hsenc=p2ANqtz-_V-qCsADxfyfY383yT8FU3ZfblBUVBuwh77XtiOOCQvz5rUjijhMaK8waXTcCrMH9gI54O&amp;_hsmi=87085363&amp;utm_content=87085363&amp;utm_source=hs_email&amp;hsCtaTracking=6fedf137-fd90-4f17-bfb4-d61f710ec7f8%7Cf2771843-6636-4969-9010-2d8d0389b89c</t>
  </si>
  <si>
    <t>1592@mesenergia.cat</t>
  </si>
  <si>
    <t>https://resources.simonelectric.com/simon-catalogo-vehiculo-electrico?utm_campaign=SIC%20-%20Veh%C3%ADculo%20El%C3%A9ctrico&amp;utm_medium=email&amp;_hsenc=p2ANqtz--VVFGFuc5qBgobi5MnNGHUQ06id2Qlzke6wiTi_rii3eHON4R87-gGhu2HT7V5vxaA5dr1&amp;_hsmi=87085302&amp;utm_content=87085302&amp;utm_source=hs_email&amp;hsCtaTracking=6fedf137-fd90-4f17-bfb4-d61f710ec7f8%7Cf2771843-6636-4969-9010-2d8d0389b89c</t>
  </si>
  <si>
    <t>1593@gmail.com</t>
  </si>
  <si>
    <t>https://resources.simonelectric.com/simon-catalogo-vehiculo-electrico?utm_campaign=SIC%20-%20Veh%C3%ADculo%20El%C3%A9ctrico&amp;utm_medium=email&amp;_hsenc=p2ANqtz-__2cqJUQ6hlyGb9fV2R5VgkgeX0XT2TtJmTttGEVfvUKK5b1XU8NXhjhDrXuVl_0AEHYzX&amp;_hsmi=87085363&amp;utm_content=87085363&amp;utm_source=hs_email&amp;hsCtaTracking=6fedf137-fd90-4f17-bfb4-d61f710ec7f8%7Cf2771843-6636-4969-9010-2d8d0389b89c</t>
  </si>
  <si>
    <t>1594@jgingenieros.es</t>
  </si>
  <si>
    <t>https://resources.simonelectric.com/simon-catalogo-vehiculo-electrico?utm_campaign=SIC%20-%20Veh%C3%ADculo%20El%C3%A9ctrico&amp;utm_medium=email&amp;_hsenc=p2ANqtz-9-_C4iyF-MvRNAWQcWTUjycvJmrl1zrgBHD8eE7mwRow15IlzoLewlqI-ucDmnVUhmjgyN&amp;_hsmi=87085302&amp;utm_content=87085302&amp;utm_source=hs_email&amp;hsCtaTracking=6fedf137-fd90-4f17-bfb4-d61f710ec7f8%7Cf2771843-6636-4969-9010-2d8d0389b89c</t>
  </si>
  <si>
    <t>1595@gmail.com</t>
  </si>
  <si>
    <t>https://resources.simonelectric.com/simon-catalogo-vehiculo-electrico?utm_campaign=SIC%20-%20Veh%C3%ADculo%20El%C3%A9ctrico&amp;utm_medium=email&amp;_hsenc=p2ANqtz-_Ve2Nkjhf-ZVTyJW6OWT2UyqpmNrGWKFm5Twa0rFURlHiuG93-imP6VheP8fjgDwk9asVM&amp;_hsmi=87085363&amp;utm_content=87085363&amp;utm_source=hs_email&amp;hsCtaTracking=6fedf137-fd90-4f17-bfb4-d61f710ec7f8%7Cf2771843-6636-4969-9010-2d8d0389b89c</t>
  </si>
  <si>
    <t>1596@gruponovelec.com</t>
  </si>
  <si>
    <t>https://resources.simonelectric.com/simon-catalogo-vehiculo-electrico?utm_campaign=SIC%20-%20Veh%C3%ADculo%20El%C3%A9ctrico&amp;utm_medium=email&amp;_hsenc=p2ANqtz-95CYMBY7odf5KF-wWxzQxLDFE27nPmMwoX55YdVrMme7N5XEgPq1t_XZVELdqsjiWrnslB&amp;_hsmi=87085363&amp;utm_content=87085363&amp;utm_source=hs_email&amp;hsCtaTracking=6fedf137-fd90-4f17-bfb4-d61f710ec7f8%7Cf2771843-6636-4969-9010-2d8d0389b89c</t>
  </si>
  <si>
    <t>1597@gmail.com</t>
  </si>
  <si>
    <t>https://resources.simonelectric.com/simon-catalogo-vehiculo-electrico?utm_campaign=SIC%20-%20Veh%C3%ADculo%20El%C3%A9ctrico&amp;utm_medium=email&amp;_hsenc=p2ANqtz-_tBwcurYhTVhEzVHElbW29UydlfknkMLyt2uT_n8GHBtUwn6AQHLqy4Dj1Um0pga4Pngrr&amp;_hsmi=87085363&amp;utm_content=87085363&amp;utm_source=hs_email&amp;hsCtaTracking=6fedf137-fd90-4f17-bfb4-d61f710ec7f8%7Cf2771843-6636-4969-9010-2d8d0389b89c</t>
  </si>
  <si>
    <t>1598@coac.net</t>
  </si>
  <si>
    <t>https://resources.simonelectric.com/simon-catalogo-vehiculo-electrico?__hstc=83084745.a7503098933abe2ed02522052a5a77d9.1588150712815.1588150712815.1588150879363.2&amp;__hssc=83084745.2.1588150879363&amp;__hsfp=3307008459</t>
  </si>
  <si>
    <t>1599@conmasa.cat</t>
  </si>
  <si>
    <t>https://resources.simonelectric.com/simon-catalogo-vehiculo-electrico?utm_campaign=SIC%20-%20Veh%C3%ADculo%20El%C3%A9ctrico&amp;utm_medium=email&amp;_hsenc=p2ANqtz--V7MGe7JT7EWrLH0AeI0D99gCr33W9a0z5LGt7WFb4pIh1nhD4E2mzRILZpsCybn3MSmcJ&amp;_hsmi=87085363&amp;utm_content=87085363&amp;utm_source=hs_email&amp;hsCtaTracking=6fedf137-fd90-4f17-bfb4-d61f710ec7f8%7Cf2771843-6636-4969-9010-2d8d0389b89c</t>
  </si>
  <si>
    <t>1600@coelca.com</t>
  </si>
  <si>
    <t>https://resources.simonelectric.com/simon-catalogo-vehiculo-electrico?utm_campaign=SIC%20-%20Veh%C3%ADculo%20El%C3%A9ctrico&amp;utm_medium=email&amp;_hsenc=p2ANqtz-_A3Zfd0tnANWOP61HrtwMLD_jDPFWJulKIFu4alKQegyrzE2Uakj__RAAxux2cwIEjUYnd&amp;_hsmi=87085363&amp;utm_content=87085363&amp;utm_source=hs_email&amp;hsCtaTracking=6fedf137-fd90-4f17-bfb4-d61f710ec7f8%7Cf2771843-6636-4969-9010-2d8d0389b89c</t>
  </si>
  <si>
    <t>1601@yahoo.es</t>
  </si>
  <si>
    <t>https://resources.simonelectric.com/simon-catalogo-vehiculo-electrico?utm_campaign=SIC%20-%20Veh%C3%ADculo%20El%C3%A9ctrico&amp;utm_medium=email&amp;_hsmi=87085363&amp;_hsenc=p2ANqtz-_H1nUeAuiSTeMEyqjz9DYws9AUuAhb3xSCFRQ3rGbdbLmUbXl0dTNvelvk2atvtSPRBWxD&amp;utm_content=87085363&amp;utm_source=hs_email</t>
  </si>
  <si>
    <t>1602@gmail.com</t>
  </si>
  <si>
    <t>https://resources.simonelectric.com/simon-catalogo-vehiculo-electrico?utm_campaign=SIC%20-%20Veh%C3%ADculo%20El%C3%A9ctrico&amp;utm_medium=email&amp;_hsenc=p2ANqtz-8skUMJdSSe3ALEiidEvvzM5friM6O0jwTVcLEs4QDNzYH5QoadA62PwHbWfkrmA1dTIvpZ&amp;_hsmi=87085363&amp;utm_content=87085363&amp;utm_source=hs_email&amp;hsCtaTracking=6fedf137-fd90-4f17-bfb4-d61f710ec7f8%7Cf2771843-6636-4969-9010-2d8d0389b89c</t>
  </si>
  <si>
    <t>1603@gmail.com</t>
  </si>
  <si>
    <t>https://resources.simonelectric.com/simon-catalogo-vehiculo-electrico?utm_campaign=SIC%20-%20Veh%C3%ADculo%20El%C3%A9ctrico&amp;utm_medium=email&amp;_hsenc=p2ANqtz--OYRsIq2qy98ZGZA2OB1pT9sHqmhkS97c3m1JlllNPKX7WvtfmYs_bY6-zykjZlB_UxBt3&amp;_hsmi=87085363&amp;utm_content=87085363&amp;utm_source=hs_email&amp;hsCtaTracking=6fedf137-fd90-4f17-bfb4-d61f710ec7f8%7Cf2771843-6636-4969-9010-2d8d0389b89c</t>
  </si>
  <si>
    <t>1604@geinstal.com</t>
  </si>
  <si>
    <t>https://resources.simonelectric.com/simon-catalogo-vehiculo-electrico?utm_campaign=SIC%20-%20Veh%C3%ADculo%20El%C3%A9ctrico&amp;utm_medium=email&amp;_hsenc=p2ANqtz--wfi5iZGAc0oSUTkWRBSbCyv3mcEgHz9dpBVwycszv6xtzvWzYK0wCxvlTnES0ckLzUGvO&amp;_hsmi=87085302&amp;utm_content=87085302&amp;utm_source=hs_email&amp;hsCtaTracking=6fedf137-fd90-4f17-bfb4-d61f710ec7f8%7Cf2771843-6636-4969-9010-2d8d0389b89c</t>
  </si>
  <si>
    <t>1605@recargamostucoche.com</t>
  </si>
  <si>
    <t>https://resources.simonelectric.com/simon-catalogo-vehiculo-electrico?utm_campaign=SIC%20-%20Veh%C3%ADculo%20El%C3%A9ctrico&amp;utm_medium=email&amp;_hsenc=p2ANqtz-8ghcdqG1X1-COyt2O0w62F-46iNF5e4Q0DB2SpS0_zy2kLbCwu-gu165PA-NXlicddX9w7&amp;_hsmi=87085302&amp;utm_content=87085302&amp;utm_source=hs_email&amp;hsCtaTracking=6fedf137-fd90-4f17-bfb4-d61f710ec7f8%7Cf2771843-6636-4969-9010-2d8d0389b89c</t>
  </si>
  <si>
    <t>1606@cesvimap.com</t>
  </si>
  <si>
    <t>https://resources.simonelectric.com/simon-catalogo-vehiculo-electrico?utm_campaign=SIC%20-%20Veh%C3%ADculo%20El%C3%A9ctrico&amp;utm_medium=email&amp;_hsenc=p2ANqtz-8ksu2Z_GLzXrXhCVZTW671FnFyaAWERdZD3yMP9VrnAKQcNKB4aWA29IN-bxBgPwJUQOgj&amp;_hsmi=87085363&amp;utm_content=87085363&amp;utm_source=hs_email&amp;hsCtaTracking=6fedf137-fd90-4f17-bfb4-d61f710ec7f8%7Cf2771843-6636-4969-9010-2d8d0389b89c</t>
  </si>
  <si>
    <t>1607@talesingenieria.es</t>
  </si>
  <si>
    <t>https://resources.simonelectric.com/simon-catalogo-vehiculo-electrico?utm_campaign=SIC%20-%20Veh%C3%ADculo%20El%C3%A9ctrico&amp;utm_medium=email&amp;_hsenc=p2ANqtz-_oQA5YmOukvyIiWYEcaZw_esrZLQtHbs1qaNXqzCjVMIcXDgYzd-vsltjeyMeXXqqwPuQN&amp;_hsmi=87085363&amp;utm_content=87085363&amp;utm_source=hs_email&amp;hsCtaTracking=6fedf137-fd90-4f17-bfb4-d61f710ec7f8%7Cf2771843-6636-4969-9010-2d8d0389b89c</t>
  </si>
  <si>
    <t>1608@grupolasser.com</t>
  </si>
  <si>
    <t>https://resources.simonelectric.com/simon-catalogo-vehiculo-electrico?utm_campaign=SIC%20-%20Veh%C3%ADculo%20El%C3%A9ctrico&amp;utm_medium=email&amp;_hsenc=p2ANqtz-9lq0bSvrEnmnKmohkyZVfvFhFH2vbBzow6yasXOJSiAvZ7zT-9HvwAaUPhoh_Ywd8mlY6Y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</si>
  <si>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VAXWrhfvfavPMqN70PFOxTBjyfWWtvdSVPacwcrbcr2_eIfzQupNF4KatLgcJwEA0_df4&amp;_hsmi=87085302&amp;utm_content=87085302&amp;utm_source=hs_email&amp;hsCtaTracking=6fedf137-fd90-4f17-bfb4-d61f710ec7f8%7Cf2771843-6636-4969-9010-2d8d0389b89c</t>
  </si>
  <si>
    <t>1609@gmail.com</t>
  </si>
  <si>
    <t>https://resources.simonelectric.com/simon-catalogo-vehiculo-electrico?utm_campaign=SIC%20-%20Veh%C3%ADculo%20El%C3%A9ctrico&amp;utm_medium=email&amp;_hsenc=p2ANqtz-8bpck2MDJWkuVOaFYUaDuOiJL3q4zjBuZCEzP-gwSi3MHGJHwGL_QoqHHeXF2FsJxTTBen&amp;_hsmi=87085363&amp;utm_content=87085363&amp;utm_source=hs_email&amp;hsCtaTracking=6fedf137-fd90-4f17-bfb4-d61f710ec7f8%7Cf2771843-6636-4969-9010-2d8d0389b89c</t>
  </si>
  <si>
    <t>1610@gmail.com</t>
  </si>
  <si>
    <t>https://resources.simonelectric.com/simon-catalogo-vehiculo-electrico?utm_campaign=SIC%20-%20Veh%C3%ADculo%20El%C3%A9ctrico&amp;utm_medium=email&amp;_hsenc=p2ANqtz-_r0yhfF7fGkHgzUHOkDCVY8TcuPHq0yi_NQP0A21S2tRFehvMhQzE6g6WVnfLBxTXJeOAb&amp;_hsmi=87085363&amp;utm_content=87085363&amp;utm_source=hs_email&amp;hsCtaTracking=6fedf137-fd90-4f17-bfb4-d61f710ec7f8%7Cf2771843-6636-4969-9010-2d8d0389b89c</t>
  </si>
  <si>
    <t>1611@lasallesagradocorazon.es</t>
  </si>
  <si>
    <t>https://resources.simonelectric.com/simon-catalogo-vehiculo-electrico?utm_campaign=SIC%20-%20Veh%C3%ADculo%20El%C3%A9ctrico&amp;utm_medium=email&amp;_hsenc=p2ANqtz--T0_zArsufgb9pn34lwDoaB1FJ1ih5lQms9c6C4GEWsny6K4905FMeE28YbSGQwnHg4L_s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</si>
  <si>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PrZC6Y5EnYPSXd7luGFZT8LsjNpoTMdHr-wve7VaKak7LaFMsFvFDR4_T8wve4BAVxoCR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</si>
  <si>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XUfAqLclK7POmYtfW36lML8kQmUkqogVTXvJoCh5hPXtoakedZI6RuX8RyB0BdjJuPXD6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</si>
  <si>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v0tF507w-TPi6uuBJx_cVDvO-pibR9Lq5_aFoSrN81W7k-t5IcUMLYqeDadqKFf5hKglL&amp;_hsmi=87085363&amp;utm_content=87085363&amp;utm_source=hs_email&amp;hsCtaTracking=6fedf137-fd90-4f17-bfb4-d61f710ec7f8%7Cf2771843-6636-4969-9010-2d8d0389b89c</t>
  </si>
  <si>
    <t>1612@gmail.com</t>
  </si>
  <si>
    <t>1613@muntanerelectro.com</t>
  </si>
  <si>
    <t>https://resources.simonelectric.com/simon-catalogo-vehiculo-electrico?utm_campaign=SIC%20-%20Veh%C3%ADculo%20El%C3%A9ctrico&amp;utm_medium=email&amp;_hsenc=p2ANqtz-8nRmDcWkosvkOEGLNDOm7b9M8hox3wUVSZ-Tc9DJ_TJXxLbmlt6gswVG5uNeOFE1lTqNhj&amp;_hsmi=87085363&amp;utm_content=87085363&amp;utm_source=hs_email&amp;hsCtaTracking=6fedf137-fd90-4f17-bfb4-d61f710ec7f8%7Cf2771843-6636-4969-9010-2d8d0389b89c</t>
  </si>
  <si>
    <t>1614@electronalon.es</t>
  </si>
  <si>
    <t>https://resources.simonelectric.com/simon-catalogo-vehiculo-electrico?utm_campaign=SIC%20-%20Veh%C3%ADculo%20El%C3%A9ctrico&amp;utm_medium=email&amp;_hsenc=p2ANqtz-9Sec7kt_vjjhDFobZ1c8psLljoUHExNEjR_Te6coBE060ecIK-RBZlLxl1xt7itRo99g1Z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</si>
  <si>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dnUM93kmDJZMxlO_RCRe_f98TkNe2YbKL5Qhe6SPrFCMTXco2jytBWa_2e05mJUjPWIae&amp;_hsmi=87085363&amp;utm_content=87085363&amp;utm_source=hs_email&amp;hsCtaTracking=6fedf137-fd90-4f17-bfb4-d61f710ec7f8%7Cf2771843-6636-4969-9010-2d8d0389b89c</t>
  </si>
  <si>
    <t>1615@hotmail.es</t>
  </si>
  <si>
    <t>https://resources.simonelectric.com/simon-catalogo-vehiculo-electrico?utm_campaign=SIC%20-%20Veh%C3%ADculo%20El%C3%A9ctrico&amp;utm_medium=email&amp;_hsenc=p2ANqtz-9FAv4weEczGRkDR0qN_d5tp6_7iDAhpHoEuDDAZ4K8qxNw17T3vmPKe3urfZyoQ_x53fKX&amp;_hsmi=87085363&amp;utm_content=87085363&amp;utm_source=hs_email&amp;hsCtaTracking=6fedf137-fd90-4f17-bfb4-d61f710ec7f8%7Cf2771843-6636-4969-9010-2d8d0389b89c</t>
  </si>
  <si>
    <t>1616@wct.es</t>
  </si>
  <si>
    <t>https://resources.simonelectric.com/simon-catalogo-vehiculo-electrico?utm_campaign=SIC%20-%20Veh%C3%ADculo%20El%C3%A9ctrico&amp;utm_medium=email&amp;_hsenc=p2ANqtz-9NB-IOXTk1OciTd4GP_zEstZkHdyGmTdmIFEJdsIzahg8GW43o7fpGOrA7f2gVv92p9qvc&amp;_hsmi=87085363&amp;utm_content=87085363&amp;utm_source=hs_email&amp;hsCtaTracking=6fedf137-fd90-4f17-bfb4-d61f710ec7f8%7Cf2771843-6636-4969-9010-2d8d0389b89c</t>
  </si>
  <si>
    <t>1617@e-noses.com</t>
  </si>
  <si>
    <t>https://resources.simonelectric.com/simon-catalogo-vehiculo-electrico?utm_campaign=SIC%20-%20Veh%C3%ADculo%20El%C3%A9ctrico&amp;utm_medium=email&amp;_hsenc=p2ANqtz-96FVdWJCc2rWvqkrhaCRT_qQLYQHVfYeRU7FjwZT-wVwETewKkwWENq8NV6vrdgry_wRwG&amp;_hsmi=87085363&amp;utm_content=87085363&amp;utm_source=hs_email&amp;hsCtaTracking=6fedf137-fd90-4f17-bfb4-d61f710ec7f8%7Cf2771843-6636-4969-9010-2d8d0389b89c</t>
  </si>
  <si>
    <t>1618@hotmail.com</t>
  </si>
  <si>
    <t>https://resources.simonelectric.com/simon-catalogo-vehiculo-electrico?utm_campaign=SIC%20-%20Veh%C3%ADculo%20El%C3%A9ctrico&amp;utm_medium=email&amp;_hsenc=p2ANqtz-8tapgcQW9DDL3gQbaorXd9pXuZdGDkxfrey0jq_4svmoRI98UchjvQocFd5Ho8xm_MBNKT&amp;_hsmi=87085302&amp;utm_content=87085302&amp;utm_source=hs_email&amp;hsCtaTracking=6fedf137-fd90-4f17-bfb4-d61f710ec7f8%7Cf2771843-6636-4969-9010-2d8d0389b89c</t>
  </si>
  <si>
    <t>1619@simon.es</t>
  </si>
  <si>
    <t>https://resources.simonelectric.com/simon-catalogo-vehiculo-electrico?utm_campaign=SIC%20-%20Veh%C3%ADculo%20El%C3%A9ctrico&amp;utm_medium=email&amp;_hsenc=p2ANqtz-_oomnvjdQj-e71hcLI6Uu7qR-7HT0Uulp00D4hbBqL2Gd_iDq1UE-unvDR21MtAJ5LR4zP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</si>
  <si>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mi=87085363&amp;_hsenc=p2ANqtz--c2DmQ0JGnWus7twhRid-434lNHwCfzSNjQwOckQm6LlVdrYqyNb1zgY4uoPjezL3IXH6s&amp;utm_content=87085363&amp;utm_source=hs_email</t>
  </si>
  <si>
    <t>1620@ciudaddelosmuchachos.com</t>
  </si>
  <si>
    <t>https://resources.simonelectric.com/simon-catalogo-vehiculo-electrico?utm_campaign=SIC%20-%20Veh%C3%ADculo%20El%C3%A9ctrico&amp;utm_medium=email&amp;_hsenc=p2ANqtz-8v9QzwOawB9DVWX2zr5csCRZXei27SzIwLeQUAI7vqRWtaeo6J567sYRmPbtcvOW8CpqT_&amp;_hsmi=87085363&amp;utm_content=87085363&amp;utm_source=hs_email&amp;hsCtaTracking=6fedf137-fd90-4f17-bfb4-d61f710ec7f8%7Cf2771843-6636-4969-9010-2d8d0389b89c</t>
  </si>
  <si>
    <t>1621@salicru.com</t>
  </si>
  <si>
    <t>https://resources.simonelectric.com/simon-catalogo-vehiculo-electrico?utm_campaign=SIC%20-%20Veh%C3%ADculo%20El%C3%A9ctrico&amp;utm_medium=email&amp;_hsenc=p2ANqtz-8q8AxIqdhOoOLfToLZvWasfQloHLYxCGrDyqc3TYrrOWSfLT_YR_ifk8JuxGu-9mhc6XVm&amp;_hsmi=87085363&amp;utm_content=87085363&amp;utm_source=hs_email&amp;hsCtaTracking=6fedf137-fd90-4f17-bfb4-d61f710ec7f8%7Cf2771843-6636-4969-9010-2d8d0389b89c</t>
  </si>
  <si>
    <t>1622@electropla.cat</t>
  </si>
  <si>
    <t>https://resources.simonelectric.com/simon-catalogo-vehiculo-electrico?utm_campaign=SIC%20-%20Veh%C3%ADculo%20El%C3%A9ctrico&amp;utm_medium=email&amp;_hsenc=p2ANqtz--d9KJ8WxK-HJzn1Z3JXI5TxW0iX0sWarbusggEEpuuPTN6xvWp_x69Ihf6kcSy7pKF1LYY&amp;_hsmi=87085363&amp;utm_content=87085363&amp;utm_source=hs_email&amp;hsCtaTracking=6fedf137-fd90-4f17-bfb4-d61f710ec7f8%7Cf2771843-6636-4969-9010-2d8d0389b89c</t>
  </si>
  <si>
    <t>1623@gmail.com</t>
  </si>
  <si>
    <t>https://resources.simonelectric.com/simon-catalogo-vehiculo-electrico?utm_campaign=SIC%20-%20Veh%C3%ADculo%20El%C3%A9ctrico&amp;utm_medium=email&amp;_hsenc=p2ANqtz--VQWiuN1MfFtNFjigFAQlD_JOKrmNJNSJLBwkz9PWGDazKp2OYb6QpIBvJAdouW5xeh5LT&amp;_hsmi=87085363&amp;utm_content=87085363&amp;utm_source=hs_email&amp;hsCtaTracking=6fedf137-fd90-4f17-bfb4-d61f710ec7f8%7Cf2771843-6636-4969-9010-2d8d0389b89c</t>
  </si>
  <si>
    <t>1624@sistema1.es</t>
  </si>
  <si>
    <t>https://resources.simonelectric.com/simon-catalogo-vehiculo-electrico?utm_campaign=SIC%20-%20Veh%C3%ADculo%20El%C3%A9ctrico&amp;utm_medium=email&amp;_hsenc=p2ANqtz-9m_WFb15rf7JBRIazJ9rIvMrp_yotRyFl5zTbu8iCZcSM5u8hdy-1aSguDlx5tKD9xBtLQ&amp;_hsmi=87085363&amp;utm_content=87085363&amp;utm_source=hs_email&amp;hsCtaTracking=6fedf137-fd90-4f17-bfb4-d61f710ec7f8%7Cf2771843-6636-4969-9010-2d8d0389b89c</t>
  </si>
  <si>
    <t>1625@hotmail.com</t>
  </si>
  <si>
    <t>https://resources.simonelectric.com/simon-catalogo-vehiculo-electrico?utm_campaign=SIC%20-%20Veh%C3%ADculo%20El%C3%A9ctrico&amp;utm_medium=email&amp;_hsenc=p2ANqtz--hGJzz5eGGHPvzvFsijZpiaPgF_UTK1V9NtNi637hXqsM1DpHEIhDfCy-QdwMz3I6DUBtu&amp;_hsmi=87085363&amp;utm_content=87085363&amp;utm_source=hs_email&amp;hsCtaTracking=6fedf137-fd90-4f17-bfb4-d61f710ec7f8%7Cf2771843-6636-4969-9010-2d8d0389b89c</t>
  </si>
  <si>
    <t>1626@adaliaradio.com</t>
  </si>
  <si>
    <t>https://resources.simonelectric.com/simon-catalogo-vehiculo-electrico?utm_campaign=SIC%20-%20Veh%C3%ADculo%20El%C3%A9ctrico&amp;utm_medium=email&amp;_hsenc=p2ANqtz-9-FXGi1ckOwXMx1pQn1_LnXSrr5CPJTkcgvuH4sdXNenCnME7c2OOqbfDQOzdiN5OOGFh_&amp;_hsmi=87085363&amp;utm_content=87085363&amp;utm_source=hs_email&amp;hsCtaTracking=6fedf137-fd90-4f17-bfb4-d61f710ec7f8%7Cf2771843-6636-4969-9010-2d8d0389b89c</t>
  </si>
  <si>
    <t>1627@elec-matic.com</t>
  </si>
  <si>
    <t>https://resources.simonelectric.com/simon-catalogo-vehiculo-electrico?utm_campaign=SIC%20-%20Veh%C3%ADculo%20El%C3%A9ctrico&amp;utm_medium=email&amp;_hsenc=p2ANqtz-94VwcvP53fFTAGojfRG4AAqTr_j4i3VE92Pw65Py9ULAPPyuWZKNAhHpwyYFv1G7VMe1df&amp;_hsmi=87085363&amp;utm_content=87085363&amp;utm_source=hs_email&amp;hsCtaTracking=6fedf137-fd90-4f17-bfb4-d61f710ec7f8%7Cf2771843-6636-4969-9010-2d8d0389b89c</t>
  </si>
  <si>
    <t>1628@solbesingenieros.com</t>
  </si>
  <si>
    <t>https://resources.simonelectric.com/simon-catalogo-vehiculo-electrico?utm_campaign=SIC%20-%20Veh%C3%ADculo%20El%C3%A9ctrico&amp;utm_medium=email&amp;_hsenc=p2ANqtz--ybFM2z1S47Nf3wkVxsR7c8J5KomzZHrxA6sdW-c9_WJs6sT22qJMwVzFWLD1bVWMElP-w&amp;_hsmi=87085363&amp;utm_content=87085363&amp;utm_source=hs_email&amp;hsCtaTracking=6fedf137-fd90-4f17-bfb4-d61f710ec7f8%7Cf2771843-6636-4969-9010-2d8d0389b89c</t>
  </si>
  <si>
    <t>1629@coac.net</t>
  </si>
  <si>
    <t>https://resources.simonelectric.com/simon-catalogo-vehiculo-electrico?utm_campaign=SIC%20-%20Veh%C3%ADculo%20El%C3%A9ctrico&amp;utm_medium=email&amp;_hsenc=p2ANqtz-9LdwDjZw7hwdZAzMixdbfZTE3_xii_yqsJyLAOoejYYImlq5wOajDuUZAJtkLiBMeVYDvI&amp;_hsmi=87085363&amp;utm_content=87085363&amp;utm_source=hs_email&amp;hsCtaTracking=6fedf137-fd90-4f17-bfb4-d61f710ec7f8%7Cf2771843-6636-4969-9010-2d8d0389b89c</t>
  </si>
  <si>
    <t>1630@sertec.es</t>
  </si>
  <si>
    <t>https://resources.simonelectric.com/simon-catalogo-vehiculo-electrico?utm_campaign=SIC%20-%20Veh%C3%ADculo%20El%C3%A9ctrico&amp;utm_medium=email&amp;_hsenc=p2ANqtz--rv3UO6vyBPnrQJPDVE7JMtc_Zlg8XPm7eyCQxCD_1Wq0yglG3NOhzn4Td3cSj3Eftrs56&amp;_hsmi=87085363&amp;utm_content=87085363&amp;utm_source=hs_email&amp;hsCtaTracking=6fedf137-fd90-4f17-bfb4-d61f710ec7f8%7Cf2771843-6636-4969-9010-2d8d0389b89c</t>
  </si>
  <si>
    <t>1631@sri.es</t>
  </si>
  <si>
    <t>https://resources.simonelectric.com/simon-catalogo-vehiculo-electrico?utm_campaign=SIC%20-%20Veh%C3%ADculo%20El%C3%A9ctrico&amp;utm_medium=email&amp;_hsmi=87085302&amp;_hsenc=p2ANqtz--zafl3fDISVCTBaHmKR_7-EBPTo45aQQXZY9TQZlqVdw5vdQmy6jXkHDqfYi1qV8xzqiWO&amp;utm_content=87085302&amp;utm_source=hs_email</t>
  </si>
  <si>
    <t>1632@iremael.com</t>
  </si>
  <si>
    <t>https://resources.simonelectric.com/simon-catalogo-vehiculo-electrico?utm_campaign=SIC%20-%20Veh%C3%ADculo%20El%C3%A9ctrico&amp;utm_medium=email&amp;_hsenc=p2ANqtz-8Mk3pQXue-ZL8KOZT5AXWP7eXeh5NGRBgbSLjuft442EmEjx75Za0jK5kkVrm5w2_RwaLi&amp;_hsmi=87085302&amp;utm_content=87085302&amp;utm_source=hs_email&amp;hsCtaTracking=6fedf137-fd90-4f17-bfb4-d61f710ec7f8%7Cf2771843-6636-4969-9010-2d8d0389b89c</t>
  </si>
  <si>
    <t>1633@coam.es</t>
  </si>
  <si>
    <t>https://resources.simonelectric.com/simon-catalogo-vehiculo-electrico?utm_campaign=SIC%20-%20Veh%C3%ADculo%20El%C3%A9ctrico&amp;utm_medium=email&amp;_hsenc=p2ANqtz-86YMaVYcNQAej4aWXvftoqm6ggr5XN_1pYozGoxFoBMsknu8-2z1h-_PymH1JvMcl25r-V&amp;_hsmi=87085363&amp;utm_content=87085363&amp;utm_source=hs_email&amp;hsCtaTracking=6fedf137-fd90-4f17-bfb4-d61f710ec7f8%7Cf2771843-6636-4969-9010-2d8d0389b89c</t>
  </si>
  <si>
    <t>1634@gmail.com</t>
  </si>
  <si>
    <t>https://resources.simonelectric.com/simon-catalogo-vehiculo-electrico?utm_campaign=SIC%20-%20Veh%C3%ADculo%20El%C3%A9ctrico&amp;utm_medium=email&amp;_hsenc=p2ANqtz-8dx3ai-ayOPAb2APrp1r8Vcr3HUKujdPv5M8MA4elQtB5LcZ4MwJKUB-4QVYXxCBw5mBh1&amp;_hsmi=87085363&amp;utm_content=87085363&amp;utm_source=hs_email&amp;hsCtaTracking=6fedf137-fd90-4f17-bfb4-d61f710ec7f8%7Cf2771843-6636-4969-9010-2d8d0389b89c</t>
  </si>
  <si>
    <t>1635@arevoltapc.com</t>
  </si>
  <si>
    <t>https://resources.simonelectric.com/simon-catalogo-vehiculo-electrico?utm_campaign=SIC%20-%20Veh%C3%ADculo%20El%C3%A9ctrico&amp;utm_medium=email&amp;_hsenc=p2ANqtz-_KKRPMI-a1xEXfh3cIt1d7kMB_dC5wN4dH4-Va3faoYOnqA-XAe8kq_i2s1vLlbL5AToBy&amp;_hsmi=87085363&amp;utm_content=87085363&amp;utm_source=hs_email&amp;hsCtaTracking=6fedf137-fd90-4f17-bfb4-d61f710ec7f8%7Cf2771843-6636-4969-9010-2d8d0389b89c</t>
  </si>
  <si>
    <t>1636@yahoo.es</t>
  </si>
  <si>
    <t>https://resources.simonelectric.com/simon-catalogo-vehiculo-electrico?utm_campaign=SIC%20-%20Veh%C3%ADculo%20El%C3%A9ctrico&amp;utm_medium=email&amp;_hsenc=p2ANqtz-8javb-EyVIVX1AGzc_gikJJoqs_IcvKXVwAo6dnkY6WjjC502oPEOlVM3CKwmyJj-de-YX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</si>
  <si>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m-GA0I7TIUyhwXJuHOU7tltyxgsn5mYyVTU7PtHYlWYhwxbG84qHbkoCqk4AQTEjd3JOq&amp;_hsmi=87085363&amp;utm_content=87085363&amp;utm_source=hs_email&amp;hsCtaTracking=6fedf137-fd90-4f17-bfb4-d61f710ec7f8%7Cf2771843-6636-4969-9010-2d8d0389b89c</t>
  </si>
  <si>
    <t>1637@gmail.com</t>
  </si>
  <si>
    <t>https://resources.simonelectric.com/simon-catalogo-vehiculo-electrico?utm_campaign=SIC%20-%20Veh%C3%ADculo%20El%C3%A9ctrico&amp;utm_medium=email&amp;_hsenc=p2ANqtz-_8o2jALUnwo5Me7VpfHGEgkVWzrfueHHOz65p4dRcERHmdzm7zKG8zPgCgRY3xd9CUZ1gC&amp;_hsmi=87085363&amp;utm_content=87085363&amp;utm_source=hs_email&amp;hsCtaTracking=6fedf137-fd90-4f17-bfb4-d61f710ec7f8%7Cf2771843-6636-4969-9010-2d8d0389b89c</t>
  </si>
  <si>
    <t>1638@teclisa.com</t>
  </si>
  <si>
    <t>https://resources.simonelectric.com/simon-catalogo-vehiculo-electrico?utm_campaign=SIC%20-%20Veh%C3%ADculo%20El%C3%A9ctrico&amp;utm_medium=email&amp;_hsenc=p2ANqtz-82xGGwW6A48X2EAZgYC1MdvgWVxrCbPi06o9W9kFfzBGzoWg8SClJ5FbgvJndGSKSsFiOe&amp;_hsmi=87085363&amp;utm_content=87085363&amp;utm_source=hs_email&amp;hsCtaTracking=6fedf137-fd90-4f17-bfb4-d61f710ec7f8%7Cf2771843-6636-4969-9010-2d8d0389b89c</t>
  </si>
  <si>
    <t>1639@senae.es</t>
  </si>
  <si>
    <t>https://resources.simonelectric.com/simon-catalogo-vehiculo-electrico?utm_campaign=SIC%20-%20Veh%C3%ADculo%20El%C3%A9ctrico&amp;utm_medium=email&amp;_hsenc=p2ANqtz--4afJE322zeylCCqNDlp9Eq6Ggo-kO82sq5kYGASUioa4tYRtsL3bdsJ0eGuG-4T7RmOH2&amp;_hsmi=87085363&amp;utm_content=87085363&amp;utm_source=hs_email&amp;hsCtaTracking=6fedf137-fd90-4f17-bfb4-d61f710ec7f8%7Cf2771843-6636-4969-9010-2d8d0389b89c</t>
  </si>
  <si>
    <t>1640@infonegocio.com</t>
  </si>
  <si>
    <t>https://resources.simonelectric.com/simon-catalogo-vehiculo-electrico?utm_campaign=SIC%20-%20Veh%C3%ADculo%20El%C3%A9ctrico&amp;utm_medium=email&amp;_hsenc=p2ANqtz--8a7sinDoDj8oNM3FjKZES4Z7Vd_t2glkpW7vlUYttTZzsLCXP6V79iHmXBICGHrJanDRB&amp;_hsmi=87085363&amp;utm_content=87085363&amp;utm_source=hs_email&amp;hsCtaTracking=6fedf137-fd90-4f17-bfb4-d61f710ec7f8%7Cf2771843-6636-4969-9010-2d8d0389b89c</t>
  </si>
  <si>
    <t>1641@gmail.com</t>
  </si>
  <si>
    <t>https://resources.simonelectric.com/simon-catalogo-vehiculo-electrico?utm_campaign=SIC%20-%20Veh%C3%ADculo%20El%C3%A9ctrico&amp;utm_medium=email&amp;_hsenc=p2ANqtz-8is65zWih1W0TVd7Y3JejWGTltp4T3SsvOP04fCFg_NsCEkRIXg8KE9d2rz3Ql_wd548Yv&amp;_hsmi=87085363&amp;utm_content=87085363&amp;utm_source=hs_email&amp;hsCtaTracking=6fedf137-fd90-4f17-bfb4-d61f710ec7f8%7Cf2771843-6636-4969-9010-2d8d0389b89c</t>
  </si>
  <si>
    <t>1642@aytoguadalajara.es</t>
  </si>
  <si>
    <t>https://resources.simonelectric.com/simon-catalogo-vehiculo-electrico?utm_campaign=SIC%20-%20Veh%C3%ADculo%20El%C3%A9ctrico&amp;utm_medium=email&amp;_hsenc=p2ANqtz-9UmLC3MgRom1ORhglMyFmb1VtiMAq-PzEDBfliBwUgW0_aUvEuFwPjokRgmZl3UrAmfOZK&amp;_hsmi=87085363&amp;utm_content=87085363&amp;utm_source=hs_email&amp;hsCtaTracking=6fedf137-fd90-4f17-bfb4-d61f710ec7f8%7Cf2771843-6636-4969-9010-2d8d0389b89c</t>
  </si>
  <si>
    <t>1643@splitmania.net</t>
  </si>
  <si>
    <t>https://resources.simonelectric.com/simon-catalogo-vehiculo-electrico?utm_campaign=SIC%20-%20Veh%C3%ADculo%20El%C3%A9ctrico&amp;utm_medium=email&amp;_hsenc=p2ANqtz-9z5JbuNfcOgqKygWqNoC3d0wW1Vnn4Or7lmFHupWJL_wvH0A4RVeCu6U4zC2xdXWRZ5-yN&amp;_hsmi=87085363&amp;utm_content=87085363&amp;utm_source=hs_email&amp;hsCtaTracking=6fedf137-fd90-4f17-bfb4-d61f710ec7f8%7Cf2771843-6636-4969-9010-2d8d0389b89c</t>
  </si>
  <si>
    <t>1644@tevigrup.com</t>
  </si>
  <si>
    <t>https://resources.simonelectric.com/simon-catalogo-vehiculo-electrico?utm_campaign=SIC%20-%20Veh%C3%ADculo%20El%C3%A9ctrico&amp;utm_medium=email&amp;_hsenc=p2ANqtz-9btYBIvg6N4Qp0XjQb3O6x5gJYbSDZxpwQKz_W29firRNhCoqBnepU-NC6TfXVS8AR2Uo8&amp;_hsmi=87085363&amp;utm_content=87085363&amp;utm_source=hs_email&amp;hsCtaTracking=6fedf137-fd90-4f17-bfb4-d61f710ec7f8%7Cf2771843-6636-4969-9010-2d8d0389b89c</t>
  </si>
  <si>
    <t>1645@gomezmoreno.com</t>
  </si>
  <si>
    <t>https://resources.simonelectric.com/simon-catalogo-vehiculo-electrico?utm_campaign=SIC%20-%20Veh%C3%ADculo%20El%C3%A9ctrico&amp;utm_medium=email&amp;_hsenc=p2ANqtz-9tdKT9yRee0tkdioHMkZMOqUAex4uLrT-SEjdNTGWmw8bce28Sn19oTzxmBOGVIbW8_UGl&amp;_hsmi=87085363&amp;utm_content=87085363&amp;utm_source=hs_email&amp;hsCtaTracking=6fedf137-fd90-4f17-bfb4-d61f710ec7f8%7Cf2771843-6636-4969-9010-2d8d0389b89c</t>
  </si>
  <si>
    <t>1646@geserelectric.es</t>
  </si>
  <si>
    <t>https://resources.simonelectric.com/simon-catalogo-vehiculo-electrico?utm_campaign=SIC%20-%20Veh%C3%ADculo%20El%C3%A9ctrico&amp;utm_medium=email&amp;_hsenc=p2ANqtz-_PmNfMWfW-N-lNyHNgPxsmezXx1Yq66-JVbtySNZ_znYsg_nMBCQp6IepF6hZqrvxBvoTg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</si>
  <si>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kDJnMZJ6nsFEXf1VJ1R58VF9XeMZrKEDL9sOtnsh4GWFal1IFF9xKN3FcYhq2leEFWyPY&amp;_hsmi=87085363&amp;utm_content=87085363&amp;utm_source=hs_email&amp;hsCtaTracking=6fedf137-fd90-4f17-bfb4-d61f710ec7f8%7Cf2771843-6636-4969-9010-2d8d0389b89c</t>
  </si>
  <si>
    <t>1647@telefonica.net</t>
  </si>
  <si>
    <t>https://resources.simonelectric.com/simon-catalogo-vehiculo-electrico?utm_campaign=SIC%20-%20Veh%C3%ADculo%20El%C3%A9ctrico&amp;utm_medium=email&amp;_hsenc=p2ANqtz-8EjnKiuiL0oCE6_0VX_8abvawg2pF-31038FihQBlAcidAEeRcrP4qYRy_T0oMUoa4JhB4&amp;_hsmi=87085363&amp;utm_content=87085363&amp;utm_source=hs_email&amp;hsCtaTracking=6fedf137-fd90-4f17-bfb4-d61f710ec7f8%7Cf2771843-6636-4969-9010-2d8d0389b89c</t>
  </si>
  <si>
    <t>1648@gmail.com</t>
  </si>
  <si>
    <t>https://resources.simonelectric.com/simon-catalogo-vehiculo-electrico?utm_campaign=SIC%20-%20Veh%C3%ADculo%20El%C3%A9ctrico&amp;utm_medium=email&amp;_hsmi=87085363&amp;_hsenc=p2ANqtz-93rd2LXJ8uXJpLA_TiytxXUzrsYWtc8nH9ZR--Nq437GD0uCWM0JApOshm_xVF7ShcL8Mr&amp;utm_content=87085363&amp;utm_source=hs_email</t>
  </si>
  <si>
    <t>1649@vamostelecom.es</t>
  </si>
  <si>
    <t>https://resources.simonelectric.com/simon-catalogo-vehiculo-electrico?utm_campaign=SIC%20-%20Veh%C3%ADculo%20El%C3%A9ctrico&amp;utm_medium=email&amp;_hsenc=p2ANqtz-8UDFegVAgrLtfbMrf_xok8XzcrRd55GWvxiBaPoNGL6lp7PezpVOvp_gDSxIjk8PUdbca1&amp;_hsmi=87085363&amp;utm_content=87085363&amp;utm_source=hs_email&amp;hsCtaTracking=6fedf137-fd90-4f17-bfb4-d61f710ec7f8%7Cf2771843-6636-4969-9010-2d8d0389b89c</t>
  </si>
  <si>
    <t>1650@hotmail.com</t>
  </si>
  <si>
    <t>https://resources.simonelectric.com/simon-catalogo-vehiculo-electrico?utm_campaign=SIC%20-%20Veh%C3%ADculo%20El%C3%A9ctrico&amp;utm_medium=email&amp;_hsenc=p2ANqtz-984Iu4bSyM-8u91_Wctea0-7fwSSiLnTu_GjyCteTFw8RKjfvWvvNXWvSuBKHf7xY_8RpE&amp;_hsmi=87085363&amp;utm_content=87085363&amp;utm_source=hs_email&amp;hsCtaTracking=6fedf137-fd90-4f17-bfb4-d61f710ec7f8%7Cf2771843-6636-4969-9010-2d8d0389b89c</t>
  </si>
  <si>
    <t>1651@gmail.com</t>
  </si>
  <si>
    <t>https://resources.simonelectric.com/simon-catalogo-vehiculo-electrico?utm_campaign=SIC%20-%20Veh%C3%ADculo%20El%C3%A9ctrico&amp;utm_medium=email&amp;_hsenc=p2ANqtz-9pH-h56n9ThxN23a4rJ9XcWvMNxRRG4dVB4NIgOb2Q0Rl0rn7bLV_PQYzqxUxZqjfUrH0e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</si>
  <si>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VZPtVZ9Pumt51U1klDC1nAN1ereTkTh8u_EEwzCtitHBvh8KwLR9EeSGNitPIO8UHBG9A&amp;_hsmi=87085363&amp;utm_content=87085363&amp;utm_source=hs_email&amp;hsCtaTracking=6fedf137-fd90-4f17-bfb4-d61f710ec7f8%7Cf2771843-6636-4969-9010-2d8d0389b89c</t>
  </si>
  <si>
    <t>1652@skyclimber.es</t>
  </si>
  <si>
    <t>https://resources.simonelectric.com/simon-catalogo-vehiculo-electrico?utm_campaign=SIC%20-%20Veh%C3%ADculo%20El%C3%A9ctrico&amp;utm_medium=email&amp;_hsenc=p2ANqtz--RWu17MFAmP2UzzDhlzu0GJLqQ1IVnbNEIOt-J6gqX7-FeQPrWQJMUOmxo-nSq8WlMHksz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</si>
  <si>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-7QlIeP7sDWA_0k6gqqod6ch4AUTtZuyCxLXjxZm9wGIyYZIowyGCY30QIJBpgeQgABWLL&amp;_hsmi=87085363&amp;utm_content=87085363&amp;utm_source=hs_email&amp;hsCtaTracking=6fedf137-fd90-4f17-bfb4-d61f710ec7f8%7Cf2771843-6636-4969-9010-2d8d0389b89c</t>
  </si>
  <si>
    <t>1653@sonepar.es</t>
  </si>
  <si>
    <t>https://resources.simonelectric.com/simon-catalogo-vehiculo-electrico?utm_campaign=SIC%20-%20Veh%C3%ADculo%20El%C3%A9ctrico&amp;utm_medium=email&amp;_hsenc=p2ANqtz-8clkqcp6KBwrPPcq3HEYQ75dtFCID0kZaL3aD7CJlBO8bg5pVy9dk0Fe92306MbVW8y-Au&amp;_hsmi=87085363&amp;utm_content=87085363&amp;utm_source=hs_email&amp;hsCtaTracking=6fedf137-fd90-4f17-bfb4-d61f710ec7f8%7Cf2771843-6636-4969-9010-2d8d0389b89c</t>
  </si>
  <si>
    <t>1654@movinetenergia.com</t>
  </si>
  <si>
    <t>https://resources.simonelectric.com/simon-catalogo-vehiculo-electrico?utm_campaign=SIC%20-%20Veh%C3%ADculo%20El%C3%A9ctrico&amp;utm_medium=email&amp;_hsenc=p2ANqtz-9cvhInz_REYtiOgQZMc5WN0P-blKJkq4ht_UiZyzItxEeRiSqSqvcQeULUYLMKD9tD63Q2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</si>
  <si>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JLz8GlG_SgPh4puPk90laE_Uo9HkD5W6VqIPDWASNhxauFpDC2jrXSlg_UUhMA4Hzytob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</si>
  <si>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IvHlZQSUy-7dcNI_0h7LpL6Um0UJW8p5Wmwz4eSbNL6Ud0gYQBD91cCz3FZrpNhpMcBlN&amp;_hsmi=87085302&amp;utm_content=87085302&amp;utm_source=hs_email&amp;hsCtaTracking=6fedf137-fd90-4f17-bfb4-d61f710ec7f8%7Cf2771843-6636-4969-9010-2d8d0389b89c</t>
  </si>
  <si>
    <t>1655@sonepar.es</t>
  </si>
  <si>
    <t>https://resources.simonelectric.com/simon-catalogo-vehiculo-electrico?utm_campaign=SIC%20-%20Veh%C3%ADculo%20El%C3%A9ctrico&amp;utm_medium=email&amp;_hsenc=p2ANqtz-_TCnAbzPzG7l24YXGvKAGoF_L1kTT1cG9AHWJIV3qIMECFkqQ2v5eVZJCGH0Gemtau2lYb&amp;_hsmi=87085363&amp;utm_content=87085363&amp;utm_source=hs_email&amp;hsCtaTracking=6fedf137-fd90-4f17-bfb4-d61f710ec7f8%7Cf2771843-6636-4969-9010-2d8d0389b89c</t>
  </si>
  <si>
    <t>1656@gmx.es</t>
  </si>
  <si>
    <t>https://resources.simonelectric.com/simon-catalogo-vehiculo-electrico?utm_campaign=SIC%20-%20Veh%C3%ADculo%20El%C3%A9ctrico&amp;utm_medium=email&amp;_hsenc=p2ANqtz-9W9I9_X2izxu-NwQFCVfELZPMO1TmgG32JOGbCdsc8s1RLVCKIERvl7BZjl1JZ0aRtJd6o&amp;_hsmi=87085302&amp;utm_content=87085302&amp;utm_source=hs_email&amp;hsCtaTracking=6fedf137-fd90-4f17-bfb4-d61f710ec7f8%7Cf2771843-6636-4969-9010-2d8d0389b89c</t>
  </si>
  <si>
    <t>1657@pontosolar.com</t>
  </si>
  <si>
    <t>https://resources.simonelectric.com/simon-catalogo-vehiculo-electrico?utm_campaign=SIC%20-%20Veh%C3%ADculo%20El%C3%A9ctrico&amp;utm_medium=email&amp;_hsenc=p2ANqtz-9KI8NZ5O2qXxyyCg7hdpKkvqP1_uoM1l5oDOrJ8VHXCikK4CLs6Z88ephR0xAOwemLFfg8&amp;_hsmi=87085363&amp;utm_content=87085363&amp;utm_source=hs_email&amp;hsCtaTracking=6fedf137-fd90-4f17-bfb4-d61f710ec7f8%7Cf2771843-6636-4969-9010-2d8d0389b89c</t>
  </si>
  <si>
    <t>1658@gmail.com</t>
  </si>
  <si>
    <t>https://resources.simonelectric.com/simon-catalogo-vehiculo-electrico?utm_campaign=SIC%20-%20Veh%C3%ADculo%20El%C3%A9ctrico&amp;utm_medium=email&amp;_hsenc=p2ANqtz-_otvDMBg4a6mUpIzjt7lrny5vmB-6mGk_MHgfQ4WCQvimdBQDQR0TxRoNL8WWz9r-2CAU3&amp;_hsmi=87085363&amp;utm_content=87085363&amp;utm_source=hs_email&amp;hsCtaTracking=6fedf137-fd90-4f17-bfb4-d61f710ec7f8%7Cf2771843-6636-4969-9010-2d8d0389b89c</t>
  </si>
  <si>
    <t>1659@orpoint.com</t>
  </si>
  <si>
    <t>https://resources.simonelectric.com/simon-catalogo-vehiculo-electrico?utm_campaign=SIC%20-%20Veh%C3%ADculo%20El%C3%A9ctrico&amp;utm_medium=email&amp;_hsenc=p2ANqtz-8wypiXOCmnOlBT0gzOOYDMJhIDioY5hf8aLCLBRe3P6cJO-Z4nLDUQDiqM13hN6esoWBsK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</si>
  <si>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EHtpGpdVhOTX0kIXuWA0hKBFGxg5V29KHo_QS8GUXh9r3jvhI5DRT-8SawAhZlCIfhxoa&amp;_hsmi=87085363&amp;utm_content=87085363&amp;utm_source=hs_email&amp;hsCtaTracking=6fedf137-fd90-4f17-bfb4-d61f710ec7f8%7Cf2771843-6636-4969-9010-2d8d0389b89c</t>
  </si>
  <si>
    <t>1660@relsa.es</t>
  </si>
  <si>
    <t>https://resources.simonelectric.com/simon-catalogo-vehiculo-electrico?utm_campaign=SIC%20-%20Veh%C3%ADculo%20El%C3%A9ctrico&amp;utm_medium=email&amp;_hsenc=p2ANqtz-_hGsMHenpN0MHs4Ve8DRBLGFuaNqrJA1CykzWVTzK-OlhvsU_QpHR_13GRC4CQdyuFAXSm&amp;_hsmi=87085363&amp;utm_content=87085363&amp;utm_source=hs_email&amp;hsCtaTracking=6fedf137-fd90-4f17-bfb4-d61f710ec7f8%7Cf2771843-6636-4969-9010-2d8d0389b89c</t>
  </si>
  <si>
    <t>1661@turelectric.com</t>
  </si>
  <si>
    <t>https://resources.simonelectric.com/simon-catalogo-vehiculo-electrico?utm_campaign=SIC%20-%20Veh%C3%ADculo%20El%C3%A9ctrico&amp;utm_medium=email&amp;_hsenc=p2ANqtz-_3zu_ytGiA-zr5pSrbLE6877x-NVFMPjcchmUxHNeCk2dwIMF3C1CdEerloamNvcJwQQNu&amp;_hsmi=87085363&amp;utm_content=87085363&amp;utm_source=hs_email&amp;hsCtaTracking=6fedf137-fd90-4f17-bfb4-d61f710ec7f8%7Cf2771843-6636-4969-9010-2d8d0389b89c</t>
  </si>
  <si>
    <t>1662@neinorhomes.com</t>
  </si>
  <si>
    <t>https://resources.simonelectric.com/simon-catalogo-vehiculo-electrico?utm_campaign=SIC%20-%20Veh%C3%ADculo%20El%C3%A9ctrico&amp;utm_medium=email&amp;_hsenc=p2ANqtz--AqpFamFlni8g2KSzQ-d-8bgBV85jJ5PrFYrjsp6Nr2Q4-ehdQnPr6dcbuB9nP9veT3c7E&amp;_hsmi=87085363&amp;utm_content=87085363&amp;utm_source=hs_email&amp;hsCtaTracking=6fedf137-fd90-4f17-bfb4-d61f710ec7f8%7Cf2771843-6636-4969-9010-2d8d0389b89c</t>
  </si>
  <si>
    <t>1663@hotmail.com</t>
  </si>
  <si>
    <t>https://resources.simonelectric.com/simon-catalogo-vehiculo-electrico?utm_campaign=SIC%20-%20Veh%C3%ADculo%20El%C3%A9ctrico&amp;utm_medium=email&amp;_hsenc=p2ANqtz-8iB_ZTw8glza_PPjDFSnx1K_XDqn_36_bOfL_5ZlWK1AqCShWjcHl3d7dYY4LwinlCvb2h&amp;_hsmi=87085363&amp;utm_content=87085363&amp;utm_source=hs_email&amp;hsCtaTracking=6fedf137-fd90-4f17-bfb4-d61f710ec7f8%7Cf2771843-6636-4969-9010-2d8d0389b89c</t>
  </si>
  <si>
    <t>1664@jgingenieros.es</t>
  </si>
  <si>
    <t>https://resources.simonelectric.com/simon-catalogo-vehiculo-electrico?utm_campaign=SIC%20-%20Veh%C3%ADculo%20El%C3%A9ctrico&amp;utm_medium=email&amp;_hsmi=87085302&amp;_hsenc=p2ANqtz-9mlCSGsjcQwlXBChoAKD-Wv8MLGTKPct3V0_CbXN_SE15cO9MMBpVPWs1jREauYL4EQYze&amp;utm_content=87085302&amp;utm_source=hs_email</t>
  </si>
  <si>
    <t>https://resources.simonelectric.com/simon-catalogo-vehiculo-electrico?utm_campaign=SIC%20-%20Veh%C3%ADculo%20El%C3%A9ctrico&amp;utm_medium=email&amp;_hsenc=p2ANqtz-94LhJqaE5yhwpJy4RGThmKlM8d14b3IbiPwrEN4FS3ZXqZMB00mXIhtcGcICwSrf3puhnV&amp;_hsmi=87085363&amp;utm_content=87085363&amp;utm_source=hs_email&amp;hsCtaTracking=6fedf137-fd90-4f17-bfb4-d61f710ec7f8%7Cf2771843-6636-4969-9010-2d8d0389b89c</t>
  </si>
  <si>
    <t>1665@gmail.com</t>
  </si>
  <si>
    <t>https://resources.simonelectric.com/simon-catalogo-vehiculo-electrico?utm_campaign=SIC%20-%20Veh%C3%ADculo%20El%C3%A9ctrico&amp;utm_medium=email&amp;_hsenc=p2ANqtz-_vnrzS20VKIsNYRjFI8q0yFQEF-q2OUExgczZL6iHV9LnXJyKxU_cn7ZfDk0Dz9GE-u5kz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</si>
  <si>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bHxdVc5QgGFZXshigMJ6dgJ_HfWXKmXnVrRLBSYmBoCa49y6SJFmjWyJXF3qN36_186Tj&amp;_hsmi=87085363&amp;utm_content=87085363&amp;utm_source=hs_email&amp;hsCtaTracking=6fedf137-fd90-4f17-bfb4-d61f710ec7f8%7Cf2771843-6636-4969-9010-2d8d0389b89c</t>
  </si>
  <si>
    <t>1666@coto.pro</t>
  </si>
  <si>
    <t>https://resources.simonelectric.com/simon-catalogo-vehiculo-electrico?utm_campaign=SIC%20-%20Veh%C3%ADculo%20El%C3%A9ctrico&amp;utm_medium=email&amp;_hsenc=p2ANqtz-9w3rDMBkGiIUL49R-o0A9wQCD9s8apIn2L7TVJ6bPHgYCpfkhpdVB28NXUus1EgMgi5aGm&amp;_hsmi=87085363&amp;utm_content=87085363&amp;utm_source=hs_email&amp;hsCtaTracking=6fedf137-fd90-4f17-bfb4-d61f710ec7f8%7Cf2771843-6636-4969-9010-2d8d0389b89c</t>
  </si>
  <si>
    <t>1667@hotmail.com</t>
  </si>
  <si>
    <t>https://resources.simonelectric.com/simon-catalogo-vehiculo-electrico?utm_campaign=SIC%20-%20Veh%C3%ADculo%20El%C3%A9ctrico&amp;utm_medium=email&amp;_hsenc=p2ANqtz-_-cFRuCYBg1_sDVud-d_jv032uU1Qh9gi9VScfT5Hj--xyvqOYz7r0nsFohgU_WjZPxADa&amp;_hsmi=87085363&amp;utm_content=87085363&amp;utm_source=hs_email&amp;hsCtaTracking=6fedf137-fd90-4f17-bfb4-d61f710ec7f8%7Cf2771843-6636-4969-9010-2d8d0389b89c</t>
  </si>
  <si>
    <t>1668@negratin.com</t>
  </si>
  <si>
    <t>https://resources.simonelectric.com/simon-catalogo-vehiculo-electrico?utm_campaign=SIC%20-%20Veh%C3%ADculo%20El%C3%A9ctrico&amp;utm_medium=email&amp;_hsmi=87085302&amp;_hsenc=p2ANqtz-9z6G9sO8f-lis4kggAIo2YGjclrjLTaP8jTC6pUAItTyy3-bVXv1abE9tpEANxbrsYBqxO&amp;utm_content=87085302&amp;utm_source=hs_email</t>
  </si>
  <si>
    <t>1669@gmail.com</t>
  </si>
  <si>
    <t>https://resources.simonelectric.com/simon-catalogo-vehiculo-electrico?utm_campaign=SIC%20-%20Veh%C3%ADculo%20El%C3%A9ctrico&amp;utm_medium=email&amp;_hsenc=p2ANqtz-_x36tKJFaoDUzAz4V5-ByyKsRSvjGNVX-8hQQLH4RxDcV4W3Lquv-_Wr7V3d4RbT54Ni2T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</si>
  <si>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GBZMv13EbSu_vGTEXXDrEy5TfrvhKX7KXrpgKwNTEvu21doSp4G364kJKBBkTMWfbWqt2&amp;_hsmi=87085363&amp;utm_content=87085363&amp;utm_source=hs_email&amp;hsCtaTracking=6fedf137-fd90-4f17-bfb4-d61f710ec7f8%7Cf2771843-6636-4969-9010-2d8d0389b89c</t>
  </si>
  <si>
    <t>1670@electricidadisla.com</t>
  </si>
  <si>
    <t>https://resources.simonelectric.com/simon-catalogo-vehiculo-electrico?utm_campaign=SIC%20-%20Veh%C3%ADculo%20El%C3%A9ctrico&amp;utm_medium=email&amp;_hsenc=p2ANqtz-9b8n5mqdVxqXiK-KpV3FWareemGhvBIr3KMXSc6F3t_BKCqBJgzk2F9B1sT5uXGaiyQFNi&amp;_hsmi=87085363&amp;utm_content=87085363&amp;utm_source=hs_email&amp;hsCtaTracking=6fedf137-fd90-4f17-bfb4-d61f710ec7f8%7Cf2771843-6636-4969-9010-2d8d0389b89c</t>
  </si>
  <si>
    <t>1671@epc-industrial.com</t>
  </si>
  <si>
    <t>https://resources.simonelectric.com/simon-catalogo-vehiculo-electrico?utm_campaign=SIC%20-%20Veh%C3%ADculo%20El%C3%A9ctrico&amp;utm_medium=email&amp;_hsenc=p2ANqtz-9q2IlbPnLGCLhEB0JbCJGI25vF2_TUvhcqICggVxH6qDYc-1Y_dnuhR5DGnh_PEv1ZTFER&amp;_hsmi=87085363&amp;utm_content=87085363&amp;utm_source=hs_email&amp;hsCtaTracking=6fedf137-fd90-4f17-bfb4-d61f710ec7f8%7Cf2771843-6636-4969-9010-2d8d0389b89c</t>
  </si>
  <si>
    <t>1672@internoringenieros.es</t>
  </si>
  <si>
    <t>https://resources.simonelectric.com/simon-catalogo-vehiculo-electrico?utm_campaign=SIC%20-%20Veh%C3%ADculo%20El%C3%A9ctrico&amp;utm_medium=email&amp;_hsenc=p2ANqtz--4d-zN1wFyIKOrgmp7wH_PN4GazKdlgKXkzUxFIh8-Tc4ICm8cIoV7dte4_SysXCcDMtKdWDdXWiLz-0jbHQSptZz0Ocy6-bAx6a-37AQgGmJ596c&amp;utm_source=hs_email&amp;utm_content=87085363&amp;hsCtaTracking=6fedf137-fd90-4f17-bfb4-d61f710ec7f8%7Cf2771843-6636-4969-9010-2d8d0389b89c</t>
  </si>
  <si>
    <t>1673@gailmafra.com</t>
  </si>
  <si>
    <t>https://resources.simonelectric.com/simon-catalogo-vehiculo-electrico?utm_campaign=SIC%20-%20Veh%C3%ADculo%20El%C3%A9ctrico&amp;utm_medium=email&amp;_hsenc=p2ANqtz--0YyHB01tdrPkQkSm4UdFVOzHoWMR1y1mRl_7k--1BAvFn8_cZ4uoFWx4A02oWFV6XmYiY&amp;_hsmi=87085363&amp;utm_content=87085363&amp;utm_source=hs_email&amp;hsCtaTracking=6fedf137-fd90-4f17-bfb4-d61f710ec7f8%7Cf2771843-6636-4969-9010-2d8d0389b89c</t>
  </si>
  <si>
    <t>1674@gmail.com</t>
  </si>
  <si>
    <t>https://resources.simonelectric.com/simon-catalogo-vehiculo-electrico?utm_campaign=SIC%20-%20Veh%C3%ADculo%20El%C3%A9ctrico&amp;utm_medium=email&amp;_hsenc=p2ANqtz--Qx-5xIU-FnCx4k5D6PH-Y8itks62iTgHkXW_h6laGJK5HC6RmW2kX69QD_5a4RxdNUDof&amp;_hsmi=87085302&amp;utm_content=87085302&amp;utm_source=hs_email&amp;hsCtaTracking=6fedf137-fd90-4f17-bfb4-d61f710ec7f8%7Cf2771843-6636-4969-9010-2d8d0389b89c</t>
  </si>
  <si>
    <t>1675@exinor.com</t>
  </si>
  <si>
    <t>https://resources.simonelectric.com/simon-catalogo-vehiculo-electrico?utm_campaign=SIC%20-%20Veh%C3%ADculo%20El%C3%A9ctrico&amp;utm_medium=email&amp;_hsenc=p2ANqtz-_xaRChdtvGcdabQmU5NjEU9tJZElqKqVw-NlUYwMqMITaEuxzaMqx0J7ce2Q-Y8wyRoz85&amp;_hsmi=87085363&amp;utm_content=87085363&amp;utm_source=hs_email&amp;hsCtaTracking=6fedf137-fd90-4f17-bfb4-d61f710ec7f8%7Cf2771843-6636-4969-9010-2d8d0389b89c</t>
  </si>
  <si>
    <t>1676@unex.net</t>
  </si>
  <si>
    <t>https://resources.simonelectric.com/simon-catalogo-vehiculo-electrico?utm_campaign=SIC%20-%20Veh%C3%ADculo%20El%C3%A9ctrico&amp;utm_medium=email&amp;_hsenc=p2ANqtz--4Jec6OosDn-xooDnb_oC19dSwxv21WAZPy0GO6TlzzsxbK9MhgrofauuZguUZSTOLk4jS&amp;_hsmi=87085363&amp;utm_content=87085363&amp;utm_source=hs_email&amp;hsCtaTracking=6fedf137-fd90-4f17-bfb4-d61f710ec7f8%7Cf2771843-6636-4969-9010-2d8d0389b89c</t>
  </si>
  <si>
    <t>1677@simon.es</t>
  </si>
  <si>
    <t>https://resources.simonelectric.com/simon-catalogo-vehiculo-electrico?utm_campaign=SIC%20-%20Veh%C3%ADculo%20El%C3%A9ctrico&amp;utm_medium=email&amp;_hsenc=p2ANqtz--q1RPAdKZROT1nGx1Xu5UxDxXw1rOLMxTcWHGtK39CkELIqpQxkdZBoE7HFNCH1kQS9kTL&amp;_hsmi=87085363&amp;utm_content=87085363&amp;utm_source=hs_email&amp;hsCtaTracking=6fedf137-fd90-4f17-bfb4-d61f710ec7f8%7Cf2771843-6636-4969-9010-2d8d0389b89c</t>
  </si>
  <si>
    <t>1678@simon.es</t>
  </si>
  <si>
    <t>https://resources.simonelectric.com/simon-catalogo-vehiculo-electrico?utm_campaign=SIC%20-%20Veh%C3%ADculo%20El%C3%A9ctrico&amp;utm_medium=email&amp;_hsenc=p2ANqtz-_WuBJhvTDSPfQTl9f3Suy7W7NTymERR9o2tZPFBZFRd78NbBl30f13a_7NjVeX17tFJDYg&amp;_hsmi=87085363&amp;utm_content=87085363&amp;utm_source=hs_email&amp;hsCtaTracking=6fedf137-fd90-4f17-bfb4-d61f710ec7f8%7Cf2771843-6636-4969-9010-2d8d0389b89c</t>
  </si>
  <si>
    <t>1679@levantinadecuadros.com</t>
  </si>
  <si>
    <t>https://resources.simonelectric.com/simon-catalogo-vehiculo-electrico?utm_campaign=SIC%20-%20Veh%C3%ADculo%20El%C3%A9ctrico&amp;utm_medium=email&amp;_hsenc=p2ANqtz-92QB0SPOk_7w9RVFB-Ktj3A1m5ENfzI8xta3SWOMfiIcnHdFpgvo9lsezscDTpFeb5ZIRJ&amp;_hsmi=87085363&amp;utm_content=87085363&amp;utm_source=hs_email&amp;hsCtaTracking=6fedf137-fd90-4f17-bfb4-d61f710ec7f8%7Cf2771843-6636-4969-9010-2d8d0389b89c</t>
  </si>
  <si>
    <t>1680@trelec.es</t>
  </si>
  <si>
    <t>https://resources.simonelectric.com/simon-catalogo-vehiculo-electrico?utm_campaign=SIC%20-%20Veh%C3%ADculo%20El%C3%A9ctrico&amp;utm_medium=email&amp;_hsenc=p2ANqtz-8aIXhV8Z3fTKTbZRD5QbxW8V3ALwu-tun6pvhd-DBs9u7aYX2O1yut6ouofZ6CZ1fmIAv9&amp;_hsmi=87085302&amp;utm_content=87085302&amp;utm_source=hs_email&amp;hsCtaTracking=6fedf137-fd90-4f17-bfb4-d61f710ec7f8%7Cf2771843-6636-4969-9010-2d8d0389b89c</t>
  </si>
  <si>
    <t>1681@gmail.com</t>
  </si>
  <si>
    <t>https://resources.simonelectric.com/simon-catalogo-vehiculo-electrico?utm_campaign=SIC%20-%20Veh%C3%ADculo%20El%C3%A9ctrico&amp;utm_medium=email&amp;_hsenc=p2ANqtz--jcheYiMtAN2UUmUesmBEbl_qGpNsmKffsK8sD0NxBq2VZ5EgE-_Mm0bh_ltSYM0SPiyIf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</si>
  <si>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cLGUTu1y9Z86cdFCvksIIzxcP2MbPVe3ti5PfPi2LgdW-mJNqULNINmopaKjNhT-ww5n-&amp;_hsmi=87085302&amp;utm_content=87085302&amp;utm_source=hs_email&amp;hsCtaTracking=6fedf137-fd90-4f17-bfb4-d61f710ec7f8%7Cf2771843-6636-4969-9010-2d8d0389b89c</t>
  </si>
  <si>
    <t>1682@hotmail.es</t>
  </si>
  <si>
    <t>https://resources.simonelectric.com/simon-catalogo-vehiculo-electrico?utm_campaign=SIC%20-%20Veh%C3%ADculo%20El%C3%A9ctrico&amp;utm_medium=email&amp;_hsenc=p2ANqtz-9YC_l0u0MN4I49JM-gy28LbAiBN1o_BXvROJUju6zMoBDOeBo8Vxf0Yx8IIbLUlZtO9d1B&amp;_hsmi=87085363&amp;utm_content=87085363&amp;utm_source=hs_email&amp;hsCtaTracking=6fedf137-fd90-4f17-bfb4-d61f710ec7f8%7Cf2771843-6636-4969-9010-2d8d0389b89c</t>
  </si>
  <si>
    <t>1683@eleccom.es</t>
  </si>
  <si>
    <t>https://resources.simonelectric.com/simon-catalogo-vehiculo-electrico?utm_campaign=SIC%20-%20Veh%C3%ADculo%20El%C3%A9ctrico&amp;utm_medium=email&amp;_hsenc=p2ANqtz-_ZoABrpqcb6qxiiRfr2-q0lmGuffQKRIw0-EqQN8dneUZtvTDTetWt1Y8aK06KDG8l1QqV&amp;_hsmi=87085363&amp;utm_content=87085363&amp;utm_source=hs_email&amp;hsCtaTracking=6fedf137-fd90-4f17-bfb4-d61f710ec7f8%7Cf2771843-6636-4969-9010-2d8d0389b89c</t>
  </si>
  <si>
    <t>1684@climalec.com</t>
  </si>
  <si>
    <t>https://resources.simonelectric.com/simon-catalogo-vehiculo-electrico?utm_campaign=SIC%20-%20Veh%C3%ADculo%20El%C3%A9ctrico&amp;utm_medium=email&amp;_hsenc=p2ANqtz-_7Aj0jpd8Rl9cybzU53qCneCrjANbV7sgdi9tGA9jf0DxuDg8ZMkLrnqh9nzSmDHcKOJuc&amp;_hsmi=87085363&amp;utm_content=87085363&amp;utm_source=hs_email&amp;hsCtaTracking=6fedf137-fd90-4f17-bfb4-d61f710ec7f8%7Cf2771843-6636-4969-9010-2d8d0389b89c</t>
  </si>
  <si>
    <t>1685@zuaznabar.com</t>
  </si>
  <si>
    <t>https://resources.simonelectric.com/simon-catalogo-vehiculo-electrico?utm_campaign=SIC%20-%20Veh%C3%ADculo%20El%C3%A9ctrico&amp;utm_medium=email&amp;_hsenc=p2ANqtz--J4GSF2JYucNHoSWryG4hM54hTKjHcBTG5Bg84XfYiZ9w6x-Q7Im3Pm2dD64NXxSSg6dKM&amp;_hsmi=87085302&amp;utm_content=87085302&amp;utm_source=hs_email&amp;hsCtaTracking=6fedf137-fd90-4f17-bfb4-d61f710ec7f8%7Cf2771843-6636-4969-9010-2d8d0389b89c</t>
  </si>
  <si>
    <t>1686@yahoo.com</t>
  </si>
  <si>
    <t>https://resources.simonelectric.com/simon-catalogo-vehiculo-electrico?utm_campaign=SIC%20-%20Veh%C3%ADculo%20El%C3%A9ctrico&amp;utm_medium=email&amp;_hsenc=p2ANqtz--gXK1QMHtm3o2z5eExU4irpe1X44rjNK5VaROszVgllw_rOkfPUBRfsIIbtrjWPPbljyFP&amp;_hsmi=87085363&amp;utm_content=87085363&amp;utm_source=hs_email&amp;hsCtaTracking=6fedf137-fd90-4f17-bfb4-d61f710ec7f8%7Cf2771843-6636-4969-9010-2d8d0389b89c</t>
  </si>
  <si>
    <t>1687@gestilar.com</t>
  </si>
  <si>
    <t>https://resources.simonelectric.com/simon-catalogo-vehiculo-electrico?utm_campaign=SIC%20-%20Veh%C3%ADculo%20El%C3%A9ctrico&amp;utm_medium=email&amp;_hsenc=p2ANqtz-_uO7Jn00bH_QLzOGKKXEWXROGfmSAMJlAXGgf2AN-2sCizwaf95N_mFGQDjnL51ZvaBHEI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</si>
  <si>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mi=87085363&amp;_hsenc=p2ANqtz--0TmAkCWrhvX_Tbwvm6nLy_5NpuD3JZYx_Z2UsQVRauO6PpHbeIYHl8ref4i19tbKDzXFP&amp;utm_content=87085363&amp;utm_source=hs_email</t>
  </si>
  <si>
    <t>1688@muringenieros.es</t>
  </si>
  <si>
    <t>https://resources.simonelectric.com/simon-catalogo-vehiculo-electrico?utm_campaign=SIC%20-%20Veh%C3%ADculo%20El%C3%A9ctrico&amp;utm_medium=email&amp;_hsenc=p2ANqtz-8jKfGPoAlUTHhQeKDQOxmboMTA6Gn1LsHj2rxlOLIo6C3QfHQqWCuEoGwvY50_5d5xHh5p&amp;_hsmi=87085302&amp;utm_content=87085302&amp;utm_source=hs_email&amp;hsCtaTracking=6fedf137-fd90-4f17-bfb4-d61f710ec7f8%7Cf2771843-6636-4969-9010-2d8d0389b89c</t>
  </si>
  <si>
    <t>1689@jlgingenieria.com</t>
  </si>
  <si>
    <t>https://resources.simonelectric.com/simon-catalogo-vehiculo-electrico?utm_campaign=SIC%20-%20Veh%C3%ADculo%20El%C3%A9ctrico&amp;utm_medium=email&amp;_hsenc=p2ANqtz-_qtANROWM4gUrsoKPBq8Tc7ZjBwhjrrHiO86SmS7atwI1BV0bAUT50MC9KqRWvct1oBLaz&amp;_hsmi=87085302&amp;utm_content=87085302&amp;utm_source=hs_email&amp;hsCtaTracking=6fedf137-fd90-4f17-bfb4-d61f710ec7f8%7Cf2771843-6636-4969-9010-2d8d0389b89c</t>
  </si>
  <si>
    <t>1690@gruponovelec.com</t>
  </si>
  <si>
    <t>https://resources.simonelectric.com/simon-catalogo-vehiculo-electrico?utm_campaign=SIC%20-%20Veh%C3%ADculo%20El%C3%A9ctrico&amp;utm_medium=email&amp;_hsenc=p2ANqtz-81Ym5hhLgiqPBAC8-rZtVxF4sd5KDFVsNiU7svFFjddUbLkzyD-1dGY4OiU_rbU4NSPJQa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</si>
  <si>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mi=87085363&amp;_hsenc=p2ANqtz-_6fjP1Uo6m8gPsZVVosShQaMtBuUSuJaVVmI5I38UocJMH_nqo27KisM39z-hPx2H-K_l8&amp;utm_content=87085363&amp;utm_source=hs_email</t>
  </si>
  <si>
    <t>1691@hotmail.com</t>
  </si>
  <si>
    <t>https://resources.simonelectric.com/simon-catalogo-vehiculo-electrico?utm_campaign=SIC%20-%20Veh%C3%ADculo%20El%C3%A9ctrico&amp;utm_medium=email&amp;_hsenc=p2ANqtz--jCvACPQZLZv_Ue_HQJCmCCJqKoIlDXsRZgqpvNVcpVwl1NW-a2s8qrRf2cV9wJmWmYHZe&amp;_hsmi=87085363&amp;utm_content=87085363&amp;utm_source=hs_email&amp;hsCtaTracking=6fedf137-fd90-4f17-bfb4-d61f710ec7f8%7Cf2771843-6636-4969-9010-2d8d0389b89c</t>
  </si>
  <si>
    <t>1692@tecasol.net</t>
  </si>
  <si>
    <t>https://resources.simonelectric.com/simon-catalogo-vehiculo-electrico?utm_campaign=SIC%20-%20Veh%C3%ADculo%20El%C3%A9ctrico&amp;utm_medium=email&amp;_hsenc=p2ANqtz-_JkPtnk4y793p_VnkOe7BwyHKEz8iwectOqJDv4RxilKbiX03W4Jj01BNIjvFWrmxWj5oW&amp;_hsmi=87085363&amp;utm_content=87085363&amp;utm_source=hs_email&amp;hsCtaTracking=6fedf137-fd90-4f17-bfb4-d61f710ec7f8%7Cf2771843-6636-4969-9010-2d8d0389b89c</t>
  </si>
  <si>
    <t>1693@gmx.es</t>
  </si>
  <si>
    <t>https://resources.simonelectric.com/simon-catalogo-vehiculo-electrico?utm_campaign=SIC%20-%20Veh%C3%ADculo%20El%C3%A9ctrico&amp;utm_medium=email&amp;_hsenc=p2ANqtz-8wT5p0u5VCugERqTJI0Gcm1v2j5ce9EW_SwTneOijvmJCBTxPAjJbwiGclMLct1z5N0cnQ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</si>
  <si>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_-qeKC3tLqddPXKr_dYj2aRFpse6UIvHqDCd8LzfPh_qoTd78J4jvCwrBxEefy_ZFotZo&amp;_hsmi=87085302&amp;utm_content=87085302&amp;utm_source=hs_email&amp;hsCtaTracking=6fedf137-fd90-4f17-bfb4-d61f710ec7f8%7Cf2771843-6636-4969-9010-2d8d0389b89c</t>
  </si>
  <si>
    <t>1694@gmail.com</t>
  </si>
  <si>
    <t>https://resources.simonelectric.com/simon-catalogo-vehiculo-electrico?utm_campaign=SIC%20-%20Veh%C3%ADculo%20El%C3%A9ctrico&amp;utm_medium=email&amp;_hsenc=p2ANqtz-_3e4j3xwdDhcE4svZnvOouhPHfTwDaJNxJaBxELb4qiQirUb8FmVZ6e77Uzc46WAu8JxPl&amp;_hsmi=87085363&amp;utm_content=87085363&amp;utm_source=hs_email&amp;hsCtaTracking=6fedf137-fd90-4f17-bfb4-d61f710ec7f8%7Cf2771843-6636-4969-9010-2d8d0389b89c</t>
  </si>
  <si>
    <t>1695@gruponortica.com</t>
  </si>
  <si>
    <t>https://resources.simonelectric.com/simon-catalogo-vehiculo-electrico?utm_campaign=SIC%20-%20Veh%C3%ADculo%20El%C3%A9ctrico&amp;utm_medium=email&amp;_hsmi=87085363&amp;_hsenc=p2ANqtz-_f_YLgNbr_44lUAm_HdaUJN5I07SF2L6HheOLcDwFJZfc02s3EVFSEFN0YAPrVKrfFcpEF&amp;utm_content=87085363&amp;utm_source=hs_email</t>
  </si>
  <si>
    <t>1696@gmail.com</t>
  </si>
  <si>
    <t>https://resources.simonelectric.com/simon-catalogo-vehiculo-electrico?utm_campaign=SIC%20-%20Veh%C3%ADculo%20El%C3%A9ctrico&amp;utm_medium=email&amp;_hsenc=p2ANqtz-8nCc6TsRGOpEQd_Y5KTGYG6Dr32fNACHIkpHpYORhReTTlR98JKkN7O6AQdsMAxCKfcrTJ&amp;_hsmi=87085363&amp;utm_content=87085363&amp;utm_source=hs_email&amp;hsCtaTracking=6fedf137-fd90-4f17-bfb4-d61f710ec7f8%7Cf2771843-6636-4969-9010-2d8d0389b89c</t>
  </si>
  <si>
    <t>1697@yahoo.es</t>
  </si>
  <si>
    <t>https://resources.simonelectric.com/simon-catalogo-vehiculo-electrico?utm_campaign=SIC%20-%20Veh%C3%ADculo%20El%C3%A9ctrico&amp;utm_medium=email&amp;_hsenc=p2ANqtz--yYiDzsI5aJnHoxTTe68zZeJirLCD4RXTiVE8NCbByllmQRz5ymqxL_cdQU2A2SslLgFEE&amp;_hsmi=87085363&amp;utm_content=87085363&amp;utm_source=hs_email&amp;hsCtaTracking=6fedf137-fd90-4f17-bfb4-d61f710ec7f8%7Cf2771843-6636-4969-9010-2d8d0389b89c</t>
  </si>
  <si>
    <t>1698@jgi.es</t>
  </si>
  <si>
    <t>https://resources.simonelectric.com/simon-catalogo-vehiculo-electrico?utm_campaign=SIC%20-%20Veh%C3%ADculo%20El%C3%A9ctrico&amp;utm_medium=email&amp;_hsenc=p2ANqtz-8WBpLz9wdfRUE515ZLTWaQoREXHfTMzjHVoR8uk221CpOWFpjd6_pWqMM5xmwqKBzBC0K3&amp;_hsmi=87085363&amp;utm_content=87085363&amp;utm_source=hs_email&amp;hsCtaTracking=6fedf137-fd90-4f17-bfb4-d61f710ec7f8%7Cf2771843-6636-4969-9010-2d8d0389b89c</t>
  </si>
  <si>
    <t>1699@panchofernandez.com</t>
  </si>
  <si>
    <t>https://resources.simonelectric.com/simon-catalogo-vehiculo-electrico?utm_campaign=SIC%20-%20Veh%C3%ADculo%20El%C3%A9ctrico&amp;utm_medium=email&amp;_hsmi=87085302&amp;_hsenc=p2ANqtz-9PpkLehm5H80Ux8N0VMjEC87IU0tgy4_hiphPYggTuM8p1mhrwXL12zSXv1Su3Acfo2fGK&amp;utm_content=87085302&amp;utm_source=hs_email</t>
  </si>
  <si>
    <t>1700@padrao.com.pt</t>
  </si>
  <si>
    <t>https://resources.simonelectric.com/simon-catalogo-vehiculo-electrico?utm_campaign=SIC%20-%20Veh%C3%ADculo%20El%C3%A9ctrico&amp;utm_medium=email&amp;_hsenc=p2ANqtz-9dIBkSJrpKKrWXoRNgP33UEE_Wl730Lkwinuc4QbrG1A7wbk8nIhFfGjTQeZCHdRChJ7WN&amp;_hsmi=87085363&amp;utm_content=87085363&amp;utm_source=hs_email&amp;hsCtaTracking=6fedf137-fd90-4f17-bfb4-d61f710ec7f8%7Cf2771843-6636-4969-9010-2d8d0389b89c</t>
  </si>
  <si>
    <t>1701@insmarbella.com</t>
  </si>
  <si>
    <t>https://resources.simonelectric.com/simon-catalogo-vehiculo-electrico?utm_campaign=SIC%20-%20Veh%C3%ADculo%20El%C3%A9ctrico&amp;utm_medium=email&amp;_hsmi=87085302&amp;_hsenc=p2ANqtz-8gmeWz1QQHSZq4S7nY41vTq6T2Xu5NtCmi6gP7Igm-EIceWQgs2W25nKoK42sL1Q3VrSxr&amp;utm_content=87085302&amp;utm_source=hs_email</t>
  </si>
  <si>
    <t>1702@gestion-energetica.eu</t>
  </si>
  <si>
    <t>https://resources.simonelectric.com/simon-catalogo-vehiculo-electrico?utm_campaign=SIC%20-%20Veh%C3%ADculo%20El%C3%A9ctrico&amp;utm_medium=email&amp;_hsenc=p2ANqtz-9Yw1ZDHSWgdL3nUW9gBaBFRP-FiSW2wLzwV_7je35sT3WiarmqpPwnPyo94a0mSgSb0Dpx&amp;_hsmi=87085363&amp;utm_content=87085363&amp;utm_source=hs_email&amp;hsCtaTracking=6fedf137-fd90-4f17-bfb4-d61f710ec7f8%7Cf2771843-6636-4969-9010-2d8d0389b89c</t>
  </si>
  <si>
    <t>1703@laelectrica.com</t>
  </si>
  <si>
    <t>https://resources.simonelectric.com/simon-catalogo-vehiculo-electrico?utm_campaign=SIC%20-%20Veh%C3%ADculo%20El%C3%A9ctrico&amp;utm_medium=email&amp;_hsenc=p2ANqtz-94BrxDdQ05ehyOffNTEFsHJJBfU0Y_JeuLL37rR0ZALZ8XmZXpEj6h8R-hx59wYicjss9F&amp;_hsmi=87085363&amp;utm_content=87085363&amp;utm_source=hs_email&amp;hsCtaTracking=6fedf137-fd90-4f17-bfb4-d61f710ec7f8%7Cf2771843-6636-4969-9010-2d8d0389b89c</t>
  </si>
  <si>
    <t>1704@hotmail.com</t>
  </si>
  <si>
    <t>https://resources.simonelectric.com/simon-catalogo-vehiculo-electrico?utm_campaign=SIC%20-%20Veh%C3%ADculo%20El%C3%A9ctrico&amp;utm_medium=email&amp;_hsenc=p2ANqtz--Oda4gZ9bFm7Ec3JKLpydUogrNnI8DUNjAOkAXWo7oD3O6xN9-u5e-ZBTLUEYdwdouIX6X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</si>
  <si>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X4s26_5b3I8EzuAJzg95MWSq1O09QVUwGgOolDVGocbc9Krsptb61E-azyVVjOE4IP-03&amp;_hsmi=87085363&amp;utm_content=87085363&amp;utm_source=hs_email&amp;hsCtaTracking=6fedf137-fd90-4f17-bfb4-d61f710ec7f8%7Cf2771843-6636-4969-9010-2d8d0389b89c</t>
  </si>
  <si>
    <t>1705@sanehogar.com</t>
  </si>
  <si>
    <t>https://resources.simonelectric.com/simon-catalogo-vehiculo-electrico?utm_campaign=SIC%20-%20Veh%C3%ADculo%20El%C3%A9ctrico&amp;utm_medium=email&amp;_hsenc=p2ANqtz-8Q42jfStIU7R1_6NBhDahU1HgOY9QckAqUJgYgPiJnaJ0cY09BK-rtFwuATPFCRb6hOaAs&amp;_hsmi=87085363&amp;utm_content=87085363&amp;utm_source=hs_email&amp;hsCtaTracking=6fedf137-fd90-4f17-bfb4-d61f710ec7f8%7Cf2771843-6636-4969-9010-2d8d0389b89c</t>
  </si>
  <si>
    <t>1706@otp.cat</t>
  </si>
  <si>
    <t>https://resources.simonelectric.com/simon-catalogo-vehiculo-electrico?utm_campaign=SIC%20-%20Veh%C3%ADculo%20El%C3%A9ctrico&amp;utm_medium=email&amp;_hsenc=p2ANqtz-94oT8aZdrNwvrgvcfxSaZrP_KaCsvmDEfkKlvK8TD54y_Cd0IuySHlkeRWiSiQXTBo0GnF&amp;_hsmi=87085363&amp;utm_content=87085363&amp;utm_source=hs_email&amp;hsCtaTracking=6fedf137-fd90-4f17-bfb4-d61f710ec7f8%7Cf2771843-6636-4969-9010-2d8d0389b89c</t>
  </si>
  <si>
    <t>1707@lledosa.es</t>
  </si>
  <si>
    <t>https://resources.simonelectric.com/simon-catalogo-vehiculo-electrico?utm_campaign=SIC%20-%20Veh%C3%ADculo%20El%C3%A9ctrico&amp;utm_medium=email&amp;_hsenc=p2ANqtz-8nFLzkC31-kv6rT7rnVwJHBpZnsN8sf6-qiJgUcLLgYLeFI0O-RXU6lgi2ZyD-2ikbR8g0&amp;_hsmi=87085363&amp;utm_content=87085363&amp;utm_source=hs_email&amp;hsCtaTracking=6fedf137-fd90-4f17-bfb4-d61f710ec7f8%7Cf2771843-6636-4969-9010-2d8d0389b89c</t>
  </si>
  <si>
    <t>1708@gmail.com</t>
  </si>
  <si>
    <t>https://resources.simonelectric.com/simon-catalogo-vehiculo-electrico?utm_campaign=SIC%20-%20Veh%C3%ADculo%20El%C3%A9ctrico&amp;utm_medium=email&amp;_hsenc=p2ANqtz--JK1NtdpknHSLNTlBkbQXEtaF__W6mpHJqL5vS6ymtNPxpxzsDMVME8v2xEFH1m6Dc4B4c&amp;_hsmi=87085363&amp;utm_content=87085363&amp;utm_source=hs_email&amp;hsCtaTracking=6fedf137-fd90-4f17-bfb4-d61f710ec7f8%7Cf2771843-6636-4969-9010-2d8d0389b89c</t>
  </si>
  <si>
    <t>1709@serium.es</t>
  </si>
  <si>
    <t>https://resources.simonelectric.com/simon-catalogo-vehiculo-electrico?utm_campaign=SIC%20-%20Veh%C3%ADculo%20El%C3%A9ctrico&amp;utm_medium=email&amp;_hsenc=p2ANqtz-8lWVk1NRj1K3EMidtsW_yifQnY1iZHIa3xUDEGijN2Psn6s1Yc1rce1_gRJvXKsC92vbr0&amp;_hsmi=87085363&amp;utm_content=87085363&amp;utm_source=hs_email&amp;hsCtaTracking=6fedf137-fd90-4f17-bfb4-d61f710ec7f8%7Cf2771843-6636-4969-9010-2d8d0389b89c</t>
  </si>
  <si>
    <t>1710@gmail.com</t>
  </si>
  <si>
    <t>https://resources.simonelectric.com/simon-catalogo-vehiculo-electrico?utm_campaign=SIC%20-%20Veh%C3%ADculo%20El%C3%A9ctrico&amp;utm_medium=email&amp;_hsenc=p2ANqtz-8ApYqAdRu26x27EHERs4JERcq7M5-Yitf0ECxzOnXdA9aawpsCz6HTeISLU4pXGPCAvkd1&amp;_hsmi=87085302&amp;utm_content=87085302&amp;utm_source=hs_email&amp;hsCtaTracking=6fedf137-fd90-4f17-bfb4-d61f710ec7f8%7Cf2771843-6636-4969-9010-2d8d0389b89c</t>
  </si>
  <si>
    <t>1711@simon.es</t>
  </si>
  <si>
    <t>https://resources.simonelectric.com/simon-catalogo-vehiculo-electrico?utm_campaign=SIC%20-%20Veh%C3%ADculo%20El%C3%A9ctrico&amp;utm_medium=email&amp;_hsenc=p2ANqtz-92oOJWrWEAIYyRKQG8PWqlv7MDzcGefrFJFI7dldXFAR-aBNxiRjfiGTnUyJqY54WDM5wY&amp;_hsmi=87085363&amp;utm_content=87085363&amp;utm_source=hs_email&amp;hsCtaTracking=6fedf137-fd90-4f17-bfb4-d61f710ec7f8%7Cf2771843-6636-4969-9010-2d8d0389b89c</t>
  </si>
  <si>
    <t>1712@gmail.com</t>
  </si>
  <si>
    <t>https://resources.simonelectric.com/simon-catalogo-vehiculo-electrico?utm_campaign=SIC%20-%20Veh%C3%ADculo%20El%C3%A9ctrico&amp;utm_medium=email&amp;_hsenc=p2ANqtz-8jy3MB_GBgPmlG41e2RfCmM2WkU9txXTUaBat-GgRrN00Lem0zY6oiYTzqj6iDLV_C0-cc&amp;_hsmi=87085363&amp;utm_content=87085363&amp;utm_source=hs_email&amp;hsCtaTracking=6fedf137-fd90-4f17-bfb4-d61f710ec7f8%7Cf2771843-6636-4969-9010-2d8d0389b89c</t>
  </si>
  <si>
    <t>1713@gmail.com</t>
  </si>
  <si>
    <t>https://resources.simonelectric.com/simon-catalogo-vehiculo-electrico?utm_campaign=SIC%20-%20Veh%C3%ADculo%20El%C3%A9ctrico&amp;utm_medium=email&amp;_hsmi=87085363&amp;_hsenc=p2ANqtz--6W9GnVCUL1Uc1qruj17wC3VPEO4CyY2nUbqal5Hb_bLqzefI7uSMpDwvQn3dmlJ8V_rLn&amp;utm_content=87085363&amp;utm_source=hs_email</t>
  </si>
  <si>
    <t>1714@cirima.es</t>
  </si>
  <si>
    <t>https://resources.simonelectric.com/simon-catalogo-vehiculo-electrico?utm_campaign=SIC%20-%20Veh%C3%ADculo%20El%C3%A9ctrico&amp;utm_medium=email&amp;_hsenc=p2ANqtz--R4_Zc4sdFNpZnhz5QofkJOd5rRiy7DsaiVoaAcY76SAgiu19ieM_Cn6xoPknJB64kfBVb&amp;_hsmi=87085302&amp;utm_content=87085302&amp;utm_source=hs_email&amp;hsCtaTracking=6fedf137-fd90-4f17-bfb4-d61f710ec7f8%7Cf2771843-6636-4969-9010-2d8d0389b89c</t>
  </si>
  <si>
    <t>1715@upv.es</t>
  </si>
  <si>
    <t>https://resources.simonelectric.com/simon-catalogo-vehiculo-electrico?utm_campaign=SIC%20-%20Veh%C3%ADculo%20El%C3%A9ctrico&amp;utm_medium=email&amp;_hsenc=p2ANqtz-_kFSsIeaj5OvvuDshJebqpE0t5AruxDX2b4ZS5bp9MKyW_UqB5_iJB5oiHiI3x36Nu_cFQ&amp;_hsmi=87085363&amp;utm_content=87085363&amp;utm_source=hs_email&amp;hsCtaTracking=6fedf137-fd90-4f17-bfb4-d61f710ec7f8%7Cf2771843-6636-4969-9010-2d8d0389b89c</t>
  </si>
  <si>
    <t>1716@fuengiroluz.es</t>
  </si>
  <si>
    <t>https://resources.simonelectric.com/simon-catalogo-vehiculo-electrico?utm_campaign=SIC%20-%20Veh%C3%ADculo%20El%C3%A9ctrico&amp;utm_medium=email&amp;_hsenc=p2ANqtz-_edH9gFZH_sJUiVwtQJoTOEw6yZKHc6r3y1MJOyOMfl56Penx__Knn2yJIBW5N1GexEQP2&amp;_hsmi=87085302&amp;utm_content=87085302&amp;utm_source=hs_email&amp;hsCtaTracking=6fedf137-fd90-4f17-bfb4-d61f710ec7f8%7Cf2771843-6636-4969-9010-2d8d0389b89c</t>
  </si>
  <si>
    <t>1717@soelvi.es</t>
  </si>
  <si>
    <t>https://resources.simonelectric.com/simon-catalogo-vehiculo-electrico?utm_campaign=SIC%20-%20Veh%C3%ADculo%20El%C3%A9ctrico&amp;utm_medium=email&amp;_hsenc=p2ANqtz-9IkWwWya1C4cdUJtvaaLKYGd3npKDNWCdjPFUhOd-hZq3U_t2O3EMv--mkqBRKhhuJ5RYa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</si>
  <si>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tPc5qhlDGPhiAcvdppwV4NONJVxDfECU3vxCyDcmOj_JGbwyxtOec20ZXkwAaob_guP8_&amp;_hsmi=87085363&amp;utm_content=87085363&amp;utm_source=hs_email&amp;hsCtaTracking=6fedf137-fd90-4f17-bfb4-d61f710ec7f8%7Cf2771843-6636-4969-9010-2d8d0389b89c</t>
  </si>
  <si>
    <t>1718@yupcharge.com</t>
  </si>
  <si>
    <t>https://resources.simonelectric.com/simon-catalogo-vehiculo-electrico?utm_campaign=SIC%20-%20Veh%C3%ADculo%20El%C3%A9ctrico&amp;utm_medium=email&amp;_hsenc=p2ANqtz--hzjMUguMoTfqmkm2syecRTobr8neJVuk5Bzg8geqnBe-vU0y7K4RWzXoz4avEjqhsRtAa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</si>
  <si>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E1e6satDlH6NwII5neYEKMf1VRFT0P4zEus_kdIKkKf2oPDPus7pghGcrTqP_Po0bX8GY&amp;_hsmi=87085363&amp;utm_content=87085363&amp;utm_source=hs_email&amp;hsCtaTracking=6fedf137-fd90-4f17-bfb4-d61f710ec7f8%7Cf2771843-6636-4969-9010-2d8d0389b89c</t>
  </si>
  <si>
    <t>1719@simon.pt</t>
  </si>
  <si>
    <t>https://resources.simonelectric.com/simon-catalogo-vehiculo-electrico?utm_campaign=SIC%20-%20Veh%C3%ADculo%20El%C3%A9ctrico&amp;utm_medium=email&amp;_hsenc=p2ANqtz-9LuTRLSr9XxC-URUVyTK75oM7hymhc6fURGCEqs3gr6eSG_l4jOz9N-TvWQudisX_M6zaY&amp;_hsmi=87085363&amp;utm_content=87085363&amp;utm_source=hs_email&amp;hsCtaTracking=6fedf137-fd90-4f17-bfb4-d61f710ec7f8%7Cf2771843-6636-4969-9010-2d8d0389b89c</t>
  </si>
  <si>
    <t>1720@yahoo.es</t>
  </si>
  <si>
    <t>https://resources.simonelectric.com/simon-catalogo-vehiculo-electrico?utm_campaign=SIC%20-%20Veh%C3%ADculo%20El%C3%A9ctrico&amp;utm_medium=email&amp;_hsenc=p2ANqtz-8C_6HHauyDJYIK3SaJJDVzXkwkbripmQPqJTyrsIOpxE5-TWAxGo0O9nWlsI9NG5maR5Aj&amp;_hsmi=87085363&amp;utm_content=87085363&amp;utm_source=hs_email&amp;hsCtaTracking=6fedf137-fd90-4f17-bfb4-d61f710ec7f8%7Cf2771843-6636-4969-9010-2d8d0389b89c</t>
  </si>
  <si>
    <t>1721@mafonsa.cat</t>
  </si>
  <si>
    <t>https://resources.simonelectric.com/simon-catalogo-vehiculo-electrico?utm_campaign=SIC%20-%20Veh%C3%ADculo%20El%C3%A9ctrico&amp;utm_medium=email&amp;_hsenc=p2ANqtz-8yiUslYirvLwyJd5UYtpTS6irVoGti4SSvEb4ZYOZSiFT2C9UjArvfse4A48_LkJGPN6bR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</si>
  <si>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A_RaPi0msoTH7qCo8fKHWdAFoedUPmzvcsG8_1qpJQC-j9j6UGpDBe2fLAlrcZO8i0rlL&amp;_hsmi=87085363&amp;utm_content=87085363&amp;utm_source=hs_email&amp;hsCtaTracking=6fedf137-fd90-4f17-bfb4-d61f710ec7f8%7Cf2771843-6636-4969-9010-2d8d0389b89c</t>
  </si>
  <si>
    <t>1722@folgarona.com</t>
  </si>
  <si>
    <t>https://resources.simonelectric.com/simon-catalogo-vehiculo-electrico?utm_campaign=SIC%20-%20Veh%C3%ADculo%20El%C3%A9ctrico&amp;utm_medium=email&amp;_hsenc=p2ANqtz-_jsJKkubFoWVeDZEh5inmgu9GIARrvPkbiOxYQhf5NUW1E_YIQDB63L-nhGbbd4BBjDEDv&amp;_hsmi=87085302&amp;utm_content=87085302&amp;utm_source=hs_email&amp;hsCtaTracking=6fedf137-fd90-4f17-bfb4-d61f710ec7f8%7Cf2771843-6636-4969-9010-2d8d0389b89c</t>
  </si>
  <si>
    <t>1723@gmail.com</t>
  </si>
  <si>
    <t>https://resources.simonelectric.com/simon-catalogo-vehiculo-electrico?utm_campaign=SIC%20-%20Veh%C3%ADculo%20El%C3%A9ctrico&amp;utm_medium=email&amp;_hsenc=p2ANqtz--zCwAcvrJg9rp69pCRqqGZSFMELulXUgXD0NH5ZQxI4AOFYwbyq1-iiLx1mtehVcJs3Hcr&amp;_hsmi=87085302&amp;utm_content=87085302&amp;utm_source=hs_email&amp;hsCtaTracking=6fedf137-fd90-4f17-bfb4-d61f710ec7f8%7Cf2771843-6636-4969-9010-2d8d0389b89c</t>
  </si>
  <si>
    <t>1724@arbonapiza.com</t>
  </si>
  <si>
    <t>https://resources.simonelectric.com/simon-catalogo-vehiculo-electrico?utm_campaign=SIC%20-%20Veh%C3%ADculo%20El%C3%A9ctrico&amp;utm_medium=email&amp;_hsenc=p2ANqtz--qgNgyZAv1mSMYiSWFyN7JpEY9EPUhviTcMtKfDk3wWzNRDO9aXy3haul0YlQs621bJtmQ&amp;_hsmi=87085363&amp;utm_content=87085363&amp;utm_source=hs_email&amp;hsCtaTracking=6fedf137-fd90-4f17-bfb4-d61f710ec7f8%7Cf2771843-6636-4969-9010-2d8d0389b89c</t>
  </si>
  <si>
    <t>1725@coelbe.com</t>
  </si>
  <si>
    <t>https://resources.simonelectric.com/simon-catalogo-vehiculo-electrico?utm_campaign=SIC%20-%20Veh%C3%ADculo%20El%C3%A9ctrico&amp;utm_medium=email&amp;_hsmi=87085302&amp;_hsenc=p2ANqtz--2A11xD0gJRjYdRxAv4YSmM5M7nn6oeXOHUSiPC4Rk_a_nBmj-LHDz04FDXBk0QDscGJHC&amp;utm_content=87085302&amp;utm_source=hs_email</t>
  </si>
  <si>
    <t>1726@quadrifoli.com</t>
  </si>
  <si>
    <t>https://resources.simonelectric.com/simon-catalogo-vehiculo-electrico?utm_campaign=SIC%20-%20Veh%C3%ADculo%20El%C3%A9ctrico&amp;utm_medium=email&amp;_hsenc=p2ANqtz--Jj0a_MRfUEVkcvNe0xSwv25QzXxtYh4l2Rh3aNWlLaGNeDQH6ry6uahyf789sLWdRIL21&amp;_hsmi=87085363&amp;utm_content=87085363&amp;utm_source=hs_email&amp;hsCtaTracking=6fedf137-fd90-4f17-bfb4-d61f710ec7f8%7Cf2771843-6636-4969-9010-2d8d0389b89c</t>
  </si>
  <si>
    <t>1727@grupojab.es</t>
  </si>
  <si>
    <t>https://resources.simonelectric.com/simon-catalogo-vehiculo-electrico?utm_campaign=SIC%20-%20Veh%C3%ADculo%20El%C3%A9ctrico&amp;utm_medium=email&amp;_hsenc=p2ANqtz-8lt_dwbonEGNgnWjVGIHljyV0cMYc98B0WLfsbpWDZhpitr8nGofBg8U0uW0AyLVKo3Zih&amp;_hsmi=87085363&amp;utm_content=87085363&amp;utm_source=hs_email&amp;hsCtaTracking=6fedf137-fd90-4f17-bfb4-d61f710ec7f8%7Cf2771843-6636-4969-9010-2d8d0389b89c</t>
  </si>
  <si>
    <t>1728@gmail.com</t>
  </si>
  <si>
    <t>https://resources.simonelectric.com/simon-catalogo-vehiculo-electrico?utm_campaign=SIC%20-%20Veh%C3%ADculo%20El%C3%A9ctrico&amp;utm_medium=email&amp;_hsmi=87085302&amp;_hsenc=p2ANqtz-9TMSMsPCFafQb1Yoo4uxW3GCo7rt6dClzw1jOIIPN84Oa0hXL4U4WuE3qeMlywXc7NX5dj&amp;utm_content=87085302&amp;utm_source=hs_email</t>
  </si>
  <si>
    <t>1729@gmail.com</t>
  </si>
  <si>
    <t>https://resources.simonelectric.com/simon-catalogo-vehiculo-electrico?utm_campaign=SIC%20-%20Veh%C3%ADculo%20El%C3%A9ctrico&amp;utm_medium=email&amp;_hsenc=p2ANqtz-92Ea1yOPUjrCesYVGZdQCumtsFokxnbwp_urNXWxBG0Vl7WY6cmgDat555bHVTaWb5dKQG&amp;_hsmi=87085363&amp;utm_content=87085363&amp;utm_source=hs_email&amp;hsCtaTracking=6fedf137-fd90-4f17-bfb4-d61f710ec7f8%7Cf2771843-6636-4969-9010-2d8d0389b89c</t>
  </si>
  <si>
    <t>1730@armeriaeskola.eus</t>
  </si>
  <si>
    <t>https://resources.simonelectric.com/simon-catalogo-vehiculo-electrico?utm_campaign=SIC%20-%20Veh%C3%ADculo%20El%C3%A9ctrico&amp;utm_medium=email&amp;_hsenc=p2ANqtz-8OZK4x2B6s9HuT22gc1P5dEz0F-ak0WyVmU4ZfhyItTMeJafMUHD-x22sNYGS_9tLMFXXq&amp;_hsmi=87085363&amp;utm_content=87085363&amp;utm_source=hs_email&amp;hsCtaTracking=6fedf137-fd90-4f17-bfb4-d61f710ec7f8%7Cf2771843-6636-4969-9010-2d8d0389b89c</t>
  </si>
  <si>
    <t>1731@inserty.net</t>
  </si>
  <si>
    <t>https://resources.simonelectric.com/simon-catalogo-vehiculo-electrico?utm_campaign=SIC%20-%20Veh%C3%ADculo%20El%C3%A9ctrico&amp;utm_medium=email&amp;_hsenc=p2ANqtz-9FWOcRDJQqR7aGISnEHEie6Iinal28lNqAQVkaq5jkNhvBezqz3WRCrEpS3x5q9VkO_xEE&amp;_hsmi=87085363&amp;utm_content=87085363&amp;utm_source=hs_email&amp;hsCtaTracking=6fedf137-fd90-4f17-bfb4-d61f710ec7f8%7Cf2771843-6636-4969-9010-2d8d0389b89c</t>
  </si>
  <si>
    <t>1732@gmail.com</t>
  </si>
  <si>
    <t>https://resources.simonelectric.com/simon-catalogo-vehiculo-electrico?utm_campaign=SIC%20-%20Veh%C3%ADculo%20El%C3%A9ctrico&amp;utm_medium=email&amp;_hsenc=p2ANqtz-_lyyZlsC8GMwj_HIHHcw2U0B4WI-5KOen-V3Soca1_gPXrNp8QKtOXXRfUsMG0P2giYjkd&amp;_hsmi=87085302&amp;utm_content=87085302&amp;utm_source=hs_email&amp;hsCtaTracking=6fedf137-fd90-4f17-bfb4-d61f710ec7f8%7Cf2771843-6636-4969-9010-2d8d0389b89c</t>
  </si>
  <si>
    <t>1733@ecm-partners.com</t>
  </si>
  <si>
    <t>https://resources.simonelectric.com/simon-catalogo-vehiculo-electrico?utm_campaign=SIC%20-%20Veh%C3%ADculo%20El%C3%A9ctrico&amp;utm_medium=email&amp;_hsenc=p2ANqtz-8rdzkcuLcm6ctKEZIfKnBcz-vTJTsabMtAWhi5_IQ3_t6bGXBSEUk3o1hEKMmT_a-CJCp3&amp;_hsmi=87085363&amp;utm_content=87085363&amp;utm_source=hs_email&amp;hsCtaTracking=6fedf137-fd90-4f17-bfb4-d61f710ec7f8%7Cf2771843-6636-4969-9010-2d8d0389b89c</t>
  </si>
  <si>
    <t>1734@ofintex.com</t>
  </si>
  <si>
    <t>https://resources.simonelectric.com/simon-catalogo-vehiculo-electrico?utm_campaign=SIC%20-%20Veh%C3%ADculo%20El%C3%A9ctrico&amp;utm_medium=email&amp;_hsenc=p2ANqtz-_yrPilczuFa2tITU4twgYaSG_uW-yqLKGSnRwmySndJ8JHI8Uj3l6fQszPfmZPgpXrefWw&amp;_hsmi=87085363&amp;utm_content=87085363&amp;utm_source=hs_email&amp;hsCtaTracking=6fedf137-fd90-4f17-bfb4-d61f710ec7f8%7Cf2771843-6636-4969-9010-2d8d0389b89c</t>
  </si>
  <si>
    <t>1735@gruponovelec.com</t>
  </si>
  <si>
    <t>https://resources.simonelectric.com/simon-catalogo-vehiculo-electrico?utm_campaign=SIC%20-%20Veh%C3%ADculo%20El%C3%A9ctrico&amp;utm_medium=email&amp;_hsenc=p2ANqtz-8CZCGFTLxpGVGzzH1cBijhC28j6JwD0OJu_MVUrpFxuWRTLSEuSE64r-7DRCgOwTqBXdbo&amp;_hsmi=87085363&amp;utm_content=87085363&amp;utm_source=hs_email&amp;hsCtaTracking=6fedf137-fd90-4f17-bfb4-d61f710ec7f8%7Cf2771843-6636-4969-9010-2d8d0389b89c</t>
  </si>
  <si>
    <t>1736@electrovizcaya.com</t>
  </si>
  <si>
    <t>https://resources.simonelectric.com/simon-catalogo-vehiculo-electrico?utm_campaign=SIC%20-%20Veh%C3%ADculo%20El%C3%A9ctrico&amp;utm_medium=email&amp;_hsmi=87085363&amp;_hsenc=p2ANqtz-8qcDIIC7HhlhToybxOHuW8ttLsMsyuColvjr8jaMAZ0wbQsfl_xzij9DMJj2fdmhkaPPtf&amp;utm_content=87085363&amp;utm_source=hs_email</t>
  </si>
  <si>
    <t>1737@salesianos.edu</t>
  </si>
  <si>
    <t>https://resources.simonelectric.com/simon-catalogo-vehiculo-electrico?utm_campaign=SIC%20-%20Veh%C3%ADculo%20El%C3%A9ctrico&amp;utm_medium=email&amp;_hsenc=p2ANqtz-8pZohlBaKrYPeODOZbgk1Rh7YnXUApFFrarwBmYYtgerdKNW8B_wDvO4U6ot2eMMEsiYAw&amp;_hsmi=87085363&amp;utm_content=87085363&amp;utm_source=hs_email&amp;hsCtaTracking=6fedf137-fd90-4f17-bfb4-d61f710ec7f8%7Cf2771843-6636-4969-9010-2d8d0389b89c</t>
  </si>
  <si>
    <t>1738@msn.com</t>
  </si>
  <si>
    <t>https://resources.simonelectric.com/simon-catalogo-vehiculo-electrico?utm_campaign=SIC%20-%20Veh%C3%ADculo%20El%C3%A9ctrico&amp;utm_medium=email&amp;_hsenc=p2ANqtz-8sMbpzo1Pbuy4COLTB62xbv8V_MDY4s1RE_53sAJOlLSSIFx04k0JJz4ZmnVRDjDt0CB2D&amp;_hsmi=87085363&amp;utm_content=87085363&amp;utm_source=hs_email&amp;hsCtaTracking=6fedf137-fd90-4f17-bfb4-d61f710ec7f8%7Cf2771843-6636-4969-9010-2d8d0389b89c</t>
  </si>
  <si>
    <t>1739@jh-internacional.com</t>
  </si>
  <si>
    <t>https://resources.simonelectric.com/simon-catalogo-vehiculo-electrico?utm_campaign=SIC%20-%20Veh%C3%ADculo%20El%C3%A9ctrico&amp;utm_medium=email&amp;_hsenc=p2ANqtz--W7Syc6LgVqiemRN4szxDiuqhoa7kc3Wl4MhLnYWVo9zLTYE6MNnA2g2DnkoCvmX8wy-W2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</si>
  <si>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3OFmw0UW0hdafstEJwQeKiQiN7SQh1fS0-zqqB5pjjEdsJfuv33gVH4LR2Dt1ZvQt4JI3&amp;_hsmi=87085302&amp;utm_content=87085302&amp;utm_source=hs_email&amp;hsCtaTracking=6fedf137-fd90-4f17-bfb4-d61f710ec7f8%7Cf2771843-6636-4969-9010-2d8d0389b89c</t>
  </si>
  <si>
    <t>1740@doica.net</t>
  </si>
  <si>
    <t>https://resources.simonelectric.com/simon-catalogo-vehiculo-electrico?utm_campaign=SIC%20-%20Veh%C3%ADculo%20El%C3%A9ctrico&amp;utm_medium=email&amp;_hsmi=87085363&amp;_hsenc=p2ANqtz--CXKyW5p97CiAf3qLXgbLvWOaX48xfEzPCH24nsBxx1_LJO-iNCYq2jO4YgnEI3ta-Tkww&amp;utm_content=87085363&amp;utm_source=hs_email</t>
  </si>
  <si>
    <t>1741@grupoelectrostocks.com</t>
  </si>
  <si>
    <t>https://resources.simonelectric.com/simon-catalogo-vehiculo-electrico?utm_campaign=SIC%20-%20Veh%C3%ADculo%20El%C3%A9ctrico&amp;utm_medium=email&amp;_hsenc=p2ANqtz-9R7J0oWeJkWx6mogeSb1239TGZbRoHPva-Oiw1xwWO0TI_aKxlV6Jj-Gqtp49A4q0J0uz0&amp;_hsmi=87085363&amp;utm_content=87085363&amp;utm_source=hs_email&amp;hsCtaTracking=6fedf137-fd90-4f17-bfb4-d61f710ec7f8%7Cf2771843-6636-4969-9010-2d8d0389b89c</t>
  </si>
  <si>
    <t>1742@industrialgines.com</t>
  </si>
  <si>
    <t>https://resources.simonelectric.com/simon-catalogo-vehiculo-electrico?utm_campaign=SIC%20-%20Veh%C3%ADculo%20El%C3%A9ctrico&amp;utm_medium=email&amp;_hsenc=p2ANqtz-85sp3Wr_oIsBQBLVoSnXMEIP4ib_195MvGEHp98O_ZE3IKBCU4kEnK37Sm0reIhUUY1Z4J&amp;_hsmi=87085363&amp;utm_content=87085363&amp;utm_source=hs_email&amp;hsCtaTracking=6fedf137-fd90-4f17-bfb4-d61f710ec7f8%7Cf2771843-6636-4969-9010-2d8d0389b89c</t>
  </si>
  <si>
    <t>1743@ceymo.es</t>
  </si>
  <si>
    <t>https://resources.simonelectric.com/simon-catalogo-vehiculo-electrico?utm_campaign=SIC%20-%20Veh%C3%ADculo%20El%C3%A9ctrico&amp;utm_medium=email&amp;_hsenc=p2ANqtz-_OazTHN2VWSCCHAfpxOw5Iw2cQJc1VhBI1-t2g8D7IeXqpx9l2VzrZHnvHQHSGJTlHf15O&amp;_hsmi=87085363&amp;utm_content=87085363&amp;utm_source=hs_email&amp;hsCtaTracking=6fedf137-fd90-4f17-bfb4-d61f710ec7f8%7Cf2771843-6636-4969-9010-2d8d0389b89c</t>
  </si>
  <si>
    <t>1744@gmail.com</t>
  </si>
  <si>
    <t>https://resources.simonelectric.com/simon-catalogo-vehiculo-electrico?utm_campaign=SIC%20-%20Veh%C3%ADculo%20El%C3%A9ctrico&amp;utm_medium=email&amp;_hsenc=p2ANqtz-9G2YTE_CqjWYKpP8dtwdIDafAbmP4WIyna-UsWL9Gl0CIfoyiKoso83TKA1rvU26o4v4bB&amp;_hsmi=87085363&amp;utm_content=87085363&amp;utm_source=hs_email&amp;hsCtaTracking=6fedf137-fd90-4f17-bfb4-d61f710ec7f8%7Cf2771843-6636-4969-9010-2d8d0389b89c</t>
  </si>
  <si>
    <t>1745@bod.es</t>
  </si>
  <si>
    <t>https://resources.simonelectric.com/simon-catalogo-vehiculo-electrico?utm_campaign=SIC%20-%20Veh%C3%ADculo%20El%C3%A9ctrico&amp;utm_medium=email&amp;_hsenc=p2ANqtz-8N84JS-udB-tnAJKiOYI1mIhkE_LOQchq9PHDzzwVkKxNdiupks13rBLCK-Km9uFK50DVn&amp;_hsmi=87085363&amp;utm_content=87085363&amp;utm_source=hs_email&amp;hsCtaTracking=6fedf137-fd90-4f17-bfb4-d61f710ec7f8%7Cf2771843-6636-4969-9010-2d8d0389b89c</t>
  </si>
  <si>
    <t>1746@hotmail.es</t>
  </si>
  <si>
    <t>https://resources.simonelectric.com/simon-catalogo-vehiculo-electrico?utm_campaign=SIC%20-%20Veh%C3%ADculo%20El%C3%A9ctrico&amp;utm_medium=email&amp;_hsenc=p2ANqtz--rIUdD6NA_IrUEJ-tjiaFDFckyym8zNLOR1NS8Zt_bCLNqvVFjpRU8SlkvuAhq5UVZ-U30&amp;_hsmi=87085363&amp;utm_content=87085363&amp;utm_source=hs_email&amp;hsCtaTracking=6fedf137-fd90-4f17-bfb4-d61f710ec7f8%7Cf2771843-6636-4969-9010-2d8d0389b89c</t>
  </si>
  <si>
    <t>1747@araiz.es</t>
  </si>
  <si>
    <t>https://resources.simonelectric.com/simon-catalogo-vehiculo-electrico?utm_campaign=SIC%20-%20Veh%C3%ADculo%20El%C3%A9ctrico&amp;utm_medium=email&amp;_hsenc=p2ANqtz-8iN40T0xzRXxQWWTk9poysItridAFdeBDI7_QCgmU9xmEYEl_oVx0YrbenH21FzPX7cTaH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</si>
  <si>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mi=87085363&amp;_hsenc=p2ANqtz-85KK--Ei7ZCDPeAv6lpiQ88XgTvGT2sa5sUHF9WOJ3KjOiToS2GezBHEz9kw7da94b44TE&amp;utm_content=87085363&amp;utm_source=hs_email</t>
  </si>
  <si>
    <t>1748@salesianosatocha.es</t>
  </si>
  <si>
    <t>https://resources.simonelectric.com/simon-catalogo-vehiculo-electrico?utm_campaign=SIC%20-%20Veh%C3%ADculo%20El%C3%A9ctrico&amp;utm_medium=email&amp;_hsenc=p2ANqtz--u422MLsRZyEB7L4xk5hlicQU6TLZ8BlWI34Zfc89Rwe7T74kk7prXofSoieGjX9d4KGJY&amp;_hsmi=87085363&amp;utm_content=87085363&amp;utm_source=hs_email&amp;hsCtaTracking=6fedf137-fd90-4f17-bfb4-d61f710ec7f8%7Cf2771843-6636-4969-9010-2d8d0389b89c</t>
  </si>
  <si>
    <t>1749@simon.es</t>
  </si>
  <si>
    <t>https://resources.simonelectric.com/simon-catalogo-vehiculo-electrico?utm_campaign=SIC%20-%20Veh%C3%ADculo%20El%C3%A9ctrico&amp;utm_medium=email&amp;_hsenc=p2ANqtz--bGrRuBf-jCwYfWaVCkHX4kTJWGYqWTDsKx77bVAOvSAPurE_L7f0w2os4NzPSj_lgO1L8&amp;_hsmi=87085363&amp;utm_content=87085363&amp;utm_source=hs_email&amp;hsCtaTracking=6fedf137-fd90-4f17-bfb4-d61f710ec7f8%7Cf2771843-6636-4969-9010-2d8d0389b89c</t>
  </si>
  <si>
    <t>1750@itecnal.com</t>
  </si>
  <si>
    <t>https://resources.simonelectric.com/simon-catalogo-vehiculo-electrico?utm_campaign=SIC%20-%20Veh%C3%ADculo%20El%C3%A9ctrico&amp;utm_medium=email&amp;_hsenc=p2ANqtz-_eMxCghlnrIiaQL45QglfiTsyQdco3kqr8FgnGptvK_ag64yP84_hTtwWxl_rXgdzRY48o2D6gc4WsgnjkDr_uujHjWQ&amp;utm_source=hs_email&amp;utm_content=87085302&amp;hsCtaTracking=6fedf137-fd90-4f17-bfb4-d61f710ec7f8%7Cf2771843-6636-4969-9010-2d8d0389b89c</t>
  </si>
  <si>
    <t>1751@altener.es</t>
  </si>
  <si>
    <t>https://resources.simonelectric.com/simon-catalogo-vehiculo-electrico?utm_campaign=SIC%20-%20Veh%C3%ADculo%20El%C3%A9ctrico&amp;utm_medium=email&amp;_hsenc=p2ANqtz--xafH6diU-2Ruvh5Nh8sePe3BSgh_DkduWEv1K9fHuLwMb1exxaSoC_vMi4lCf9B30KQVo&amp;_hsmi=87085363&amp;utm_content=87085363&amp;utm_source=hs_email&amp;hsCtaTracking=6fedf137-fd90-4f17-bfb4-d61f710ec7f8%7Cf2771843-6636-4969-9010-2d8d0389b89c</t>
  </si>
  <si>
    <t>1752@intec3.es</t>
  </si>
  <si>
    <t>https://resources.simonelectric.com/simon-catalogo-vehiculo-electrico?utm_campaign=SIC%20-%20Veh%C3%ADculo%20El%C3%A9ctrico&amp;utm_medium=email&amp;_hsenc=p2ANqtz--8aBT1Lc9rOMZLCggIDgRLK3mc4kkC9TRR5x_gtGGJ7FQODtggaCnvML-60xABS0PZ17dY&amp;_hsmi=87085363&amp;utm_content=87085363&amp;utm_source=hs_email&amp;hsCtaTracking=6fedf137-fd90-4f17-bfb4-d61f710ec7f8%7Cf2771843-6636-4969-9010-2d8d0389b89c</t>
  </si>
  <si>
    <t>1753@arcadis.com</t>
  </si>
  <si>
    <t>https://resources.simonelectric.com/simon-catalogo-vehiculo-electrico?utm_campaign=SIC%20-%20Veh%C3%ADculo%20El%C3%A9ctrico&amp;utm_medium=email&amp;_hsenc=p2ANqtz-_Bm9-xR5MJs5UV3lGME4CnN7XDEhkP9LvFSrajix98Lw_PTitdungX_zd56NF-qFbONP64&amp;_hsmi=87085363&amp;utm_content=87085363&amp;utm_source=hs_email&amp;hsCtaTracking=6fedf137-fd90-4f17-bfb4-d61f710ec7f8%7Cf2771843-6636-4969-9010-2d8d0389b89c</t>
  </si>
  <si>
    <t>1754@gabyl.com</t>
  </si>
  <si>
    <t>https://resources.simonelectric.com/simon-catalogo-vehiculo-electrico?utm_campaign=SIC%20-%20Veh%C3%ADculo%20El%C3%A9ctrico&amp;utm_medium=email&amp;_hsenc=p2ANqtz-8qm55fM09cU2rsYQ8alnsvLchC0MRdD4MJiivrCPSkyiychRDievSOFoCNeE7orJj7H4DI&amp;_hsmi=87085363&amp;utm_content=87085363&amp;utm_source=hs_email&amp;hsCtaTracking=6fedf137-fd90-4f17-bfb4-d61f710ec7f8%7Cf2771843-6636-4969-9010-2d8d0389b89c</t>
  </si>
  <si>
    <t>1755@pgiengineering.com</t>
  </si>
  <si>
    <t>https://resources.simonelectric.com/simon-catalogo-vehiculo-electrico?utm_campaign=SIC%20-%20Veh%C3%ADculo%20El%C3%A9ctrico&amp;utm_medium=email&amp;_hsenc=p2ANqtz-9unt3c2Qax8FEcw4JrpVehDhhY0TDzmBo4NYNEvQ-dNfTWtcD5cZd3YNkWEyTI0sqi-9bJ&amp;_hsmi=87085363&amp;utm_content=87085363&amp;utm_source=hs_email&amp;hsCtaTracking=6fedf137-fd90-4f17-bfb4-d61f710ec7f8%7Cf2771843-6636-4969-9010-2d8d0389b89c</t>
  </si>
  <si>
    <t>1756@gmail.com</t>
  </si>
  <si>
    <t>https://resources.simonelectric.com/simon-catalogo-vehiculo-electrico?utm_campaign=SIC%20-%20Veh%C3%ADculo%20El%C3%A9ctrico&amp;utm_medium=email&amp;_hsenc=p2ANqtz--ad8mUb6TIWUe2LPm0u-MDYcDiqObo7TtZ_AhVg3SeBp_GasTy53pGYqxzLIu6gEfb5Bkd&amp;_hsmi=87085302&amp;utm_content=87085302&amp;utm_source=hs_email&amp;hsCtaTracking=6fedf137-fd90-4f17-bfb4-d61f710ec7f8%7Cf2771843-6636-4969-9010-2d8d0389b89c</t>
  </si>
  <si>
    <t>1757@indair-genercasadevall.cat</t>
  </si>
  <si>
    <t>https://resources.simonelectric.com/simon-catalogo-vehiculo-electrico?utm_campaign=SIC%20-%20Veh%C3%ADculo%20El%C3%A9ctrico&amp;utm_medium=email&amp;_hsenc=p2ANqtz-9GShb9AO92GT1gMSqeOI3SGtj_gZ5hskJy9V6BqQBaCEKjw6dRgSGob29IvXcRFEdzKk9X&amp;_hsmi=87085363&amp;utm_content=87085363&amp;utm_source=hs_email&amp;hsCtaTracking=6fedf137-fd90-4f17-bfb4-d61f710ec7f8%7Cf2771843-6636-4969-9010-2d8d0389b89c</t>
  </si>
  <si>
    <t>1758@gmail.com</t>
  </si>
  <si>
    <t>https://resources.simonelectric.com/simon-catalogo-vehiculo-electrico?utm_campaign=SIC%20-%20Veh%C3%ADculo%20El%C3%A9ctrico&amp;utm_medium=email&amp;_hsenc=p2ANqtz-8EmuxFIcRBHjZJjz65TOKqhqzRilkD-xWjFb2xOB6nQtX5IsKeT4QPVBSmtRihHcXvMF5T&amp;_hsmi=87085363&amp;utm_content=87085363&amp;utm_source=hs_email&amp;hsCtaTracking=6fedf137-fd90-4f17-bfb4-d61f710ec7f8%7Cf2771843-6636-4969-9010-2d8d0389b89c</t>
  </si>
  <si>
    <t>1759@galektra.es</t>
  </si>
  <si>
    <t>https://resources.simonelectric.com/simon-catalogo-vehiculo-electrico?utm_campaign=SIC%20-%20Veh%C3%ADculo%20El%C3%A9ctrico&amp;utm_medium=email&amp;_hsmi=87085363&amp;_hsenc=p2ANqtz-_odF2nzE983zgCxdbNouLYdbsAWpM_06pHtBRNMxPDKzvRKnBkSvWK4xYaput83IqUIZk1&amp;utm_content=87085363&amp;utm_source=hs_email</t>
  </si>
  <si>
    <t>1760@xtec.cat</t>
  </si>
  <si>
    <t>https://resources.simonelectric.com/simon-catalogo-vehiculo-electrico?utm_campaign=SIC%20-%20Veh%C3%ADculo%20El%C3%A9ctrico&amp;utm_medium=email&amp;_hsenc=p2ANqtz-__BGVxkEhVaLw335S5H62PZuR55JtofHdDYucXgLi4faxDOjQ_aie_BlV6nhvJgcKHrWOJ&amp;_hsmi=87085363&amp;utm_content=87085363&amp;utm_source=hs_email&amp;hsCtaTracking=6fedf137-fd90-4f17-bfb4-d61f710ec7f8%7Cf2771843-6636-4969-9010-2d8d0389b89c</t>
  </si>
  <si>
    <t>1761@spiritingenieria.es</t>
  </si>
  <si>
    <t>https://resources.simonelectric.com/simon-catalogo-vehiculo-electrico?utm_campaign=SIC%20-%20Veh%C3%ADculo%20El%C3%A9ctrico&amp;utm_medium=email&amp;_hsenc=p2ANqtz-_LNqqLt3_6kr_7y-65i_qvUGhdyxKTJwFeRYjn9bs5MdAAvw6iqFcteKf79ea7PIReSwFN&amp;_hsmi=87085363&amp;utm_content=87085363&amp;utm_source=hs_email&amp;hsCtaTracking=6fedf137-fd90-4f17-bfb4-d61f710ec7f8%7Cf2771843-6636-4969-9010-2d8d0389b89c</t>
  </si>
  <si>
    <t>1762@adqa.com</t>
  </si>
  <si>
    <t>https://resources.simonelectric.com/simon-catalogo-vehiculo-electrico?utm_campaign=SIC%20-%20Veh%C3%ADculo%20El%C3%A9ctrico&amp;utm_medium=email&amp;_hsenc=p2ANqtz-85L022d6V2CJPTWkTsVE6IwVcn2ZiElE23wbZVBYy3ioTKucU_TSmlKhyp9T8FUD8H4jzm&amp;_hsmi=87085363&amp;utm_content=87085363&amp;utm_source=hs_email&amp;hsCtaTracking=6fedf137-fd90-4f17-bfb4-d61f710ec7f8%7Cf2771843-6636-4969-9010-2d8d0389b89c</t>
  </si>
  <si>
    <t>1763@coacordoba.net</t>
  </si>
  <si>
    <t>https://resources.simonelectric.com/simon-catalogo-vehiculo-electrico?utm_campaign=SIC%20-%20Veh%C3%ADculo%20El%C3%A9ctrico&amp;utm_medium=email&amp;_hsenc=p2ANqtz-8VayCNbYkBXocyOkT8FFSP0mxMXzDYnjzxGQ5ck0GlDYkO5ZRvI3sI2jDlO9p46K0PVWmX&amp;_hsmi=87085363&amp;utm_content=87085363&amp;utm_source=hs_email&amp;hsCtaTracking=6fedf137-fd90-4f17-bfb4-d61f710ec7f8%7Cf2771843-6636-4969-9010-2d8d0389b89c</t>
  </si>
  <si>
    <t>1764@gmail.com</t>
  </si>
  <si>
    <t>https://resources.simonelectric.com/simon-catalogo-vehiculo-electrico?utm_campaign=SIC%20-%20Veh%C3%ADculo%20El%C3%A9ctrico&amp;utm_medium=email&amp;_hsenc=p2ANqtz-836aTTL1WuidNhwx5Jzx18QxoLYLcBOsjl8PlxpoglXxKeItSrwRfYdEFS3izct4mvTX3T&amp;_hsmi=87085302&amp;utm_content=87085302&amp;utm_source=hs_email&amp;hsCtaTracking=6fedf137-fd90-4f17-bfb4-d61f710ec7f8%7Cf2771843-6636-4969-9010-2d8d0389b89c</t>
  </si>
  <si>
    <t>1765@instalplus.es</t>
  </si>
  <si>
    <t>https://resources.simonelectric.com/simon-catalogo-vehiculo-electrico?utm_campaign=SIC%20-%20Veh%C3%ADculo%20El%C3%A9ctrico&amp;utm_medium=email&amp;_hsenc=p2ANqtz-8zsu8r00aezbQlb5DRi4CClQBboBrIqca-QhLKOw-1b7kacq_u_blV5KNJ1DkvlVg8mS0w&amp;_hsmi=87085363&amp;utm_content=87085363&amp;utm_source=hs_email&amp;hsCtaTracking=6fedf137-fd90-4f17-bfb4-d61f710ec7f8%7Cf2771843-6636-4969-9010-2d8d0389b89c</t>
  </si>
  <si>
    <t>1766@gmail.com</t>
  </si>
  <si>
    <t>https://resources.simonelectric.com/simon-catalogo-vehiculo-electrico?utm_campaign=SIC%20-%20Veh%C3%ADculo%20El%C3%A9ctrico&amp;utm_medium=email&amp;_hsenc=p2ANqtz--A7kOm953cwHlQIP9dvZ8PKS-xxogt09s06x7Wai2YUqhKn9Rbv_jQJgcV_kEKQEgRGLot&amp;_hsmi=87085302&amp;utm_content=87085302&amp;utm_source=hs_email&amp;hsCtaTracking=6fedf137-fd90-4f17-bfb4-d61f710ec7f8%7Cf2771843-6636-4969-9010-2d8d0389b89c</t>
  </si>
  <si>
    <t>1767@gmail.com</t>
  </si>
  <si>
    <t>https://resources.simonelectric.com/simon-catalogo-vehiculo-electrico?utm_campaign=SIC%20-%20Veh%C3%ADculo%20El%C3%A9ctrico&amp;utm_medium=email&amp;_hsenc=p2ANqtz-9aXIRY0-wRqyIh7I3sAYKIQy6vexJQbfEuq4sVBIKY8arwsNQicJHK45bSjltprhH_k6Vo&amp;_hsmi=87085302&amp;utm_content=87085302&amp;utm_source=hs_email&amp;hsCtaTracking=6fedf137-fd90-4f17-bfb4-d61f710ec7f8%7Cf2771843-6636-4969-9010-2d8d0389b89c</t>
  </si>
  <si>
    <t>1768@telefonica.net</t>
  </si>
  <si>
    <t>https://resources.simonelectric.com/simon-catalogo-vehiculo-electrico?utm_campaign=SIC%20-%20Veh%C3%ADculo%20El%C3%A9ctrico&amp;utm_medium=email&amp;_hsenc=p2ANqtz-8-vRdi1xGRmrIkqk1LwdBEJb6TjaZsStbq95K_o6rj1EOn6ZUnRpUz2KC3rY53dCxetQAN&amp;_hsmi=87085363&amp;utm_content=87085363&amp;utm_source=hs_email&amp;hsCtaTracking=6fedf137-fd90-4f17-bfb4-d61f710ec7f8%7Cf2771843-6636-4969-9010-2d8d0389b89c</t>
  </si>
  <si>
    <t>1769@gmail.com</t>
  </si>
  <si>
    <t>https://resources.simonelectric.com/simon-catalogo-vehiculo-electrico?utm_campaign=SIC%20-%20Veh%C3%ADculo%20El%C3%A9ctrico&amp;utm_medium=email&amp;_hsenc=p2ANqtz-9xLoOZbUj-wx9hOMB3GC4FLuOrY03EMiS25u4UhVJI8s6LcjOnlWRUhrRDeLCjgT0Ktrok&amp;_hsmi=87085363&amp;utm_content=87085363&amp;utm_source=hs_email&amp;hsCtaTracking=6fedf137-fd90-4f17-bfb4-d61f710ec7f8%7Cf2771843-6636-4969-9010-2d8d0389b89c</t>
  </si>
  <si>
    <t>1770@hotmail.es</t>
  </si>
  <si>
    <t>https://resources.simonelectric.com/simon-catalogo-vehiculo-electrico?utm_campaign=SIC%20-%20Veh%C3%ADculo%20El%C3%A9ctrico&amp;utm_medium=email&amp;_hsenc=p2ANqtz--DUl6wVDw514Q77yQcygQO3KBotyi9yZjiWnkMa3c3-gVSMDntVqHoY78n9-I1gH7LCEWn&amp;_hsmi=87085363&amp;utm_content=87085363&amp;utm_source=hs_email&amp;hsCtaTracking=6fedf137-fd90-4f17-bfb4-d61f710ec7f8%7Cf2771843-6636-4969-9010-2d8d0389b89c</t>
  </si>
  <si>
    <t>1771@gmail.com</t>
  </si>
  <si>
    <t>https://resources.simonelectric.com/simon-catalogo-vehiculo-electrico?utm_campaign=SIC%20-%20Veh%C3%ADculo%20El%C3%A9ctrico&amp;utm_medium=email&amp;_hsenc=p2ANqtz-_eNSqH4d5p3jbqpuoSe3p4zzrgwLuGb_dRln4K-zaEvnS7qMu-u1xlZVnFGR8yM2zEWBaO&amp;_hsmi=87085363&amp;utm_content=87085363&amp;utm_source=hs_email&amp;hsCtaTracking=6fedf137-fd90-4f17-bfb4-d61f710ec7f8%7Cf2771843-6636-4969-9010-2d8d0389b89c</t>
  </si>
  <si>
    <t>1772@cosmoseguridad.com</t>
  </si>
  <si>
    <t>https://resources.simonelectric.com/simon-catalogo-vehiculo-electrico?utm_campaign=SIC%20-%20Veh%C3%ADculo%20El%C3%A9ctrico&amp;utm_medium=email&amp;_hsenc=p2ANqtz-8bp0ttDGEteGmUL98vvX5_t0KNfYONPjlpewY1m14R7NhWnyFed3t8-RYqbwaxxYIpo60z&amp;_hsmi=87085302&amp;utm_content=87085302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</si>
  <si>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UCY0HQBzYcL5TG8GZRkhUxAephCYJNHEb2Bj59um7sY0b3WjQpv0QEFauut9qcGOPz--s&amp;_hsmi=87085302&amp;utm_content=87085302&amp;utm_source=hs_email&amp;hsCtaTracking=6fedf137-fd90-4f17-bfb4-d61f710ec7f8%7Cf2771843-6636-4969-9010-2d8d0389b89c</t>
  </si>
  <si>
    <t>1773@simon.es</t>
  </si>
  <si>
    <t>https://resources.simonelectric.com/simon-catalogo-vehiculo-electrico?utm_campaign=SIC%20-%20Veh%C3%ADculo%20El%C3%A9ctrico&amp;utm_medium=email&amp;_hsenc=p2ANqtz-_WwK_3GbrLpfvy9uEvoJoowXcYZqZ5SSuTJdVQ-1D8tcy9yWvdUdUud6QWduz3TK2zkkC-&amp;_hsmi=87085363&amp;utm_content=87085363&amp;utm_source=hs_email&amp;hsCtaTracking=6fedf137-fd90-4f17-bfb4-d61f710ec7f8%7Cf2771843-6636-4969-9010-2d8d0389b89c</t>
  </si>
  <si>
    <t>1774@soloviov.es</t>
  </si>
  <si>
    <t>https://resources.simonelectric.com/simon-catalogo-vehiculo-electrico?utm_campaign=SIC%20-%20Veh%C3%ADculo%20El%C3%A9ctrico&amp;utm_medium=email&amp;_hsenc=p2ANqtz--xun1qi3ALLihZrHYZzCyIeuha_NbeV98xFvRRjkWzL6hVxRwFxrKdie56skol9Xou_L1E&amp;_hsmi=87085363&amp;utm_content=87085363&amp;utm_source=hs_email&amp;hsCtaTracking=6fedf137-fd90-4f17-bfb4-d61f710ec7f8%7Cf2771843-6636-4969-9010-2d8d0389b89c</t>
  </si>
  <si>
    <t>1775@gmail.com</t>
  </si>
  <si>
    <t>https://resources.simonelectric.com/simon-catalogo-vehiculo-electrico?utm_campaign=SIC%20-%20Veh%C3%ADculo%20El%C3%A9ctrico&amp;utm_medium=email&amp;_hsmi=87085363&amp;_hsenc=p2ANqtz--yIjmmBi5upPbGWFxlUlwZe89CIKvdHegPzJ9LJOZZPSn5pijfaea_SIDk9Q6qX59bbhtX&amp;utm_content=87085363&amp;utm_source=hs_email</t>
  </si>
  <si>
    <t>1776@incat.cat</t>
  </si>
  <si>
    <t>https://resources.simonelectric.com/simon-catalogo-vehiculo-electrico?utm_campaign=SIC%20-%20Veh%C3%ADculo%20El%C3%A9ctrico&amp;utm_medium=email&amp;_hsenc=p2ANqtz-_wxlLiebXkbdW1bkHsWLthSUZPp3ydqsLD7ZxrBvRNk4GLJcXH1eX4bIo-w7zZ4MV7SFNdGQM3XJgyQxvx-s7BQWxODw&amp;_hsmi=87085363&amp;utm_source=hs_email&amp;utm_content=87085363&amp;hsCtaTracking=6fedf137-fd90-4f17-bfb4-d61f710ec7f8%7Cf2771843-6636-4969-9010-2d8d0389b89c</t>
  </si>
  <si>
    <t>1777@simon.pt</t>
  </si>
  <si>
    <t>https://resources.simonelectric.com/simon-catalogo-vehiculo-electrico?utm_campaign=SIC%20-%20Veh%C3%ADculo%20El%C3%A9ctrico&amp;utm_medium=email&amp;_hsenc=p2ANqtz-8d54dpuktZPbeTb6DLyT_uPiT12tBzGwoc1M4MTaIQOqNacoLqq3EPz5Nj8MgQVMwv6XP4&amp;_hsmi=87085363&amp;utm_content=87085363&amp;utm_source=hs_email&amp;hsCtaTracking=6fedf137-fd90-4f17-bfb4-d61f710ec7f8%7Cf2771843-6636-4969-9010-2d8d0389b89c</t>
  </si>
  <si>
    <t>1778@gmail.com</t>
  </si>
  <si>
    <t>https://resources.simonelectric.com/simon-catalogo-vehiculo-electrico?utm_campaign=SIC%20-%20Veh%C3%ADculo%20El%C3%A9ctrico&amp;utm_medium=email&amp;_hsenc=p2ANqtz--6U-GDOLETYEDr9DsJ0JhrJ53-4bjDrVOFhsNSwgxIeypuCl8WEttUUt4TkKRnNwOKif1h&amp;_hsmi=87085302&amp;utm_content=87085302&amp;utm_source=hs_email&amp;hsCtaTracking=6fedf137-fd90-4f17-bfb4-d61f710ec7f8%7Cf2771843-6636-4969-9010-2d8d0389b89c</t>
  </si>
  <si>
    <t>1779@barreu.com</t>
  </si>
  <si>
    <t>https://resources.simonelectric.com/simon-catalogo-vehiculo-electrico?utm_campaign=SIC%20-%20Veh%C3%ADculo%20El%C3%A9ctrico&amp;utm_medium=email&amp;_hsenc=p2ANqtz--Qs9Uc-IIXRIAJJNM5fLm8R29RF3xDgaBSJE6IVThSm18LosXLZzoVnE6jV-vrGZ8M6XFQ&amp;_hsmi=87085363&amp;utm_content=87085363&amp;utm_source=hs_email&amp;hsCtaTracking=6fedf137-fd90-4f17-bfb4-d61f710ec7f8%7Cf2771843-6636-4969-9010-2d8d0389b89c</t>
  </si>
  <si>
    <t>1780@metromadrid.es</t>
  </si>
  <si>
    <t>https://resources.simonelectric.com/simon-catalogo-vehiculo-electrico?utm_campaign=SIC%20-%20Veh%C3%ADculo%20El%C3%A9ctrico&amp;utm_medium=email&amp;_hsenc=p2ANqtz-_msCu2wcsTOa3RPRgPTrgVRtKnWPJ50EmiGjL6ZJgPNNJXSt34ad9V7-EIOdAF-P--GpUF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</si>
  <si>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mi=87085302&amp;_hsenc=p2ANqtz-8vl4RGefQWR18S2zdz7gwTRZHu4km2JawylCXm0OuBulNTE7cV_eEIPOFVJlgWW45ZxhVt&amp;utm_content=87085302&amp;utm_source=hs_email</t>
  </si>
  <si>
    <t>1781@autoradiomontijo.es</t>
  </si>
  <si>
    <t>https://resources.simonelectric.com/simon-catalogo-vehiculo-electrico?utm_campaign=SIC%20-%20Veh%C3%ADculo%20El%C3%A9ctrico&amp;utm_medium=email&amp;_hsenc=p2ANqtz-8K3hQOoRqZGibtfo8C55JenwnXCPiXtKQ_0bQ9cguhB6UVp7-j8rqXDSwMTMqbcI7M3aPi&amp;_hsmi=87085302&amp;utm_content=87085302&amp;utm_source=hs_email&amp;hsCtaTracking=6fedf137-fd90-4f17-bfb4-d61f710ec7f8%7Cf2771843-6636-4969-9010-2d8d0389b89c</t>
  </si>
  <si>
    <t>1782@simon.es</t>
  </si>
  <si>
    <t>https://resources.simonelectric.com/simon-catalogo-vehiculo-electrico?utm_campaign=SIC%20-%20Veh%C3%ADculo%20El%C3%A9ctrico&amp;utm_medium=email&amp;_hsmi=87085363&amp;_hsenc=p2ANqtz-9Y7IXgy8Vm8CRb2b39m0wHh7LHcJNu-K5PK965WUw06b89l7S0cR_kHN92yuZskwacUYut&amp;utm_content=87085363&amp;utm_source=hs_email</t>
  </si>
  <si>
    <t>1783@telefonica.net</t>
  </si>
  <si>
    <t>https://resources.simonelectric.com/simon-catalogo-vehiculo-electrico?utm_campaign=SIC%20-%20Veh%C3%ADculo%20El%C3%A9ctrico&amp;utm_medium=email&amp;_hsenc=p2ANqtz-8seT5oWIOkQxNc5LMG02REH8yCgCbzEHQfv6qe9DLxkP3Nqnx_w7A0znhc9NbAG_XPPQEs&amp;_hsmi=87085363&amp;utm_content=87085363&amp;utm_source=hs_email&amp;hsCtaTracking=6fedf137-fd90-4f17-bfb4-d61f710ec7f8%7Cf2771843-6636-4969-9010-2d8d0389b89c</t>
  </si>
  <si>
    <t>1784@coytesa.com</t>
  </si>
  <si>
    <t>https://resources.simonelectric.com/simon-catalogo-vehiculo-electrico?utm_campaign=SIC%20-%20Veh%C3%ADculo%20El%C3%A9ctrico&amp;utm_medium=email&amp;_hsenc=p2ANqtz-_cLf7MSLAZVLSqatIL3e5ofh2f4aNU2QUmxXbC5ep2gxZdNJrYmi7nOzERfRhCPZN6lsbe&amp;_hsmi=87085363&amp;utm_content=87085363&amp;utm_source=hs_email&amp;hsCtaTracking=6fedf137-fd90-4f17-bfb4-d61f710ec7f8%7Cf2771843-6636-4969-9010-2d8d0389b89c</t>
  </si>
  <si>
    <t>1785@arintec.com</t>
  </si>
  <si>
    <t>https://resources.simonelectric.com/simon-catalogo-vehiculo-electrico?utm_campaign=SIC%20-%20Veh%C3%ADculo%20El%C3%A9ctrico&amp;utm_medium=email&amp;_hsenc=p2ANqtz-8F9OOJjv77I5Bi7Btk7K0v0P6xKZ7ZBk4eMfHogDaREmaeqhB2NMA56WiUNet_TzCcp7u5&amp;_hsmi=87085363&amp;utm_content=87085363&amp;utm_source=hs_email&amp;hsCtaTracking=6fedf137-fd90-4f17-bfb4-d61f710ec7f8%7Cf2771843-6636-4969-9010-2d8d0389b89c</t>
  </si>
  <si>
    <t>1786@simon.es</t>
  </si>
  <si>
    <t>https://resources.simonelectric.com/simon-catalogo-vehiculo-electrico?utm_campaign=SIC%20-%20Veh%C3%ADculo%20El%C3%A9ctrico&amp;utm_medium=email&amp;_hsenc=p2ANqtz--YaM2-ba1Bixtlld22mFidzfnkuo3U5sB-fbt7eNV6WuQOIkVjeLLjF6rKFtgRLa3inL09&amp;_hsmi=87085363&amp;utm_content=87085363&amp;utm_source=hs_email&amp;hsCtaTracking=6fedf137-fd90-4f17-bfb4-d61f710ec7f8%7Cf2771843-6636-4969-9010-2d8d0389b89c</t>
  </si>
  <si>
    <t>1787@roigconstruccions.com</t>
  </si>
  <si>
    <t>https://resources.simonelectric.com/simon-catalogo-vehiculo-electrico?utm_campaign=SIC%20-%20Veh%C3%ADculo%20El%C3%A9ctrico&amp;utm_medium=email&amp;_hsenc=p2ANqtz-9wyT0kDRfk_St9WdEI9Rx8S39tpiDkFlgteDQfW0XmUad9YhbYdPTFJPanH8kHOVR1XzOu&amp;_hsmi=87085363&amp;utm_content=87085363&amp;utm_source=hs_email&amp;hsCtaTracking=6fedf137-fd90-4f17-bfb4-d61f710ec7f8%7Cf2771843-6636-4969-9010-2d8d0389b89c</t>
  </si>
  <si>
    <t>1788@hotmail.com</t>
  </si>
  <si>
    <t>https://resources.simonelectric.com/simon-catalogo-vehiculo-electrico?utm_campaign=SIC%20-%20Veh%C3%ADculo%20El%C3%A9ctrico&amp;utm_medium=email&amp;_hsenc=p2ANqtz-_jmkoSV0xvSF1QWkumhee_tSggkHnTsWeUoVKoC1IWZegevyv33gGe83nGI672zhHm588g&amp;_hsmi=87085302&amp;utm_content=87085302&amp;utm_source=hs_email&amp;hsCtaTracking=6fedf137-fd90-4f17-bfb4-d61f710ec7f8%7Cf2771843-6636-4969-9010-2d8d0389b89c</t>
  </si>
  <si>
    <t>1789@electromat.com</t>
  </si>
  <si>
    <t>https://resources.simonelectric.com/simon-catalogo-vehiculo-electrico?utm_campaign=SIC%20-%20Veh%C3%ADculo%20El%C3%A9ctrico&amp;utm_medium=email&amp;_hsenc=p2ANqtz--9jYYZhumz-0u1w8-xBPyYtUvx43k-Fyt0AvTFQPTf0RD8wIOoqszG_3ZfX6z9ts0hWNzf&amp;_hsmi=87085363&amp;utm_content=87085363&amp;utm_source=hs_email&amp;hsCtaTracking=6fedf137-fd90-4f17-bfb4-d61f710ec7f8%7Cf2771843-6636-4969-9010-2d8d0389b89c</t>
  </si>
  <si>
    <t>1790@electricarius.com</t>
  </si>
  <si>
    <t>https://resources.simonelectric.com/simon-catalogo-vehiculo-electrico?utm_campaign=SIC%20-%20Veh%C3%ADculo%20El%C3%A9ctrico&amp;utm_medium=email&amp;_hsenc=p2ANqtz--P2VvLVa1JImR380IBpKtP8cufQmVjUda4hcr10gfIopfViT579vYfxbDTkc0Jg-PxM1FK&amp;_hsmi=87085363&amp;utm_content=87085363&amp;utm_source=hs_email&amp;hsCtaTracking=6fedf137-fd90-4f17-bfb4-d61f710ec7f8%7Cf2771843-6636-4969-9010-2d8d0389b89c</t>
  </si>
  <si>
    <t>1791@gmail.com</t>
  </si>
  <si>
    <t>https://resources.simonelectric.com/simon-catalogo-vehiculo-electrico?utm_campaign=SIC%20-%20Veh%C3%ADculo%20El%C3%A9ctrico&amp;utm_medium=email&amp;_hsenc=p2ANqtz-8WyiR1f0fVB02tE7ZMGoScFlcOzTruX6HZHgyg0D5_7JMOX470FycAKk351OIezc5-Oamu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</si>
  <si>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MRXFrZH_Zi4OMuTDpy92DOC2z-bD6X_IxhQu4M0ZvN0y1iG9vDE1uUrunGNqLFj_9Goqw&amp;_hsmi=87085363&amp;utm_content=87085363&amp;utm_source=hs_email&amp;hsCtaTracking=6fedf137-fd90-4f17-bfb4-d61f710ec7f8%7Cf2771843-6636-4969-9010-2d8d0389b89c</t>
  </si>
  <si>
    <t>1792@incober.es</t>
  </si>
  <si>
    <t>https://resources.simonelectric.com/simon-catalogo-vehiculo-electrico?utm_campaign=SIC%20-%20Veh%C3%ADculo%20El%C3%A9ctrico&amp;utm_medium=email&amp;_hsenc=p2ANqtz-8AqUT13Fveh3Yp0M1jIJthEWs0_wX85FDDmDifm-pD86Rn8rZNHW8JDGEX2UkE-YZwWplq&amp;_hsmi=87085302&amp;utm_content=87085302&amp;utm_source=hs_email&amp;hsCtaTracking=6fedf137-fd90-4f17-bfb4-d61f710ec7f8%7Cf2771843-6636-4969-9010-2d8d0389b89c</t>
  </si>
  <si>
    <t>1793@gmail.com</t>
  </si>
  <si>
    <t>https://resources.simonelectric.com/simon-catalogo-vehiculo-electrico?utm_campaign=SIC%20-%20Veh%C3%ADculo%20El%C3%A9ctrico&amp;utm_medium=email&amp;_hsenc=p2ANqtz-97UrlLUtQR3bsGEnEPg2Y7Be6c9iAp0v5N4fqJ1SF4ABQ7kp0P84XXhxarlvg1_oUwLfG1&amp;_hsmi=87085363&amp;utm_content=87085363&amp;utm_source=hs_email&amp;hsCtaTracking=6fedf137-fd90-4f17-bfb4-d61f710ec7f8%7Cf2771843-6636-4969-9010-2d8d0389b89c</t>
  </si>
  <si>
    <t>1794@enchufing.com</t>
  </si>
  <si>
    <t>https://resources.simonelectric.com/simon-catalogo-vehiculo-electrico?utm_campaign=SIC%20-%20Veh%C3%ADculo%20El%C3%A9ctrico&amp;utm_medium=email&amp;_hsenc=p2ANqtz-_JWIV5lwgAGbmARp49Zu5lE0SuQ7sunhjX3n16CT_T3TNds1l3qNW9qOiikatssgvDMZvI&amp;_hsmi=87085363&amp;utm_content=87085363&amp;utm_source=hs_email&amp;hsCtaTracking=6fedf137-fd90-4f17-bfb4-d61f710ec7f8%7Cf2771843-6636-4969-9010-2d8d0389b89c</t>
  </si>
  <si>
    <t>1795@gmail.com</t>
  </si>
  <si>
    <t>https://resources.simonelectric.com/simon-catalogo-vehiculo-electrico?utm_campaign=SIC%20-%20Veh%C3%ADculo%20El%C3%A9ctrico&amp;utm_medium=email&amp;_hsenc=p2ANqtz-8oX7U3aAw9obAGG5Axi-4lHeAwO8VcPpB_0woQ5vl0pSCZ269E20Gbp8ilA_vTyyDdxedA&amp;_hsmi=87085363&amp;utm_content=87085363&amp;utm_source=hs_email&amp;hsCtaTracking=6fedf137-fd90-4f17-bfb4-d61f710ec7f8%7Cf2771843-6636-4969-9010-2d8d0389b89c</t>
  </si>
  <si>
    <t>1796@sorigue.com</t>
  </si>
  <si>
    <t>https://resources.simonelectric.com/simon-catalogo-vehiculo-electrico?utm_campaign=SIC%20-%20Veh%C3%ADculo%20El%C3%A9ctrico&amp;utm_medium=email&amp;_hsenc=p2ANqtz-_eW6o0lh5DodUmAkj5nwYc9_KQNJPFgTnTKTKDtXuws1xywVeO42v-Pfu2z80LKv-RKAFW&amp;_hsmi=87085363&amp;utm_content=87085363&amp;utm_source=hs_email&amp;hsCtaTracking=6fedf137-fd90-4f17-bfb4-d61f710ec7f8%7Cf2771843-6636-4969-9010-2d8d0389b89c</t>
  </si>
  <si>
    <t>1797@icaingenieros.com</t>
  </si>
  <si>
    <t>https://resources.simonelectric.com/simon-catalogo-vehiculo-electrico?utm_campaign=SIC%20-%20Veh%C3%ADculo%20El%C3%A9ctrico&amp;utm_medium=email&amp;_hsmi=87085363&amp;_hsenc=p2ANqtz-9fqFe3SwNew4J0CoiZdkHDar4WvLjH7TzLxVTxupiw5PEzWgCrSAZ7ofj1nnXnKScAsg0V&amp;utm_content=87085363&amp;utm_source=hs_email</t>
  </si>
  <si>
    <t>1798@eleccom.es</t>
  </si>
  <si>
    <t>https://resources.simonelectric.com/simon-catalogo-vehiculo-electrico?utm_campaign=SIC%20-%20Veh%C3%ADculo%20El%C3%A9ctrico&amp;utm_medium=email&amp;_hsenc=p2ANqtz-_AFKdbl9wfr1Rqavyv6eGP0r0XMQpYTtqrYGvaDj2hR54ItkxoSOf938YBHReWovQdG54J&amp;_hsmi=87085302&amp;utm_content=87085302&amp;utm_source=hs_email&amp;hsCtaTracking=6fedf137-fd90-4f17-bfb4-d61f710ec7f8%7Cf2771843-6636-4969-9010-2d8d0389b89c</t>
  </si>
  <si>
    <t>1799@wurth.es</t>
  </si>
  <si>
    <t>https://resources.simonelectric.com/simon-catalogo-vehiculo-electrico?utm_campaign=SIC%20-%20Veh%C3%ADculo%20El%C3%A9ctrico&amp;utm_medium=email&amp;_hsenc=p2ANqtz--m5yQvbBO8V__N-EDYMuPwrP5qck6jKvsUIikTB6YJnnBpyRfE42kGyfUb_ZD-teNabveu&amp;_hsmi=87085363&amp;utm_content=87085363&amp;utm_source=hs_email&amp;hsCtaTracking=6fedf137-fd90-4f17-bfb4-d61f710ec7f8%7Cf2771843-6636-4969-9010-2d8d0389b89c</t>
  </si>
  <si>
    <t>1800@hotmail.com</t>
  </si>
  <si>
    <t>https://resources.simonelectric.com/simon-catalogo-vehiculo-electrico?utm_campaign=SIC%20-%20Veh%C3%ADculo%20El%C3%A9ctrico&amp;utm_medium=email&amp;_hsenc=p2ANqtz-8mWKxOmeuRqmwB2G8-4CPEiiiO2XxkGZZ1P127MgdChwTk1j579NmJ4kmXXecCEE7rfSee&amp;_hsmi=87085363&amp;utm_content=87085363&amp;utm_source=hs_email&amp;hsCtaTracking=6fedf137-fd90-4f17-bfb4-d61f710ec7f8%7Cf2771843-6636-4969-9010-2d8d0389b89c</t>
  </si>
  <si>
    <t>1801@gmail.com</t>
  </si>
  <si>
    <t>https://resources.simonelectric.com/simon-catalogo-vehiculo-electrico?utm_campaign=SIC%20-%20Veh%C3%ADculo%20El%C3%A9ctrico&amp;utm_medium=email&amp;_hsenc=p2ANqtz-8k3uZjACeCUmgFU2Y3S_xtuXldNchZJKGJ5hakG2AxiTyVbgiXaYb9y8ba-V6g7fmA2P7R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</si>
  <si>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QvQcfqEaS11P8eiK0uaS9Hce7slTdCxG4eZbopfWTRagOa1bDLXdulm-xHjdTcstmq7c4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</si>
  <si>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-9H2-JJBaMJ0ldivSjc8iOeF9duz29w2fwVEobRoWipArGMLa556pHxUtEKFArP5jT57TFT&amp;_hsmi=87085363&amp;utm_content=87085363&amp;utm_source=hs_email&amp;hsCtaTracking=6fedf137-fd90-4f17-bfb4-d61f710ec7f8%7Cf2771843-6636-4969-9010-2d8d0389b89c</t>
  </si>
  <si>
    <t>1802@hotmail.es</t>
  </si>
  <si>
    <t>https://resources.simonelectric.com/simon-catalogo-vehiculo-electrico?utm_campaign=SIC%20-%20Veh%C3%ADculo%20El%C3%A9ctrico&amp;utm_medium=email&amp;_hsenc=p2ANqtz-9LXmLWO91Z7NNXOlFje3ak84qXXTKlJQ7KaZRsmNoTBj7hh8Ml4oR47_M7XEqB7bhhfrF4&amp;_hsmi=87085363&amp;utm_content=87085363&amp;utm_source=hs_email&amp;hsCtaTracking=6fedf137-fd90-4f17-bfb4-d61f710ec7f8%7Cf2771843-6636-4969-9010-2d8d0389b89c</t>
  </si>
  <si>
    <t>1803@ymcelectrica.com</t>
  </si>
  <si>
    <t>https://resources.simonelectric.com/simon-catalogo-vehiculo-electrico?utm_campaign=SIC%20-%20Veh%C3%ADculo%20El%C3%A9ctrico&amp;utm_medium=email&amp;_hsenc=p2ANqtz--6ZWUdKIR3YqvS32HBwRut1PX0py-IOt5QDVHNf_6nxqeNI0CCMq7ks6I2gmnKVVLBrhSr&amp;_hsmi=87085363&amp;utm_content=87085363&amp;utm_source=hs_email&amp;hsCtaTracking=6fedf137-fd90-4f17-bfb4-d61f710ec7f8%7Cf2771843-6636-4969-9010-2d8d0389b89c</t>
  </si>
  <si>
    <t>1804@meguerra.com</t>
  </si>
  <si>
    <t>https://resources.simonelectric.com/simon-catalogo-vehiculo-electrico?utm_campaign=SIC%20-%20Veh%C3%ADculo%20El%C3%A9ctrico&amp;utm_medium=email&amp;_hsenc=p2ANqtz-_v-YczdmaW0e2QBzzTBektY_VFiTJkae0E7oBha42eokJ20ZCOuTL3qFctOinKJseNtLW1&amp;_hsmi=87085363&amp;utm_content=87085363&amp;utm_source=hs_email&amp;hsCtaTracking=6fedf137-fd90-4f17-bfb4-d61f710ec7f8%7Cf2771843-6636-4969-9010-2d8d0389b89c</t>
  </si>
  <si>
    <t>1805@gmail.com</t>
  </si>
  <si>
    <t>https://resources.simonelectric.com/simon-catalogo-vehiculo-electrico?utm_campaign=SIC%20-%20Veh%C3%ADculo%20El%C3%A9ctrico&amp;utm_medium=email&amp;_hsenc=p2ANqtz-8pF2rGgVZFW5tDjMWm87SWzRlFVNXLL61CiwFsNZr9AFFAndEsR5MXCsu3JAHW2OZ1CQLb&amp;_hsmi=87085363&amp;utm_content=87085363&amp;utm_source=hs_email&amp;hsCtaTracking=6fedf137-fd90-4f17-bfb4-d61f710ec7f8%7Cf2771843-6636-4969-9010-2d8d0389b89c</t>
  </si>
  <si>
    <t>1806@aymesa.com</t>
  </si>
  <si>
    <t>https://resources.simonelectric.com/simon-catalogo-vehiculo-electrico?utm_campaign=SIC%20-%20Veh%C3%ADculo%20El%C3%A9ctrico&amp;utm_medium=email&amp;_hsenc=p2ANqtz--u8LHph44QWu-Ra15Wv9EUWyRijfANzP3QoV6W57ooTL9EoEjBcqVdn-VgZdPly93UtGbz&amp;_hsmi=87085363&amp;utm_content=87085363&amp;utm_source=hs_email&amp;hsCtaTracking=6fedf137-fd90-4f17-bfb4-d61f710ec7f8%7Cf2771843-6636-4969-9010-2d8d0389b89c</t>
  </si>
  <si>
    <t>1807@saltoki.es</t>
  </si>
  <si>
    <t>https://resources.simonelectric.com/simon-catalogo-vehiculo-electrico?utm_campaign=SIC%20-%20Veh%C3%ADculo%20El%C3%A9ctrico&amp;utm_medium=email&amp;_hsenc=p2ANqtz-8nXFVb9hxQAj16Cw_ebKF-IFf0vG9tWbRuxcDb22PNWEksBeDHJu7DD9mV5x6t9X3n1WZh&amp;_hsmi=87085363&amp;utm_content=87085363&amp;utm_source=hs_email&amp;hsCtaTracking=6fedf137-fd90-4f17-bfb4-d61f710ec7f8%7Cf2771843-6636-4969-9010-2d8d0389b89c</t>
  </si>
  <si>
    <t>1808@gmail.com</t>
  </si>
  <si>
    <t>https://resources.simonelectric.com/simon-catalogo-vehiculo-electrico?utm_campaign=SIC%20-%20Veh%C3%ADculo%20El%C3%A9ctrico&amp;utm_medium=email&amp;_hsenc=p2ANqtz--YayJcriOTeNNRftM57t8JxwYHIit33CAI9hkdgx4TAQM10d36J_65zeuCUZMxSBHnUE0D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</si>
  <si>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-8EGJxPq6pylyu-SNfEuJWdLomj62Tujm0Y-OdC8PSZu9MIL6gxcRJXMch4xkX2XXEVdAwp&amp;_hsmi=87085363&amp;utm_content=87085363&amp;utm_source=hs_email&amp;hsCtaTracking=6fedf137-fd90-4f17-bfb4-d61f710ec7f8%7Cf2771843-6636-4969-9010-2d8d0389b89c</t>
  </si>
  <si>
    <t>1809@prodelec.es</t>
  </si>
  <si>
    <t>https://resources.simonelectric.com/simon-catalogo-vehiculo-electrico?utm_campaign=SIC%20-%20Veh%C3%ADculo%20El%C3%A9ctrico&amp;utm_medium=email&amp;_hsenc=p2ANqtz-9De_9mSlMvrispnJGig5dD_qymQqnvo4P0Y7TsmjnD0jcKfKmEKd3OLmTQVvnFWXmE1OQX&amp;_hsmi=87085363&amp;utm_content=87085363&amp;utm_source=hs_email&amp;hsCtaTracking=6fedf137-fd90-4f17-bfb4-d61f710ec7f8%7Cf2771843-6636-4969-9010-2d8d0389b89c</t>
  </si>
  <si>
    <t>1810@ebegroup.net</t>
  </si>
  <si>
    <t>https://resources.simonelectric.com/simon-catalogo-vehiculo-electrico?utm_campaign=SIC%20-%20Veh%C3%ADculo%20El%C3%A9ctrico&amp;utm_medium=email&amp;_hsenc=p2ANqtz-_T7SH42Qsn6eIoM1oir8scZLt6vNDo1F4CH5D62Z2yEAmV_bvaKQs0uE90ocOKHS7b0xAk&amp;_hsmi=87085363&amp;utm_content=87085363&amp;utm_source=hs_email&amp;hsCtaTracking=6fedf137-fd90-4f17-bfb4-d61f710ec7f8%7Cf2771843-6636-4969-9010-2d8d0389b89c</t>
  </si>
  <si>
    <t>1811@ansiel.eu</t>
  </si>
  <si>
    <t>https://resources.simonelectric.com/simon-catalogo-vehiculo-electrico?utm_campaign=SIC%20-%20Veh%C3%ADculo%20El%C3%A9ctrico&amp;utm_medium=email&amp;_hsenc=p2ANqtz-860vme9Un3JEdJtKhgOFogIMC2m7GsbcaZoUK-q5G4k4geSYjzCFMQl5gNFIdGHot1mZGa&amp;_hsmi=87085363&amp;utm_content=87085363&amp;utm_source=hs_email&amp;hsCtaTracking=6fedf137-fd90-4f17-bfb4-d61f710ec7f8%7Cf2771843-6636-4969-9010-2d8d0389b89c</t>
  </si>
  <si>
    <t>1812@ext.mpsa.com</t>
  </si>
  <si>
    <t>https://resources.simonelectric.com/simon-catalogo-vehiculo-electrico?utm_campaign=SIC%20-%20Veh%C3%ADculo%20El%C3%A9ctrico&amp;utm_medium=email&amp;_hsenc=p2ANqtz-8YCRglqZmdRWt3wc5V91lrSdqOU8eGDLtX73mXGZZJa74RXffMF9_1nStB29Kow9-ALFP_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</si>
  <si>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-KNaS9IOJTo15jWJs0V6mvy-Bz-i9NI6wQ3B9jRcI9yITzDOgIiHjmCVOmseGDtG0vDx-y&amp;_hsmi=87085363&amp;utm_content=87085363&amp;utm_source=hs_email&amp;hsCtaTracking=6fedf137-fd90-4f17-bfb4-d61f710ec7f8%7Cf2771843-6636-4969-9010-2d8d0389b89c</t>
  </si>
  <si>
    <t>1813@gmail.com</t>
  </si>
  <si>
    <t>https://resources.simonelectric.com/simon-catalogo-vehiculo-electrico?utm_campaign=SIC%20-%20Veh%C3%ADculo%20El%C3%A9ctrico&amp;utm_medium=email&amp;_hsenc=p2ANqtz-8rmwCAPHv5EZYABLFJ6PlEeG9NheLAMGKpjp8MNLBvalFxDb6vxb18rRN8ikp7wz2F2Q2j&amp;_hsmi=87085363&amp;utm_content=87085363&amp;utm_source=hs_email&amp;hsCtaTracking=6fedf137-fd90-4f17-bfb4-d61f710ec7f8%7Cf2771843-6636-4969-9010-2d8d0389b89c</t>
  </si>
  <si>
    <t>1814@grupoetra.com</t>
  </si>
  <si>
    <t>https://resources.simonelectric.com/simon-catalogo-vehiculo-electrico?utm_campaign=SIC%20-%20Veh%C3%ADculo%20El%C3%A9ctrico&amp;utm_medium=email&amp;_hsenc=p2ANqtz-861U2OgrdgcgyFwDx_k0TPEsHKP92A9awoEXAnZW3LV7ExvwLwrXk-lwUmJdaD-DjEL-VY&amp;_hsmi=87085363&amp;utm_content=87085363&amp;utm_source=hs_email&amp;hsCtaTracking=6fedf137-fd90-4f17-bfb4-d61f710ec7f8%7Cf2771843-6636-4969-9010-2d8d0389b89c</t>
  </si>
  <si>
    <t>1815@grupojab.es</t>
  </si>
  <si>
    <t>https://resources.simonelectric.com/simon-catalogo-vehiculo-electrico?utm_campaign=SIC%20-%20Veh%C3%ADculo%20El%C3%A9ctrico&amp;utm_medium=email&amp;_hsenc=p2ANqtz--2yqjJjgVu4KDCFobFH9tcFtZkZs0q4s4ds2btOe8T78T-oO7RqOqej7sMPg-AhqkU2xxN&amp;_hsmi=87085363&amp;utm_content=87085363&amp;utm_source=hs_email&amp;hsCtaTracking=6fedf137-fd90-4f17-bfb4-d61f710ec7f8%7Cf2771843-6636-4969-9010-2d8d0389b89c</t>
  </si>
  <si>
    <t>1816@petesan.es</t>
  </si>
  <si>
    <t>https://resources.simonelectric.com/simon-catalogo-vehiculo-electrico?utm_campaign=SIC%20-%20Veh%C3%ADculo%20El%C3%A9ctrico&amp;utm_medium=email&amp;_hsenc=p2ANqtz--L8U1EdPKMk-TtcjcoMxWN-FO4Qcb0MpKWfCYL6Jrm0OLrG6KqW1rj9T2xJLuH53tRGYpb&amp;_hsmi=87085363&amp;utm_content=87085363&amp;utm_source=hs_email&amp;hsCtaTracking=6fedf137-fd90-4f17-bfb4-d61f710ec7f8%7Cf2771843-6636-4969-9010-2d8d0389b89c</t>
  </si>
  <si>
    <t>1817@eurocabos.es</t>
  </si>
  <si>
    <t>https://resources.simonelectric.com/simon-catalogo-vehiculo-electrico?utm_campaign=SIC%20-%20Veh%C3%ADculo%20El%C3%A9ctrico&amp;utm_medium=email&amp;_hsenc=p2ANqtz-8qP2W8cTLyzDTXqEYbxCZ5x81uWlDrjzj3Ziek7U_EIeHB-Ig0x2bjhyaEpbYbY3JrTejm&amp;_hsmi=87085363&amp;utm_content=87085363&amp;utm_source=hs_email&amp;hsCtaTracking=6fedf137-fd90-4f17-bfb4-d61f710ec7f8%7Cf2771843-6636-4969-9010-2d8d0389b89c</t>
  </si>
  <si>
    <t>1818@electricidadpolop.es</t>
  </si>
  <si>
    <t>https://resources.simonelectric.com/simon-catalogo-vehiculo-electrico?utm_campaign=SIC%20-%20Veh%C3%ADculo%20El%C3%A9ctrico&amp;utm_medium=email&amp;_hsenc=p2ANqtz-9p2JHir5tqmsxHtsS1BUfyzBswBLFS5p9HZNydWNJgfRl2V78C7muzFVuJuc9rZtZmjQRD&amp;_hsmi=87085363&amp;utm_content=87085363&amp;utm_source=hs_email&amp;hsCtaTracking=6fedf137-fd90-4f17-bfb4-d61f710ec7f8%7Cf2771843-6636-4969-9010-2d8d0389b89c</t>
  </si>
  <si>
    <t>1819@simon.es</t>
  </si>
  <si>
    <t>https://resources.simonelectric.com/simon-catalogo-vehiculo-electrico?utm_campaign=SIC%20-%20Veh%C3%ADculo%20El%C3%A9ctrico&amp;utm_medium=email&amp;_hsenc=p2ANqtz--Dei2jK9FrrPHS7lIVDVcg97lHprLhoiBCSlHwFyfiJIOIQNTYn3HcGZhnPLvdY934b7Dp&amp;_hsmi=87085363&amp;utm_content=87085363&amp;utm_source=hs_email&amp;hsCtaTracking=6fedf137-fd90-4f17-bfb4-d61f710ec7f8%7Cf2771843-6636-4969-9010-2d8d0389b89c</t>
  </si>
  <si>
    <t>1820@marveco.com</t>
  </si>
  <si>
    <t>https://resources.simonelectric.com/simon-catalogo-vehiculo-electrico?utm_campaign=SIC%20-%20Veh%C3%ADculo%20El%C3%A9ctrico&amp;utm_medium=email&amp;_hsenc=p2ANqtz--xSyB0jqIDQiT82JIGU9cgd3HluVcEahUuXd4nhY3O7_5lbDWhh2-IqUrbyJLHe6n6ztH7&amp;_hsmi=87085363&amp;utm_content=87085363&amp;utm_source=hs_email&amp;hsCtaTracking=6fedf137-fd90-4f17-bfb4-d61f710ec7f8%7Cf2771843-6636-4969-9010-2d8d0389b89c</t>
  </si>
  <si>
    <t>1821@construciainstalaciones.com</t>
  </si>
  <si>
    <t>https://resources.simonelectric.com/simon-catalogo-vehiculo-electrico?utm_campaign=SIC%20-%20Veh%C3%ADculo%20El%C3%A9ctrico&amp;utm_medium=email&amp;_hsenc=p2ANqtz-_jJDd65os88RXzCV6OLHlV_i1d_4PpTEHK0pJoQVHirKaBXzzKwy44tg1jirrwXH9UUmjc&amp;_hsmi=87085363&amp;utm_content=87085363&amp;utm_source=hs_email&amp;hsCtaTracking=6fedf137-fd90-4f17-bfb4-d61f710ec7f8%7Cf2771843-6636-4969-9010-2d8d0389b89c</t>
  </si>
  <si>
    <t>1822@diexfe.com</t>
  </si>
  <si>
    <t>https://resources.simonelectric.com/simon-catalogo-vehiculo-electrico?utm_campaign=SIC%20-%20Veh%C3%ADculo%20El%C3%A9ctrico&amp;utm_medium=email&amp;_hsenc=p2ANqtz-9s5DBi01axz_H5xOh-iurFFlkms8ShlcEX5hCWurHfcBXJAh4AIjiyNcusS0AWZsqrjLRJ&amp;_hsmi=87085363&amp;utm_content=87085363&amp;utm_source=hs_email&amp;hsCtaTracking=6fedf137-fd90-4f17-bfb4-d61f710ec7f8%7Cf2771843-6636-4969-9010-2d8d0389b89c</t>
  </si>
  <si>
    <t>1823@saltoki.es</t>
  </si>
  <si>
    <t>https://resources.simonelectric.com/simon-catalogo-vehiculo-electrico?utm_campaign=SIC%20-%20Veh%C3%ADculo%20El%C3%A9ctrico&amp;utm_medium=email&amp;_hsmi=87085363&amp;_hsenc=p2ANqtz-_uyudv_hhV48mmBHF1ptM9LQXe7XnxixkqKp6TfssuweeV4UdVa-PZbHjF3IuPeEStzcEh&amp;utm_content=87085363&amp;utm_source=hs_email</t>
  </si>
  <si>
    <t>https://resources.simonelectric.com/simon-catalogo-vehiculo-electrico?utm_campaign=SIC%20-%20Veh%C3%ADculo%20El%C3%A9ctrico&amp;utm_medium=email&amp;_hsenc=p2ANqtz--vwCLymClyEfOL4_IduddA5gh0cPlWDf7txmyLwT69SX_icehedJbB9XVx2PSOTRpg0V6o&amp;_hsmi=87085363&amp;utm_content=87085363&amp;utm_source=hs_email&amp;hsCtaTracking=6fedf137-fd90-4f17-bfb4-d61f710ec7f8%7Cf2771843-6636-4969-9010-2d8d0389b89c</t>
  </si>
  <si>
    <t>1824@selpri.pt</t>
  </si>
  <si>
    <t>https://resources.simonelectric.com/simon-catalogo-vehiculo-electrico?utm_campaign=SIC%20-%20Veh%C3%ADculo%20El%C3%A9ctrico&amp;utm_medium=email&amp;_hsenc=p2ANqtz-9BmuZE_yvGzMmsaoFYbp8mGrcQJAej8y9lTaAskoi-stJVc7888R5siw-n5F8FeNWggm5g&amp;_hsmi=87085363&amp;utm_content=87085363&amp;utm_source=hs_email&amp;hsCtaTracking=6fedf137-fd90-4f17-bfb4-d61f710ec7f8%7Cf2771843-6636-4969-9010-2d8d0389b89c</t>
  </si>
  <si>
    <t>1825@digamel.com</t>
  </si>
  <si>
    <t>https://resources.simonelectric.com/simon-catalogo-vehiculo-electrico?utm_campaign=SIC%20-%20Veh%C3%ADculo%20El%C3%A9ctrico&amp;utm_medium=email&amp;_hsenc=p2ANqtz-8GyzBfbgKqgVO3Qvxcd40pXV4GF_4l-gwhuRHRh1OBh4wgvXyVb0JIDYlVu9ERL2UftQTo&amp;_hsmi=87085363&amp;utm_content=87085363&amp;utm_source=hs_email&amp;hsCtaTracking=6fedf137-fd90-4f17-bfb4-d61f710ec7f8%7Cf2771843-6636-4969-9010-2d8d0389b89c</t>
  </si>
  <si>
    <t>1826@gestionservicios.com</t>
  </si>
  <si>
    <t>https://resources.simonelectric.com/simon-catalogo-vehiculo-electrico?utm_campaign=SIC%20-%20Veh%C3%ADculo%20El%C3%A9ctrico&amp;utm_medium=email&amp;_hsenc=p2ANqtz-8CIiOcxpYe0ePA69lArAX0dgHvJHPZbsu8npbrmeGHLOT4qO-1ShzB29XfVYzKdGFyTgUc&amp;_hsmi=87085363&amp;utm_content=87085363&amp;utm_source=hs_email&amp;hsCtaTracking=6fedf137-fd90-4f17-bfb4-d61f710ec7f8%7Cf2771843-6636-4969-9010-2d8d0389b89c</t>
  </si>
  <si>
    <t>1827@gmail.com</t>
  </si>
  <si>
    <t>https://resources.simonelectric.com/simon-catalogo-vehiculo-electrico?utm_campaign=SIC%20-%20Veh%C3%ADculo%20El%C3%A9ctrico&amp;utm_medium=email&amp;_hsenc=p2ANqtz-9wjrxA5ErPxqW5GTOaLA9_KzQyGsf6NxElNZW1WkSoEcsBWToIhgjvsIZEDXBLIPWEh6pA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</si>
  <si>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oLbyVb4Exq1G0YAgaV8J15Ns4XT_9RdGPpEkPcFKOJLn1TDVYumsz33zkc4ZbrtUc1IdW&amp;_hsmi=87085363&amp;utm_content=87085363&amp;utm_source=hs_email&amp;hsCtaTracking=6fedf137-fd90-4f17-bfb4-d61f710ec7f8%7Cf2771843-6636-4969-9010-2d8d0389b89c</t>
  </si>
  <si>
    <t>1828@econergia.es</t>
  </si>
  <si>
    <t>https://resources.simonelectric.com/simon-catalogo-vehiculo-electrico?utm_campaign=SIC%20-%20Veh%C3%ADculo%20El%C3%A9ctrico&amp;utm_medium=email&amp;_hsmi=87085363&amp;_hsenc=p2ANqtz-9yrB4Sw3VCWomQiwU2JVMIbXFlNeDTftlEoiOdrUM0DJBbjql_k6gJTRUsluq0LbXYKULQ&amp;utm_content=87085363&amp;utm_source=hs_email</t>
  </si>
  <si>
    <t>1829@1aingenieros.com</t>
  </si>
  <si>
    <t>https://resources.simonelectric.com/simon-catalogo-vehiculo-electrico?utm_campaign=SIC%20-%20Veh%C3%ADculo%20El%C3%A9ctrico&amp;utm_medium=email&amp;_hsmi=87085302&amp;_hsenc=p2ANqtz-8q4L2YzcHr6iShuExzhuXh5uQKg4vMHhCoshpAnoEq43psthu1SvmaIQg1rpge3KakG6iZ&amp;utm_content=87085302&amp;utm_source=hs_email</t>
  </si>
  <si>
    <t>1830@gmail.com</t>
  </si>
  <si>
    <t>https://resources.simonelectric.com/simon-catalogo-vehiculo-electrico?utm_campaign=SIC%20-%20Veh%C3%ADculo%20El%C3%A9ctrico&amp;utm_medium=email&amp;_hsenc=p2ANqtz-9RSuWylA1n8IOq9Fsj_LMtvIEoEfN2np-nGcP5bujFeGh0IykTsJhn27RjL8yOaaLaVbbF&amp;_hsmi=87085363&amp;utm_content=87085363&amp;utm_source=hs_email&amp;hsCtaTracking=6fedf137-fd90-4f17-bfb4-d61f710ec7f8%7Cf2771843-6636-4969-9010-2d8d0389b89c</t>
  </si>
  <si>
    <t>1831@monlau.com</t>
  </si>
  <si>
    <t>https://resources.simonelectric.com/simon-catalogo-vehiculo-electrico?utm_campaign=SIC%20-%20Veh%C3%ADculo%20El%C3%A9ctrico&amp;utm_medium=email&amp;_hsmi=87085363&amp;_hsenc=p2ANqtz-__8C-iFTJEak7FjZCKinWd7X6gXdrXxT1KCgtqUaQa_u3kyOLizVITMrEAPhf84yInRfyd&amp;utm_content=87085363&amp;utm_source=hs_email</t>
  </si>
  <si>
    <t>1832@mhindustrias.com</t>
  </si>
  <si>
    <t>https://resources.simonelectric.com/simon-catalogo-vehiculo-electrico?utm_campaign=SIC%20-%20Veh%C3%ADculo%20El%C3%A9ctrico&amp;utm_medium=email&amp;_hsenc=p2ANqtz-_gw25IsriYmS07mitfBxIcdbpeLhQtywIwT8SgJqNaE4fag2zZ6vd8t7XSmFvr3M2qsSqV&amp;_hsmi=87085363&amp;utm_content=87085363&amp;utm_source=hs_email&amp;hsCtaTracking=6fedf137-fd90-4f17-bfb4-d61f710ec7f8%7Cf2771843-6636-4969-9010-2d8d0389b89c</t>
  </si>
  <si>
    <t>1833@coitir.com</t>
  </si>
  <si>
    <t>https://resources.simonelectric.com/simon-catalogo-vehiculo-electrico?utm_campaign=SIC%20-%20Veh%C3%ADculo%20El%C3%A9ctrico&amp;utm_medium=email&amp;_hsmi=87085363&amp;_hsenc=p2ANqtz-9iUOLTPwv5bTbOVgyRH-AYpAXhKhELQEJwtyIsG9roJqm2J6tJZas_K0UFYq_6BdTly3Ra&amp;utm_content=87085363&amp;utm_source=hs_email</t>
  </si>
  <si>
    <t>1834@valls.cat</t>
  </si>
  <si>
    <t>https://resources.simonelectric.com/simon-catalogo-vehiculo-electrico?utm_campaign=SIC%20-%20Veh%C3%ADculo%20El%C3%A9ctrico&amp;utm_medium=email&amp;_hsenc=p2ANqtz-8pjec9RKG2rGbYuaX1xnNSSu5ahXl05jlwSOiLu2AHpKd4XNWHcNc9kzRRvZmt58rL4fNO&amp;_hsmi=87085363&amp;utm_content=87085363&amp;utm_source=hs_email&amp;hsCtaTracking=6fedf137-fd90-4f17-bfb4-d61f710ec7f8%7Cf2771843-6636-4969-9010-2d8d0389b89c</t>
  </si>
  <si>
    <t>1835@gmail.com</t>
  </si>
  <si>
    <t>https://resources.simonelectric.com/simon-catalogo-vehiculo-electrico?utm_campaign=SIC%20-%20Veh%C3%ADculo%20El%C3%A9ctrico&amp;utm_medium=email&amp;_hsenc=p2ANqtz--CDh9qfI9OeTQ2TjNEG8ETjNegXv3UaHJohi8Ks4Myc3vcsD_OWgAuymVV_3VOy9uSRZQp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</si>
  <si>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IICjBPW4eI4Z7OniKX9np_MmxvZCWtP8mUHaZVoJEuzvTnRHeLAv1oLLMvDalOY7irF7391bBR3TRgt4bFapd6TMdKA&amp;utm_source=hs_email&amp;utm_content=87085363&amp;hsCtaTracking=6fedf137-fd90-4f17-bfb4-d61f710ec7f8%7Cf2771843-6636-4969-9010-2d8d0389b89c</t>
  </si>
  <si>
    <t>1836@biper.es</t>
  </si>
  <si>
    <t>https://resources.simonelectric.com/simon-catalogo-vehiculo-electrico?utm_campaign=SIC%20-%20Veh%C3%ADculo%20El%C3%A9ctrico&amp;utm_medium=email&amp;_hsenc=p2ANqtz-8JtcZvoYHbjJdbrzf9aRklnXvHT2inqjsSwynmBAeF8340ipmTxO9y1fyXejAGK-NiJdSC&amp;_hsmi=87085363&amp;utm_content=87085363&amp;utm_source=hs_email&amp;hsCtaTracking=6fedf137-fd90-4f17-bfb4-d61f710ec7f8%7Cf2771843-6636-4969-9010-2d8d0389b89c</t>
  </si>
  <si>
    <t>1837@cersanz.es</t>
  </si>
  <si>
    <t>https://resources.simonelectric.com/simon-catalogo-vehiculo-electrico?utm_campaign=SIC%20-%20Veh%C3%ADculo%20El%C3%A9ctrico&amp;utm_medium=email&amp;_hsenc=p2ANqtz-_y41RVkYU8ayOcPRKHwLZbNKvXDkqelPR72rsr2uK4NpoPMTFwEy-JlpOubXVg6Ztu9Dwg&amp;_hsmi=87085363&amp;utm_content=87085363&amp;utm_source=hs_email&amp;hsCtaTracking=6fedf137-fd90-4f17-bfb4-d61f710ec7f8%7Cf2771843-6636-4969-9010-2d8d0389b89c</t>
  </si>
  <si>
    <t>1838@gruponovelec.com</t>
  </si>
  <si>
    <t>https://resources.simonelectric.com/simon-catalogo-vehiculo-electrico?utm_campaign=SIC%20-%20Veh%C3%ADculo%20El%C3%A9ctrico&amp;utm_medium=email&amp;_hsenc=p2ANqtz--chRvENvj2zJuw-WPUfdjWCnOJeTqWZT2JS2bweQttI8lOMt2U-cAZ7wFYY6E33ITPiUvs&amp;_hsmi=87085363&amp;utm_content=87085363&amp;utm_source=hs_email&amp;hsCtaTracking=6fedf137-fd90-4f17-bfb4-d61f710ec7f8%7Cf2771843-6636-4969-9010-2d8d0389b89c</t>
  </si>
  <si>
    <t>1839@gmail.com</t>
  </si>
  <si>
    <t>https://resources.simonelectric.com/simon-catalogo-vehiculo-electrico?utm_campaign=SIC%20-%20Veh%C3%ADculo%20El%C3%A9ctrico&amp;utm_medium=email&amp;_hsenc=p2ANqtz-8OczjSkR2l7jDAom5n9HOqNNYWBBLCIpWq0nwH-R4_4jB77ApHbGWtCI4BwdJpt6une7sg&amp;_hsmi=87085363&amp;utm_content=87085363&amp;utm_source=hs_email&amp;hsCtaTracking=6fedf137-fd90-4f17-bfb4-d61f710ec7f8%7Cf2771843-6636-4969-9010-2d8d0389b89c</t>
  </si>
  <si>
    <t>1840@ingenierosvigo.com</t>
  </si>
  <si>
    <t>https://resources.simonelectric.com/simon-catalogo-vehiculo-electrico?utm_campaign=SIC%20-%20Veh%C3%ADculo%20El%C3%A9ctrico&amp;utm_medium=email&amp;_hsenc=p2ANqtz-9TgNqeoIhdaCEJIDKoOJvrbC76PjMsLpHkN8V0V2r9EKwm33HVn7e0123x159mty_22zSx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</si>
  <si>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sPdyxawKPajvKLiuddXIns_y1BR4TEmcSq13_2EL7eYmIMZPijKxLCt9Gtgaj5sAOZDYo&amp;_hsmi=87085363&amp;utm_content=87085363&amp;utm_source=hs_email&amp;hsCtaTracking=6fedf137-fd90-4f17-bfb4-d61f710ec7f8%7Cf2771843-6636-4969-9010-2d8d0389b89c</t>
  </si>
  <si>
    <t>1841@infova.es</t>
  </si>
  <si>
    <t>https://resources.simonelectric.com/simon-catalogo-vehiculo-electrico?utm_campaign=SIC%20-%20Veh%C3%ADculo%20El%C3%A9ctrico&amp;utm_medium=email&amp;_hsenc=p2ANqtz--hgM3ZZdkibnOt9GkFsdPja2Wbr__q5E2JEiPvrf35XMZ98MxJKx3IwSplQkKTDSDD11Gy&amp;_hsmi=87085363&amp;utm_content=87085363&amp;utm_source=hs_email&amp;hsCtaTracking=6fedf137-fd90-4f17-bfb4-d61f710ec7f8%7Cf2771843-6636-4969-9010-2d8d0389b89c</t>
  </si>
  <si>
    <t>1842@simon.es</t>
  </si>
  <si>
    <t>https://resources.simonelectric.com/simon-catalogo-vehiculo-electrico?utm_campaign=SIC%20-%20Veh%C3%ADculo%20El%C3%A9ctrico&amp;utm_medium=email&amp;_hsenc=p2ANqtz-8DJv7NUwIPEI2DRSdKDm77bvTNTjRlvrGmPIfRhM-cae7D7oP1hiC-q-oFtfl5tn6pgN62&amp;_hsmi=87085363&amp;utm_content=87085363&amp;utm_source=hs_email&amp;hsCtaTracking=6fedf137-fd90-4f17-bfb4-d61f710ec7f8%7Cf2771843-6636-4969-9010-2d8d0389b89c</t>
  </si>
  <si>
    <t>1843@jovitel.com</t>
  </si>
  <si>
    <t>https://resources.simonelectric.com/simon-catalogo-vehiculo-electrico?utm_campaign=SIC%20-%20Veh%C3%ADculo%20El%C3%A9ctrico&amp;utm_medium=email&amp;_hsenc=p2ANqtz--BoVvwTzzyc3tEnl3EZ3FtujD3RbiWSN5wO6G5ufq-URRioMEm0rTLbm6CGzDXo-lvf1Rs&amp;_hsmi=87085363&amp;utm_content=87085363&amp;utm_source=hs_email&amp;hsCtaTracking=6fedf137-fd90-4f17-bfb4-d61f710ec7f8%7Cf2771843-6636-4969-9010-2d8d0389b89c</t>
  </si>
  <si>
    <t>https://resources.simonelectric.com/simon-catalogo-vehiculo-electrico?utm_campaign=SIC%20-%20Veh%C3%ADculo%20El%C3%A9ctrico&amp;utm_medium=email&amp;_hsenc=p2ANqtz-_FO0nOnFTwBon6XaokmFAw9ZEMLm4XGr78Y7TEtjnx8T5oC6u3mIjmSQhyqhD8PnkF9VLP&amp;_hsmi=87085363&amp;utm_content=87085363&amp;utm_source=hs_email&amp;hsCtaTracking=6fedf137-fd90-4f17-bfb4-d61f710ec7f8%7Cf2771843-6636-4969-9010-2d8d0389b89c</t>
  </si>
  <si>
    <t>1844@grupoelectrostocks.com</t>
  </si>
  <si>
    <t>https://resources.simonelectric.com/simon-catalogo-vehiculo-electrico?utm_campaign=SIC%20-%20Veh%C3%ADculo%20El%C3%A9ctrico&amp;utm_medium=email&amp;_hsenc=p2ANqtz--TCsEr4UjL_dvxXh9VNYBmBtCdrBb6JkNPGce7SNW6Pnui25uA3umVlErsBRmDr9tCJsn5&amp;_hsmi=87085363&amp;utm_content=87085363&amp;utm_source=hs_email&amp;hsCtaTracking=6fedf137-fd90-4f17-bfb4-d61f710ec7f8%7Cf2771843-6636-4969-9010-2d8d0389b89c</t>
  </si>
  <si>
    <t>1845@hotmail.com</t>
  </si>
  <si>
    <t>https://resources.simonelectric.com/simon-catalogo-vehiculo-electrico?utm_campaign=SIC%20-%20Veh%C3%ADculo%20El%C3%A9ctrico&amp;utm_medium=email&amp;_hsenc=p2ANqtz-9fElZhrMObWGy4CVigxqjGXqn64hHh9KYCmi1cHzKqv6RbYNTlaNcHUB6eZHmLp3hTJ1iY&amp;_hsmi=87085363&amp;utm_content=87085363&amp;utm_source=hs_email&amp;hsCtaTracking=6fedf137-fd90-4f17-bfb4-d61f710ec7f8%7Cf2771843-6636-4969-9010-2d8d0389b89c</t>
  </si>
  <si>
    <t>1846@gmail.com</t>
  </si>
  <si>
    <t>https://resources.simonelectric.com/simon-catalogo-vehiculo-electrico?utm_campaign=SIC%20-%20Veh%C3%ADculo%20El%C3%A9ctrico&amp;utm_medium=email&amp;_hsmi=87085363&amp;_hsenc=p2ANqtz-9YcZQVer9Bc2GdaCwxRHWkkn73880ZiAW8DO4C2Yr4t4A2RDKJRULEcWUBJJsgwxUoG0Gj&amp;utm_content=87085363&amp;utm_source=hs_email</t>
  </si>
  <si>
    <t>1847@viegasefilhos.pt</t>
  </si>
  <si>
    <t>https://resources.simonelectric.com/simon-catalogo-vehiculo-electrico?utm_campaign=SIC%20-%20Veh%C3%ADculo%20El%C3%A9ctrico&amp;utm_medium=email&amp;_hsenc=p2ANqtz--ryxfdGENDtm7atnJTi3ZO-xgayfTzzjpDcnNqw0BIvxv89j-b5JQaW0rc7SB6AUEGENOL&amp;_hsmi=87085363&amp;utm_content=87085363&amp;utm_source=hs_email&amp;hsCtaTracking=6fedf137-fd90-4f17-bfb4-d61f710ec7f8%7Cf2771843-6636-4969-9010-2d8d0389b89c</t>
  </si>
  <si>
    <t>1848@gmail.com</t>
  </si>
  <si>
    <t>https://resources.simonelectric.com/simon-catalogo-vehiculo-electrico?utm_campaign=SIC%20-%20Veh%C3%ADculo%20El%C3%A9ctrico&amp;utm_medium=email&amp;_hsenc=p2ANqtz-9piLtnQugNhuR4OweyQ6Dp8bEEBv1wx5_OfrG5aiPgtiPGkMV7C7AzH4aN5HGcMW8gBt2G&amp;_hsmi=87085363&amp;utm_content=87085363&amp;utm_source=hs_email&amp;hsCtaTracking=6fedf137-fd90-4f17-bfb4-d61f710ec7f8%7Cf2771843-6636-4969-9010-2d8d0389b89c</t>
  </si>
  <si>
    <t>1849@minsait.com</t>
  </si>
  <si>
    <t>1850@yahoo.com</t>
  </si>
  <si>
    <t>https://resources.simonelectric.com/simon-ebook-vehiculo-electrico-0?gclid=CjwKCAjwqJ_1BRBZEiwAv73uwE49BKqiZGNRYN49c2Bv4LD2_vkN2WRHTUYOicygWRqv9YcOcqA-UBoClyUQAvD_BwE</t>
  </si>
  <si>
    <t>1851@gmail.com</t>
  </si>
  <si>
    <t>1852@gmail.com</t>
  </si>
  <si>
    <t>1853@hotmail.com</t>
  </si>
  <si>
    <t>https://resources.simonelectric.com/simon-ebook-vehiculo-electrico-ppc?utm_source=facebook&amp;utm_medium=social_ads&amp;utm_campaign=vehiculo_electrico&amp;fbclid=IwAR2jUPm1hnYomTcmddUYyyMR6pd2cJ0eGT9DAaeYs7KKdt35m6x1HzB7v3U</t>
  </si>
  <si>
    <t>1854@hotmail.com</t>
  </si>
  <si>
    <t>https://resources.simonelectric.com/simon-ebook-vehiculo-electrico-0?gclid=EAIaIQobChMIn-v59cKL6QIVyu0YCh3dLwCzEAEYASAAEgJjfvD_BwE</t>
  </si>
  <si>
    <t>1855@inboundcycle.com</t>
  </si>
  <si>
    <t>1856@hotmail.com</t>
  </si>
  <si>
    <t>1857@mantise.com</t>
  </si>
  <si>
    <t>1858@yahoo.es</t>
  </si>
  <si>
    <t>https://resources.simonelectric.com/simon-ebook-vehiculo-electrico?utm_campaign=SIC%20-%20Veh%C3%ADculo%20El%C3%A9ctrico&amp;utm_medium=email&amp;_hsenc=p2ANqtz-_5pvExJRZ83knJhxZblSo0DnxDC3sWNHGE1seyFPSd5d4dtVIfonClTWFu8CZowWOj43wTi4SZhmMnEjtBymZKb125WQ&amp;_hsmi=71033675&amp;utm_source=hs_automation&amp;utm_content=71033675&amp;hsCtaTracking=2e94ebfc-d414-4389-870c-d2f266a9420b%7C587ac4dc-a49a-4bdc-b449-e36f5d95395b</t>
  </si>
  <si>
    <t>https://resources.simonelectric.com/simon-catalogo-vehiculo-electrico?__hstc=83084745.92d32663709a2c43baf9a31397061d01.1588056915841.1588056915841.1588060622653.2&amp;__hssc=83084745.5.1588060622653&amp;__hsfp=3837633668</t>
  </si>
  <si>
    <t>1859@gmail.com</t>
  </si>
  <si>
    <t>https://resources.simonelectric.com/simon-ebook-vehiculo-electrico?utm_campaign=SIC%20-%20Veh%C3%ADculo%20El%C3%A9ctrico&amp;utm_medium=email&amp;_hsenc=p2ANqtz-8by9OFoc1Kw34xcM6N4DJ6VBD7LXvi6yxDN1dWkaqSlvt4M72omw69VCSj-_0rBXtcnvV-9cw375NOYQCeoRVlbCvX3w&amp;_hsmi=71033675&amp;utm_source=hs_automation&amp;utm_content=71033675&amp;hsCtaTracking=2e94ebfc-d414-4389-870c-d2f266a9420b%7C587ac4dc-a49a-4bdc-b449-e36f5d95395b</t>
  </si>
  <si>
    <t>1860@gmail.com</t>
  </si>
  <si>
    <t>https://resources.simonelectric.com/simon-ebook-vehiculo-electrico-0?gclid=Cj0KCQjwhZr1BRCLARIsALjRVQMYMOM3X-CbbF644baJmdN3lXMdrH2AMd-vNh_yhQpVcN1jPw34v5saAkDqEALw_wcB</t>
  </si>
  <si>
    <t>1861@gmail.com</t>
  </si>
  <si>
    <t>1862@gmail.com</t>
  </si>
  <si>
    <t>1863@hotmail.com</t>
  </si>
  <si>
    <t>1864@gmail.com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</si>
  <si>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-9sXU0-KlhKJ6mA4jDlzO_ULXDAkqd2B0MCjrdONTORFZz9V7SFbrn2HqsHd_k7rvw4E2N0XS_uBxtxgARjIyNT80yVKQ%26_hsmi%3D71033828</t>
  </si>
  <si>
    <t>1865@gmail.com</t>
  </si>
  <si>
    <t>https://resources.simonelectric.com/simon-ebook-vehiculo-electrico-ppc?utm_source=facebook&amp;utm_medium=social_ads&amp;utm_campaign=vehiculo_electrico&amp;fbclid=IwAR2Pidckc5XsC4sSEuU1GQsnnhHBI5XSN4WE80tyons2-RxPPuU6Q3X8tmc</t>
  </si>
  <si>
    <t>1866@inrobadajoz.com</t>
  </si>
  <si>
    <t>https://resources.simonelectric.com/simon-ebook-vehiculo-electrico?utm_campaign=SIC%20-%20Veh%C3%ADculo%20El%C3%A9ctrico&amp;utm_source=hs_automation&amp;utm_medium=email&amp;utm_content=71033675&amp;_hsenc=p2ANqtz-_vJsOykv_xPTy-HJJYMQYXQcBrje0W1B8OSn9rActNWcnpG-B5ZJ2HL9aX5i7VQV8c3Ae_eV9ejv5z5ifX2wGtYQafgQ&amp;_hsmi=71033675</t>
  </si>
  <si>
    <t>1867@cbringenieria.es</t>
  </si>
  <si>
    <t>1868@hotmail.com</t>
  </si>
  <si>
    <t>1869@gmail.com</t>
  </si>
  <si>
    <t>https://resources.simonelectric.com/simon-ebook-vehiculo-electrico?utm_campaign=SIC%20-%20Veh%C3%ADculo%20El%C3%A9ctrico&amp;utm_medium=email&amp;_hsenc=p2ANqtz-9D3hkTxYupgrpKoJD3NCuvwWbzxXin5EfAaClJVhIFB224w_RGFDRJgdFQX0EY-Y3nVb5eohABxlHP4ajY6JAW2kR9kQ&amp;_hsmi=71033675&amp;utm_source=hs_automation&amp;utm_content=71033675&amp;hsCtaTracking=2e94ebfc-d414-4389-870c-d2f266a9420b%7C587ac4dc-a49a-4bdc-b449-e36f5d95395b</t>
  </si>
  <si>
    <t>1870@marlexingenieria.com</t>
  </si>
  <si>
    <t>https://resources.simonelectric.com/simon-ebook-vehiculo-electrico?utm_campaign=SIC%20-%20Veh%C3%ADculo%20El%C3%A9ctrico&amp;utm_medium=email&amp;_hsenc=p2ANqtz-9HIvCIvkOWUqeTVZ_hzw7_OBkmkWP9_j8FubB_shkF7XHpioY45pFbSXkH-j2POJGnaVBpum2yJY2_quObimMGEFDuZ5zwzh3YgH8P50bzb6rTF0E&amp;_hsmi=71033675&amp;utm_source=hs_automation&amp;utm_content=71033675&amp;hsCtaTracking=2e94ebfc-d414-4389-870c-d2f266a9420b%7C587ac4dc-a49a-4bdc-b449-e36f5d95395b</t>
  </si>
  <si>
    <t>https://resources.simonelectric.com/simon-catalogo-vehiculo-electrico?__hstc=83084745.d1876e15a6058f2da6f79ed796cc447b.1587993576830.1587993576830.1587993576830.1&amp;__hssc=83084745.10.1587993576830&amp;__hsfp=3584712527</t>
  </si>
  <si>
    <t>1871@abc.gob.ar</t>
  </si>
  <si>
    <t>1872@gmail.com</t>
  </si>
  <si>
    <t>https://resources.simonelectric.com/simon-ebook-vehiculo-electrico?utm_campaign=SIC%20-%20Veh%C3%ADculo%20El%C3%A9ctrico&amp;utm_medium=email&amp;_hsenc=p2ANqtz-863BNOaZdo-eYH8LLhLRjHcVQRA6o7Zh3PVW7NvtodTHtTyvu1ZRCtDx-fP9J0QD3U7bFlMliwJa5s5LqJGlkNI2KNa5MnMGmjDZ_-wQqlUvR5378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</si>
  <si>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medium=email&amp;_hsenc=p2ANqtz--byWyFs_GvAt3gVaf6BGoZtl5-N_lNMMGrwLV2ymt5vEF3Z5-9nAH3frC93BavXJebFY7oyHiSaEVGpBxVxF9vrkzgrrFTYar9IFc_vxWUtsXbL_0&amp;_hsmi=71033675&amp;utm_source=hs_automation&amp;utm_content=71033675&amp;hsCtaTracking=2e94ebfc-d414-4389-870c-d2f266a9420b%7C587ac4dc-a49a-4bdc-b449-e36f5d95395b</t>
  </si>
  <si>
    <t>1873@rodosa.com</t>
  </si>
  <si>
    <t>https://resources.simonelectric.com/simon-ebook-vehiculo-electrico?utm_campaign=SIC%20-%20Veh%C3%ADculo%20El%C3%A9ctrico&amp;utm_source=hs_automation&amp;utm_medium=email&amp;utm_content=71033675&amp;_hsenc=p2ANqtz-_XCotUjyuUH2raIWhQN_0vpXGExV1vf2hzir8dhoH7X5UW4hjDJ4mEOHWpVUVhtqHh8J2wNvHIAo2s1_5Cu-94yv1Y5w&amp;_hsmi=71033675</t>
  </si>
  <si>
    <t>1874@gesel.ie.ufrj.br</t>
  </si>
  <si>
    <t>1875@gmail.com</t>
  </si>
  <si>
    <t>1876@gmail.com</t>
  </si>
  <si>
    <t>https://resources.simonelectric.com/simon-ebook-vehiculo-electrico?utm_campaign=SIC%20-%20Veh%C3%ADculo%20El%C3%A9ctrico&amp;utm_medium=email&amp;_hsenc=p2ANqtz-_2vSqZjWrmprGi-rOl2QIer6OL0FGxwxxr8YTYoGZMocX81eaJMh6vwMYG25eTFaU2cxuwVHCyJEDQhFcyow4FpStrpQ&amp;_hsmi=71033675&amp;utm_source=hs_automation&amp;utm_content=71033675&amp;hsCtaTracking=2e94ebfc-d414-4389-870c-d2f266a9420b%7C587ac4dc-a49a-4bdc-b449-e36f5d95395b</t>
  </si>
  <si>
    <t>1877@gmail.com</t>
  </si>
  <si>
    <t>https://resources.simonelectric.com/simon-ebook-vehiculo-electrico?utm_campaign=SIC%20-%20Veh%C3%ADculo%20El%C3%A9ctrico&amp;utm_source=hs_automation&amp;utm_medium=email&amp;utm_content=71033675&amp;_hsenc=p2ANqtz-_fYaCSnSIVuHgqAyzCW-8PFKtldhxHy_BJ_vrbAW7Wr6cY3Ehyo6L9Douk8cqyfNO4d2n-J6_zzh5c6ouUHXyiIHDOaN52zUbz0pOmkIyzHBfWudM&amp;_hsmi=71033675</t>
  </si>
  <si>
    <t>1878@gmail.com</t>
  </si>
  <si>
    <t>https://resources.simonelectric.com/simon-ebook-vehiculo-electrico?utm_campaign=SIC%20-%20Veh%C3%ADculo%20El%C3%A9ctrico&amp;utm_medium=email&amp;_hsenc=p2ANqtz-_iUHOtomX0ZYYqrXCJvxI_G1MvrR18mtMCEz6yNRu0VpTiaz2cNvMmI5XPGkFzrUiz8SsNx2eCeAI6zcGp3kvxN0lBJA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</si>
  <si>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medium=email&amp;_hsenc=p2ANqtz-_92JEjiDwwoH2yOtP1jeG7YhuF4tDnotZOPod9OBNeofPgrHji41SIXsOFedDOQqm9FIMvZ9JTyx_NCc2g__aaHTFdbA&amp;_hsmi=71033675&amp;utm_source=hs_automation&amp;utm_content=71033675&amp;hsCtaTracking=2e94ebfc-d414-4389-870c-d2f266a9420b%7C587ac4dc-a49a-4bdc-b449-e36f5d95395b</t>
  </si>
  <si>
    <t>1879@jafenginyeria.cat</t>
  </si>
  <si>
    <t>https://resources.simonelectric.com/simon-ebook-vehiculo-electrico?utm_campaign=SIC%20-%20Veh%C3%ADculo%20El%C3%A9ctrico&amp;utm_medium=email&amp;_hsenc=p2ANqtz--BJ3MZUYv7Bzz7-CAdlyb7XzxZF1DyP2TII9eVI14QTijM3kyNwJsCTRJ1vl3NQEUvtQclI9ua5JqF9mRYxjuq-uRn2TVKKr3T6z19xFCy55sONy4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</si>
  <si>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medium=email&amp;_hsenc=p2ANqtz-_ozZLPtTudSx5yYcUYQI966TX4h4Ah3tHFTdAWIhdg6ecCg3WcUQauEc964PtSQundyc6J4KPuZvyHDGdnzj2ke_HuB_HUJAvo53bu80hGnwsYzW8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</si>
  <si>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medium=email&amp;_hsenc=p2ANqtz-_XCotUjyuUH2raIWhQN_0vpXGExV1vf2hzir8dhoH7X5UW4hjDJ4mEOHWpVUVhtqHh8J2wNvHIAo2s1_5Cu-94yv1Y5w&amp;_hsmi=71033675&amp;utm_source=hs_automation&amp;utm_content=71033675&amp;hsCtaTracking=2e94ebfc-d414-4389-870c-d2f266a9420b%7C587ac4dc-a49a-4bdc-b449-e36f5d95395b</t>
  </si>
  <si>
    <t>1880@dipta.cat</t>
  </si>
  <si>
    <t>https://resources.simonelectric.com/simon-ebook-vehiculo-electrico?utm_campaign=SIC%20-%20Veh%C3%ADculo%20El%C3%A9ctrico&amp;utm_medium=email&amp;_hsenc=p2ANqtz--rtVg_v9EZUwYbHVbgjPUGyM55N_FWVdSoKd4EaXLNFs4odH-hnNsB4wpPVLPY17MBHFd_VIHlboJ6vi0qcrD7agxMKQ&amp;_hsmi=71033675&amp;utm_source=hs_automation&amp;utm_content=71033675&amp;hsCtaTracking=2e94ebfc-d414-4389-870c-d2f266a9420b%7C587ac4dc-a49a-4bdc-b449-e36f5d95395b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</si>
  <si>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-pQY6KHpxvX1FiA_ZqGF_vpta29ArKHgRpdSGF9ZeMKQHqRu4CHVNsrijKBDGIYfKMQ05cIz_LFPPWvwhz3Usz-Hrwhw%26_hsmi%3D71033828</t>
  </si>
  <si>
    <t>1881@simon.es</t>
  </si>
  <si>
    <t>1882@gmail.com</t>
  </si>
  <si>
    <t>https://resources.simonelectric.com/simon-ebook-vehiculo-electrico?utm_campaign=SIC%20-%20Veh%C3%ADculo%20El%C3%A9ctrico&amp;utm_source=hs_automation&amp;utm_medium=email&amp;utm_content=71033675&amp;_hsenc=p2ANqtz-8SwMQoFLdG4jDJvIQnjurbIeT7ikjFgjP7way5pU5JXC4oXeblffGPYjXXmWbWGPBGz4zcCR_E82zGTP6bMRyFqwWoTnTUoM6IpR_UbH1GlC5wxvQ&amp;_hsmi=71033675</t>
  </si>
  <si>
    <t>https://resources.simonelectric.com/simon-catalogo-vehiculo-electrico?utm_campaign=SIC%20-%20Veh%C3%ADculo%20El%C3%A9ctrico&amp;utm_source=hs_automation&amp;utm_medium=email&amp;utm_content=71034014&amp;_hsenc=p2ANqtz-_38gUcDGDvgX1G5XVODvQOw-XBnJmL4joz1ilso0f3_7PUaU9XZJKDvZoAdetep7h_rAKoDyLuIc91Be3LfPHfuMjXJg&amp;_hsmi=71034014</t>
  </si>
  <si>
    <t>1883@adingenieros.es</t>
  </si>
  <si>
    <t>https://resources.simonelectric.com/simon-ebook-vehiculo-electrico?utm_campaign=SIC%20-%20Veh%C3%ADculo%20El%C3%A9ctrico&amp;utm_medium=email&amp;_hsenc=p2ANqtz-_AYVYJwGpdp7pcEcDIDSEy62rPKIxOoIC6lgnPLShPMXrcCsotfqP0tkh2vnyOyq49FLdMn07jEYw8omh4eJ8phP6YXqP2GDnT2LZqmwhGuxUDjFA&amp;_hsmi=71033675&amp;utm_source=hs_automation&amp;utm_content=71033675&amp;hsCtaTracking=2e94ebfc-d414-4389-870c-d2f266a9420b%7C587ac4dc-a49a-4bdc-b449-e36f5d95395b</t>
  </si>
  <si>
    <t>1884@zuecoingenieria.com</t>
  </si>
  <si>
    <t>https://resources.simonelectric.com/simon-ebook-vehiculo-electrico?utm_campaign=SIC%20-%20Veh%C3%ADculo%20El%C3%A9ctrico&amp;utm_medium=email&amp;_hsenc=p2ANqtz-_d6SjrlNE6uZR4D513I7QXzYB8gtHDKnQvZhrmdkM4w89_2pniPdSUscGgtzIf-vqX7-_B2CBvlK4l6lCJdI9k-8gZwMCwD3oQbunqpcAB7L2YVlE&amp;_hsmi=71033675&amp;utm_source=hs_automation&amp;utm_content=71033675&amp;hsCtaTracking=2e94ebfc-d414-4389-870c-d2f266a9420b%7C587ac4dc-a49a-4bdc-b449-e36f5d95395b</t>
  </si>
  <si>
    <t>1885@groupg4.com</t>
  </si>
  <si>
    <t>https://resources.simonelectric.com/simon-ebook-vehiculo-electrico?utm_campaign=SIC%20-%20Veh%C3%ADculo%20El%C3%A9ctrico&amp;utm_medium=email&amp;_hsenc=p2ANqtz-817VwrXu-A7Fb-xry4FWMWsLtcFRVfeJST_iyCRsXUZRbqbPEESAYJ24sDDU5A9KbQDVqcq6FPhVc33t-h70_Fv9MiCQ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</si>
  <si>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medium=email&amp;_hsenc=p2ANqtz-98TuU5RabGI1XLqPudpeI7-FXCNOXnBgKP762eIupQRztlzaizTuiYaktysTzFFChEMH8ciC28Y8sBv6nYD1tvkobHWSbaCKgGraDo662tYRlfv5A&amp;_hsmi=71033675&amp;utm_source=hs_automation&amp;utm_content=71033675&amp;hsCtaTracking=2e94ebfc-d414-4389-870c-d2f266a9420b%7C587ac4dc-a49a-4bdc-b449-e36f5d95395b</t>
  </si>
  <si>
    <t>1886@outlook.com</t>
  </si>
  <si>
    <t>https://resources.simonelectric.com/simon-ebook-vehiculo-electrico?utm_campaign=SIC%20-%20Veh%C3%ADculo%20El%C3%A9ctrico&amp;utm_medium=email&amp;_hsenc=p2ANqtz--Rqy6WB-VTmGHvCMBDZqwVkK5yFum-LOhN1-oB56hSpQrEgxnLEDJq_LiI_p6C7ROGQ03vx2pg3O7IDFUxUaOEH9d1Yg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</si>
  <si>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medium=email&amp;_hsenc=p2ANqtz-_FMHur286Lhnws7z7rNm7BL27n3mOv3niUcBWQYvNLHkrjjALo2EixKZWNy65MZRA2lbbivILfiHP4PGwtqcnOb5Ln4dnl4jZ8W6Bt7cWTUUEYdMo&amp;_hsmi=71033675&amp;utm_source=hs_automation&amp;utm_content=71033675&amp;hsCtaTracking=2e94ebfc-d414-4389-870c-d2f266a9420b%7C587ac4dc-a49a-4bdc-b449-e36f5d95395b</t>
  </si>
  <si>
    <t>1887@gmail.com</t>
  </si>
  <si>
    <t>https://resources.simonelectric.com/simon-ebook-vehiculo-electrico?utm_campaign=SIC%20-%20Veh%C3%ADculo%20El%C3%A9ctrico&amp;utm_source=hs_automation&amp;utm_medium=email&amp;utm_content=71033675&amp;_hsenc=p2ANqtz-_AYVYJwGpdp7pcEcDIDSEy62rPKIxOoIC6lgnPLShPMXrcCsotfqP0tkh2vnyOyq49FLdMn07jEYw8omh4eJ8phP6YXqP2GDnT2LZqmwhGuxUDjFA&amp;_hsmi=71033675</t>
  </si>
  <si>
    <t>1888@instalacionsgarmi.com</t>
  </si>
  <si>
    <t>https://resources.simonelectric.com/simon-ebook-vehiculo-electrico?utm_campaign=SIC%20-%20Veh%C3%ADculo%20El%C3%A9ctrico&amp;utm_medium=email&amp;_hsenc=p2ANqtz-_trVjPyqdMMp9UzcAAAQBkLn34DVVBcujiVu-aX0QXpNWNMWuelSDZBc8TwCgWE_7WQO_imyqVe76ZpkPVtpsBGk0YAQ5VpUv1tM2OTbbcGh602VQ&amp;_hsmi=71033675&amp;utm_source=hs_automation&amp;utm_content=71033675&amp;hsCtaTracking=2e94ebfc-d414-4389-870c-d2f266a9420b%7C587ac4dc-a49a-4bdc-b449-e36f5d95395b</t>
  </si>
  <si>
    <t>1889@cetim.cat</t>
  </si>
  <si>
    <t>https://resources.simonelectric.com/simon-ebook-vehiculo-electrico?utm_campaign=SIC%20-%20Veh%C3%ADculo%20El%C3%A9ctrico&amp;utm_medium=email&amp;_hsenc=p2ANqtz-9hDVZpBx62dz63zEGlfSK3s7DdEYebJmdkr8qpRZ75CytwKzS-c8EPFjKbNO0aiEzJ_xfKUcwElh6wxMnYxQpM2nxn3Q&amp;_hsmi=71033675&amp;utm_source=hs_automation&amp;utm_content=71033675&amp;hsCtaTracking=2e94ebfc-d414-4389-870c-d2f266a9420b%7C587ac4dc-a49a-4bdc-b449-e36f5d95395b</t>
  </si>
  <si>
    <t>1890@setenergia.com</t>
  </si>
  <si>
    <t>https://resources.simonelectric.com/simon-ebook-vehiculo-electrico?utm_campaign=SIC%20-%20Veh%C3%ADculo%20El%C3%A9ctrico&amp;utm_medium=email&amp;_hsenc=p2ANqtz-_GD7yFKetpGeW3nbvasHqgLBfVL9xJYtL-AsaK8NfJASHDIpSKa3ldYBSdN_Ni3fSlYtcG3-zkOD5LB8wHVJyAAsvEQKO2EPO48guTzDV12W8fuj8&amp;_hsmi=71033675&amp;utm_source=hs_automation&amp;utm_content=71033675&amp;hsCtaTracking=2e94ebfc-d414-4389-870c-d2f266a9420b%7C587ac4dc-a49a-4bdc-b449-e36f5d95395b</t>
  </si>
  <si>
    <t>1891@ciudaddelosmuchachos.com</t>
  </si>
  <si>
    <t>https://resources.simonelectric.com/simon-ebook-vehiculo-electrico?utm_campaign=SIC%20-%20Veh%C3%ADculo%20El%C3%A9ctrico&amp;utm_medium=email&amp;_hsenc=p2ANqtz-8FOso4CNegT781YH-K7EedGCV7AXxIs5f6LJoBI8wkCaoRWOcPUzmqT75or6VwAUO_3etZsrkTD5cAZ43S91hWJ6NAQVYr8NS3tIoQ0r4_7744YH8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</si>
  <si>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medium=email&amp;_hsenc=p2ANqtz-_4oxGjdVL2ijGjpYCLkIIo3UGOJ0Tz31MwS4BDrltd4TSEtc9IYx9GQKLaQ_hhkSWfGtiHi1tMILddEeNEv5_0MhT7rw&amp;_hsmi=71033675&amp;utm_source=hs_automation&amp;utm_content=71033675&amp;hsCtaTracking=2e94ebfc-d414-4389-870c-d2f266a9420b%7C587ac4dc-a49a-4bdc-b449-e36f5d95395b</t>
  </si>
  <si>
    <t>1892@soltecingenieros.com</t>
  </si>
  <si>
    <t>https://resources.simonelectric.com/simon-ebook-vehiculo-electrico?utm_campaign=SIC%20-%20Veh%C3%ADculo%20El%C3%A9ctrico&amp;utm_source=hs_automation&amp;utm_medium=email&amp;utm_content=71033675&amp;_hsenc=p2ANqtz--U6a8xJuYpvESvfewBbJBpNDLCmXzDl9xajOlwI4biZoXo73JiERI1Kdo8Ai4xQE12Qetriu9wWh99hd1gZPdnBP3CBg&amp;_hsmi=71033675</t>
  </si>
  <si>
    <t>1893@byguk.com</t>
  </si>
  <si>
    <t>https://resources.simonelectric.com/simon-ebook-vehiculo-electrico?utm_campaign=SIC%20-%20Veh%C3%ADculo%20El%C3%A9ctrico&amp;utm_medium=email&amp;_hsenc=p2ANqtz-9bL1EuBAfWGU1-s3B6Hb1aeztwbxCkXXOh-9Y4CvRW6uKglOlVRpIJCH2ylxu_jABB-76n6MEDGeoPH0hyHXWapHTanEGFSSKS-tg_piNzc7-zvqw&amp;_hsmi=71033675&amp;utm_source=hs_automation&amp;utm_content=71033675&amp;hsCtaTracking=2e94ebfc-d414-4389-870c-d2f266a9420b%7C587ac4dc-a49a-4bdc-b449-e36f5d95395b</t>
  </si>
  <si>
    <t>1894@arasolutions.es</t>
  </si>
  <si>
    <t>https://resources.simonelectric.com/simon-ebook-vehiculo-electrico?utm_campaign=SIC%20-%20Veh%C3%ADculo%20El%C3%A9ctrico&amp;utm_medium=email&amp;_hsenc=p2ANqtz-8uwLGsO4Ewqfj09FMt1BGsJWFqNf_CB8PPoHQOPuaMSc22p9TjO79Tz05d5rM5cKhufLZ-eXa49Um7Xy0NKJN-fe23WA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</si>
  <si>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medium=email&amp;_hsenc=p2ANqtz-_HAQiQbvJsQpXLyYzqV_eado2aflY4rUP8PV7bZir6g4q9nsAMUyNagBEakxKBkZcu6lCNRrCsSw0_TxA4NPT12GgcQTBVDd2DulqrF140IJ2kM74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</si>
  <si>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source=hs_automation&amp;utm_medium=email&amp;utm_content=71033675&amp;_hsenc=p2ANqtz--LUpvO32GryimLu-kGkFBGZurIBluoRe-C8To6XOeioqnkAO7_s3AhAcnVG7jGQPtKvRPQo65ho9FhQgSp8aAcgbAwCQ&amp;_hsmi=71033675</t>
  </si>
  <si>
    <t>1895@grupoarquitelia.com</t>
  </si>
  <si>
    <t>https://resources.simonelectric.com/simon-ebook-vehiculo-electrico?utm_campaign=SIC%20-%20Veh%C3%ADculo%20El%C3%A9ctrico&amp;utm_source=hs_email&amp;utm_medium=email&amp;utm_content=71033675&amp;_hsenc=p2ANqtz--hjpowJghruRZbYIMx1MPOjxdu4iPZixNnGBdxUzfalTLpUC_AeDB6zXRhlZXibBHFrmCccMev2WtaQwCwCMvyJYO81w</t>
  </si>
  <si>
    <t>https://resources.simonelectric.com/simon-catalogo-vehiculo-electrico?utm_campaign=SIC%20-%20Veh%C3%ADculo%20El%C3%A9ctrico&amp;utm_source=hs_automation&amp;utm_medium=email&amp;utm_content=71034014&amp;_hsenc=p2ANqtz--TvDhl2MuMygPFasklHrW3OOe5neB2cCwW1OIcnaUGG0NNPmxrW8oQtR0UkxVx43HZLmmZeGqTIFS8EYoKu3o2eFDUmg&amp;_hsmi=71034014</t>
  </si>
  <si>
    <t>1896@gmail.com</t>
  </si>
  <si>
    <t>1897@hotmail.es</t>
  </si>
  <si>
    <t>1898@navantia.es</t>
  </si>
  <si>
    <t>https://resources.simonelectric.com/simon-ebook-vehiculo-electrico-0?gclid=EAIaIQobChMIpMip49GG6QIVkdLVCh3Z8APSEAEYASAAEgIEhfD_BwE</t>
  </si>
  <si>
    <t>1899@gmail.com</t>
  </si>
  <si>
    <t>1900@hotmail.com</t>
  </si>
  <si>
    <t>https://resources.simonelectric.com/simon-ebook-vehiculo-electrico-0?gclid=CjwKCAjw4pT1BRBUEiwAm5QuRwxIF9Aaubs9O2a6F1ss1crhRinqgcoanghK03YJcYIh46DMeLQJLhoCyaYQAvD_BwE</t>
  </si>
  <si>
    <t>1901@gmail.com</t>
  </si>
  <si>
    <t>1902@hotmail.com</t>
  </si>
  <si>
    <t>https://resources.simonelectric.com/simon-ebook-vehiculo-electrico-0?gclid=EAIaIQobChMIjbH6uruF6QIVQcbeCh0UDgwzEAEYASAAEgJ_0_D_BwE</t>
  </si>
  <si>
    <t>1903@yahoo.es</t>
  </si>
  <si>
    <t>https://resources.simonelectric.com/simon-ebook-vehiculo-electrico-0?gclid=EAIaIQobChMI7_Cst6KE6QIVBhPTCh3mnQRnEAEYASAAEgIyKvD_BwE</t>
  </si>
  <si>
    <t>1904@gmail.com</t>
  </si>
  <si>
    <t>https://resources.simonelectric.com/simon-catalogo-vehiculo-electrico?__hstc=83084745.e6630a1ac9a05ed63985148e48626ba4.1584529591285.1584529591285.1587830772133.2&amp;__hssc=83084745.8.1587830772133&amp;__hsfp=578435309</t>
  </si>
  <si>
    <t>1905@gmail.com</t>
  </si>
  <si>
    <t>https://resources.simonelectric.com/simon-ebook-vehiculo-electrico-0?gclid=EAIaIQobChMIoNza3uaD6QIVF2wbCh3-EAlHEAEYASAAEgJbl_D_BwE</t>
  </si>
  <si>
    <t>1906@gmail.com</t>
  </si>
  <si>
    <t>https://resources.simonelectric.com/simon-ebook-vehiculo-electrico-0?gclid=CjwKCAjwv4_1BRAhEiwAtMDLsur2Ws-JTeBy295fON47FA6MTINbplawKQQkjJsRwXbZV5rZX0wAUhoCUDEQAvD_BwE</t>
  </si>
  <si>
    <t>https://resources.simonelectric.com/simon-ebook-vehiculo-electrico-0?gclid=CjwKCAjwv4_1BRAhEiwAtMDLskkjZ4rOQJB9IdG4cK1rcFOmTJtOCIUot_QwK5WgzS5-Q1eaG_iUIBoCEswQAvD_BwE</t>
  </si>
  <si>
    <t>1907@yahoo.es</t>
  </si>
  <si>
    <t>https://resources.simonelectric.com/simon-ebook-vehiculo-electrico-0?gclid=EAIaIQobChMI-7q6iNGD6QIVzJ4bCh0wZQtPEAEYASAAEgI1Z_D_BwE</t>
  </si>
  <si>
    <t>1908@enel.com</t>
  </si>
  <si>
    <t>1909@gmail.com</t>
  </si>
  <si>
    <t>https://resources.simonelectric.com/simon-catalogo-vehiculo-electrico?__hstc=83084745.e822cd2996487e49627d1d3e0673a877.1587653940361.1587724592520.1587807269682.5&amp;__hssc=83084745.2.1587807269682&amp;__hsfp=3693779936</t>
  </si>
  <si>
    <t>1910@antelecat.com</t>
  </si>
  <si>
    <t>https://resources.simonelectric.com/simon-ebook-vehiculo-electrico?utm_referrer=https%3A%2F%2Fwww.simonelectric.com%2Fblog%2Fmovilidad-urbana-sostenible-plan-movem-de-la-diputacion-de-badajoz</t>
  </si>
  <si>
    <t>1911@gmail.com</t>
  </si>
  <si>
    <t>1912@gmail.com</t>
  </si>
  <si>
    <t>https://resources.simonelectric.com/simon-ebook-vehiculo-electrico?utm_campaign=SIC%20-%20Veh%C3%ADculo%20El%C3%A9ctrico&amp;utm_medium=email&amp;_hsenc=p2ANqtz-9LIUltIvMZJeFmBTOpds33j04JQaPT-XTfDLvTCIGj21GjJXvv6CK8B9RLnYHkRa6GZ7XkYShYHtWEaqThqAjmHGXslQ&amp;_hsmi=71033675&amp;utm_source=hs_automation&amp;utm_content=71033675&amp;hsCtaTracking=2e94ebfc-d414-4389-870c-d2f266a9420b%7C587ac4dc-a49a-4bdc-b449-e36f5d95395b</t>
  </si>
  <si>
    <t>https://resources.simonelectric.com/simon-ebook-vehiculo-electrico-0?gclid=CjwKCAjwnIr1BRAWEiwA6GpwNZi9EgclSYQShv87nQPNhOS4KHxJOtq__B2TjwKrS6f2xpM5DqdfQBoCXUcQAvD_BwE</t>
  </si>
  <si>
    <t>1913@gmail.com</t>
  </si>
  <si>
    <t>https://resources.simonelectric.com/simon-ebook-vehiculo-electrico-0?gclid=EAIaIQobChMIzLLMj8eB6QIVlrcbCh27TAOGEAEYASAAEgLz7fD_BwE</t>
  </si>
  <si>
    <t>1914@simon.es</t>
  </si>
  <si>
    <t>1915@zmingenieros.com</t>
  </si>
  <si>
    <t>1916@gmail.com</t>
  </si>
  <si>
    <t>https://resources.simonelectric.com/simon-ebook-vehiculo-electrico-0?gclid=CjwKCAjwnIr1BRAWEiwA6GpwNWQWHHuhws1DAHsxyvG_3rzXWifqW13J6r5BN35iL78uUiOnJBX5gxoC5rkQAvD_BwE</t>
  </si>
  <si>
    <t>1917@gmail.com</t>
  </si>
  <si>
    <t>https://resources.simonelectric.com/simon-ebook-vehiculo-electrico-0?gclid=EAIaIQobChMIvJ3u06-B6QIVSCLTCh3iqA41EAEYASAAEgLQEfD_BwE</t>
  </si>
  <si>
    <t>1918@sgx.cat</t>
  </si>
  <si>
    <t>https://resources.simonelectric.com/simon-ebook-vehiculo-electrico-0?gclid=EAIaIQobChMI867Es66B6QIVxeIbCh0_UQ8TEAEYASAAEgLJiPD_BwE</t>
  </si>
  <si>
    <t>1919@simon.pt</t>
  </si>
  <si>
    <t>1920@gmail.com</t>
  </si>
  <si>
    <t>1921@msn.com</t>
  </si>
  <si>
    <t>1922@simon.es</t>
  </si>
  <si>
    <t>1923@agosa.es</t>
  </si>
  <si>
    <t>1924@merlosl.es</t>
  </si>
  <si>
    <t>1925@elecnor.com</t>
  </si>
  <si>
    <t>1926@elecam.com</t>
  </si>
  <si>
    <t>https://resources.simonelectric.com/simon-ebook-vehiculo-electrico?utm_campaign=SIC%20-%20Veh%C3%ADculo%20El%C3%A9ctrico&amp;utm_source=hs_automation&amp;utm_medium=email&amp;utm_content=71033675&amp;_hsenc=p2ANqtz--_X3Immyw7w8JFlPLe6zdkthMSzttO8Yvu3Oi5jpKo6scjxBZpcHQt3wJE-7Acz0XTCdZGWA0f7xrPoybLMrU9xxg7Gg&amp;_hsmi=71033675</t>
  </si>
  <si>
    <t>1927@anbatel.com</t>
  </si>
  <si>
    <t>https://resources.simonelectric.com/simon-ebook-vehiculo-electrico?utm_campaign=SIC%20-%20Veh%C3%ADculo%20El%C3%A9ctrico&amp;utm_source=hs_automation&amp;utm_medium=email&amp;utm_content=71033675&amp;_hsenc=p2ANqtz--bAzEU4SqahDqEEvzHcy0TrTCwbVCxWZ5ksg0lMVRsSdYZ4HGSaJfYMc0bKm_uoI3StCyXOy-Ucx-PB9dTUX-qauuAPg&amp;_hsmi=71033675</t>
  </si>
  <si>
    <t>1928@gmail.com</t>
  </si>
  <si>
    <t>1929@hotmail.com</t>
  </si>
  <si>
    <t>https://resources.simonelectric.com/simon-ebook-vehiculo-electrico-ppc?utm_source=facebook&amp;utm_medium=social_ads&amp;utm_campaign=vehiculo_electrico&amp;fbclid=IwAR0fPl6bq-KB357bRTVw0AW6O8IPC5qMK3xOOgHUDRVVTjRypy9dt9EvU14</t>
  </si>
  <si>
    <t>1930@gmail.com</t>
  </si>
  <si>
    <t>1931@gmail.com</t>
  </si>
  <si>
    <t>https://resources.simonelectric.com/simon-catalogo-vehiculo-electrico?__hstc=83084745.4c4555463f988c95767bfb6b52a9004f.1587653018046.1587659420270.1587672855130.4&amp;__hssc=83084745.9.1587672855130&amp;__hsfp=3685676717</t>
  </si>
  <si>
    <t>1932@cotelsa.com</t>
  </si>
  <si>
    <t>1933@lujama.com</t>
  </si>
  <si>
    <t>1934@ferrovial.com</t>
  </si>
  <si>
    <t>1935@telefonica.net</t>
  </si>
  <si>
    <t>1936@e2enginyeria.com</t>
  </si>
  <si>
    <t>1937@gmail.com</t>
  </si>
  <si>
    <t>1938@gmail.com</t>
  </si>
  <si>
    <t>1939@simon.es</t>
  </si>
  <si>
    <t>1940@electromercantil.es</t>
  </si>
  <si>
    <t>1941@hotmail.com</t>
  </si>
  <si>
    <t>1942@ciudaddelosmuchachos.com</t>
  </si>
  <si>
    <t>1943@gmail.com</t>
  </si>
  <si>
    <t>1944@didacticaformacion.es</t>
  </si>
  <si>
    <t>1945@ip21ingenieria.com</t>
  </si>
  <si>
    <t>1946@gmail.com</t>
  </si>
  <si>
    <t>1947@gmail.com</t>
  </si>
  <si>
    <t>1948@culmar.net</t>
  </si>
  <si>
    <t>1949@suno.cat</t>
  </si>
  <si>
    <t>1950@yahoo.es</t>
  </si>
  <si>
    <t>1951@engimatica.com</t>
  </si>
  <si>
    <t>1952@tinet.cat</t>
  </si>
  <si>
    <t>1953@proyteczaragoza.com</t>
  </si>
  <si>
    <t>1954@dicsl.com</t>
  </si>
  <si>
    <t>1955@salesianos.edu</t>
  </si>
  <si>
    <t>1956@gmail.com</t>
  </si>
  <si>
    <t>1957@msn.com</t>
  </si>
  <si>
    <t>1958@iebsl.com</t>
  </si>
  <si>
    <t>1959@gmail.com</t>
  </si>
  <si>
    <t>1960@ic3sl.com</t>
  </si>
  <si>
    <t>1961@hotmail.com</t>
  </si>
  <si>
    <t>1962@lliro.com</t>
  </si>
  <si>
    <t>1963@atisistemas.com</t>
  </si>
  <si>
    <t>1964@hotmail.com</t>
  </si>
  <si>
    <t>1965@tienda-gasnatural.com</t>
  </si>
  <si>
    <t>1966@gmail.com</t>
  </si>
  <si>
    <t>1967@ferrovial.com</t>
  </si>
  <si>
    <t>1968@gmail.com</t>
  </si>
  <si>
    <t>1969@fundacionmasaveu.com</t>
  </si>
  <si>
    <t>1970@electrificacionesparra.es</t>
  </si>
  <si>
    <t>1971@tienda-gasnatural.com</t>
  </si>
  <si>
    <t>1972@projecal.com</t>
  </si>
  <si>
    <t>1973@ingekor.com</t>
  </si>
  <si>
    <t>1974@proluxingenieros.com</t>
  </si>
  <si>
    <t>https://resources.simonelectric.com/simon-catalogo-vehiculo-electrico?__hstc=83084745.aac938e47ea331d53975d39a4f8bc3e0.1587658846815.1587658846815.1587658846815.1&amp;__hssc=83084745.3.1587658846815&amp;__hsfp=2240145725</t>
  </si>
  <si>
    <t>https://resources.simonelectric.com/simon-catalogo-vehiculo-electrico?__hstc=83084745.cd8c29e3ef3098b894b0ff3ec5a6561b.1587653065408.1587657016813.1587658948646.3&amp;__hssc=83084745.5.1587658948646&amp;__hsfp=1274965994</t>
  </si>
  <si>
    <t>1975@outlook.es</t>
  </si>
  <si>
    <t>https://resources.simonelectric.com/simon-catalogo-vehiculo-electrico?__hstc=83084745.bcf08aad916431131b1c7e46234a00e2.1587653006424.1587655246879.1587658861102.3&amp;__hssc=83084745.1.1587658861102&amp;__hsfp=700867237</t>
  </si>
  <si>
    <t>1976@electronavia.com</t>
  </si>
  <si>
    <t>1977@gmail.com</t>
  </si>
  <si>
    <t>1978@hotmail.com</t>
  </si>
  <si>
    <t>1979@matcas.es</t>
  </si>
  <si>
    <t>1980@hotmail.com</t>
  </si>
  <si>
    <t>1981@gmail.com</t>
  </si>
  <si>
    <t>1982@hotmail.com</t>
  </si>
  <si>
    <t>1983@suno.cat</t>
  </si>
  <si>
    <t>1984@hotmail.com</t>
  </si>
  <si>
    <t>1985@tinet.org</t>
  </si>
  <si>
    <t>1986@martipala.com</t>
  </si>
  <si>
    <t>1987@simon.es</t>
  </si>
  <si>
    <t>1988@lusorede.pt</t>
  </si>
  <si>
    <t>1989@elecdomo.com</t>
  </si>
  <si>
    <t>1990@gmail.com</t>
  </si>
  <si>
    <t>1991@gmail.com</t>
  </si>
  <si>
    <t>1992@proecoingenieria.com</t>
  </si>
  <si>
    <t>1993@simon.es</t>
  </si>
  <si>
    <t>1994@gmail.com</t>
  </si>
  <si>
    <t>1995@gmail.com</t>
  </si>
  <si>
    <t>1996@gmail.com</t>
  </si>
  <si>
    <t>1997@comi-sl.com</t>
  </si>
  <si>
    <t>1998@gmail.com</t>
  </si>
  <si>
    <t>1999@obrelsa.com</t>
  </si>
  <si>
    <t>2000@hotmail.com</t>
  </si>
  <si>
    <t>2001@alainsa.com</t>
  </si>
  <si>
    <t>2002@camarasaragon.com</t>
  </si>
  <si>
    <t>2003@alainsa.com</t>
  </si>
  <si>
    <t>2004@mcamps.es</t>
  </si>
  <si>
    <t>2005@hotmail.com</t>
  </si>
  <si>
    <t>2006@masteringenieria.com</t>
  </si>
  <si>
    <t>2007@simon.es</t>
  </si>
  <si>
    <t>2008@yahoo.es</t>
  </si>
  <si>
    <t>2009@gmail.com</t>
  </si>
  <si>
    <t>2010@incasl.com</t>
  </si>
  <si>
    <t>2011@gmail.com</t>
  </si>
  <si>
    <t>2012@gmail.com</t>
  </si>
  <si>
    <t>2013@ecopimeprojects.com</t>
  </si>
  <si>
    <t>2014@gmail.com</t>
  </si>
  <si>
    <t>2015@hotmail.com</t>
  </si>
  <si>
    <t>2016@simon.es</t>
  </si>
  <si>
    <t>2017@sogesa.es</t>
  </si>
  <si>
    <t>2018@mantise.com</t>
  </si>
  <si>
    <t>2019@didacticaformacion.es</t>
  </si>
  <si>
    <t>2020@forestaldelatlantico.com</t>
  </si>
  <si>
    <t>2021@osnova.net</t>
  </si>
  <si>
    <t>2022@solarinspain.com</t>
  </si>
  <si>
    <t>2023@gmail.com</t>
  </si>
  <si>
    <t>2024@grupooca.com</t>
  </si>
  <si>
    <t>2025@gmail.com</t>
  </si>
  <si>
    <t>2026@telefonica.net</t>
  </si>
  <si>
    <t>2027@hotmail.com</t>
  </si>
  <si>
    <t>2028@grupooca.com</t>
  </si>
  <si>
    <t>2029@sonepar.es</t>
  </si>
  <si>
    <t>2030@gmail.com</t>
  </si>
  <si>
    <t>2031@electrofiloeste.es</t>
  </si>
  <si>
    <t>2032@masalo.biz</t>
  </si>
  <si>
    <t>2033@elmoelectric.com</t>
  </si>
  <si>
    <t>2034@tienda-gasnatural.com</t>
  </si>
  <si>
    <t>2035@yahoo.es</t>
  </si>
  <si>
    <t>2036@sece.com</t>
  </si>
  <si>
    <t>2037@agefred.es</t>
  </si>
  <si>
    <t>2038@legomar.com</t>
  </si>
  <si>
    <t>2039@antrelec.net</t>
  </si>
  <si>
    <t>2040@grupsoler.com</t>
  </si>
  <si>
    <t>2041@electromercantil.es</t>
  </si>
  <si>
    <t>2042@gmail.com</t>
  </si>
  <si>
    <t>2043@gmail.com</t>
  </si>
  <si>
    <t>2044@orvi-s.es</t>
  </si>
  <si>
    <t>2045@gmail.com</t>
  </si>
  <si>
    <t>2046@gmail.com</t>
  </si>
  <si>
    <t>2047@gmail.com</t>
  </si>
  <si>
    <t>2048@visioelectric.es</t>
  </si>
  <si>
    <t>2049@telefonica.net</t>
  </si>
  <si>
    <t>2050@melecmor.com</t>
  </si>
  <si>
    <t>2051@gmail.com</t>
  </si>
  <si>
    <t>2052@simon.es</t>
  </si>
  <si>
    <t>2053@sades.es</t>
  </si>
  <si>
    <t>2054@simon.es</t>
  </si>
  <si>
    <t>2055@gmail.com</t>
  </si>
  <si>
    <t>2056@hotmail.com</t>
  </si>
  <si>
    <t>https://resources.simonelectric.com/simon-ebook-vehiculo-electrico-ppc?utm_source=facebook&amp;utm_medium=social_ads&amp;utm_campaign=vehiculo_electrico&amp;fbclid=IwAR0w8ejdI4TXxceDNT_yVf71exf573qe3aRKMIHGe-Q3Cb5oIxroVWKDMuM</t>
  </si>
  <si>
    <t>2057@gmail.com</t>
  </si>
  <si>
    <t>2058@sonepar.es</t>
  </si>
  <si>
    <t>https://resources.simonelectric.com/simon-ebook-vehiculo-electrico?utm_campaign=SIC%20-%20Veh%C3%ADculo%20El%C3%A9ctrico&amp;utm_medium=email&amp;_hsenc=p2ANqtz-_0cOjZFHzqeTvX6iFqkPDVKTdtA8Xu891B3a6W8jl5NsHC5tWrbm13xwMESAP3kpar4BnFkZL6EdphplchxILMfYax8LXWX-5F89ps3fu2PtXWH1g&amp;_hsmi=71033675&amp;utm_source=hs_automation&amp;utm_content=71033675&amp;hsCtaTracking=2e94ebfc-d414-4389-870c-d2f266a9420b%7C587ac4dc-a49a-4bdc-b449-e36f5d95395b</t>
  </si>
  <si>
    <t>2059@gmail.com</t>
  </si>
  <si>
    <t>https://resources.simonelectric.com/simon-ebook-vehiculo-electrico?utm_referrer=https%3A%2F%2Fwww.simonelectric.com%2Fblog%2Fcomo-instalar-un-punto-de-recarga-de-coche-electrico-en-tu-domicilio-o-tu-empresa-en-7-pasos</t>
  </si>
  <si>
    <t>2060@gmail.com</t>
  </si>
  <si>
    <t>2061@hotmail.es</t>
  </si>
  <si>
    <t>2062@euskalnet.net</t>
  </si>
  <si>
    <t>2063@gmail.com</t>
  </si>
  <si>
    <t>https://resources.simonelectric.com/simon-ebook-vehiculo-electrico-ppc?utm_source=facebook&amp;utm_medium=social_ads&amp;utm_campaign=vehiculo_electrico&amp;fbclid=IwAR0-lpbCzWv37uaFVUENP05RCBKfbOKXCTyDCiRgqXm2_6B4_OZys-6qoUE</t>
  </si>
  <si>
    <t>https://resources.simonelectric.com/simon-catalogo-vehiculo-electrico?__hstc=83084745.9379b3125da4e82c88fcc7033d2b17c7.1524723984249.1587026209750.1587543398832.167&amp;__hssc=83084745.6.1587543398832&amp;__hsfp=1008463</t>
  </si>
  <si>
    <t>https://resources.simonelectric.com/simon-catalogo-vehiculo-electrico?__hstc=83084745.4946eb9573213222d8c41eac809ea7b3.1587511497122.1587511497122.1587511497122.1&amp;__hssc=83084745.8.1587511497124&amp;__hsfp=1008463</t>
  </si>
  <si>
    <t>2064@hotmail.com</t>
  </si>
  <si>
    <t>2065@gmail.com</t>
  </si>
  <si>
    <t>2066@gmail.com</t>
  </si>
  <si>
    <t>https://resources.simonelectric.com/simon-ebook-vehiculo-electrico?utm_campaign=SIC%20-%20Veh%C3%ADculo%20El%C3%A9ctrico&amp;utm_medium=email&amp;_hsenc=p2ANqtz-_8WgdfgDifggbmCWvBmj8hv8FZTfVbb7GUvOuvrrD4UoFBD4FL7hDR7o4nBgOFiMpsesAmdCPJo-74ykE5J_q7YsUkdw&amp;_hsmi=71033675&amp;utm_source=hs_automation&amp;utm_content=71033675&amp;hsCtaTracking=2e94ebfc-d414-4389-870c-d2f266a9420b%7C587ac4dc-a49a-4bdc-b449-e36f5d95395b</t>
  </si>
  <si>
    <t>2067@gmail.com</t>
  </si>
  <si>
    <t>2068@gencat.cat</t>
  </si>
  <si>
    <t>https://resources.simonelectric.com/simon-ebook-vehiculo-electrico?utm_referrer=https%3A%2F%2Fwww.simonelectric.com%2Fvehiculo-electrico%2Faccesorios</t>
  </si>
  <si>
    <t>2069@gmail.com</t>
  </si>
  <si>
    <t>2070@hotmail.com</t>
  </si>
  <si>
    <t>2071@gmail.com</t>
  </si>
  <si>
    <t>https://resources.simonelectric.com/simon-ebook-vehiculo-electrico-ppc?utm_source=facebook&amp;utm_medium=social_ads&amp;utm_campaign=vehiculo_electrico&amp;fbclid=IwAR3pt_qlFiBghR4Q0YXr7gzalkC-GA1pzMiny0OwU1ebKc0MsYtXo1Fdo3g</t>
  </si>
  <si>
    <t>2072@gmail.com</t>
  </si>
  <si>
    <t>https://resources.simonelectric.com/simon-ebook-vehiculo-electrico-0?gclid=CjwKCAjwkPX0BRBKEiwA7THxiEEkxG_SDOJHinKo7apE1ayAXM8kZ0n6SVJh3VLGwA4a311AjiQG8RoCqKoQAvD_BwE</t>
  </si>
  <si>
    <t>2073@gmail.com</t>
  </si>
  <si>
    <t>2074@hotmail.com</t>
  </si>
  <si>
    <t>2075@gmail.com</t>
  </si>
  <si>
    <t>2076@gmail.com</t>
  </si>
  <si>
    <t>https://resources.simonelectric.com/simon-catalogo-vehiculo-electrico?__hstc=83084745.7ad5e36ed4a00b0d813023d4c443998e.1581372013151.1585736992985.1587398351697.3&amp;__hssc=83084745.3.1587398351697&amp;__hsfp=159601320</t>
  </si>
  <si>
    <t>2077@gmail.com</t>
  </si>
  <si>
    <t>https://resources.simonelectric.com/simon-ebook-vehiculo-electrico?utm_campaign=SIC%20-%20Veh%C3%ADculo%20El%C3%A9ctrico&amp;utm_source=hs_automation&amp;utm_medium=email&amp;utm_content=71033675&amp;_hsenc=p2ANqtz-9Z9VAUM8lt1BA8ApdSvTFrFSgdQ60He0r2ZX1pdV_md7VCj5LY_24EiYdvhRth14lsKVjbph0mC5LQmdMM3P5JYRXT5w&amp;_hsmi=71033675</t>
  </si>
  <si>
    <t>2078@gmail.com</t>
  </si>
  <si>
    <t>https://resources.simonelectric.com/simon-ebook-vehiculo-electrico?utm_campaign=SIC%20-%20Veh%C3%ADculo%20El%C3%A9ctrico&amp;utm_medium=email&amp;_hsenc=p2ANqtz-9ZaJxszeoPpBv1IPfzRYClObPlyzCDGX2NZzrlCcFEVEmMZyrYMl9WqbSSrkfsJVlHNVlmZibw8gGsA5njpzEc616PlQ&amp;_hsmi=71033675&amp;utm_source=hs_automation&amp;utm_content=71033675&amp;hsCtaTracking=2e94ebfc-d414-4389-870c-d2f266a9420b%7C587ac4dc-a49a-4bdc-b449-e36f5d95395b</t>
  </si>
  <si>
    <t>2079@gmail.com</t>
  </si>
  <si>
    <t>2080@grupoelectrostocks.com</t>
  </si>
  <si>
    <t>https://resources.simonelectric.com/simon-ebook-vehiculo-electrico?utm_campaign=SIC%20-%20Veh%C3%ADculo%20El%C3%A9ctrico&amp;utm_medium=email&amp;_hsenc=p2ANqtz-9gGLDD2MTKAMRBgXiEqjkzKoqLDIuuPCNBMUaVWqJmaMJi0Ku3tX7uInPmy6rrBaIJG-0vn-R8KvWlh7iZ7G60MiVqRA&amp;_hsmi=71033675&amp;utm_source=hs_automation&amp;utm_content=71033675&amp;hsCtaTracking=2e94ebfc-d414-4389-870c-d2f266a9420b%7C587ac4dc-a49a-4bdc-b449-e36f5d95395b</t>
  </si>
  <si>
    <t>https://resources.simonelectric.com/simon-ebook-vehiculo-electrico?utm_referrer=https%3A%2F%2Fwww.simonelectric.com%2Fblog%2Fvehiculo-electrico-instalar-punto-de-recarga-en-garaje-comunitario%3Futm_campaign%3DSIC%2520-%2520Veh%25C3%25ADculo%2520El%25C3%25A9ctrico%26utm_source%3Dhs_automation%26utm_medium%3Demail%26utm_content%3D71033828%26_hsenc%3Dp2ANqtz-9JSlJIf3Ophs7aytbXuCbRFcTwjFbwLwYRuyf2RXH66AbeukV9vhv6XZztsZnjFI_J9cIVMqjQQ8wia48C6mAM0K4V4A%26_hsmi%3D71033828</t>
  </si>
  <si>
    <t>2081@cymel.com</t>
  </si>
  <si>
    <t>2082@hotmail.com</t>
  </si>
  <si>
    <t>https://resources.simonelectric.com/simon-ebook-vehiculo-electrico-0?gclid=EAIaIQobChMI68b5gdP16AIV0dXVCh2KGQIDEAEYASAAEgL5MPD_BwE</t>
  </si>
  <si>
    <t>2083@gmail.com</t>
  </si>
  <si>
    <t>https://resources.simonelectric.com/simon-ebook-vehiculo-electrico-ppc?utm_source=facebook&amp;utm_medium=social_ads&amp;utm_campaign=vehiculo_electrico&amp;fbclid=IwAR0o9ttKGzttKx08Il7UC5U8ne5PG4PjKC-lQDs_hfJLOhYqGQ2X-t7Qtkk</t>
  </si>
  <si>
    <t>2084@hcparquitectos.com</t>
  </si>
  <si>
    <t>https://resources.simonelectric.com/simon-ebook-vehiculo-electrico?utm_campaign=%23Simonentucasa&amp;utm_medium=email&amp;_hsenc=p2ANqtz-8dsDxBp_tOjfdB_wsn8uAkNxD7WPC40Mid970kizJchxdTblL1ea7AP-OmBJJ9tDpGssFDAPdDWB7gicF9fvgDJtmd-BqMAvttL0PmPlqcz_NRxPs&amp;_hsmi=85165037&amp;utm_source=hs_email&amp;utm_content=85165037&amp;hsCtaTracking=7e048f91-fedd-4131-939d-25771a4a2d12%7Cf6d6f061-2319-4b5b-89f8-8c89fca06239</t>
  </si>
  <si>
    <t>2085@gmail.com</t>
  </si>
  <si>
    <t>https://resources.simonelectric.com/simon-catalogo-vehiculo-electrico?utm_campaign=SIC%20-%20Veh%C3%ADculo%20El%C3%A9ctrico&amp;utm_source=hs_automation&amp;utm_medium=email&amp;utm_content=71034014&amp;_hsenc=p2ANqtz-9-XqFY1cyqZCO-7T09nq71DH3fLqFUOVWXXrIZuY9QqZJ4tIeFJ3hX1RSbnysoZ4mQI2Eyj6QSRNsVm1kMAJyoGetTFg&amp;_hsmi=71034014</t>
  </si>
  <si>
    <t>2086@farelle.com</t>
  </si>
  <si>
    <t>2087@hotmail.com</t>
  </si>
  <si>
    <t>2088@gmail.com</t>
  </si>
  <si>
    <t>https://resources.simonelectric.com/simon-ebook-vehiculo-electrico-ppc?utm_source=facebook&amp;utm_medium=social_ads&amp;utm_campaign=vehiculo_electrico&amp;fbclid=IwAR0hr2FRmO3aBuGUF4oGSSxPHxEy3eu1ZWApCOzXktgwIM1TeH8zRVJ5bMU</t>
  </si>
  <si>
    <t>2089@hotmail.com</t>
  </si>
  <si>
    <t>https://resources.simonelectric.com/simon-ebook-vehiculo-electrico-ppc?utm_source=facebook&amp;utm_medium=social_ads&amp;utm_campaign=vehiculo_electrico&amp;fbclid=IwAR0BC2bypNuGjeNTdIDJ6AcPHD8mxovtSXRWG6-g48Q4pCs4GmCY8jg1tsE</t>
  </si>
  <si>
    <t>2090@estabanell.cat</t>
  </si>
  <si>
    <t>2091@gmail.com</t>
  </si>
  <si>
    <t>2092@outlook.com</t>
  </si>
  <si>
    <t>2093@gmail.com</t>
  </si>
  <si>
    <t>2094@gmail.com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</si>
  <si>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UiG8AG3cAeO-QBUQm62OByeDcKniSMYIe3FQlw3n5WagOzSR4sIQU1bLmkQRUyeEkUl95HRGd7U7HfiZHeufpDikhpg%26_hsmi%3D81085388</t>
  </si>
  <si>
    <t>2095@hotmail.com</t>
  </si>
  <si>
    <t>2096@formasymateriales.com</t>
  </si>
  <si>
    <t>https://resources.simonelectric.com/simon-ebook-vehiculo-electrico-ppc?utm_source=facebook&amp;utm_medium=social_ads&amp;utm_campaign=vehiculo_electrico&amp;fbclid=IwAR05yVwj_syVAoKbdyI_tOqZxMo9YsYDwADnUX2ugWKHgj8DK0txApuu0Qc</t>
  </si>
  <si>
    <t>2097@hotmail.com</t>
  </si>
  <si>
    <t>https://resources.simonelectric.com/simon-ebook-vehiculo-electrico?utm_campaign=SIC%20-%20Veh%C3%ADculo%20El%C3%A9ctrico&amp;utm_medium=email&amp;_hsenc=p2ANqtz-_ccXbC4nOKGmTcBVJD4EntJSv46-G9AnyxMwG3tHH4qMeqTxL6-SO9RSR3kWVpA6y6XArV3P0L4BZyuQgjx_JRAKL7f8EDsygCUagLNhlh61KRpD4&amp;_hsmi=71033675&amp;utm_source=hs_automation&amp;utm_content=71033675&amp;hsCtaTracking=2e94ebfc-d414-4389-870c-d2f266a9420b%7C587ac4dc-a49a-4bdc-b449-e36f5d95395b</t>
  </si>
  <si>
    <t>2098@simon.es</t>
  </si>
  <si>
    <t>https://resources.simonelectric.com/simon-ebook-vehiculo-electrico?utm_referrer=https%3A%2F%2Fwww.simonelectric.com%2Fblog%2Fpuntos-de-recarga-de-vehiculos-electricos-en-centros-comerciales%3Futm_source%3Dlinkedin.com%26utm_medium%3D%255Bsocial%255D%26utm_campaign%3D%255Btimeline%255D</t>
  </si>
  <si>
    <t>2099@grupoelectrostocks.com</t>
  </si>
  <si>
    <t>2100@simon.es</t>
  </si>
  <si>
    <t>2101@gmail.com</t>
  </si>
  <si>
    <t>2102@gmail.com</t>
  </si>
  <si>
    <t>2103@hotmail.com</t>
  </si>
  <si>
    <t>2104@temarelectronica.es</t>
  </si>
  <si>
    <t>2105@nauta.cu</t>
  </si>
  <si>
    <t>2106@gmail.com</t>
  </si>
  <si>
    <t>2107@danmur.es</t>
  </si>
  <si>
    <t>2108@emvisesa.org</t>
  </si>
  <si>
    <t>2109@huelvanorte.es</t>
  </si>
  <si>
    <t>https://resources.simonelectric.com/simon-catalogo-vehiculo-electrico?__hstc=83084745.b5eb05f51d8653433daf5f21477faa2f.1587028612294.1587028612294.1587028612294.1&amp;__hssc=83084745.1.1587028612296&amp;__hsfp=2962759236</t>
  </si>
  <si>
    <t>2110@ingeconsulting.com</t>
  </si>
  <si>
    <t>2111@iraiaingenieros.com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</si>
  <si>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-9CiFNlpbDXeUU7BAKBT7BtvhP2unuQZlaZt0KVFKfrOLaixLige0F5xYy_dGusN6JBN-Ra5aSVLEdMIzu6Ro04Tef7CrnY8HNnuEywmVcCYlYwPdU%26_hsmi%3D71033828</t>
  </si>
  <si>
    <t>2112@gmail.com</t>
  </si>
  <si>
    <t>https://resources.simonelectric.com/simon-ebook-vehiculo-electrico-0?gclid=EAIaIQobChMI6v6Moqvs6AIVCT4bCh27FgQWEAEYASAAEgK6GfD_BwE</t>
  </si>
  <si>
    <t>https://resources.simonelectric.com/simon-ebook-vehiculo-electrico?utm_campaign=%23Simonentucasa&amp;utm_medium=email&amp;_hsenc=p2ANqtz-9Gy_MEBxZObBer479zBdERvyCWxLAcAYPQGGV1GjPGiM2hjh540P7Z1TG0F3PrwVgXwzRlDlhN3hWbemZB9i0HztqjJA&amp;_hsmi=85165037&amp;utm_source=hs_email&amp;utm_content=85165037&amp;hsCtaTracking=7e048f91-fedd-4131-939d-25771a4a2d12%7Cf6d6f061-2319-4b5b-89f8-8c89fca06239</t>
  </si>
  <si>
    <t>2113@gmail.com</t>
  </si>
  <si>
    <t>https://resources.simonelectric.com/simon-catalogo-vehiculo-electrico?utm_campaign=SIC%20-%20Veh%C3%ADculo%20El%C3%A9ctrico&amp;utm_source=hs_automation&amp;utm_medium=email&amp;utm_content=71034014&amp;_hsenc=p2ANqtz-_SDxXl08gDkCqKZFrJlXZkA7hTINZTiVLWPDzGtd2Ji83-bzAEhq5687aP0SFUClnVSv6HP5hVhGLaoEEEuQunanR4Qg&amp;_hsmi=71034014</t>
  </si>
  <si>
    <t>2114@tecnoclimainstalaciones.com</t>
  </si>
  <si>
    <t>2115@outlook.es</t>
  </si>
  <si>
    <t>https://resources.simonelectric.com/simon-ebook-vehiculo-electrico-ppc?utm_source=facebook&amp;utm_medium=social_ads&amp;utm_campaign=vehiculo_electrico&amp;fbclid=IwAR1D_uq-mRJC5H_RfCxqmvIvENPspYUY7-Hq-JeEeaDGnVI4R0JTfrYtJ6Q</t>
  </si>
  <si>
    <t>2116@gmail.com</t>
  </si>
  <si>
    <t>2117@gmail.com</t>
  </si>
  <si>
    <t>https://resources.simonelectric.com/simon-ebook-vehiculo-electrico-ppc?fbclid=IwAR0bAzziTX4pJmuYGUqdKY0XmaBb2Xrr9Gr_LPuMhnpHatkV4B_vboW6HZI</t>
  </si>
  <si>
    <t>2118@hotmail.com</t>
  </si>
  <si>
    <t>https://resources.simonelectric.com/simon-ebook-vehiculo-electrico-ppc?utm_source=facebook&amp;utm_medium=social_ads&amp;utm_campaign=vehiculo_electrico&amp;fbclid=IwAR0JxMTndd_JCLhSV5KKMptJBt7wGpi-nemU2L9XuzdUsXxlcWmxbkOLbJI</t>
  </si>
  <si>
    <t>2119@gmail.com</t>
  </si>
  <si>
    <t>2120@gmail.com</t>
  </si>
  <si>
    <t>2121@gmail.com</t>
  </si>
  <si>
    <t>2122@somains.com</t>
  </si>
  <si>
    <t>https://resources.simonelectric.com/simon-catalogo-vehiculo-electrico?__hstc=83084745.db03393bf42cc2fa5767ffdfb1137f6d.1586808603967.1586808603967.1586808603967.1&amp;__hssc=83084745.3.1586808603969&amp;__hsfp=1008463</t>
  </si>
  <si>
    <t>2123@gmail.com</t>
  </si>
  <si>
    <t>2124@gmail.com</t>
  </si>
  <si>
    <t>https://resources.simonelectric.com/simon-catalogo-vehiculo-electrico?utm_campaign=SIC%20-%20Veh%C3%ADculo%20El%C3%A9ctrico&amp;utm_source=hs_automation&amp;utm_medium=email&amp;utm_content=71034014&amp;_hsenc=p2ANqtz-8lcH2tKLr642eLSD9uBRrPIeMpBXZcuySr9cpByKKy5Cu9dlnoTwC3u7ROonqYnsDtmfM3gSnm8ojKxFSSQ76i9CbVfA&amp;_hsmi=71034014</t>
  </si>
  <si>
    <t>2125@ctac.es</t>
  </si>
  <si>
    <t>https://resources.simonelectric.com/simon-ebook-vehiculo-electrico?utm_referrer=https%3A%2F%2Fwww.simonelectric.com%2Fblog%2Fel-vehiculo-electrico-elementos-principales-y-funcionamiento%3Futm_campaign%3DSIC%2520-%2520Veh%25C3%25ADculo%2520El%25C3%25A9ctrico%26utm_source%3Dhs_automation%26utm_medium%3Demail%26utm_content%3D71033996%26_hsenc%3Dp2ANqtz-9t4ggkcKDgOstf8H8WOLslCg-1yas8K41_fmWH8m4NMfh9zIk7oegpC5LzQ14YZH6idjRqCvMmqmo-J2Ev-OUOlCQYdA%26_hsmi%3D71033996</t>
  </si>
  <si>
    <t>2126@gmail.com</t>
  </si>
  <si>
    <t>https://resources.simonelectric.com/simon-ebook-vehiculo-electrico?utm_campaign=SIC%20-%20Veh%C3%ADculo%20El%C3%A9ctrico&amp;utm_medium=email&amp;_hsenc=p2ANqtz-_X_arA6MHyaGLTxQvFK7nGYzRcw8TVRn5QUzC9RlqDZ4MZ9zVMg9TsQds9h3RN95Yl17Y72uoL00--6a0ysPl0W-Fa1qlLCG3hiBYmtWHX25-jIK8&amp;_hsmi=71033675&amp;utm_source=hs_automation&amp;utm_content=71033675&amp;hsCtaTracking=2e94ebfc-d414-4389-870c-d2f266a9420b%7C587ac4dc-a49a-4bdc-b449-e36f5d95395b</t>
  </si>
  <si>
    <t>2127@hotmail.com</t>
  </si>
  <si>
    <t>2128@gmail.com</t>
  </si>
  <si>
    <t>2129@gmail.com</t>
  </si>
  <si>
    <t>https://resources.simonelectric.com/simon-catalogo-vehiculo-electrico?utm_campaign=SIC%20-%20Veh%C3%ADculo%20El%C3%A9ctrico&amp;utm_source=hs_automation&amp;utm_medium=email&amp;utm_content=71034014&amp;_hsenc=p2ANqtz-8MwJSct55aJL5MDeumwjkgIp_3TpqlvVImo1qpYOSWuyl-e2p9ha8WTclVfuvCchJTSWKkvGOy2V_zSU2qKPnuhYF3QQ&amp;_hsmi=71034014</t>
  </si>
  <si>
    <t>2130@hotmail.com</t>
  </si>
  <si>
    <t>https://resources.simonelectric.com/simon-catalogo-vehiculo-electrico?utm_campaign=SIC%20-%20Veh%C3%ADculo%20El%C3%A9ctrico&amp;utm_source=hs_automation&amp;utm_medium=email&amp;utm_content=71034014&amp;_hsenc=p2ANqtz--0O4qKogE_BmtloZgeJxxtYu1JrbEsHkledUojQw4F0087P7LgwHi9AswqVgHCa-SFN7pgJflPbp9BUsttr11z_8HD7A&amp;_hsmi=71034014</t>
  </si>
  <si>
    <t>2131@gmail.com</t>
  </si>
  <si>
    <t>https://resources.simonelectric.com/simon-ebook-vehiculo-electrico-ppc?utm_source=facebook&amp;utm_medium=social_ads&amp;utm_campaign=vehiculo_electrico&amp;fbclid=IwAR34dx8iA-PlF4Rz5sYF-pu7tgMoUlCrBbLJzHmmbd1McED1OZZHy0vvXdE</t>
  </si>
  <si>
    <t>2132@hotmail.com</t>
  </si>
  <si>
    <t>2133@gmail.com</t>
  </si>
  <si>
    <t>https://resources.simonelectric.com/simon-ebook-vehiculo-electrico-0?gclid=CjwKCAjw1cX0BRBmEiwAy9tKHmxDYo34Xnpm9FI5KntbmgqoYrSlUKs-af4TyjErmYjB3-bzglNEDhoCFq8QAvD_BwE</t>
  </si>
  <si>
    <t>2134@gmx.es</t>
  </si>
  <si>
    <t>2135@gmail.com</t>
  </si>
  <si>
    <t>2136@gmail.com</t>
  </si>
  <si>
    <t>2137@hotmail.com</t>
  </si>
  <si>
    <t>2138@gmail.com</t>
  </si>
  <si>
    <t>2139@gmail.com</t>
  </si>
  <si>
    <t>https://resources.simonelectric.com/simon-ebook-vehiculo-electrico-0?gclid=EAIaIQobChMIn5uBtIvf6AIVjgW5Bh0KwQIkEAEYASAAEgKRNPD_BwE</t>
  </si>
  <si>
    <t>2140@gmail.com</t>
  </si>
  <si>
    <t>2141@gmail.com</t>
  </si>
  <si>
    <t>2142@simon.es</t>
  </si>
  <si>
    <t>2143@gmail.com</t>
  </si>
  <si>
    <t>2144@gmail.com</t>
  </si>
  <si>
    <t>https://resources.simonelectric.com/simon-ebook-vehiculo-electrico-ppc?utm_source=facebook&amp;utm_medium=social_ads&amp;utm_campaign=vehiculo_electrico&amp;fbclid=IwAR0wp_equeopZnfniF6sspRZqp5o-dWYo5NDuKlBixA4CB0M3cbG66LtN2s</t>
  </si>
  <si>
    <t>2145@gmail.com</t>
  </si>
  <si>
    <t>https://resources.simonelectric.com/simon-catalogo-vehiculo-electrico?__hstc=83084745.3b3df9dfc3abab6fd497f0a30cb04acb.1586517847458.1586517847458.1586517847458.1&amp;__hssc=83084745.15.1586517847458&amp;__hsfp=3996457545</t>
  </si>
  <si>
    <t>2146@hotmail.es</t>
  </si>
  <si>
    <t>2147@gmail.com</t>
  </si>
  <si>
    <t>2148@gmail.com</t>
  </si>
  <si>
    <t>2149@gmail.com</t>
  </si>
  <si>
    <t>2150@yahoo.es</t>
  </si>
  <si>
    <t>2151@gmail.com</t>
  </si>
  <si>
    <t>https://resources.simonelectric.com/simon-ebook-vehiculo-electrico?utm_campaign=SIC%20-%20Veh%C3%ADculo%20El%C3%A9ctrico&amp;utm_medium=email&amp;_hsenc=p2ANqtz-9PEMD77RLZ4UOePbM8cqBNuMDXK04LT5kO_BL9PNy1TrqtPJ2Dq038QOPZTnlo8r4NPpt93hBlMmyWeHjA70QqvIEhdA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</si>
  <si>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source=hs_automation&amp;utm_medium=email&amp;utm_content=71033675&amp;_hsenc=p2ANqtz-9PoBiDTORpOInSJJhRDuPJonidR3SiW6FCd27Ff2p_zuvD1IL-3C9v_mfhwn8VIpRluDYyXQ6HPye2xAPLE8ejfaHl5A&amp;_hsmi=71033675</t>
  </si>
  <si>
    <t>2152@igkarratu.com</t>
  </si>
  <si>
    <t>2153@gmail.com</t>
  </si>
  <si>
    <t>2154@gmail.com</t>
  </si>
  <si>
    <t>2155@gmail.com</t>
  </si>
  <si>
    <t>2156@gmail.com</t>
  </si>
  <si>
    <t>https://resources.simonelectric.com/simon-ebook-vehiculo-electrico-0?gclid=EAIaIQobChMIt4PCgPvZ6AIVFBgbCh3WSAT4EAEYASAAEgJ3gvD_BwE</t>
  </si>
  <si>
    <t>2157@hotmail.com</t>
  </si>
  <si>
    <t>https://resources.simonelectric.com/simon-ebook-vehiculo-electrico-ppc?utm_source=facebook&amp;utm_medium=social_ads&amp;utm_campaign=vehiculo_electrico&amp;fbclid=IwAR2IndGs3UC1-V2RogeKgxza6BHd_YQ00qgqfVI3yGR-N-_CDtL0Dmu-USA</t>
  </si>
  <si>
    <t>2158@gmail.com</t>
  </si>
  <si>
    <t>https://resources.simonelectric.com/simon-ebook-vehiculo-electrico-ppc?utm_source=facebook&amp;utm_medium=social_ads&amp;utm_campaign=vehiculo_electrico&amp;fbclid=IwAR0RdYI9JC_6TM0A4f34gTs1LaVlFh7cVTIEtcI3WYeY65fPkcXzSK55QuM</t>
  </si>
  <si>
    <t>2159@hotmail.com</t>
  </si>
  <si>
    <t>https://resources.simonelectric.com/simon-catalogo-vehiculo-electrico?__hstc=83084745.533853b3bdf7bfcff21c5d619221cf8c.1586376802563.1586376802563.1586376802563.1&amp;__hssc=83084745.11.1586376802564&amp;__hsfp=3361055166</t>
  </si>
  <si>
    <t>2160@yahoo.es</t>
  </si>
  <si>
    <t>https://resources.simonelectric.com/simon-ebook-vehiculo-electrico-ppc?utm_source=facebook&amp;utm_medium=social_ads&amp;utm_campaign=vehiculo_electrico&amp;fbclid=IwAR3A7QxYBZylFr_mp1lxhoyawpUe2_KMz4L_DPF44L84TSCbWAENaqLLbmc</t>
  </si>
  <si>
    <t>2161@hotmail.com</t>
  </si>
  <si>
    <t>2162@gienergygroup.com</t>
  </si>
  <si>
    <t>2163@hotmail.com</t>
  </si>
  <si>
    <t>2164@macegroup.com</t>
  </si>
  <si>
    <t>https://resources.simonelectric.com/simon-catalogo-vehiculo-electrico?__hstc=83084745.d23b297d371d35bf1282218819d613bb.1586336472845.1586336472845.1586336472845.1&amp;__hssc=83084745.2.1586336472845&amp;__hsfp=1008463</t>
  </si>
  <si>
    <t>2165@orangemail.es</t>
  </si>
  <si>
    <t>2166@gmail.com</t>
  </si>
  <si>
    <t>https://resources.simonelectric.com/simon-ebook-vehiculo-electrico-0?gclid=EAIaIQobChMIq76IxLnX6AIVWeLVCh0FXg9dEAEYASAAEgIjdvD_BwE</t>
  </si>
  <si>
    <t>2167@outlook.es</t>
  </si>
  <si>
    <t>2168@simon.es</t>
  </si>
  <si>
    <t>2169@gmail.com</t>
  </si>
  <si>
    <t>2170@reparatuequipo.es</t>
  </si>
  <si>
    <t>https://resources.simonelectric.com/simon-ebook-vehiculo-electrico?utm_campaign=%23Simonentucasa&amp;utm_source=hs_email&amp;utm_medium=email&amp;utm_content=85165037&amp;_hsenc=p2ANqtz-_MEnkir8kv_Vq-znOyE6M_3B4AzTcErlaSqJ1NTuz4497HzTRqzvmBGs6yuGUZXM06fMOLHfHopQs_Vx7ZtBxT6w-GpA&amp;_hsmi=85165037</t>
  </si>
  <si>
    <t>https://resources.simonelectric.com/simon-catalogo-vehiculo-electrico?__hstc=83084745.1c5dd4903454e7b797fb64594cdcdb3d.1524557660518.1585747346969.1586268111110.40&amp;__hssc=83084745.4.1586268111110&amp;__hsfp=285415251</t>
  </si>
  <si>
    <t>2171@gmail.com</t>
  </si>
  <si>
    <t>2172@gmail.com</t>
  </si>
  <si>
    <t>https://resources.simonelectric.com/simon-ebook-vehiculo-electrico?utm_campaign=%23Simonentucasa&amp;utm_medium=email&amp;_hsenc=p2ANqtz--Y_7stRrWhygGRPscWQXFhFYRvM25ll7DrudTqgVVzIoHUVkukrerNgfZNldeiiyKer17jfvBTSY2nWgec0QAzXb0cRKVm5wALZqHsEOhSZOOPsnc&amp;_hsmi=85165037&amp;utm_source=hs_email&amp;utm_content=85165037&amp;hsCtaTracking=7e048f91-fedd-4131-939d-25771a4a2d12%7Cf6d6f061-2319-4b5b-89f8-8c89fca06239</t>
  </si>
  <si>
    <t>2173@menendezygamonal.com</t>
  </si>
  <si>
    <t>https://resources.simonelectric.com/simon-catalogo-vehiculo-electrico?utm_campaign=SIC%20-%20Veh%C3%ADculo%20El%C3%A9ctrico&amp;utm_source=hs_automation&amp;utm_medium=email&amp;utm_content=71034014&amp;_hsenc=p2ANqtz-970VQwIjkYDNxWKieuA6MchAzq3MS3Xy9Bgydmla8D8zlCG00ysHbZf24eAuIdq-DJbjxp_oU3bCzUdh-EQd43CeM1uQ&amp;_hsmi=71034014</t>
  </si>
  <si>
    <t>2174@wurth.es</t>
  </si>
  <si>
    <t>https://resources.simonelectric.com/simon-catalogo-vehiculo-electrico?utm_campaign=SIC%20-%20Veh%C3%ADculo%20El%C3%A9ctrico&amp;utm_source=hs_automation&amp;utm_medium=email&amp;utm_content=71034014&amp;_hsenc=p2ANqtz-_FgTgZBGR6_e5vgrxyUkQlCKZ2bPk-O2_A_tqALzkaTiwPK9naDIqYcLLqEl9zhy697_hmCz-T1XNeMah1xBPALXnmqA&amp;_hsmi=71034014</t>
  </si>
  <si>
    <t>2175@canogarcia.es</t>
  </si>
  <si>
    <t>https://resources.simonelectric.com/simon-ebook-vehiculo-electrico-0?gclid=EAIaIQobChMI69v0nPbU6AIVhI8bCh2kVgzvEAEYASAAEgLK8fD_BwE</t>
  </si>
  <si>
    <t>2176@hotmail.com</t>
  </si>
  <si>
    <t>2177@yahoo.es</t>
  </si>
  <si>
    <t>https://resources.simonelectric.com/simon-catalogo-vehiculo-electrico?utm_campaign=SIC%20-%20Veh%C3%ADculo%20El%C3%A9ctrico&amp;utm_source=hs_automation&amp;utm_medium=email&amp;utm_content=71034014&amp;_hsenc=p2ANqtz-9JvVhu74Y9tJvNKT_gTf1JI2NAvKV-Hema7ypKEq24nXbqbb6gZVAFddDYsZhIN1sg-rAl06G9_rO5phxFNUQHIymE-w&amp;_hsmi=71034014</t>
  </si>
  <si>
    <t>https://resources.simonelectric.com/simon-ebook-vehiculo-electrico?utm_campaign=SIC%20-%20Veh%C3%ADculo%20El%C3%A9ctrico&amp;utm_medium=email&amp;_hsenc=p2ANqtz--eCxmGwJcEc9hlplZI4ZYRTazmNGSt7mSDfX8ZZJj1PhQWpOefMHV-B-ddeossfZ6ebteIYz07Y76xuapF4IqpQQYBzQ&amp;_hsmi=71033675&amp;utm_source=hs_automation&amp;utm_content=71033675&amp;hsCtaTracking=2e94ebfc-d414-4389-870c-d2f266a9420b%7C587ac4dc-a49a-4bdc-b449-e36f5d95395b</t>
  </si>
  <si>
    <t>2178@altair.edu.es</t>
  </si>
  <si>
    <t>2179@gmail.com</t>
  </si>
  <si>
    <t>https://resources.simonelectric.com/simon-ebook-vehiculo-electrico?utm_campaign=%23Simonentucasa&amp;utm_medium=email&amp;_hsenc=p2ANqtz--5kCuca5WKW_fVyg4w9q-3uvwum9QWhvrw22ehm7uLuoZGMwmJPBg2gXrwnZlal29j7Sm3GAOvLEulF-cd0c7h8-dSZA&amp;_hsmi=85165037&amp;utm_source=hs_email&amp;utm_content=85165037&amp;hsCtaTracking=7e048f91-fedd-4131-939d-25771a4a2d12%7Cf6d6f061-2319-4b5b-89f8-8c89fca06239</t>
  </si>
  <si>
    <t>2180@hotmail.com</t>
  </si>
  <si>
    <t>2181@gmail.com</t>
  </si>
  <si>
    <t>2182@hotmail.com</t>
  </si>
  <si>
    <t>https://resources.simonelectric.com/simon-catalogo-vehiculo-electrico?__hstc=83084745.ecce4b4148567aed7541a5d8006fd546.1586176466434.1586176466434.1586176466434.1&amp;__hssc=83084745.5.1586176466434&amp;__hsfp=905620248</t>
  </si>
  <si>
    <t>2183@gmail.com</t>
  </si>
  <si>
    <t>https://resources.simonelectric.com/simon-ebook-vehiculo-electrico?utm_campaign=SIC%20-%20Veh%C3%ADculo%20El%C3%A9ctrico&amp;utm_medium=email&amp;_hsenc=p2ANqtz-99k5Lz1oW7jIE3Tq4emFD3RX1GHTlgIGsrkJcXbE3hrepNpXzl3ZEZdtWs-JnDqnJ0KwiuC5Qoi_XN71OTR3Sje63IkEMvXd5S4n8XsLFlZl_cwe0&amp;_hsmi=71033675&amp;utm_source=hs_automation&amp;utm_content=71033675&amp;hsCtaTracking=2e94ebfc-d414-4389-870c-d2f266a9420b%7C587ac4dc-a49a-4bdc-b449-e36f5d95395b</t>
  </si>
  <si>
    <t>2184@suris.es</t>
  </si>
  <si>
    <t>https://resources.simonelectric.com/simon-catalogo-vehiculo-electrico?__hstc=83084745.2640b34dae8d3e359ec3de2039f1af4d.1586171193248.1586171193248.1586171193248.1&amp;__hssc=83084745.3.1586171193249&amp;__hsfp=1159522144</t>
  </si>
  <si>
    <t>2185@gmail.com</t>
  </si>
  <si>
    <t>https://resources.simonelectric.com/simon-ebook-vehiculo-electrico?utm_campaign=SIC%20-%20Veh%C3%ADculo%20El%C3%A9ctrico&amp;utm_source=hs_automation&amp;utm_medium=email&amp;utm_content=71033675&amp;_hsenc=p2ANqtz-99k5Lz1oW7jIE3Tq4emFD3RX1GHTlgIGsrkJcXbE3hrepNpXzl3ZEZdtWs-JnDqnJ0KwiuC5Qoi_XN71OTR3Sje63IkEMvXd5S4n8XsLFlZl_cwe0&amp;_hsmi=71033675</t>
  </si>
  <si>
    <t>2186@grupoelectrostocks.com</t>
  </si>
  <si>
    <t>https://resources.simonelectric.com/simon-catalogo-vehiculo-electrico?__hstc=83084745.e4bae13ab899aacbe890c7b3c13fe4b8.1568972839880.1584013388450.1586170394628.4&amp;__hssc=83084745.1.1586170394628&amp;__hsfp=285415251</t>
  </si>
  <si>
    <t>2187@hotmail.com</t>
  </si>
  <si>
    <t>https://resources.simonelectric.com/simon-catalogo-vehiculo-electrico?utm_campaign=SIC%20-%20Veh%C3%ADculo%20El%C3%A9ctrico&amp;utm_source=hs_automation&amp;utm_medium=email&amp;utm_content=71034014&amp;_hsenc=p2ANqtz-90N5eTaOe9Gibkg4QQuLaDq_OU-SuBfewRES_-bwjVA7G7zsVlRdZhb2e9zMTllMxzE1yBv_vPGt_9B7blS1Kk67-XIQ&amp;_hsmi=71034014</t>
  </si>
  <si>
    <t>2188@gmail.com</t>
  </si>
  <si>
    <t>2189@infova.es</t>
  </si>
  <si>
    <t>2190@hotmail.com</t>
  </si>
  <si>
    <t>2191@hotmail.es</t>
  </si>
  <si>
    <t>2192@itcl.es</t>
  </si>
  <si>
    <t>https://resources.simonelectric.com/simon-ebook-vehiculo-electrico-ppc?utm_source=facebook&amp;utm_medium=social_ads&amp;utm_campaign=vehiculo_electrico&amp;fbclid=IwAR2-XRRGcaiTxLBuy9AS_lvxwzYRfSEKg04YjhHtAB-Hv43lH5tS8QbfKL4</t>
  </si>
  <si>
    <t>2193@gmail.com</t>
  </si>
  <si>
    <t>2194@mesado.es</t>
  </si>
  <si>
    <t>2195@yahoo.es</t>
  </si>
  <si>
    <t>2196@telefonica.net</t>
  </si>
  <si>
    <t>2197@outlook.es</t>
  </si>
  <si>
    <t>2198@gmail.com</t>
  </si>
  <si>
    <t>2199@gmail.com</t>
  </si>
  <si>
    <t>2200@gmail.com</t>
  </si>
  <si>
    <t>2201@4fils.es</t>
  </si>
  <si>
    <t>2202@sanjosetecno.com</t>
  </si>
  <si>
    <t>2203@gmail.com</t>
  </si>
  <si>
    <t>2204@hotmail.es</t>
  </si>
  <si>
    <t>2205@gmail.com</t>
  </si>
  <si>
    <t>2206@gmail.com</t>
  </si>
  <si>
    <t>2207@gmail.com</t>
  </si>
  <si>
    <t>2208@wp.pl</t>
  </si>
  <si>
    <t>https://resources.simonelectric.com/simon-ebook-vehiculo-electrico-ppc?utm_source=facebook&amp;utm_medium=social_ads&amp;utm_campaign=vehiculo_electrico&amp;fbclid=IwAR3MwONFfziGK_vTbCt9LtiKEPS48hoS_m1G-FR-KJFE-hSQmS9f_zcjcw8</t>
  </si>
  <si>
    <t>2209@elecem.es</t>
  </si>
  <si>
    <t>2210@hotmail.com</t>
  </si>
  <si>
    <t>2211@hotmail.com</t>
  </si>
  <si>
    <t>2212@pgiengineering.com</t>
  </si>
  <si>
    <t>https://resources.simonelectric.com/simon-catalogo-vehiculo-electrico?__hstc=83084745.c857dd3b0084f21a50a571922638c993.1585905555564.1585905555564.1585905555564.1&amp;__hssc=83084745.1.1585905555565&amp;__hsfp=3026691183</t>
  </si>
  <si>
    <t>2213@gmail.com</t>
  </si>
  <si>
    <t>https://resources.simonelectric.com/simon-ebook-vehiculo-electrico?utm_referrer=https%3A%2F%2Fwww.simonelectric.com%2Fblog%2Fel-vehiculo-electrico-elementos-principales-y-funcionamiento%3Futm_campaign%3DSIC%2520-%2520Veh%25C3%25ADculo%2520El%25C3%25A9ctrico%26utm_source%3Dhs_automation%26utm_medium%3Demail%26utm_content%3D71033996%26_hsenc%3Dp2ANqtz--PIiY6FWznPqkQXl-0lVcnoMvm28FhwU9FvP7BELs6sYXoPnJL0oabV9JxlwTo9xgSHtPfQm0whhhHLe9FOVlZ6p33NQ%26_hsmi%3D71033996</t>
  </si>
  <si>
    <t>2214@hotmail.com</t>
  </si>
  <si>
    <t>2215@gmail.com</t>
  </si>
  <si>
    <t>https://resources.simonelectric.com/simon-ebook-vehiculo-electrico-0?gclid=Cj0KCQjwmpb0BRCBARIsAG7y4zah1oXLQP0FoFzGVa-Dbxf4NRuuVV1cwewdf9PUXSQnss9IeJcbLpcaAtK9EALw_wcB</t>
  </si>
  <si>
    <t>2216@bladis.com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</si>
  <si>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-9o4rD_XmPvS-9cRnpPey0SXMO09vzFZD5aE3C7O3TH4y-UyxCSnWku7HjA9P7BC0di4ag_bMDrQ-IvaEnEmz4xnQrM7A%26_hsmi%3D71033828</t>
  </si>
  <si>
    <t>2217@gmail.com</t>
  </si>
  <si>
    <t>2218@gmx.es</t>
  </si>
  <si>
    <t>https://resources.simonelectric.com/simon-ebook-vehiculo-electrico-0?gclid=EAIaIQobChMI9bedzN_K6AIVl7cbCh320wSsEAEYASAAEgINqvD_BwE</t>
  </si>
  <si>
    <t>2219@teigatmi.es</t>
  </si>
  <si>
    <t>2220@hotmail.com</t>
  </si>
  <si>
    <t>2221@hotmail.com</t>
  </si>
  <si>
    <t>2222@gmail.com</t>
  </si>
  <si>
    <t>https://resources.simonelectric.com/simon-ebook-vehiculo-electrico?utm_campaign=%23Simonentucasa&amp;utm_medium=email&amp;_hsenc=p2ANqtz-9kaZ4Fi8qt40RaEksv59VZ9ZHgfyd49usyL4ttlYatCBDqSdCl6e2fDSgunQlyss-0aVRyC7aPGGcabx_KUdUlkhEh8Q&amp;_hsmi=85165037&amp;utm_source=hs_email&amp;utm_content=85165037&amp;hsCtaTracking=7e048f91-fedd-4131-939d-25771a4a2d12%7Cf6d6f061-2319-4b5b-89f8-8c89fca06239</t>
  </si>
  <si>
    <t>2223@hotmail.com</t>
  </si>
  <si>
    <t>2224@gmail.com</t>
  </si>
  <si>
    <t>https://resources.simonelectric.com/simon-ebook-vehiculo-electrico?utm_campaign=%23Simonentucasa&amp;utm_medium=email&amp;_hsenc=p2ANqtz-_4Zl08RUizEhkct_aQvfe2QAsKwUSXQg9X4WhHF0MkTsxgUdNc1_ESw9doEK_mRZyq7YLu5U0C9ffBzKhCmCINWcE9-XyAZOUq6FNpxqmIO6lLqE8&amp;_hsmi=85165037&amp;utm_source=hs_email&amp;utm_content=85165037&amp;hsCtaTracking=7e048f91-fedd-4131-939d-25771a4a2d12%7Cf6d6f061-2319-4b5b-89f8-8c89fca06239</t>
  </si>
  <si>
    <t>2225@evectra.es</t>
  </si>
  <si>
    <t>https://resources.simonelectric.com/simon-catalogo-vehiculo-electrico?__hstc=83084745.795dff28dd430cb59a477da8082e3a35.1578850579844.1585737691054.1585815334518.4&amp;__hssc=83084745.12.1585815334518&amp;__hsfp=3026691183</t>
  </si>
  <si>
    <t>2226@hotmail.com</t>
  </si>
  <si>
    <t>2227@gmail.com</t>
  </si>
  <si>
    <t>2228@gmail.com</t>
  </si>
  <si>
    <t>2229@enerluz.es</t>
  </si>
  <si>
    <t>2230@hotmail.com</t>
  </si>
  <si>
    <t>https://resources.simonelectric.com/simon-ebook-vehiculo-electrico?utm_referrer=https%3A%2F%2Fwww.simonelectric.com%2Fblog%2Fel-vehiculo-electrico-elementos-principales-y-funcionamiento%3Futm_campaign%3DSIC%2520-%2520Veh%25C3%25ADculo%2520El%25C3%25A9ctrico%26utm_source%3Dhs_automation%26utm_medium%3Demail%26utm_content%3D71033996%26_hsenc%3Dp2ANqtz-8YtGUK6hZM-mqrW3H3F4Xf3smnCPAIw54bJFENxSkNTiMyyAkHuSHDnfnwepEW7BvmL3qWEZcmzB9TCi9gKU66KWAVAA%26_hsmi%3D71033996</t>
  </si>
  <si>
    <t>2231@hotmail.com</t>
  </si>
  <si>
    <t>2232@gmail.com</t>
  </si>
  <si>
    <t>2233@gmail.com</t>
  </si>
  <si>
    <t>https://resources.simonelectric.com/simon-ebook-vehiculo-electrico-ppc?utm_source=facebook&amp;utm_medium=social_ads&amp;utm_campaign=vehiculo_electrico&amp;fbclid=IwAR3s6Jjx3rAjyffMEas3vxMnJ35CkEE8pWs4bHc57xu_59g5Rg8H8lg1sk8</t>
  </si>
  <si>
    <t>2234@hotmail.com</t>
  </si>
  <si>
    <t>2235@hotmail.com</t>
  </si>
  <si>
    <t>https://resources.simonelectric.com/simon-ebook-vehiculo-electrico-ppc?utm_source=facebook&amp;utm_medium=social_ads&amp;utm_campaign=vehiculo_electrico&amp;fbclid=IwAR1MNKFbqcfuhTKsPli7OPgrF00lpbOoVEGhF7pQil8PMauyqy1I9Ep4-m0</t>
  </si>
  <si>
    <t>2236@hotmail.com</t>
  </si>
  <si>
    <t>2237@simon.es</t>
  </si>
  <si>
    <t>2238@hotmail.es</t>
  </si>
  <si>
    <t>https://resources.simonelectric.com/simon-ebook-vehiculo-electrico-0?gclid=EAIaIQobChMIi9SB7qHH6AIVlTobCh1TFglKEAEYASAAEgL3hvD_BwE</t>
  </si>
  <si>
    <t>2239@gmail.com</t>
  </si>
  <si>
    <t>2240@coac.net</t>
  </si>
  <si>
    <t>https://resources.simonelectric.com/simon-ebook-vehiculo-electrico-0?gclid=CjwKCAjw95D0BRBFEiwAcO1KDEs9EewmjgL3pZuGVytaySrMnbCO7_dUoQv0Ei5yMkbs-fvrHYM2exoCOJEQAvD_BwE</t>
  </si>
  <si>
    <t>2241@outlook.com</t>
  </si>
  <si>
    <t>https://resources.simonelectric.com/simon-ebook-vehiculo-electrico?utm_campaign=%23Simonentucasa&amp;utm_medium=email&amp;_hsenc=p2ANqtz-8zxFB_SR5kaoA9kd8LaGXiWjICRIjvJ8nj-w7qoTcw1thMjqH9pjh-k2_CWci8SmBGi3X6XSJf5ZAvIo8sexad3qxtehHJNancfZfr6ikKED6vo0s&amp;_hsmi=85165037&amp;utm_source=hs_email&amp;utm_content=85165037&amp;hsCtaTracking=7e048f91-fedd-4131-939d-25771a4a2d12%7Cf6d6f061-2319-4b5b-89f8-8c89fca06239</t>
  </si>
  <si>
    <t>2242@eurogestiones.com</t>
  </si>
  <si>
    <t>https://resources.simonelectric.com/simon-ebook-vehiculo-electrico?utm_campaign=SIC%20-%20Veh%C3%ADculo%20El%C3%A9ctrico&amp;utm_medium=email&amp;_hsenc=p2ANqtz-8kyrOpkR1ubCW9iPuRAJ4ixe3iktEfynihDOrXW5JJ3-vx584wKkIKy--6YV4VYsRcBsvdprzgWbI0b0VTsuvKTJg6_GJrMYhrtvLeWDxJqp-ND5A&amp;_hsmi=71033675&amp;utm_source=hs_automation&amp;utm_content=71033675&amp;hsCtaTracking=2e94ebfc-d414-4389-870c-d2f266a9420b%7C587ac4dc-a49a-4bdc-b449-e36f5d95395b</t>
  </si>
  <si>
    <t>2243@gmail.com</t>
  </si>
  <si>
    <t>2244@outlook.com</t>
  </si>
  <si>
    <t>https://resources.simonelectric.com/simon-ebook-vehiculo-electrico?utm_referrer=https%3A%2F%2Fwww.simonelectric.com%2Fintl%2Fnode%2F481</t>
  </si>
  <si>
    <t>2245@gmail.com</t>
  </si>
  <si>
    <t>2246@eleko.es</t>
  </si>
  <si>
    <t>https://resources.simonelectric.com/simon-ebook-vehiculo-electrico?utm_campaign=SIC%20-%20Veh%C3%ADculo%20El%C3%A9ctrico&amp;utm_source=hs_automation&amp;utm_medium=email&amp;utm_content=71033675&amp;_hsenc=p2ANqtz--uv-7tNUSxRu-Pd8oula_YbUmvNdwqYwWDCdelvHkoYlETjl6OT1H680hy0wmq9uWYynGuYeUvTluKWlmdmeVt1om3zw&amp;_hsmi=71033675</t>
  </si>
  <si>
    <t>2247@gmail.com</t>
  </si>
  <si>
    <t>2248@telefonica.net</t>
  </si>
  <si>
    <t>https://resources.simonelectric.com/simon-ebook-vehiculo-electrico?utm_campaign=SIC%20-%20Veh%C3%ADculo%20El%C3%A9ctrico&amp;utm_medium=email&amp;_hsenc=p2ANqtz--Lx11oiKa2GC2XaQL1Jb6sJvZCJ_hgVZNSH3K4B7tYoZsPSS7eAIaaE1Q_cmhUfRw-ovNVpWL8aRZMFs44rmtwfEwegw&amp;_hsmi=71033675&amp;utm_source=hs_automation&amp;utm_content=71033675&amp;hsCtaTracking=2e94ebfc-d414-4389-870c-d2f266a9420b%7C587ac4dc-a49a-4bdc-b449-e36f5d95395b</t>
  </si>
  <si>
    <t>2249@politecnicomalaga.com</t>
  </si>
  <si>
    <t>https://resources.simonelectric.com/simon-catalogo-vehiculo-electrico?__hstc=83084745.27840f659c4b1fa23ab115d4067d374a.1585643399882.1585643399882.1585643399882.1&amp;__hssc=83084745.1.1585643399883&amp;__hsfp=110587205</t>
  </si>
  <si>
    <t>2250@gmail.com</t>
  </si>
  <si>
    <t>2251@gmail.com</t>
  </si>
  <si>
    <t>2252@energestic.es</t>
  </si>
  <si>
    <t>https://resources.simonelectric.com/simon-ebook-vehiculo-electrico-0?gclid=Cj0KCQjwsYb0BRCOARIsAHbLPhFvvyws7r4gHB2ovyQUHsmR4Dv2CJDjZYqypJay2zJP5hvHpnILTMYaAhiDEALw_wcB</t>
  </si>
  <si>
    <t>2253@hotmail.com</t>
  </si>
  <si>
    <t>2254@gmail.com</t>
  </si>
  <si>
    <t>2255@yahoo.es</t>
  </si>
  <si>
    <t>https://resources.simonelectric.com/simon-ebook-vehiculo-electrico-ppc?utm_source=facebook&amp;utm_medium=social_ads&amp;utm_campaign=vehiculo_electrico&amp;fbclid=IwAR3NtzWmiG2kuZWGdpJG5ilT2-DFb6ZC-TV5qv__aYLD03jcfAflHQeXUJs</t>
  </si>
  <si>
    <t>2256@gmail.com</t>
  </si>
  <si>
    <t>https://resources.simonelectric.com/simon-ebook-vehiculo-electrico-ppc?utm_source=facebook&amp;utm_medium=social_ads&amp;utm_campaign=vehiculo_electrico&amp;fbclid=IwAR0EhlYMoo3zP138acvs66pZg5XwFQAMu58bem5SbkPFsnR4GhGdWbptEvs</t>
  </si>
  <si>
    <t>2257@hotmail.com</t>
  </si>
  <si>
    <t>2258@fercansa.es</t>
  </si>
  <si>
    <t>https://resources.simonelectric.com/simon-catalogo-vehiculo-electrico?__hstc=83084745.1ca601ab40a9bbdf2320f0660d229681.1574092093608.1585566490301.1585569967648.67&amp;__hssc=83084745.5.1585569967648&amp;__hsfp=3026691183</t>
  </si>
  <si>
    <t>https://resources.simonelectric.com/simon-catalogo-vehiculo-electrico?__hstc=83084745.9c0d111f4333b1c98d318fd651112046.1580766775086.1580851529335.1585570406164.3&amp;__hssc=83084745.7.1585570406164&amp;__hsfp=285415251</t>
  </si>
  <si>
    <t>2259@gmail.com</t>
  </si>
  <si>
    <t>https://resources.simonelectric.com/simon-ebook-vehiculo-electrico?utm_campaign=%23Simonentucasa&amp;utm_source=hs_email&amp;utm_medium=email&amp;utm_content=85165037&amp;_hsenc=p2ANqtz-_fqVFxaTUS6lt0OF8OkOl0d9g4iEony6vCrDfOAwGUlRXPSXCtdi818xTlIJDmiYA21KLv99V0iiP1FBUKpgpVYJrCmg&amp;_hsmi=85165037</t>
  </si>
  <si>
    <t>https://resources.simonelectric.com/simon-catalogo-vehiculo-electrico?__hstc=83084745.0b534a29cee7d9c63006b7b77fc86ecf.1585561969278.1585562473600.1585562688023.4&amp;__hssc=83084745.6.1585562688023&amp;__hsfp=3026691183</t>
  </si>
  <si>
    <t>2260@gmail.com</t>
  </si>
  <si>
    <t>2261@grupoefelec.com</t>
  </si>
  <si>
    <t>https://resources.simonelectric.com/simon-catalogo-vehiculo-electrico?__hstc=83084745.57d50655e69ea0fb16c2e18767506d67.1585553492720.1585553492720.1585553492720.1&amp;__hssc=83084745.1.1585553492721&amp;__hsfp=2714162804</t>
  </si>
  <si>
    <t>2262@hotmail.com</t>
  </si>
  <si>
    <t>https://resources.simonelectric.com/simon-ebook-vehiculo-electrico?utm_campaign=SIC%20-%20Veh%C3%ADculo%20El%C3%A9ctrico&amp;utm_medium=email&amp;_hsenc=p2ANqtz-9rWysdkqw5pxWLaAwGbcQ2iCf9gZvCBjEZDjjV_n19kPa-F9AoD5smg-y8mPt9ExZ3uirX52XeDdzkB7mfP6HA4z2whQ&amp;_hsmi=71033675&amp;utm_source=hs_automation&amp;utm_content=71033675&amp;hsCtaTracking=2e94ebfc-d414-4389-870c-d2f266a9420b%7C587ac4dc-a49a-4bdc-b449-e36f5d95395b</t>
  </si>
  <si>
    <t>2263@gmail.com</t>
  </si>
  <si>
    <t>2264@gmail.com</t>
  </si>
  <si>
    <t>2265@gmail.com</t>
  </si>
  <si>
    <t>https://resources.simonelectric.com/simon-ebook-vehiculo-electrico-0?gclid=EAIaIQobChMIuuLHh6O-6AIVMIrtCh0-pAitEAEYASAAEgIVj_D_BwE</t>
  </si>
  <si>
    <t>2266@gmail.com</t>
  </si>
  <si>
    <t>https://resources.simonelectric.com/simon-ebook-vehiculo-electrico-0?gclid=EAIaIQobChMI6IW4zJG86AIV0cO7CB3SBQ-8EAEYASAAEgJ6VvD_BwE</t>
  </si>
  <si>
    <t>2267@gmail.com</t>
  </si>
  <si>
    <t>https://resources.simonelectric.com/simon-ebook-vehiculo-electrico?utm_campaign=%23Simonentucasa&amp;utm_medium=email&amp;_hsenc=p2ANqtz-8hq81Wx8nd5Xwym_DBUvVvO03xPoOJagPdo10XEvvKtpSH8dzRQXalA9Almhhk5ljdqOH0RfCT6GdxcjRNGOt6OQ7gHg&amp;_hsmi=85165037&amp;utm_source=hs_email&amp;utm_content=85165037&amp;hsCtaTracking=7e048f91-fedd-4131-939d-25771a4a2d12%7Cf6d6f061-2319-4b5b-89f8-8c89fca06239</t>
  </si>
  <si>
    <t>https://resources.simonelectric.com/simon-ebook-vehiculo-electrico-0?gclid=Cj0KCQjwyPbzBRDsARIsAFh15JagDVjj0adwyXzPt3efAX0D3E6p29ak7vFsGYoljkCWFfG44klILBsaAsavEALw_wcB</t>
  </si>
  <si>
    <t>2268@gmail.com</t>
  </si>
  <si>
    <t>https://resources.simonelectric.com/simon-catalogo-vehiculo-electrico?__hstc=83084745.70954421c32e2e8e280f8856bed0d7f4.1585205961198.1585219700462.1585335500176.3&amp;__hssc=83084745.6.1585335500176&amp;__hsfp=1526226040</t>
  </si>
  <si>
    <t>2269@qq.com</t>
  </si>
  <si>
    <t>https://resources.simonelectric.com/simon-ebook-vehiculo-electrico?utm_campaign=SIC%20-%20Veh%C3%ADculo%20El%C3%A9ctrico&amp;utm_source=hs_automation&amp;utm_medium=email&amp;utm_content=71033675&amp;_hsenc=p2ANqtz-_irU_0CJbURlkQ-eE5GLuoyo8lr-loEREzospDswP0wKtMVMouMxK2JWxVwOEVmmYmFpTezF_DTHtHtqjh7nPc5iEjig&amp;_hsmi=71033675</t>
  </si>
  <si>
    <t>2270@hotmail.com</t>
  </si>
  <si>
    <t>https://resources.simonelectric.com/simon-ebook-vehiculo-electrico-0?gclid=Cj0KCQjwyPbzBRDsARIsAFh15JZcPpZC3C2QW8UO1ErGiPMOC3ZDMCWOsDlQdvxJZ3rOUis03-BIix0aAk1VEALw_wcB</t>
  </si>
  <si>
    <t>https://resources.simonelectric.com/simon-catalogo-vehiculo-electrico?utm_campaign=SIC%20-%20Veh%C3%ADculo%20El%C3%A9ctrico&amp;utm_source=hs_automation&amp;utm_medium=email&amp;utm_content=71034014&amp;_hsenc=p2ANqtz-8nnZkmE8D-f6nmRCdD9QcsyK4eQMqNOAX_LgBquZqL21jeRBzW5ycVMpta6WlG9i-8TAPf2EZW-DoAi_khao0CylxerQ&amp;_hsmi=71034014</t>
  </si>
  <si>
    <t>2271@gmail.com</t>
  </si>
  <si>
    <t>https://resources.simonelectric.com/simon-ebook-vehiculo-electrico?utm_campaign=%23Simonentucasa&amp;utm_medium=email&amp;_hsenc=p2ANqtz-9BE9nzY6wb-cEQSaYUIy574BWwDvIIX8xaYLagR_OY5R0nFNUxJqqh0-Mv1Q52Pru3QWQdvLd8gOP4SvpcfghM-4tY6Q&amp;_hsmi=85165037&amp;utm_source=hs_email&amp;utm_content=85165037&amp;hsCtaTracking=7e048f91-fedd-4131-939d-25771a4a2d12%7Cf6d6f061-2319-4b5b-89f8-8c89fca06239</t>
  </si>
  <si>
    <t>2272@tiempobbdo.es</t>
  </si>
  <si>
    <t>2273@telefonica.net</t>
  </si>
  <si>
    <t>https://resources.simonelectric.com/simon-ebook-vehiculo-electrico?utm_campaign=%23Simonentucasa&amp;utm_source=hs_email&amp;utm_medium=email&amp;utm_content=85165037&amp;_hsenc=p2ANqtz-8a5Xgw9YkU2ssEalPp1li2B1IPdv7fnP9hjtmUzOB4LnhdgA0xvr0tvvst8oyDeSO_ZVObnvbWBFAPhLz_2LCF7oZAJA&amp;_hsmi=85165037</t>
  </si>
  <si>
    <t>2274@fersitec.com</t>
  </si>
  <si>
    <t>https://resources.simonelectric.com/simon-catalogo-vehiculo-electrico?__hstc=83084745.d7c3f92046fd4da64b72efdef614efda.1574356410970.1585210652313.1585294588833.6&amp;__hssc=83084745.1.1585294588833&amp;__hsfp=4173494726</t>
  </si>
  <si>
    <t>2275@rccyp.com</t>
  </si>
  <si>
    <t>https://resources.simonelectric.com/simon-ebook-vehiculo-electrico?utm_campaign=%23Simonentucasa&amp;utm_source=hs_email&amp;utm_medium=email&amp;utm_content=85165037&amp;_hsenc=p2ANqtz-9SY-rOMYRFBlm0wm6KyHXwthFgyxtmzunSDyhD3Siz_HhM7msVu9P8BeqFpUxByjRh5L6kv3ItLYHWM8yU_hEW5HbEeSrtQVXzbVBT3CNMoo_BdrY&amp;_hsmi=85165037</t>
  </si>
  <si>
    <t>2276@hotmail.com</t>
  </si>
  <si>
    <t>https://resources.simonelectric.com/simon-ebook-vehiculo-electrico?utm_campaign=%23Simonentucasa&amp;utm_medium=email&amp;_hsenc=p2ANqtz-81gvZZoiWdmcQM8sGsJ8IWoMlNOQuRFU6dg6RNKLXjwCtxDMfkBowaXciQgPUpQEnnt2H4RFFMSIqJVEQgASezsKyTL-Dnz3Q3eXMMvPYFCZNXgGI&amp;_hsmi=85165037&amp;utm_source=hs_email&amp;utm_content=85165037&amp;hsCtaTracking=7e048f91-fedd-4131-939d-25771a4a2d12%7Cf6d6f061-2319-4b5b-89f8-8c89fca06239</t>
  </si>
  <si>
    <t>2277@gmail.com</t>
  </si>
  <si>
    <t>https://resources.simonelectric.com/simon-ebook-vehiculo-electrico?utm_campaign=%23Simonentucasa&amp;utm_medium=email&amp;_hsenc=p2ANqtz-9U-MjwjkDqZOZFl8vf9rgBgyHqZOkJctn04u9bIn5DkRxfb0kJI3NbJMLub4Ah3ZTGLsnQJQNUv-7PmVRyaeuNdeEKCw&amp;_hsmi=85165037&amp;utm_source=hs_email&amp;utm_content=85165037&amp;hsCtaTracking=7e048f91-fedd-4131-939d-25771a4a2d12%7Cf6d6f061-2319-4b5b-89f8-8c89fca06239</t>
  </si>
  <si>
    <t>2278@gmail.com</t>
  </si>
  <si>
    <t>https://resources.simonelectric.com/simon-catalogo-vehiculo-electrico?__hstc=83084745.18795c0ed399f964e839a5e6a6082b13.1574415215746.1582549560361.1585246124095.5&amp;__hssc=83084745.5.1585246124095&amp;__hsfp=1099069634</t>
  </si>
  <si>
    <t>2279@gmail.com</t>
  </si>
  <si>
    <t>https://resources.simonelectric.com/simon-ebook-vehiculo-electrico?utm_campaign=%23Simonentucasa&amp;utm_source=hs_email&amp;utm_medium=email&amp;utm_content=85165037&amp;_hsenc=p2ANqtz-_IwiL0pJDXoalJgCCaM-RBsyqiCOr40zq6kvVVJR4MdHf_dxtFeOjCw91zzJIMtrjFXvZhDuMVFz7MXO6tIk9zBkJVJYtpr4Nus2M9aTkjjf67xGA&amp;_hsmi=85165037</t>
  </si>
  <si>
    <t>https://resources.simonelectric.com/simon-ebook-vehiculo-electrico?utm_campaign=%23Simonentucasa&amp;utm_source=hs_email&amp;utm_medium=email&amp;utm_content=85165037&amp;_hsenc=p2ANqtz-_l_kG369G_CDRtSC2zQN8AKiLd7JuxNR9IpqH7UD1ILQkf1uKRGAgcFxZaeL6Ocde9aOljJOoBA5o51wQU34QCrsrFWnJyL9IChq214Zx-IBme--s&amp;_hsmi=85165037</t>
  </si>
  <si>
    <t>2280@gmail.com</t>
  </si>
  <si>
    <t>https://resources.simonelectric.com/simon-ebook-vehiculo-electrico?utm_campaign=%23Simonentucasa&amp;utm_source=hs_email&amp;utm_medium=email&amp;utm_content=85165037&amp;_hsenc=p2ANqtz-_w7ffpjZWLsrhR7xty5TgZbSrYo9djAtdkSRuP1x1O92ZVGFskPghU1a_DPRVHNrPFm0ZxXTUu_cRrWZA9VTvywREVuQ&amp;_hsmi=85165037</t>
  </si>
  <si>
    <t>2281@hotmail.com</t>
  </si>
  <si>
    <t>2282@gmail.com</t>
  </si>
  <si>
    <t>https://resources.simonelectric.com/simon-ebook-vehiculo-electrico?utm_campaign=%23Simonentucasa&amp;utm_medium=email&amp;_hsenc=p2ANqtz-88ePOqsJxp4aP48K_NI3BuLbW34DQAALNRug5rdPBAB3dd4jG-f3PsP1mUTXDWrTx1zpyHnMQzUvvtSa-7V6A1xgJwO0EXbsMjcZtoeBXsgtZS1vk&amp;_hsmi=85165037&amp;utm_source=hs_email&amp;utm_content=85165037&amp;hsCtaTracking=7e048f91-fedd-4131-939d-25771a4a2d12%7Cf6d6f061-2319-4b5b-89f8-8c89fca06239</t>
  </si>
  <si>
    <t>https://resources.simonelectric.com/simon-catalogo-vehiculo-electrico?__hstc=83084745.70954421c32e2e8e280f8856bed0d7f4.1585205961198.1585205961198.1585219700462.2&amp;__hssc=83084745.15.1585219700462&amp;__hsfp=1526226040</t>
  </si>
  <si>
    <t>https://resources.simonelectric.com/simon-catalogo-vehiculo-electrico?__hstc=83084745.1ca601ab40a9bbdf2320f0660d229681.1574092093608.1585133270723.1585218256636.62&amp;__hssc=83084745.10.1585218256636&amp;__hsfp=1737267644</t>
  </si>
  <si>
    <t>2283@hotmail.com</t>
  </si>
  <si>
    <t>https://resources.simonelectric.com/simon-ebook-vehiculo-electrico?utm_campaign=SIC%20-%20Veh%C3%ADculo%20El%C3%A9ctrico&amp;utm_medium=email&amp;_hsenc=p2ANqtz-_UPPN6aPvUEj98vKwWSlmXa9lU0CjlHl73-nwCwRMaPqa6qmhJto3qgTE_Rl1GveWWRdzWdVCd7EcnVgScmASw1MvLoA&amp;_hsmi=71033675&amp;utm_source=hs_automation&amp;utm_content=71033675&amp;hsCtaTracking=2e94ebfc-d414-4389-870c-d2f266a9420b%7C587ac4dc-a49a-4bdc-b449-e36f5d95395b</t>
  </si>
  <si>
    <t>2284@gmail.com</t>
  </si>
  <si>
    <t>https://resources.simonelectric.com/simon-ebook-vehiculo-electrico?utm_campaign=SIC%20-%20Veh%C3%ADculo%20El%C3%A9ctrico&amp;utm_medium=email&amp;_hsenc=p2ANqtz-_saG3Z4funjuMScojZiWol8AeQQOFVY-9GzDyZB0UAwfN3sH7PV9FJGdDG7Rgy87MZrJya15Sx2_egXtmOXOWx04TBaud219zXk2o9nWG0DsohaUk&amp;_hsmi=67858848&amp;utm_source=hs_automation&amp;utm_content=67858848&amp;hsCtaTracking=4ffb3aa1-677f-463b-8339-fc65a1da68db%7C5790d3b1-fbc3-4c32-a016-744222ad1cdc</t>
  </si>
  <si>
    <t>2285@hotmail.com</t>
  </si>
  <si>
    <t>https://resources.simonelectric.com/simon-ebook-vehiculo-electrico?utm_campaign=%23Simonentucasa&amp;utm_source=hs_email&amp;utm_medium=email&amp;utm_content=85165037&amp;_hsenc=p2ANqtz--7GfoofDAUVRG-8nx2aXxQYP4ni96OHNgtVoqvRd9cSQCgeqCLtdwh0OVXcmjwxs8KOTayHG-D9EnO2D4uIap3q-k6sw&amp;_hsmi=85165037</t>
  </si>
  <si>
    <t>2286@hotmail.com</t>
  </si>
  <si>
    <t>https://resources.simonelectric.com/simon-ebook-vehiculo-electrico?utm_campaign=%23Simonentucasa&amp;utm_medium=email&amp;_hsenc=p2ANqtz-8x1YyCmxJLrUJLVpJ8y07LSI1QLf8j-61g0vPRgl_wLVHFDWwEvQdB7vLgGYSvm7j6kINbYIbhB1jYcXQNZQv4-jkA7yQkOZmRTa5DXsOt2tnclWE&amp;_hsmi=85165037&amp;utm_source=hs_email&amp;utm_content=85165037&amp;hsCtaTracking=7e048f91-fedd-4131-939d-25771a4a2d12%7Cf6d6f061-2319-4b5b-89f8-8c89fca06239</t>
  </si>
  <si>
    <t>2287@sonepar.es</t>
  </si>
  <si>
    <t>https://resources.simonelectric.com/simon-ebook-vehiculo-electrico?utm_campaign=%23Simonentucasa&amp;utm_medium=email&amp;_hsenc=p2ANqtz-9OomW1pVfE0oCbq23S523XlCa2xPB2OA2PYlSJzPyITaeh1K40RPFPEv0-76DJqDyR9Y13AansYE1iC2PnxUA4-B_-Vg&amp;_hsmi=85165037&amp;utm_source=hs_email&amp;utm_content=85165037&amp;hsCtaTracking=7e048f91-fedd-4131-939d-25771a4a2d12%7Cf6d6f061-2319-4b5b-89f8-8c89fca06239</t>
  </si>
  <si>
    <t>2288@yahoo.es</t>
  </si>
  <si>
    <t>https://resources.simonelectric.com/simon-ebook-vehiculo-electrico?utm_campaign=%23Simonentucasa&amp;utm_medium=email&amp;_hsenc=p2ANqtz-9hF7LJaM5z7rkmgeF5Yr8BcV89dCw5Bb-WXjgRfnKaFYia_WcWM4wpsRaS9784hhfFMwT4uiYbOzglBxoNV0KEOhtLk9vs3VogPTa15y7jvtxZq50&amp;_hsmi=85165037&amp;utm_source=hs_email&amp;utm_content=85165037&amp;hsCtaTracking=7e048f91-fedd-4131-939d-25771a4a2d12%7Cf6d6f061-2319-4b5b-89f8-8c89fca06239</t>
  </si>
  <si>
    <t>2289@hotmail.com</t>
  </si>
  <si>
    <t>https://resources.simonelectric.com/simon-ebook-vehiculo-electrico-0?gclid=EAIaIQobChMItbeCod626AIV9sbjBx31-gk8EAEYASAAEgI2EvD_BwE</t>
  </si>
  <si>
    <t>2290@atmos.link</t>
  </si>
  <si>
    <t>https://resources.simonelectric.com/simon-ebook-vehiculo-electrico?utm_campaign=%23Simonentucasa&amp;utm_medium=email&amp;_hsenc=p2ANqtz-_RRndW7yjTSUlVgK8Zv6YJ12IwdBkvqeMT0Pk0kz7E4qz6NOsUDr5rvNUtz59BU1jrvrCW-Aq1SkAdNTJh_fefUIdvsg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</si>
  <si>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-9-obMr_mbplKma0M2ldgt7WUZ1ou4fGJVTbPdLWG0seAU8AsdMmRxg86RcgPWGh2dAKJvY83jNW96GDd7R-e1p_hdn4Q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</si>
  <si>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-8gCxKnEcLpAbWMoidq06jn119tA4ENPYp0Pi6f2-OQaBE_KR6H-i5g07BDvIdfF2yYhO045qfzwPywOyj-CVv7CraYUw&amp;_hsmi=85165037&amp;utm_source=hs_email&amp;utm_content=85165037&amp;hsCtaTracking=7e048f91-fedd-4131-939d-25771a4a2d12%7Cf6d6f061-2319-4b5b-89f8-8c89fca06239</t>
  </si>
  <si>
    <t>2291@fegime.es</t>
  </si>
  <si>
    <t>https://resources.simonelectric.com/simon-catalogo-vehiculo-electrico?__hstc=83084745.9ba2be5b0d36505b41daab79dffa7fea.1569597367881.1581320368321.1585158807808.10&amp;__hssc=83084745.2.1585158807808&amp;__hsfp=4233641954</t>
  </si>
  <si>
    <t>2292@gmail.com</t>
  </si>
  <si>
    <t>https://resources.simonelectric.com/simon-ebook-vehiculo-electrico?utm_campaign=%23Simonentucasa&amp;utm_medium=email&amp;_hsenc=p2ANqtz-8J-NulkQrLD76FwYb6pUNHaAXiBp7IzndkcZKbec-qIgpFC7gW5WLU2bfmNW0OX6KPNZCUcCAW_CYVbAJfN934PcLcsw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</si>
  <si>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-9gI7NQ4RE4pQ_oEuHXMHf-DUDrRNHGlV1ALsNzgoBrJMWhWM2cX1TF099GqPsXt7PPN13wk911jNXi87VXhUgavMpEunDGDBXhtIVLmJsDD_SEcvs&amp;_hsmi=85165037&amp;utm_source=hs_email&amp;utm_content=85165037&amp;hsCtaTracking=7e048f91-fedd-4131-939d-25771a4a2d12%7Cf6d6f061-2319-4b5b-89f8-8c89fca06239</t>
  </si>
  <si>
    <t>2293@usa.com</t>
  </si>
  <si>
    <t>https://resources.simonelectric.com/simon-ebook-vehiculo-electrico?utm_campaign=%23Simonentucasa&amp;utm_source=hs_email&amp;utm_medium=email&amp;utm_content=85165037&amp;_hsenc=p2ANqtz-87K2tLHLbZA5XgDDBJag2RAuWnkL2jkntqSQFr1A3GUaIqIuqRIe_6I8F7gXg8WxqS3V6u5IZjfy7tbMmNj2dPMkJssw&amp;_hsmi=85165037</t>
  </si>
  <si>
    <t>2294@gmail.com</t>
  </si>
  <si>
    <t>https://resources.simonelectric.com/simon-ebook-vehiculo-electrico?utm_campaign=%23Simonentucasa&amp;utm_medium=email&amp;_hsenc=p2ANqtz-8D95RI0Qq5PK5yvgPVJrQj19CgpUzlqvEz_Fqgw4oXHqTbhGNL-W_fi1Z5HiBkFJW7q1ZZUH-GxzXpHhuEGbb2juKvUQ&amp;_hsmi=85165037&amp;utm_source=hs_email&amp;utm_content=85165037&amp;hsCtaTracking=7e048f91-fedd-4131-939d-25771a4a2d12%7Cf6d6f061-2319-4b5b-89f8-8c89fca06239</t>
  </si>
  <si>
    <t>2295@msn.com</t>
  </si>
  <si>
    <t>https://resources.simonelectric.com/simon-ebook-vehiculo-electrico?utm_campaign=%23Simonentucasa&amp;utm_medium=email&amp;_hsenc=p2ANqtz--hsI-a32fyQAfRNMZmzN7rd4Nse4X6SQ4pXHMCF9PJfSAbTSPunFAGEuS6QXf1mPCATlRxHtmUq51KPJ_9GNmAVZ29Ew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</si>
  <si>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source=hs_email&amp;utm_medium=email&amp;utm_content=85165037&amp;_hsenc=p2ANqtz-86o6RRUQ2btLMrhjLydmXQfGLsrO3P9zyf51ydJD1HAx-WufDR2gUZbsyG7jvg1HIhIE4hdBvgmiEDgf1IWokPCtXP177a27q-qw740ueMbbqtRcA&amp;_hsmi=85165037</t>
  </si>
  <si>
    <t>2296@gmail.com</t>
  </si>
  <si>
    <t>https://resources.simonelectric.com/simon-ebook-vehiculo-electrico?utm_campaign=%23Simonentucasa&amp;utm_medium=email&amp;_hsenc=p2ANqtz-96JoyF_6le6yXtMW4CqPai4DYNobM0PulyRdfJDABEmZx70eyTMNvtuSqQXfGcb77tIW5cOlafGINK9MCJlvuyJeJkkQ&amp;_hsmi=85165037&amp;utm_source=hs_email&amp;utm_content=85165037&amp;hsCtaTracking=7e048f91-fedd-4131-939d-25771a4a2d12%7Cf6d6f061-2319-4b5b-89f8-8c89fca06239</t>
  </si>
  <si>
    <t>2297@sece.com</t>
  </si>
  <si>
    <t>2298@sonepar.es</t>
  </si>
  <si>
    <t>https://resources.simonelectric.com/simon-ebook-vehiculo-electrico?utm_campaign=%23Simonentucasa&amp;utm_medium=email&amp;_hsenc=p2ANqtz--z6EIkrQOtuwwvcXEcjOkpP9aLVUzVhmkg2ZeehXz72mDU9QV48CRX9GCzZo5ASLuqosKs_kTbcXzu5w148-iaxsJEWx3xlKSjWcEzFmC1Ye4BPsw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</si>
  <si>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source=hs_email&amp;utm_medium=email&amp;utm_content=85165037&amp;_hsenc=p2ANqtz-8J-NulkQrLD76FwYb6pUNHaAXiBp7IzndkcZKbec-qIgpFC7gW5WLU2bfmNW0OX6KPNZCUcCAW_CYVbAJfN934PcLcsw&amp;_hsmi=85165037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</si>
  <si>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p7P0sc3s7KDDaQv-xrJxH7LXEgluHL20-Q6OrZZZKIHcxJ5hQbw8MUHO-iLW-Jdu7NE854UUggZaQdVEUAhtX5ejoVJvgpG_vdRJ_G-XuQWmK59U%26_hsmi%3D81085386</t>
  </si>
  <si>
    <t>2299@protele.es</t>
  </si>
  <si>
    <t>https://resources.simonelectric.com/simon-ebook-vehiculo-electrico?utm_campaign=%23Simonentucasa&amp;utm_source=hs_email&amp;utm_medium=email&amp;utm_content=85165037&amp;_hsenc=p2ANqtz-_EH2vkl9JzSz1V0NgGICff1GpdEaBU9EvCqttn6pFB007-gfRwF4gN_x9s0m429ZUnC_JatRi7GB3zRuk2gG8ULCsZOg&amp;_hsmi=85165037</t>
  </si>
  <si>
    <t>2300@grupoelectrostocks.com</t>
  </si>
  <si>
    <t>2301@sonepar.es</t>
  </si>
  <si>
    <t>https://resources.simonelectric.com/simon-ebook-vehiculo-electrico?utm_campaign=%23Simonentucasa&amp;utm_medium=email&amp;_hsenc=p2ANqtz-86ijI2-dhU2xrzqTO8I38tqyO2zv3YK_JIHp0MhDhKO75dMZ9IQTnfHBSWZYDHCagoJPGX9nB8rl4sTeAFFuoRk-YH3A&amp;_hsmi=85165037&amp;utm_source=hs_email&amp;utm_content=85165037&amp;hsCtaTracking=7e048f91-fedd-4131-939d-25771a4a2d12%7Cf6d6f061-2319-4b5b-89f8-8c89fca06239</t>
  </si>
  <si>
    <t>2302@agosa.es</t>
  </si>
  <si>
    <t>https://resources.simonelectric.com/simon-ebook-vehiculo-electrico?utm_campaign=%23Simonentucasa&amp;utm_source=hs_email&amp;utm_medium=email&amp;utm_content=85165037&amp;_hsenc=p2ANqtz-8a8rboNy128dpb8u-BuWk9c9q0wlenGSdg3Tvq380SbFqrthLg3IFJi8tiONXtbh2hZtzndtXsTENoMqBuS4KlM5v29g&amp;_hsmi=85165037</t>
  </si>
  <si>
    <t>2303@industrialgines.com</t>
  </si>
  <si>
    <t>https://resources.simonelectric.com/simon-ebook-vehiculo-electrico?utm_campaign=%23Simonentucasa&amp;utm_source=hs_email&amp;utm_medium=email&amp;utm_content=85165037&amp;_hsenc=p2ANqtz-_ebDCA6nVPMpCvK5glEJWB0pXq429SRqM1ZshqrlEGQCIYxxQ6mJknN8wyvGEdnijSelKPlVeEFhrqargDwT9EXu8Vz4h0hzFdU84s3284h2bZm7A&amp;_hsmi=85165037</t>
  </si>
  <si>
    <t>2304@gmail.com</t>
  </si>
  <si>
    <t>https://resources.simonelectric.com/simon-ebook-vehiculo-electrico?utm_campaign=%23Simonentucasa&amp;utm_medium=email&amp;_hsenc=p2ANqtz-_n73-EojNmDedDfLGspG_jDFiherlo4FtBGyzkYrTIjhcbUg7EykEuXYKcTJa7Dww0_beRjGe_tYO9Fk_1hMzvDBxly-Zmec8B4OyThyP5vNrXeeo&amp;_hsmi=85165037&amp;utm_source=hs_email&amp;utm_content=85165037&amp;hsCtaTracking=7e048f91-fedd-4131-939d-25771a4a2d12%7Cf6d6f061-2319-4b5b-89f8-8c89fca06239</t>
  </si>
  <si>
    <t>2305@hotmail.com</t>
  </si>
  <si>
    <t>https://resources.simonelectric.com/simon-ebook-vehiculo-electrico?utm_campaign=%23Simonentucasa&amp;utm_medium=email&amp;_hsenc=p2ANqtz-___o-eLxx2zdsHqNOqYDjIe_USMi3jtSEHTN9IiMx22Ni28JrtXTjF_J1JptLT2CKhVQw1ySYNmekHcj2Idwd3r3KXjg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</si>
  <si>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source=hs_email&amp;utm_medium=email&amp;utm_content=85165037&amp;_hsenc=p2ANqtz-8u3Kqf4DYlE7MKwjN9De51xXt9s7hleze4WDXz_lPd_8QvYSNU8h7DX0_P6TQn-xeSpQB7dusMEPpJcNmWvA-7RfEOrg&amp;_hsmi=85165037</t>
  </si>
  <si>
    <t>2306@somosemotion.es</t>
  </si>
  <si>
    <t>https://resources.simonelectric.com/simon-ebook-vehiculo-electrico?utm_campaign=%23Simonentucasa&amp;utm_source=hs_email&amp;utm_medium=email&amp;utm_content=85165037&amp;_hsenc=p2ANqtz-8s0b_sD_qL_bXH5OUzZB-zv0sb285vBKXZFwL7f-AfzaPo1EACcRO71v4bYcTW_B4MtLQuK4TwuS6Kp80wqn3Oodz4lA&amp;_hsmi=85165037</t>
  </si>
  <si>
    <t>2307@gmail.com</t>
  </si>
  <si>
    <t>https://resources.simonelectric.com/simon-ebook-vehiculo-electrico?utm_campaign=%23Simonentucasa&amp;utm_source=hs_email&amp;utm_medium=email&amp;utm_content=85165037&amp;_hsenc=p2ANqtz-9OWIFlr-niXxVDRF_o7jyMc69VRud4IfZurLGc1S-plioluykJJ9e2Hy3jD_Alp1u6ZYzxCOUGiU14oWhHQJ4zvELXww&amp;_hsmi=85165037</t>
  </si>
  <si>
    <t>2308@gmail.com</t>
  </si>
  <si>
    <t>https://resources.simonelectric.com/simon-ebook-vehiculo-electrico?utm_campaign=%23Simonentucasa&amp;utm_medium=email&amp;_hsenc=p2ANqtz--OAdhgE3UHZ1ajUDFRZgnpuST3MGvnVVGMbSSZBDz1XVACCBi4Scb6bed_lYYNJCeD0PbZRxzIut0nnE9T5Y8OBp3WVGvegcjPrtFFkLJ85JQd6YA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</si>
  <si>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source=hs_email&amp;utm_medium=email&amp;utm_content=85165037&amp;_hsenc=p2ANqtz--FP9ZzCn7AI2ClV5eDxWmCYew-orShWVLE4r8SKfTjjrFyLEId3b4SHMqkKr6d9B-Mb53bBLkrmjueAjKBHaGccdgcbg&amp;_hsmi=85165037</t>
  </si>
  <si>
    <t>2309@hotmail.com</t>
  </si>
  <si>
    <t>https://resources.simonelectric.com/simon-ebook-vehiculo-electrico?utm_campaign=%23Simonentucasa&amp;utm_source=hs_email&amp;utm_medium=email&amp;utm_content=85165037&amp;_hsenc=p2ANqtz--jLmIIwtlUeGRbCjaXKUbg3rh1Rzv7ALQ4BCTkr_0EIpnU3_KS3DGUEtjqN0Ed3ov_6zT8-s2Er_x-8-okz0V9Ad8X0g&amp;_hsmi=85165037</t>
  </si>
  <si>
    <t>2310@yahoo.es</t>
  </si>
  <si>
    <t>https://resources.simonelectric.com/simon-ebook-vehiculo-electrico?utm_campaign=%23Simonentucasa&amp;utm_medium=email&amp;_hsenc=p2ANqtz-8asjqlRQGDkybVk15ubhcef0nUApyPykLjtpRet4UNhk9RTIn4sVRcnjzF0pYjACoz3IXHVtMPsb5aYq9T6GpbC6jGCA&amp;_hsmi=85165037&amp;utm_source=hs_email&amp;utm_content=85165037&amp;hsCtaTracking=7e048f91-fedd-4131-939d-25771a4a2d12%7Cf6d6f061-2319-4b5b-89f8-8c89fca06239</t>
  </si>
  <si>
    <t>2311@deluxson.com</t>
  </si>
  <si>
    <t>https://resources.simonelectric.com/simon-ebook-vehiculo-electrico?utm_campaign=%23Simonentucasa&amp;utm_medium=email&amp;_hsenc=p2ANqtz--FDsXoXSJdRiyaib6X9KowaubDiWPV-VAvG8TQnZtNcsWIjOYkRSLDepwfJ2Qm24xtwRrZP0n9B29nw2P-gWPkAJo9uQ&amp;_hsmi=85165037&amp;utm_source=hs_email&amp;utm_content=85165037&amp;hsCtaTracking=7e048f91-fedd-4131-939d-25771a4a2d12%7Cf6d6f061-2319-4b5b-89f8-8c89fca06239</t>
  </si>
  <si>
    <t>2312@yahoo.es</t>
  </si>
  <si>
    <t>https://resources.simonelectric.com/simon-ebook-vehiculo-electrico?utm_campaign=%23Simonentucasa&amp;utm_medium=email&amp;_hsenc=p2ANqtz-8exDkmSUfzu8pAzrfeVvPtqYl1A0UtGeVhuCX1_xDoe2PpIA6GB017bbAkYu1wT_QFM2arf6P8aoiehh8Fx0HYnkTqqA&amp;_hsmi=85165037&amp;utm_source=hs_email&amp;utm_content=85165037&amp;hsCtaTracking=7e048f91-fedd-4131-939d-25771a4a2d12%7Cf6d6f061-2319-4b5b-89f8-8c89fca06239</t>
  </si>
  <si>
    <t>2313@gmail.com</t>
  </si>
  <si>
    <t>https://resources.simonelectric.com/simon-ebook-vehiculo-electrico?utm_campaign=%23Simonentucasa&amp;utm_medium=email&amp;_hsenc=p2ANqtz--o45sD2GkDG0wKwlAt9eqmu36V1fsDWbQxrE_JY7YAkqzkqK2vOo1h7eniW5J8GDQXre-1SnkQYbaAmXqjNkXwOAeaYQ&amp;_hsmi=85165037&amp;utm_source=hs_email&amp;utm_content=85165037&amp;hsCtaTracking=7e048f91-fedd-4131-939d-25771a4a2d12%7Cf6d6f061-2319-4b5b-89f8-8c89fca06239</t>
  </si>
  <si>
    <t>2314@gmail.com</t>
  </si>
  <si>
    <t>https://resources.simonelectric.com/simon-ebook-vehiculo-electrico?utm_campaign=%23Simonentucasa&amp;utm_medium=email&amp;_hsenc=p2ANqtz-_8OoIm3uuaV2Sx0Fyq2BM4jqmdq3iMsCNliXrZ1JNVz4w1njRtYibpNUW7zEwA72PunxX3H55yOb3FKjj1Qe_No5Uobg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</si>
  <si>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-7GfoofDAUVRG-8nx2aXxQYP4ni96OHNgtVoqvRd9cSQCgeqCLtdwh0OVXcmjwxs8KOTayHG-D9EnO2D4uIap3q-k6sw&amp;_hsmi=85165037&amp;utm_source=hs_email&amp;utm_content=85165037&amp;hsCtaTracking=7e048f91-fedd-4131-939d-25771a4a2d12%7Cf6d6f061-2319-4b5b-89f8-8c89fca06239</t>
  </si>
  <si>
    <t>2315@electricidadguerra.com</t>
  </si>
  <si>
    <t>2316@telecable.es</t>
  </si>
  <si>
    <t>https://resources.simonelectric.com/simon-ebook-vehiculo-electrico-0?gclid=EAIaIQobChMI5eS19Zu06AIV1m4bCh0SZgg7EAEYASAAEgIArfD_BwE</t>
  </si>
  <si>
    <t>https://resources.simonelectric.com/simon-ebook-vehiculo-electrico?utm_campaign=SIC%20-%20Veh%C3%ADculo%20El%C3%A9ctrico&amp;utm_medium=email&amp;_hsenc=p2ANqtz-803MLJMEcowgTvFJHmCXx1jcCBk36CNzNwuncylvtZGY6wR_QKWgXqFLA62hOKNWkV8KfxXPIJSExGcHLCMMJwiLtS7Q&amp;_hsmi=71033675&amp;utm_source=hs_automation&amp;utm_content=71033675&amp;hsCtaTracking=2e94ebfc-d414-4389-870c-d2f266a9420b%7C587ac4dc-a49a-4bdc-b449-e36f5d95395b</t>
  </si>
  <si>
    <t>2317@eimetropolitana.com</t>
  </si>
  <si>
    <t>https://resources.simonelectric.com/simon-ebook-vehiculo-electrico?utm_campaign=%23Simonentucasa&amp;utm_medium=email&amp;_hsenc=p2ANqtz-9uPhgGAJuba7qaD_Xj10H_g7PqLoYpnIrR7rWPNzU_wQq2UCVszyLxqNC_xVvrHt2Q5B-MjXR-BwhgopZTves8dz3_QQ&amp;_hsmi=85165037&amp;utm_source=hs_email&amp;utm_content=85165037&amp;hsCtaTracking=7e048f91-fedd-4131-939d-25771a4a2d12%7Cf6d6f061-2319-4b5b-89f8-8c89fca06239</t>
  </si>
  <si>
    <t>2318@grupo-jarama.com</t>
  </si>
  <si>
    <t>2319@gmail.com</t>
  </si>
  <si>
    <t>https://resources.simonelectric.com/simon-ebook-vehiculo-electrico?utm_campaign=%23Simonentucasa&amp;utm_medium=email&amp;_hsenc=p2ANqtz-8PzFwu2ebo1RDGKEWbtebPorXx4j_6XQ5HMDNOea3eq8kD9QAaL_Y4OR2qR4nYiL0UGLAg9Th5bTddkidA2t_JD7ftjw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</si>
  <si>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_3nN8_e33wtNkqXWEfGCE7nCTK1ggN-QteF_bLE8Qfx_htEWToesUYXL0N8SWVa-MHZN_a_F3z2GBgKfi2esapc-91hA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</si>
  <si>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-ctqxTPnUCw_IL171VvtEGhZ58PsSAb1x_gCiTpRTwBtstWG4uISL7Aj4ykJECdj9ZTsUXSUVa53w2-CUcqnzPHmRfEQ&amp;_hsmi=85165037&amp;utm_source=hs_email&amp;utm_content=85165037&amp;hsCtaTracking=7e048f91-fedd-4131-939d-25771a4a2d12%7Cf6d6f061-2319-4b5b-89f8-8c89fca06239</t>
  </si>
  <si>
    <t>2320@electrovizcaya.com</t>
  </si>
  <si>
    <t>https://resources.simonelectric.com/simon-ebook-vehiculo-electrico?utm_campaign=%23Simonentucasa&amp;utm_medium=email&amp;_hsenc=p2ANqtz-8XtSzxOatMKm4mWF0_1Hh6Mf61urKTzPfXKSYNjqmLuuPd4aZkVRNUsj1meLXD41ZfuljFUZb3Wi2dRccCveHQ9YEoFEJ77mM-_YPGy8kj-xpk7C4&amp;_hsmi=85165037&amp;utm_source=hs_email&amp;utm_content=85165037&amp;hsCtaTracking=7e048f91-fedd-4131-939d-25771a4a2d12%7Cf6d6f061-2319-4b5b-89f8-8c89fca06239</t>
  </si>
  <si>
    <t>2321@coto.pro</t>
  </si>
  <si>
    <t>https://resources.simonelectric.com/simon-catalogo-vehiculo-electrico?__hstc=83084745.e5e79125e451170201f2a2df21f1523f.1584550229798.1584550229798.1585117957150.2&amp;__hssc=83084745.4.1585117957150&amp;__hsfp=3508412792</t>
  </si>
  <si>
    <t>2322@hotmail.com</t>
  </si>
  <si>
    <t>https://resources.simonelectric.com/simon-ebook-vehiculo-electrico?utm_campaign=%23Simonentucasa&amp;utm_source=hs_email&amp;utm_medium=email&amp;utm_content=85165037&amp;_hsenc=p2ANqtz-_EKoGjUDDnPaAJpYKo2by1Bcs3Xra4HzSE7844yMC2T6E6abAgT4mKm8Z0y9ZXDZBi_mczSg4C5_UEwIhJvZyulOisPQ&amp;_hsmi=85165037</t>
  </si>
  <si>
    <t>2323@gmail.com</t>
  </si>
  <si>
    <t>https://resources.simonelectric.com/simon-ebook-vehiculo-electrico?utm_campaign=%23Simonentucasa&amp;utm_source=hs_email&amp;utm_medium=email&amp;utm_content=85165037&amp;_hsenc=p2ANqtz--WgiObx1ht67vGq3R8nS-J0z6hYZwtCUXaz26zrBmDDWzMTgH4kDoCiojVBt_6G4DbQEWrZZshh6T8vXMqonT_jQ0EUA&amp;_hsmi=85165037</t>
  </si>
  <si>
    <t>2324@gmail.com</t>
  </si>
  <si>
    <t>https://resources.simonelectric.com/simon-ebook-vehiculo-electrico?utm_campaign=%23Simonentucasa&amp;utm_medium=email&amp;_hsenc=p2ANqtz-_V5W8a3JXjdFvKKs6T_aRM6niJ5Z-2R4v1Ri30l3y-7yhLKxqIMrkZiKU_GfJ__WA9RE7eOOPFg2n2mUNXv_s6-a-TDA&amp;_hsmi=85165037&amp;utm_source=hs_email&amp;utm_content=85165037&amp;hsCtaTracking=7e048f91-fedd-4131-939d-25771a4a2d12%7Cf6d6f061-2319-4b5b-89f8-8c89fca06239</t>
  </si>
  <si>
    <t>2325@ingenierosvalladolid.es</t>
  </si>
  <si>
    <t>https://resources.simonelectric.com/simon-ebook-vehiculo-electrico?utm_campaign=%23Simonentucasa&amp;utm_medium=email&amp;_hsenc=p2ANqtz-_4bAHoUxsOEM_r0Jcek4r4j_IizW_m8LeYB3PdC09XtyCAeQVlAg0Zgnd9AJr1xrpIdaysJZYY7KLzTqhKA-OkLNbrnA&amp;_hsmi=85165037&amp;utm_source=hs_email&amp;utm_content=85165037&amp;hsCtaTracking=7e048f91-fedd-4131-939d-25771a4a2d12%7Cf6d6f061-2319-4b5b-89f8-8c89fca06239</t>
  </si>
  <si>
    <t>2326@gmail.com</t>
  </si>
  <si>
    <t>https://resources.simonelectric.com/simon-ebook-vehiculo-electrico?utm_campaign=%23Simonentucasa&amp;utm_medium=email&amp;_hsenc=p2ANqtz-_fztRMlPngRAvZbApEqx91gPtPNMlJEjeoQWYuosd1BMBY2VeF5iCSuTVcLi6wsb579pPqyAHEVwbBngecSf_jdT5Gpg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</si>
  <si>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-9kCABdSCuomHdv_RXcWcuz7we6bwUIF6_xpwrfwGGEeUc2Avf1Rx48ugLONOImdhx0d1WtWbg6GUSmIOSaBO8ttIhzgA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</si>
  <si>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-sR1wxGo4DX1q58c1pXriXOaCSVxubR1rt7nETFy91lw6571uDHkB34hq1vWCDlnEKNqmOmDdtEvS6YfujSVRHC0lrcQ&amp;_hsmi=85165037&amp;utm_source=hs_email&amp;utm_content=85165037&amp;hsCtaTracking=7e048f91-fedd-4131-939d-25771a4a2d12%7Cf6d6f061-2319-4b5b-89f8-8c89fca06239</t>
  </si>
  <si>
    <t>2327@gmail.com</t>
  </si>
  <si>
    <t>https://resources.simonelectric.com/simon-catalogo-vehiculo-electrico?__hstc=83084745.67fa2c75ef01ff5c1c17bdc5ac893007.1585055590326.1585055590326.1585055590326.1&amp;__hssc=83084745.2.1585055590326&amp;__hsfp=1737267644</t>
  </si>
  <si>
    <t>2328@gmail.com</t>
  </si>
  <si>
    <t>https://resources.simonelectric.com/simon-ebook-vehiculo-electrico?utm_campaign=%23Simonentucasa&amp;utm_medium=email&amp;_hsenc=p2ANqtz-8hyLeSXEy0xSUKTAN0fLmMZqIoeOJv-f1F30636sf3VRWOTLb0AxcyGYVtvYP4fOjpDtiqImFJjaLlwDgpHQMGEkP1KFKesxJk1DOILoxmbO6azL0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</si>
  <si>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-8vV5mhCS4P7Jk1wJwofN539YU-m_RcjM-oDHh59zGsQ1_YFCx6ArA4N8qsscF5zMIN2Ap9RkHhHi-V3OrjFWe-aWjHSg&amp;_hsmi=85165037&amp;utm_source=hs_email&amp;utm_content=85165037&amp;hsCtaTracking=7e048f91-fedd-4131-939d-25771a4a2d12%7Cf6d6f061-2319-4b5b-89f8-8c89fca06239</t>
  </si>
  <si>
    <t>2329@hotmail.com</t>
  </si>
  <si>
    <t>https://resources.simonelectric.com/simon-ebook-vehiculo-electrico?utm_campaign=%23Simonentucasa&amp;utm_medium=email&amp;_hsenc=p2ANqtz-96wcoxNrRMnt6gB__-EmKeZzNtkjRhAtw6-fSoBfDyz60he3M50EomPBmPyJaYIKhm7bO5vzSgD_pt6rT1zepV4Ce-hA&amp;_hsmi=85165037&amp;utm_source=hs_email&amp;utm_content=85165037&amp;hsCtaTracking=7e048f91-fedd-4131-939d-25771a4a2d12%7Cf6d6f061-2319-4b5b-89f8-8c89fca06239</t>
  </si>
  <si>
    <t>2330@gmail.com</t>
  </si>
  <si>
    <t>https://resources.simonelectric.com/simon-ebook-vehiculo-electrico?utm_campaign=%23Simonentucasa&amp;utm_medium=email&amp;_hsenc=p2ANqtz-8SLPro6wudvgD5OUjRDMtcfzHcVHZSosRWOGsbjoeeZz2XZA4ZGPCFc72jpJzT3fmX9jBtIiTeCjYnv5Jg-rDWDN8Brw&amp;_hsmi=85165037&amp;utm_source=hs_email&amp;utm_content=85165037&amp;hsCtaTracking=7e048f91-fedd-4131-939d-25771a4a2d12%7Cf6d6f061-2319-4b5b-89f8-8c89fca06239</t>
  </si>
  <si>
    <t>2331@gmail.com</t>
  </si>
  <si>
    <t>https://resources.simonelectric.com/simon-ebook-vehiculo-electrico?utm_campaign=%23Simonentucasa&amp;utm_medium=email&amp;_hsenc=p2ANqtz--o3h01B0kGaEpiA-E_8ekCuAlKXXECuPoNDAxQYEZZCGnGJSorOL5fnJ96PzoNHr9zcwJZyD_pB77aE5Ock3aIWYZvnA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</si>
  <si>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_MzdDfXzx2QDTAfXWst2LXXBVLlai25Gt3hfmL97xV_TgCXyzWy-iDGDfwowoEua25AIi7i00pJ-lMhZLmwE8Ulye2GA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</si>
  <si>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_fr4Kx2O4t-AqaR2bvqFXUf_75y6OBdDvjNn6KI84ckvLFZJ4nesZJy7F41ct1VlfC26pn_tIPPAGaG8PFWJJB8jrvOQ&amp;_hsmi=85165037&amp;utm_source=hs_email&amp;utm_content=85165037&amp;hsCtaTracking=7e048f91-fedd-4131-939d-25771a4a2d12%7Cf6d6f061-2319-4b5b-89f8-8c89fca06239</t>
  </si>
  <si>
    <t>2332@gmail.com</t>
  </si>
  <si>
    <t>https://resources.simonelectric.com/simon-ebook-vehiculo-electrico?utm_campaign=%23Simonentucasa&amp;utm_medium=email&amp;_hsenc=p2ANqtz-8f-06dHd-KHmPikM6vP3Nzfhna7wjvE8nGaPAhlrdYHAxmqiiA6ZMNXhVqFG-CF_MQgGnvsNHVbRDYnZSTvj2zYl9KWw&amp;_hsmi=85165037&amp;utm_source=hs_email&amp;utm_content=85165037&amp;hsCtaTracking=7e048f91-fedd-4131-939d-25771a4a2d12%7Cf6d6f061-2319-4b5b-89f8-8c89fca06239</t>
  </si>
  <si>
    <t>2333@gmail.com</t>
  </si>
  <si>
    <t>https://resources.simonelectric.com/simon-ebook-vehiculo-electrico?utm_campaign=%23Simonentucasa&amp;utm_medium=email&amp;_hsenc=p2ANqtz-97phuQEdtvGkSr4fuvo3pXsQg_78cMFDtyknOS0z-txs7e4cYhmSCJP4Ikms56aUT6nmbkPzL5oUQdYkO3ElFT42Oxpw&amp;_hsmi=85165037&amp;utm_source=hs_email&amp;utm_content=85165037&amp;hsCtaTracking=7e048f91-fedd-4131-939d-25771a4a2d12%7Cf6d6f061-2319-4b5b-89f8-8c89fca06239</t>
  </si>
  <si>
    <t>2334@grupoelectrostocks.com</t>
  </si>
  <si>
    <t>https://resources.simonelectric.com/simon-ebook-vehiculo-electrico?utm_campaign=%23Simonentucasa&amp;utm_source=hs_email&amp;utm_medium=email&amp;utm_content=85165037&amp;_hsenc=p2ANqtz-_ruNsMnEb7u2syyzE4lVP4eYXbhYZkz1aM_Kpeuj0QkRziJYsM0zbdhLGhfM368Q3c4oLWwCNhG_tFrPeK-3W_QWHDrXMUre5PQgHLXNowkWhDNCs&amp;_hsmi=85165037</t>
  </si>
  <si>
    <t>https://resources.simonelectric.com/simon-ebook-vehiculo-electrico?utm_campaign=%23Simonentucasa&amp;utm_medium=email&amp;_hsenc=p2ANqtz-9cDK0_o31LI-RTmUmtf21sMI_zr5zZk7_JdIgsn13zl14Qovh1JfjDK7iBeEfwkk2bSj7IoXjbfcC-AyW3djNExmv61Q&amp;_hsmi=85165037&amp;utm_source=hs_email&amp;utm_content=85165037&amp;hsCtaTracking=7e048f91-fedd-4131-939d-25771a4a2d12%7Cf6d6f061-2319-4b5b-89f8-8c89fca06239</t>
  </si>
  <si>
    <t>2335@gmail.com</t>
  </si>
  <si>
    <t>https://resources.simonelectric.com/simon-ebook-vehiculo-electrico?utm_campaign=%23Simonentucasa&amp;utm_medium=email&amp;_hsenc=p2ANqtz--zlVI3CwVCe9W7I5He09cCplT7b3bYjpk6RcsLk7QW9KZ_6yU_Fjgnh_qQVZQX0xIJqNv2LIV34XEOClQQ-xooNkZsqA&amp;_hsmi=85165037&amp;utm_source=hs_email&amp;utm_content=85165037&amp;hsCtaTracking=7e048f91-fedd-4131-939d-25771a4a2d12%7Cf6d6f061-2319-4b5b-89f8-8c89fca06239</t>
  </si>
  <si>
    <t>2336@gmail.com</t>
  </si>
  <si>
    <t>https://resources.simonelectric.com/simon-ebook-vehiculo-electrico?utm_campaign=%23Simonentucasa&amp;utm_medium=email&amp;_hsenc=p2ANqtz-80uHo4DQHOSkoKOTnxRP_tcjSbD68Qz-6YKjNa7PWLsFyVEkAd2E0CJNQ6no3havXj95LUjiuRgTfWP8Xq0s6GjH9AMQ&amp;_hsmi=85165037&amp;utm_source=hs_email&amp;utm_content=85165037&amp;hsCtaTracking=7e048f91-fedd-4131-939d-25771a4a2d12%7Cf6d6f061-2319-4b5b-89f8-8c89fca06239</t>
  </si>
  <si>
    <t>2337@msn.com</t>
  </si>
  <si>
    <t>https://resources.simonelectric.com/simon-ebook-vehiculo-electrico?utm_campaign=%23Simonentucasa&amp;utm_medium=email&amp;_hsenc=p2ANqtz-933axTelV0K2nqHMOBU-XPRZzngKyqmz3NbG3J2nAUWWAY5mX4w5EOLVOf1PCSDwtq2kdD-fv6-V3g4zo_DVy2jn-ofw&amp;_hsmi=85165037&amp;utm_source=hs_email&amp;utm_content=85165037&amp;hsCtaTracking=7e048f91-fedd-4131-939d-25771a4a2d12%7Cf6d6f061-2319-4b5b-89f8-8c89fca06239</t>
  </si>
  <si>
    <t>2338@gmail.com</t>
  </si>
  <si>
    <t>https://resources.simonelectric.com/simon-ebook-vehiculo-electrico?utm_campaign=%23Simonentucasa&amp;utm_source=hs_email&amp;utm_medium=email&amp;utm_content=85165037&amp;_hsenc=p2ANqtz-_sjsLrC9-ewqDj7ucqa0-sfbnsJBWkVNFCKIC9URUUNCjz2yVf4iyrpUlfBWWp5u96AaY7lZt4QUDhu9UXOloxq5icMg&amp;_hsmi=85165037</t>
  </si>
  <si>
    <t>2339@monlau.com</t>
  </si>
  <si>
    <t>https://resources.simonelectric.com/simon-ebook-vehiculo-electrico?utm_campaign=%23Simonentucasa&amp;utm_source=hs_email&amp;utm_medium=email&amp;utm_content=85165037&amp;_hsenc=p2ANqtz-8bg9XF95yQXqFh3LyjTidiAI1igRHNg2SIgUwRiXvzPkGEuf0y0wnAxBIBC6NhAfu3cWSAUnuKIqPe-TAE2cdx0-tP3w&amp;_hsmi=85165037</t>
  </si>
  <si>
    <t>2340@yahoo.es</t>
  </si>
  <si>
    <t>https://resources.simonelectric.com/simon-ebook-vehiculo-electrico?utm_campaign=%23Simonentucasa&amp;utm_medium=email&amp;_hsenc=p2ANqtz-_SLncVM5-PNey3VUzYhS97CltEK1JaWkqqDziiVNNCQzGVNaNUKBQvg8nPXXjRmfCOxZh-5E1ooB1clbk5JdGjjGZbqg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</si>
  <si>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-8bg9XF95yQXqFh3LyjTidiAI1igRHNg2SIgUwRiXvzPkGEuf0y0wnAxBIBC6NhAfu3cWSAUnuKIqPe-TAE2cdx0-tP3w&amp;_hsmi=85165037&amp;utm_source=hs_email&amp;utm_content=85165037&amp;hsCtaTracking=7e048f91-fedd-4131-939d-25771a4a2d12%7Cf6d6f061-2319-4b5b-89f8-8c89fca06239</t>
  </si>
  <si>
    <t>2341@hotmail.com</t>
  </si>
  <si>
    <t>https://resources.simonelectric.com/simon-ebook-vehiculo-electrico?utm_campaign=%23Simonentucasa&amp;utm_source=hs_email&amp;utm_medium=email&amp;utm_content=85165037&amp;_hsenc=p2ANqtz-8EdWGF9YrAY6K9TTjDDoq-wMQ7rcW8-MOqU80idrafZOozOTIHp_2RGcxuhApVC1Fjesx9iWK8K9zQ0zKeZkeAwpwc3JVgJSiQzrpC20Y7EM6JOQM&amp;_hsmi=85165037</t>
  </si>
  <si>
    <t>https://resources.simonelectric.com/simon-ebook-vehiculo-electrico?utm_campaign=%23Simonentucasa&amp;utm_source=hs_email&amp;utm_medium=email&amp;utm_content=85165037&amp;_hsenc=p2ANqtz-_EllZcV5DT4NqQqPxl7LKQhemn8wNna9aW8YWRGXdi8Rv0lsQcxoJS4AqUgNDjW5RUh60teDxUGZTOPhWYZUA9uicZ3w&amp;_hsmi=85165037</t>
  </si>
  <si>
    <t>2342@inescoconstructora.es</t>
  </si>
  <si>
    <t>https://resources.simonelectric.com/simon-ebook-vehiculo-electrico?utm_campaign=%23Simonentucasa&amp;utm_medium=email&amp;_hsenc=p2ANqtz-8zbidWb8JlQWCyXaBJuoLPZ-LMJ0e6jqy7ym9RlS9IgBhFssjhINYBU0c50LN9Yus8T-owVJ1RnXDa0SVKoBZ7N9KNfw&amp;_hsmi=85165037&amp;utm_source=hs_email&amp;utm_content=85165037&amp;hsCtaTracking=7e048f91-fedd-4131-939d-25771a4a2d12%7Cf6d6f061-2319-4b5b-89f8-8c89fca06239</t>
  </si>
  <si>
    <t>2343@gmail.com</t>
  </si>
  <si>
    <t>https://resources.simonelectric.com/simon-ebook-vehiculo-electrico?utm_campaign=%23Simonentucasa&amp;utm_source=hs_email&amp;utm_medium=email&amp;utm_content=85165037&amp;_hsenc=p2ANqtz-9idHGn_vkoK3qmEsG-jYGqA7MAESSdQ1VZsDi4LANYpdO4sz9KI1Cw_jaTrLO1L67zpgGKPZkg17eQXGorTQJoIEMJYA&amp;_hsmi=85165037</t>
  </si>
  <si>
    <t>2344@tecmagenil.es</t>
  </si>
  <si>
    <t>https://resources.simonelectric.com/simon-ebook-vehiculo-electrico?utm_campaign=%23Simonentucasa&amp;utm_source=hs_email&amp;utm_medium=email&amp;utm_content=85165037&amp;_hsenc=p2ANqtz-9nS_QPFe9Q7ulR5BNgoWh5aEjVehhNmBLDyZsusP9rDhV8XAqYWrXgZiH4jL7wk4b1H9qfHamr_Ud_hK8TT3Ulkw8IjQ&amp;_hsmi=85165037</t>
  </si>
  <si>
    <t>2345@yahoo.es</t>
  </si>
  <si>
    <t>https://resources.simonelectric.com/simon-ebook-vehiculo-electrico?utm_campaign=%23Simonentucasa&amp;utm_medium=email&amp;_hsenc=p2ANqtz--PvCMsEGDd8XJzeYJ1-fnJQNq_Facgynv_BBSLfZLHm9sgMwkKITyY5-RTcdZWgqZpqq2YOYVlIJ6OJVPdyRm9TmSU6g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</si>
  <si>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-9lCl1Enigjs148Td-IHncLXOL00bipo2TNWkybHb6SBDVfLeXbkSzsEEO1jumsV8A_mkuE5-skMyBDGjiAPf0ykUvKTA&amp;_hsmi=85165037&amp;utm_source=hs_email&amp;utm_content=85165037&amp;hsCtaTracking=7e048f91-fedd-4131-939d-25771a4a2d12%7Cf6d6f061-2319-4b5b-89f8-8c89fca06239</t>
  </si>
  <si>
    <t>2346@grupoetra.com</t>
  </si>
  <si>
    <t>https://resources.simonelectric.com/simon-ebook-vehiculo-electrico?utm_campaign=%23Simonentucasa&amp;utm_source=hs_email&amp;utm_medium=email&amp;utm_content=85165037&amp;_hsenc=p2ANqtz-_NrxF9drqujzcEHPD55lWTZVGwrB1UeAOvpjxd8D7TsCYVBUyA-8jyTg7Yuf8HFk70sqHiMiF6fYQWcBphvsJ_ceUG5g&amp;_hsmi=85165037</t>
  </si>
  <si>
    <t>2347@visaonomada.pt</t>
  </si>
  <si>
    <t>https://resources.simonelectric.com/simon-ebook-vehiculo-electrico?utm_campaign=%23Simonentucasa&amp;utm_medium=email&amp;_hsenc=p2ANqtz-_VCbp3hKtoGNLq1ZhvX-nqpnfNcfwo-GvOBL0A2MtYgzzt4URr6xvd-HbHEBYAXcjWij2KzADWd12Lh7x341m2bITQXQ&amp;utm_source=hs_email&amp;utm_content=85165037&amp;hsCtaTracking=7e048f91-fedd-4131-939d-25771a4a2d12%7Cf6d6f061-2319-4b5b-89f8-8c89fca06239</t>
  </si>
  <si>
    <t>2348@ya.com</t>
  </si>
  <si>
    <t>https://resources.simonelectric.com/simon-ebook-vehiculo-electrico?utm_campaign=%23Simonentucasa&amp;utm_source=hs_email&amp;utm_medium=email&amp;utm_content=85165037&amp;_hsenc=p2ANqtz--zqmHSgmP5RWU6azVqWvwHeukk18tFHwPC7J5x0h_LUeRDwJ6fhu9PBeBGbDfxdrFT_VsQUM2z2rmDwEahOI6KyurItw&amp;_hsmi=85165037</t>
  </si>
  <si>
    <t>https://resources.simonelectric.com/simon-ebook-vehiculo-electrico?utm_campaign=%23Simonentucasa&amp;utm_medium=email&amp;_hsenc=p2ANqtz-8BAItUW5os5t7v7Bu9_GEfzPUw4vayduxG6Tn7L-vROHCxe_8MtJ7ag-m_VSECy2609LRKuFaL4MCzZZnpeGYHtkp8eA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</si>
  <si>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-904tr19ye-R329UuJCczj5zyMWiw5Qq4_7uGiCwes_W0YcSzva_gvpFn-GTK70wBA8oXrGwCjXwcCH89Prwh5rC2-agZ-VbjWXBMrBEYzq-3OrgxE&amp;utm_source=hs_email&amp;utm_content=85165037&amp;hsCtaTracking=7e048f91-fedd-4131-939d-25771a4a2d12%7Cf6d6f061-2319-4b5b-89f8-8c89fca06239</t>
  </si>
  <si>
    <t>2349@belsanz.com</t>
  </si>
  <si>
    <t>https://resources.simonelectric.com/simon-ebook-vehiculo-electrico?utm_campaign=%23Simonentucasa&amp;utm_medium=email&amp;_hsenc=p2ANqtz-9aNFrg9l2myCHHBmUEx6je-CsMDiL-4DzSsg83lh9u6bRNmILxAvyc33asVGp0-hgOgpJ2GgeGc8IK2I_LkL_91JSPfA&amp;_hsmi=85165037&amp;utm_source=hs_email&amp;utm_content=85165037&amp;hsCtaTracking=7e048f91-fedd-4131-939d-25771a4a2d12%7Cf6d6f061-2319-4b5b-89f8-8c89fca06239</t>
  </si>
  <si>
    <t>2350@gmail.com</t>
  </si>
  <si>
    <t>https://resources.simonelectric.com/simon-ebook-vehiculo-electrico?utm_campaign=%23Simonentucasa&amp;utm_medium=email&amp;_hsenc=p2ANqtz-_A7kLH0s_TJTw_QHzAkdLcdnD-eaUf0vG4Lsy9uLZbjzpveqnwjdxkpPhYon5fcXjII--aBeKB9CBYKN8Rzh9CIvhSuA&amp;_hsmi=85165037&amp;utm_source=hs_email&amp;utm_content=85165037&amp;hsCtaTracking=7e048f91-fedd-4131-939d-25771a4a2d12%7Cf6d6f061-2319-4b5b-89f8-8c89fca06239</t>
  </si>
  <si>
    <t>2351@gmail.com</t>
  </si>
  <si>
    <t>https://resources.simonelectric.com/simon-ebook-vehiculo-electrico?utm_campaign=%23Simonentucasa&amp;utm_medium=email&amp;_hsenc=p2ANqtz-9SlTLmL3ecpDYehH6yYJtqX-zr8y9JijFXSjjpScOipF4k-9yucMXJjBFKVn6UjmJxaZ7MLVVJNIRMtFVgJpofwOKdFA&amp;_hsmi=85165037&amp;utm_source=hs_email&amp;utm_content=85165037&amp;hsCtaTracking=7e048f91-fedd-4131-939d-25771a4a2d12%7Cf6d6f061-2319-4b5b-89f8-8c89fca06239</t>
  </si>
  <si>
    <t>2352@gmail.com</t>
  </si>
  <si>
    <t>https://resources.simonelectric.com/simon-ebook-vehiculo-electrico?utm_campaign=%23Simonentucasa&amp;utm_medium=email&amp;_hsenc=p2ANqtz--7cBDSNfQc8HQDUobJXAU1BE28_FQMS1JUpQbhQjKpBy_pnJ8btYYmkTIflaFH1u8dLno2SBeZCckq_s0sbLZcvwjW4A&amp;_hsmi=85165037&amp;utm_source=hs_email&amp;utm_content=85165037&amp;hsCtaTracking=7e048f91-fedd-4131-939d-25771a4a2d12%7Cf6d6f061-2319-4b5b-89f8-8c89fca06239</t>
  </si>
  <si>
    <t>2353@conecta-sistemas.com</t>
  </si>
  <si>
    <t>https://resources.simonelectric.com/simon-catalogo-vehiculo-electrico?__hstc=83084745.3f78f473477e22c19c7a0db8d88442e9.1585064307061.1585064307061.1585064307061.1&amp;__hssc=83084745.12.1585064307061&amp;__hsfp=3624664954</t>
  </si>
  <si>
    <t>https://resources.simonelectric.com/simon-ebook-vehiculo-electrico?utm_campaign=%23Simonentucasa&amp;utm_medium=email&amp;_hsenc=p2ANqtz-9CYl6qsWQBc0IinDZBc46GHwGY0aReUaRVvIad5IFxTpB8Peg_WLQsHKKPKpuZ_c-s5niwD78ECxudmSLpOL2LoiFkOw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</si>
  <si>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-kWTNbFVN0IrVRiOnpl-LKf5Ty274H2x0dJZi5KVZIDvKx9SxSO9cnICPuAO9RzPTO-yHpy3DglwY9_0mPE4WNTO5gxOXPCTMBMtQed-6nDxqvAec&amp;_hsmi=85165037&amp;utm_source=hs_email&amp;utm_content=85165037&amp;hsCtaTracking=7e048f91-fedd-4131-939d-25771a4a2d12%7Cf6d6f061-2319-4b5b-89f8-8c89fca06239</t>
  </si>
  <si>
    <t>2354@gmail.com</t>
  </si>
  <si>
    <t>https://resources.simonelectric.com/simon-ebook-vehiculo-electrico?utm_campaign=%23Simonentucasa&amp;utm_medium=email&amp;_hsenc=p2ANqtz--sWAkvwAgqRDFpe6oiNhKPbkxnOAwIY1AXZjOx3rYm9zi9_wsgwQTKTUHRI_t-Hb8OctP-Ej4zECrmghSVzmKAca0L4Q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</si>
  <si>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-95rWFtZOkdYdOvc2ymuCVcQmnWte33xSUXKJGB99MQN5qCP74tF3Q870pEmFZ0EHIreum2cR1QMp2vnA3qrDMwVAvatSPhEvadlUrtylAny4NcGpQ&amp;_hsmi=85165037&amp;utm_source=hs_email&amp;utm_content=85165037&amp;hsCtaTracking=7e048f91-fedd-4131-939d-25771a4a2d12%7Cf6d6f061-2319-4b5b-89f8-8c89fca06239</t>
  </si>
  <si>
    <t>2355@gmail.com</t>
  </si>
  <si>
    <t>https://resources.simonelectric.com/simon-ebook-vehiculo-electrico?utm_campaign=%23Simonentucasa&amp;utm_medium=email&amp;_hsenc=p2ANqtz-99GEJdrRP7hOPj3AcbrosFGN75FWajl2GAgpo18CJW4q0LIo5WzO1TM0dA4M8wisZ1AXIGGyRWGAqo-LHQq7tAPttBiA&amp;_hsmi=85165037&amp;utm_source=hs_email&amp;utm_content=85165037&amp;hsCtaTracking=7e048f91-fedd-4131-939d-25771a4a2d12%7Cf6d6f061-2319-4b5b-89f8-8c89fca06239</t>
  </si>
  <si>
    <t>2356@infova.es</t>
  </si>
  <si>
    <t>https://resources.simonelectric.com/simon-ebook-vehiculo-electrico?utm_campaign=%23Simonentucasa&amp;utm_medium=email&amp;_hsenc=p2ANqtz-86JUbjg2OZ9QFMiWBKiVellMzMR_UQA8y2SXr0Y_yYhaJjK7RF_9pSmrhVHWVVHHgCLbk32tE921UrqwWmRfomS2lJmw&amp;_hsmi=85165037&amp;utm_source=hs_email&amp;utm_content=85165037&amp;hsCtaTracking=7e048f91-fedd-4131-939d-25771a4a2d12%7Cf6d6f061-2319-4b5b-89f8-8c89fca06239</t>
  </si>
  <si>
    <t>2357@gmail.com</t>
  </si>
  <si>
    <t>https://resources.simonelectric.com/simon-ebook-vehiculo-electrico?utm_campaign=%23Simonentucasa&amp;utm_medium=email&amp;_hsenc=p2ANqtz-8bpQn4khTei3SZMR8NMjqD_KuSTIBqXarpFlvMtqWC9o8Wgrn5cxYO5JQabH6d0VP3G7-yhgRf-pjsJvKnsqKt-eM-8PKRRO_yWWmWiEHshHXBfDI&amp;_hsmi=85165037&amp;utm_source=hs_email&amp;utm_content=85165037&amp;hsCtaTracking=7e048f91-fedd-4131-939d-25771a4a2d12%7Cf6d6f061-2319-4b5b-89f8-8c89fca06239</t>
  </si>
  <si>
    <t>2358@hotmail.es</t>
  </si>
  <si>
    <t>https://resources.simonelectric.com/simon-ebook-vehiculo-electrico?utm_campaign=%23Simonentucasa&amp;utm_medium=email&amp;_hsenc=p2ANqtz-_lFi4HGTs_1WQS4xuSynYGEgaXa_i1Z1MHbg_COD7yKD9ohM9Fzg51iAv_wkvV82YwKt6L0NwECglVcjLv6kpljHDkUA&amp;_hsmi=85165037&amp;utm_source=hs_email&amp;utm_content=85165037&amp;hsCtaTracking=7e048f91-fedd-4131-939d-25771a4a2d12%7Cf6d6f061-2319-4b5b-89f8-8c89fca06239</t>
  </si>
  <si>
    <t>2359@hotmail.com</t>
  </si>
  <si>
    <t>https://resources.simonelectric.com/simon-ebook-vehiculo-electrico?utm_campaign=%23Simonentucasa&amp;utm_source=hs_email&amp;utm_medium=email&amp;utm_content=85165037&amp;_hsenc=p2ANqtz-8TjuLVsWftghWDS7QWAML4nLmPWzy9cV7VSfbGH9dIhogznF7vTByQQVQa50TsERj_TPIg9g7he55RycBYtuIWsqwF9g&amp;_hsmi=85165037</t>
  </si>
  <si>
    <t>2360@viplaro.com</t>
  </si>
  <si>
    <t>2361@gmail.com</t>
  </si>
  <si>
    <t>https://resources.simonelectric.com/simon-ebook-vehiculo-electrico?utm_campaign=%23Simonentucasa&amp;utm_medium=email&amp;_hsenc=p2ANqtz-_M0-HiJ8HC7KGAlsMUqGIxoWjEDW08RWPNrulSIo-nGY0pBV7aaQ1_1SZ26sq8Ycnzc7WPUReljk9l613qjQvAHdpaXkXFggfjfCr6SIYAxLCvTOU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</si>
  <si>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-8Tx58SnqdL8TuAXhcqCChBd8fRgno7-2fThupPoqU0hAmw2u-hzwrBUk_efP-6A-SjzBihOe-FLNvyaBLdEyJRDekX4Q&amp;_hsmi=85165037&amp;utm_source=hs_email&amp;utm_content=85165037&amp;hsCtaTracking=7e048f91-fedd-4131-939d-25771a4a2d12%7Cf6d6f061-2319-4b5b-89f8-8c89fca06239</t>
  </si>
  <si>
    <t>2362@telefonica.net</t>
  </si>
  <si>
    <t>https://resources.simonelectric.com/simon-ebook-vehiculo-electrico?utm_campaign=%23Simonentucasa&amp;utm_medium=email&amp;_hsenc=p2ANqtz-_porwoRJWn-Ga2LRx1G7rZRbToX4UqUfgbD6E9sYcciZS8sZW2fFJ7skRTkXE5XPoPGG6k-opJaDTxf1RRnGSMQDZyJA&amp;_hsmi=85165037&amp;utm_source=hs_email&amp;utm_content=85165037&amp;hsCtaTracking=7e048f91-fedd-4131-939d-25771a4a2d12%7Cf6d6f061-2319-4b5b-89f8-8c89fca06239</t>
  </si>
  <si>
    <t>2363@hotmail.com</t>
  </si>
  <si>
    <t>https://resources.simonelectric.com/simon-ebook-vehiculo-electrico?utm_campaign=%23Simonentucasa&amp;utm_source=hs_email&amp;utm_medium=email&amp;utm_content=85165037&amp;_hsenc=p2ANqtz--p23VTvrifIaeyJapa-meIujBZlDf2D1KMPmO0wagoxcEgcXNZ8Y8soUmALzkvKl5mtClvLiTUdGqK6NN4CDXL6VI_qLlGKoX1Ec18hyB13B8vdFU&amp;_hsmi=85165037</t>
  </si>
  <si>
    <t>https://resources.simonelectric.com/simon-ebook-vehiculo-electrico?utm_campaign=%23Simonentucasa&amp;utm_medium=email&amp;_hsenc=p2ANqtz--uJ_bYQ_bxyk3uWis9kbAMSuQOhmFdc5F3AyswrrUeZ-UYfVV0wFqBHQCNYtFPhw5i9mmNBz24otpeSxWm6aHBge6s8A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</si>
  <si>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-9tbPCfRO8qYJHMIxJN9YDpzAVdFUfwx1QytWPF5SB2MEnEpMUKK9ca4fSdZrxbXy9_yYxPoUmbUj9efLIPlc-WZtSQpONyCOH0SMFX35MBu4yJTks&amp;_hsmi=85165037&amp;utm_source=hs_email&amp;utm_content=85165037&amp;hsCtaTracking=7e048f91-fedd-4131-939d-25771a4a2d12%7Cf6d6f061-2319-4b5b-89f8-8c89fca06239</t>
  </si>
  <si>
    <t>2364@agmundet.es</t>
  </si>
  <si>
    <t>https://resources.simonelectric.com/simon-ebook-vehiculo-electrico?utm_campaign=%23Simonentucasa&amp;utm_medium=email&amp;_hsenc=p2ANqtz-8Q196tshxul-qLgQ2htqkwDbYnXLmCacbolQ8IrttETOvQ75D1Jm_4P3WNevaJiYJuGlUcW_lmVTP_IGSjXGT3ZkBawA&amp;_hsmi=85165037&amp;utm_source=hs_email&amp;utm_content=85165037&amp;hsCtaTracking=7e048f91-fedd-4131-939d-25771a4a2d12%7Cf6d6f061-2319-4b5b-89f8-8c89fca06239</t>
  </si>
  <si>
    <t>2365@jazzfree.com</t>
  </si>
  <si>
    <t>https://resources.simonelectric.com/simon-ebook-vehiculo-electrico?utm_campaign=%23Simonentucasa&amp;utm_source=hs_email&amp;utm_medium=email&amp;utm_content=85165037&amp;_hsenc=p2ANqtz-8FcDapxs0J0bGpkwNRheSQha09n3gBWnWJBZC3VpOi6t52iA6etG_SdjK08Re1q9zraNLtDTpAaAGOJVR3cQ_jrt-YFQ&amp;_hsmi=85165037</t>
  </si>
  <si>
    <t>2366@energies.cat</t>
  </si>
  <si>
    <t>https://resources.simonelectric.com/simon-ebook-vehiculo-electrico?utm_campaign=%23Simonentucasa&amp;utm_source=hs_email&amp;utm_medium=email&amp;utm_content=85165037&amp;_hsenc=p2ANqtz--k-j9YLWp6viO7_tT2BqKihiwPFjTjQuR13XF_GMW_wUjYiNOJ8535W-ppbaI35OXxJ0DcLp_WnoHIEqvDTMmGAj5RaA&amp;_hsmi=85165037</t>
  </si>
  <si>
    <t>https://resources.simonelectric.com/simon-ebook-vehiculo-electrico?utm_campaign=%23Simonentucasa&amp;utm_source=hs_email&amp;utm_medium=email&amp;utm_content=85165037&amp;_hsenc=p2ANqtz-8CKtQwTg1fLM9mP-LTjpD21brNkis5aVNBoiiC2hHNHDlDCbUQrE6CJlWYRB_wqeAeHd4khmYrFtP0VNxZ_Sx1wjNglg&amp;_hsmi=85165037</t>
  </si>
  <si>
    <t>2367@yahoo.es</t>
  </si>
  <si>
    <t>https://resources.simonelectric.com/simon-ebook-vehiculo-electrico?utm_campaign=%23Simonentucasa&amp;utm_source=hs_email&amp;utm_medium=email&amp;utm_content=85165037&amp;_hsenc=p2ANqtz-_xYBV2XoNo-58L6LqqtfrHZF5pVcSD5fcC7fEMH3SLGn4LIFw_OlaQfuT0p_QJQrZ1qy6Qiy2s4JmkzlW7IRO07Ywqm9RjjyNdTjSZRDJviPEmmOc&amp;_hsmi=85165037</t>
  </si>
  <si>
    <t>2368@gmail.com</t>
  </si>
  <si>
    <t>https://resources.simonelectric.com/simon-ebook-vehiculo-electrico?utm_campaign=%23Simonentucasa&amp;utm_medium=email&amp;_hsenc=p2ANqtz-9Z_5pL7fG0k51vz5tOJIiC9dqgattwo44UyDfw27w9DHsPjkfayo0lODNZokx4yx_eBP2CeujSGw6JnKta3E1OfpzLZA&amp;_hsmi=85165037&amp;utm_source=hs_email&amp;utm_content=85165037&amp;hsCtaTracking=7e048f91-fedd-4131-939d-25771a4a2d12%7Cf6d6f061-2319-4b5b-89f8-8c89fca06239</t>
  </si>
  <si>
    <t>2369@cataliaga.com</t>
  </si>
  <si>
    <t>https://resources.simonelectric.com/simon-ebook-vehiculo-electrico?utm_campaign=%23Simonentucasa&amp;utm_source=hs_email&amp;utm_medium=email&amp;utm_content=85165037&amp;_hsenc=p2ANqtz--jkIXEgZWKk-AMpe-jch9EqpQxPkJr2ki8qDLMTTcjxQekMSyrKOHXEKfv0lmKby4ydi3qiusSbsJMFTdHGnhwgXMVUw&amp;_hsmi=85165037</t>
  </si>
  <si>
    <t>https://resources.simonelectric.com/simon-ebook-vehiculo-electrico?utm_campaign=%23Simonentucasa&amp;utm_source=hs_email&amp;utm_medium=email&amp;utm_content=85165037&amp;_hsenc=p2ANqtz--wpfyLlkxVyVmcFWDDgUorrV9RaVhf0u0tLZIAsGu5LbzmNopQ32CO59LXuvUdfVzCGrAR9ycMIsJC-uuRO3tQ7tf7aA&amp;_hsmi=85165037</t>
  </si>
  <si>
    <t>https://resources.simonelectric.com/simon-ebook-vehiculo-electrico?utm_campaign=%23Simonentucasa&amp;utm_medium=email&amp;_hsenc=p2ANqtz-_XbM3CR3Fwwm1tHpw9b5zA2Bx5I0U0CwZlK5ybqRA5f49DTl7PeyFxHQAICheKg8MV5E6JRcRL0afJOadwSNqyzv84OZ0vEmVjMWFj3aUTm_dUqL8&amp;_hsmi=85165037&amp;utm_source=hs_email&amp;utm_content=85165037&amp;hsCtaTracking=7e048f91-fedd-4131-939d-25771a4a2d12%7Cf6d6f061-2319-4b5b-89f8-8c89fca06239</t>
  </si>
  <si>
    <t>2370@gmail.com</t>
  </si>
  <si>
    <t>https://resources.simonelectric.com/simon-ebook-vehiculo-electrico?utm_campaign=%23Simonentucasa&amp;utm_medium=email&amp;_hsenc=p2ANqtz-_acj8aRLdD3XwJkZmItw8fbqRKbOSlTZEA9-vj1bIaaSlIMqQlWUTgiHi9RA2tg-pivLd5rtMMMbM2WKqK_tVmU70EAQ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</si>
  <si>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source=hs_email&amp;utm_medium=email&amp;utm_content=85165037&amp;_hsenc=p2ANqtz--JBCDm8cflcNr-tVO9YFPcXGVVJfyG8I5pjbh7LRNeBI42MAIX5zyrgCsHNJPt9NNmTdTUl5dxI9tlyMif3sk3YQFXYbrRwciAhV6S4H6_PxG2p-I&amp;_hsmi=85165037</t>
  </si>
  <si>
    <t>2371@fhiguero.es</t>
  </si>
  <si>
    <t>https://resources.simonelectric.com/simon-ebook-vehiculo-electrico?utm_campaign=%23Simonentucasa&amp;utm_medium=email&amp;_hsenc=p2ANqtz-9rt23JpfKL6IlcdubV-a5Y6tPKlRx3ecemRwAweZHR1JmWjmeyejh8MNO9Q6XCPG_W0BIyBGYI0rLsqZMSeMmtCMQTKg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</si>
  <si>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-eGirFp0JaPtUxVC2AMJxHH4mBbZKK2GMbze76IVCHJz8t1F6TNwXJnYF6AeuFEqnXagHVcqjAZJE5CfUisCNcH8RP2A&amp;_hsmi=85165037&amp;utm_source=hs_email&amp;utm_content=85165037&amp;hsCtaTracking=7e048f91-fedd-4131-939d-25771a4a2d12%7Cf6d6f061-2319-4b5b-89f8-8c89fca06239</t>
  </si>
  <si>
    <t>2372@gmail.com</t>
  </si>
  <si>
    <t>https://resources.simonelectric.com/simon-ebook-vehiculo-electrico?utm_campaign=SIC%20-%20Veh%C3%ADculo%20El%C3%A9ctrico&amp;utm_medium=email&amp;_hsenc=p2ANqtz--yfZn7I6yfktlKZl796vV1VaPGSvZF8VAHlTyZURpZetSkIAy616BgKXUifx3OgUbxn11XHbGkpAS02pkQ-EUE_RiP0g&amp;_hsmi=67858848&amp;utm_source=hs_automation&amp;utm_content=67858848&amp;hsCtaTracking=4ffb3aa1-677f-463b-8339-fc65a1da68db%7C5790d3b1-fbc3-4c32-a016-744222ad1cdc</t>
  </si>
  <si>
    <t>2373@grupoelectrostocks.com</t>
  </si>
  <si>
    <t>https://resources.simonelectric.com/simon-ebook-vehiculo-electrico?utm_campaign=%23Simonentucasa&amp;utm_medium=email&amp;_hsenc=p2ANqtz-90zDYSiFPBHIW1JM2hgzgIeDV4M6HfPibgbfCtEq_GdzUH6-eFi5U_P_eLMOIGi-Mj7fXDfS8gYAfkwtFza_liYgzo7yQJmySXCrqG-Tl9m7d--40&amp;_hsmi=85165037&amp;utm_source=hs_email&amp;utm_content=85165037&amp;hsCtaTracking=7e048f91-fedd-4131-939d-25771a4a2d12%7Cf6d6f061-2319-4b5b-89f8-8c89fca06239</t>
  </si>
  <si>
    <t>2374@yahoo.com</t>
  </si>
  <si>
    <t>https://resources.simonelectric.com/simon-ebook-vehiculo-electrico?utm_campaign=%23Simonentucasa&amp;utm_medium=email&amp;_hsenc=p2ANqtz-_6K1GnpK89kyl6ip4mhJc1iNGWqK0gmH0emzsjkebKHi4xZeWHZFw-p6Sc3h920ZUwNUcrW-CJxQyYeI0gW9qyK8FCVg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</si>
  <si>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-LIMawk4uyZKH_82ItK3DogsUNVKf32QCLpB4_v87kJZx5SNdn889p_y2Yid7iD00JC6-6FXYBL4-mNjAHrt_ZlXcvZg&amp;_hsmi=85165037&amp;utm_source=hs_email&amp;utm_content=85165037&amp;hsCtaTracking=7e048f91-fedd-4131-939d-25771a4a2d12%7Cf6d6f061-2319-4b5b-89f8-8c89fca06239</t>
  </si>
  <si>
    <t>2375@m4servicios.es</t>
  </si>
  <si>
    <t>https://resources.simonelectric.com/simon-ebook-vehiculo-electrico?utm_campaign=%23Simonentucasa&amp;utm_medium=email&amp;_hsenc=p2ANqtz-_Q7i4XO9SWqXSHs6aqYDX5-Utc2Z6gotpnpN1k9Be73aZKCXfuvXUwjjkXY9B6xMzBq8BGlYsa9zK8gYbjXoibkveOfg&amp;_hsmi=85165037&amp;utm_source=hs_email&amp;utm_content=85165037&amp;hsCtaTracking=7e048f91-fedd-4131-939d-25771a4a2d12%7Cf6d6f061-2319-4b5b-89f8-8c89fca06239</t>
  </si>
  <si>
    <t>2376@gmail.com</t>
  </si>
  <si>
    <t>https://resources.simonelectric.com/simon-ebook-vehiculo-electrico?utm_campaign=%23Simonentucasa&amp;utm_medium=email&amp;_hsenc=p2ANqtz-_XXBWnJISKJOAKW8uWAK2Piec6-oRraEmdJijLucHWoS_DCYcfINiQsX3ixsu0PChA2bustyguhrUG7znxjrccG9M1qkN8GqVguUAkHz_2kgC6XYY&amp;_hsmi=85165037&amp;utm_source=hs_email&amp;utm_content=85165037&amp;hsCtaTracking=7e048f91-fedd-4131-939d-25771a4a2d12%7Cf6d6f061-2319-4b5b-89f8-8c89fca06239</t>
  </si>
  <si>
    <t>2377@conmasa.cat</t>
  </si>
  <si>
    <t>https://resources.simonelectric.com/simon-catalogo-vehiculo-electrico?__hstc=83084745.5b5ea2765a25a9ede2778ac97b1c5799.1585050968368.1585050968368.1585050968368.1&amp;__hssc=83084745.8.1585050968369&amp;__hsfp=3430076384</t>
  </si>
  <si>
    <t>2378@montajesjep.com</t>
  </si>
  <si>
    <t>https://resources.simonelectric.com/simon-ebook-vehiculo-electrico?utm_campaign=%23Simonentucasa&amp;utm_medium=email&amp;_hsenc=p2ANqtz-89PoqX6XsDkax7shAuI4WpokMnX-jotAorc4XIpbJ5Bx77B3kbEUpQkg3xrdWBRuTekOV0SPid8n13H5GMVbG7fk7FiQ&amp;utm_source=hs_email&amp;utm_content=85165037&amp;hsCtaTracking=7e048f91-fedd-4131-939d-25771a4a2d12%7Cf6d6f061-2319-4b5b-89f8-8c89fca06239</t>
  </si>
  <si>
    <t>2379@erf.cat</t>
  </si>
  <si>
    <t>https://resources.simonelectric.com/simon-ebook-vehiculo-electrico?utm_campaign=%23Simonentucasa&amp;utm_source=hs_email&amp;utm_medium=email&amp;utm_content=85165037&amp;_hsenc=p2ANqtz-8lFj1sntoRDk0bXgR-9XI-ETzvaA0hF1z0OuAyyB5Dj7PTnAFsMoz3UB3LGzUtxiXVSsOS1v7ZX1l1R_KYuNBNS_76qw&amp;_hsmi=85165037</t>
  </si>
  <si>
    <t>2380@gmail.com</t>
  </si>
  <si>
    <t>https://resources.simonelectric.com/simon-ebook-vehiculo-electrico?utm_campaign=%23Simonentucasa&amp;utm_medium=email&amp;_hsenc=p2ANqtz-_k7dsaPC34iKSzgHWgqpI9CXvbvdYGQRlILkkG-1em2GwzeqMrxPvg7LYQbxsIiQZ79eO529tDVk8ZMEZvqqTcI7j6wA&amp;_hsmi=85165037&amp;utm_source=hs_email&amp;utm_content=85165037&amp;hsCtaTracking=7e048f91-fedd-4131-939d-25771a4a2d12%7Cf6d6f061-2319-4b5b-89f8-8c89fca06239</t>
  </si>
  <si>
    <t>2381@outlook.com</t>
  </si>
  <si>
    <t>https://resources.simonelectric.com/simon-ebook-vehiculo-electrico?utm_campaign=%23Simonentucasa&amp;utm_medium=email&amp;_hsenc=p2ANqtz-_nBSa44IvSkY63hnMigN1B-2769mfazQ3BvHJcdXcHgi9gG7MoMyoWa2TS49b8D4EZ2_QUdhUUrwBynTF3n5aNZyadRgKBg1zBqJu-TToTw7KYu2Q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</si>
  <si>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-8a8rboNy128dpb8u-BuWk9c9q0wlenGSdg3Tvq380SbFqrthLg3IFJi8tiONXtbh2hZtzndtXsTENoMqBuS4KlM5v29g&amp;_hsmi=85165037&amp;utm_source=hs_email&amp;utm_content=85165037&amp;hsCtaTracking=7e048f91-fedd-4131-939d-25771a4a2d12%7Cf6d6f061-2319-4b5b-89f8-8c89fca06239</t>
  </si>
  <si>
    <t>2382@hotmail.com</t>
  </si>
  <si>
    <t>https://resources.simonelectric.com/simon-ebook-vehiculo-electrico?utm_campaign=%23Simonentucasa&amp;utm_medium=email&amp;_hsenc=p2ANqtz-9VlEjT8u0xEuTdZdUt8ESHc8lild3_mQTHh0R-p1GAGWFdQBnifWRTUziU6JEsxxgPq4CyfyAOzHtUOC7oLY3zT9fCYg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</si>
  <si>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source=hs_email&amp;utm_medium=email&amp;utm_content=85165037&amp;_hsenc=p2ANqtz-_5vwmn46HbWwboALjUqmlKKtI-euR-MCEQIb88MNY6jSA8yctiq1e_t8r7LMeeOHRH_E5XjJbuqLh5gTqvxKDzDYT8R6p10CnKnJTuqgQVQcavukk&amp;_hsmi=85165037</t>
  </si>
  <si>
    <t>2383@fff.com</t>
  </si>
  <si>
    <t>https://resources.simonelectric.com/simon-catalogo-vehiculo-electrico?__hstc=83084745.afbb2566f5157a2d3b6d3129941a2bc2.1585049362938.1585049362938.1585049362938.1&amp;__hssc=83084745.27.1585049362939&amp;__hsfp=1807925393</t>
  </si>
  <si>
    <t>2384@kapsch.net</t>
  </si>
  <si>
    <t>https://resources.simonelectric.com/simon-ebook-vehiculo-electrico?utm_campaign=%23Simonentucasa&amp;utm_medium=email&amp;_hsenc=p2ANqtz-8aKPjNhboFhianLH50BNmsGm7J6vRWdc7beMrW4zv77t9J1l6rzZAwF-nqKp2Mhn-B0N8YMz7uksN9XGbw9qdq25gOZQ&amp;_hsmi=85165037&amp;utm_source=hs_email&amp;utm_content=85165037&amp;hsCtaTracking=7e048f91-fedd-4131-939d-25771a4a2d12%7Cf6d6f061-2319-4b5b-89f8-8c89fca06239</t>
  </si>
  <si>
    <t>2385@gg.com</t>
  </si>
  <si>
    <t>2386@agosa.es</t>
  </si>
  <si>
    <t>https://resources.simonelectric.com/simon-ebook-vehiculo-electrico?utm_campaign=%23Simonentucasa&amp;utm_medium=email&amp;_hsenc=p2ANqtz-_rb3FKo2KXHuJA6JjAOZH1mHmnlFZKsBsLr2GXq1GufkGNyEOtfI0DBkRkzf6HZmQ7ZYWR9fDue9PVHDGMGgqwoxLPEg&amp;_hsmi=85165037&amp;utm_source=hs_email&amp;utm_content=85165037&amp;hsCtaTracking=7e048f91-fedd-4131-939d-25771a4a2d12%7Cf6d6f061-2319-4b5b-89f8-8c89fca06239</t>
  </si>
  <si>
    <t>2387@yahoo.es</t>
  </si>
  <si>
    <t>https://resources.simonelectric.com/simon-ebook-vehiculo-electrico?utm_campaign=%23Simonentucasa&amp;utm_source=hs_email&amp;utm_medium=email&amp;utm_content=85165037&amp;_hsenc=p2ANqtz--yDoVe3aDFOXyiPqLlxCnUyUG3rUzRpztwq77QaeH8eBBEXkoOHqMQxBjZ_69kHsFivV7wK0nmJybDwahI_-i7vakBew&amp;_hsmi=85165037</t>
  </si>
  <si>
    <t>2388@gmail.com</t>
  </si>
  <si>
    <t>https://resources.simonelectric.com/simon-ebook-vehiculo-electrico?utm_campaign=%23Simonentucasa&amp;utm_medium=email&amp;_hsenc=p2ANqtz---_38Nkw3nHNfWO7N9AL9zB8lpqqWr5kKIBb8ZA4cAyWn3AeFHhellb7Xl1yLq7a1-S3dRzXyhTJehSsSnHVwnBIgAeg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</si>
  <si>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source=hs_email&amp;utm_medium=email&amp;utm_content=85165037&amp;_hsenc=p2ANqtz-_EtMEDkIT2SpriHGi1Z0FruC_DQ9L_UIL3t9bgy3ZnE_y4u9ut56iehUj4cD5pRBcwBHcGaarWHejFL82oNyuCw-5O6g&amp;_hsmi=85165037</t>
  </si>
  <si>
    <t>2389@gruponovelec.com</t>
  </si>
  <si>
    <t>https://resources.simonelectric.com/simon-ebook-vehiculo-electrico?utm_campaign=%23Simonentucasa&amp;utm_medium=email&amp;_hsenc=p2ANqtz-_dnV2kxsKaRnqwP8Su7X3r6DLA5YxjqfK8BiTEKIXDrP5jxuOchaxeX6WuezPgveHVHbSLaZlZ64tPDBE22OzLarQBQ7UOLANYtknDhoeuo16p3p8&amp;_hsmi=85165037&amp;utm_source=hs_email&amp;utm_content=85165037&amp;hsCtaTracking=7e048f91-fedd-4131-939d-25771a4a2d12%7Cf6d6f061-2319-4b5b-89f8-8c89fca06239</t>
  </si>
  <si>
    <t>2390@gmail.com</t>
  </si>
  <si>
    <t>https://resources.simonelectric.com/simon-ebook-vehiculo-electrico?utm_campaign=%23Simonentucasa&amp;utm_medium=email&amp;_hsenc=p2ANqtz-_60EfzsR9lF5jI5XvwtGUKgg_L4rYlaiVYWLt8GktXspvk4AOvTtfdStsJu9eO1HS-Ito0fUZqjujRMcnE3XMN9MaZf2CW-wZuyUutmnFaAxPDdcs&amp;_hsmi=85165037&amp;utm_source=hs_email&amp;utm_content=85165037&amp;hsCtaTracking=7e048f91-fedd-4131-939d-25771a4a2d12%7Cf6d6f061-2319-4b5b-89f8-8c89fca06239</t>
  </si>
  <si>
    <t>2391@casamarquez.es</t>
  </si>
  <si>
    <t>https://resources.simonelectric.com/simon-ebook-vehiculo-electrico?utm_campaign=%23Simonentucasa&amp;utm_source=hs_email&amp;utm_medium=email&amp;utm_content=85165037&amp;_hsenc=p2ANqtz-8KHQMi9Sl96-_lmPRVB0C-Of7bFrkVI4JmSb_Z4oVWu-9topr9UF-umZ8q-oxPNy4hRa7dwvcgCe7GDwWI6p5p64QvBg&amp;_hsmi=85165037</t>
  </si>
  <si>
    <t>2392@gmail.com</t>
  </si>
  <si>
    <t>2393@gmail.com</t>
  </si>
  <si>
    <t>https://resources.simonelectric.com/simon-ebook-vehiculo-electrico?utm_campaign=%23Simonentucasa&amp;utm_medium=email&amp;_hsenc=p2ANqtz--za8clUaFJjca9HLC2R_IPjXaUS93R7gh3owTBBF5nU32uJfVeZgzoZZDl1nXjWfaMloYR842iTHEALvdfr79O6fYVgA&amp;_hsmi=85165037&amp;utm_source=hs_email&amp;utm_content=85165037&amp;hsCtaTracking=7e048f91-fedd-4131-939d-25771a4a2d12%7Cf6d6f061-2319-4b5b-89f8-8c89fca06239</t>
  </si>
  <si>
    <t>2394@bladis.com</t>
  </si>
  <si>
    <t>https://resources.simonelectric.com/simon-ebook-vehiculo-electrico-0?gclid=EAIaIQobChMI_sfpof-y6AIV7qJRCh0z6g7KEAEYASAAEgKXJvD_BwE</t>
  </si>
  <si>
    <t>https://resources.simonelectric.com/simon-ebook-vehiculo-electrico?utm_campaign=%23Simonentucasa&amp;utm_medium=email&amp;_hsenc=p2ANqtz-9qsvJquYkcYsiILgkow8ZiKdHfnrWRFhtKmJPV0BHD1G5cNwND4CjPEBbaSlKtGHzfWl3kJe3MRkkJHJYAdLou8QqCRCNZupweZyeqO6X87cPh0rA&amp;_hsmi=85165037&amp;utm_source=hs_email&amp;utm_content=85165037&amp;hsCtaTracking=7e048f91-fedd-4131-939d-25771a4a2d12%7Cf6d6f061-2319-4b5b-89f8-8c89fca06239</t>
  </si>
  <si>
    <t>2395@gruponovelec.com</t>
  </si>
  <si>
    <t>https://resources.simonelectric.com/simon-ebook-vehiculo-electrico?utm_campaign=%23Simonentucasa&amp;utm_medium=email&amp;_hsenc=p2ANqtz-8HGCUUDQSd0uoygsB-0oRYA2zY6sxg-GpySP3YGVhB9oMkjRMoVdiL8W7Uaa8-y8Cs6wS5Gz_lnit6eVk11gCZT0ZipdLg2B52Zt11RWHYzmOHvKw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</si>
  <si>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-92ZnfIev8cUjSjY4nkIO3XHbkGNqaWfrWvJCdSwqJGIPv3lXy1ka1XjqeVlE5uPthZawDnVGh9ilNlWvtq7OTGcfW8mu1LHULChrLJfRvkz2ySSps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</si>
  <si>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-97HK4KR3JL3G67QRrZgxuwxCTojcjg4VTbAhVCqgD524BbrMu8HH2y3r3BYkwx_c2AI9tnd1RFRB2FbNhfsBJQr7HYlw&amp;_hsmi=85165037&amp;utm_source=hs_email&amp;utm_content=85165037&amp;hsCtaTracking=7e048f91-fedd-4131-939d-25771a4a2d12%7Cf6d6f061-2319-4b5b-89f8-8c89fca06239</t>
  </si>
  <si>
    <t>2396@sonepar.es</t>
  </si>
  <si>
    <t>https://resources.simonelectric.com/simon-ebook-vehiculo-electrico?utm_campaign=%23Simonentucasa&amp;utm_medium=email&amp;_hsenc=p2ANqtz--G4IoQ2o-KkoopXQunwchKO_9_iUD5aEMo4W7x-0cxeKvkhq46FZOcfd3ADkGgipRjuq75iwCipe_B5rjtKnJKhkEzzw&amp;_hsmi=85165037&amp;utm_source=hs_email&amp;utm_content=85165037&amp;hsCtaTracking=7e048f91-fedd-4131-939d-25771a4a2d12%7Cf6d6f061-2319-4b5b-89f8-8c89fca06239</t>
  </si>
  <si>
    <t>2397@a2bingenieros.com</t>
  </si>
  <si>
    <t>2398@hotmail.com</t>
  </si>
  <si>
    <t>https://resources.simonelectric.com/simon-ebook-vehiculo-electrico?utm_campaign=%23Simonentucasa&amp;utm_medium=email&amp;_hsenc=p2ANqtz-8Qw7XskZGKrDzcVfalfX9uqG6MpVxIK-SPR4qu7hX-A0riWMuY0s74TlBWQU3Zxd6D8e01L8Ppx1kBDgU1Zw7wnHO7lw&amp;_hsmi=85165037&amp;utm_source=hs_email&amp;utm_content=85165037&amp;hsCtaTracking=7e048f91-fedd-4131-939d-25771a4a2d12%7Cf6d6f061-2319-4b5b-89f8-8c89fca06239</t>
  </si>
  <si>
    <t>2399@teclisa.com</t>
  </si>
  <si>
    <t>https://resources.simonelectric.com/simon-ebook-vehiculo-electrico?utm_campaign=%23Simonentucasa&amp;utm_medium=email&amp;_hsenc=p2ANqtz-8kg8BU1sORWCPt29-L2R0xCAhXhVIrfWchqnJJ1ZyWtNDGfk99edEnQ9vibdU2AbmCyaEGr9BG3eB7JfYu8My13xryEQ&amp;_hsmi=85165037&amp;utm_source=hs_email&amp;utm_content=85165037&amp;hsCtaTracking=7e048f91-fedd-4131-939d-25771a4a2d12%7Cf6d6f061-2319-4b5b-89f8-8c89fca06239</t>
  </si>
  <si>
    <t>2400@ormazabal.com</t>
  </si>
  <si>
    <t>https://resources.simonelectric.com/simon-ebook-vehiculo-electrico?utm_campaign=%23Simonentucasa&amp;utm_source=hs_email&amp;utm_medium=email&amp;utm_content=85165037&amp;_hsenc=p2ANqtz--3a3faEAJvDYlrZOQQO0tuOdCp-_HQCRZBKFKk22ue5kC6QtR027cxj2-w5YQKzNsKX0YEqvuhtNh4A1ZPW638gidMUQ&amp;_hsmi=85165037</t>
  </si>
  <si>
    <t>2401@hotmail.com</t>
  </si>
  <si>
    <t>https://resources.simonelectric.com/simon-ebook-vehiculo-electrico?utm_campaign=%23Simonentucasa&amp;utm_medium=email&amp;_hsenc=p2ANqtz-8ZxTBN2DtMiy6KDhqhGZAZP85Jgcm9K7h6BEFIPSrsx-LSQ7539pLlhA9kykviD7ySErOQTiOGGuBsyi3Gfd5tNkItJg&amp;_hsmi=85165037&amp;utm_source=hs_email&amp;utm_content=85165037&amp;hsCtaTracking=7e048f91-fedd-4131-939d-25771a4a2d12%7Cf6d6f061-2319-4b5b-89f8-8c89fca06239</t>
  </si>
  <si>
    <t>2402@adtel.es</t>
  </si>
  <si>
    <t>https://resources.simonelectric.com/simon-ebook-vehiculo-electrico?utm_campaign=%23Simonentucasa&amp;utm_medium=email&amp;_hsenc=p2ANqtz-_vvRDBNbe74EkG_b0fcyMZnzS0um8eqXtcBPlNrRvcbjTAc-QhHdqgRGZ3tpUOMlhOybYieHHvx6ct2lLMg6yLPf-duA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</si>
  <si>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-8xe6TJX6CC3qoYmb4VEQGE3xIgeeXa96RY5jDCtZYeQHU8S5zDFZiAgk09Qc8pGOu-Xwdh4sDaehDhcLCSzIgswKjufw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</si>
  <si>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-9EViN1pwutsTiwcINeZu107RBclQkZE1QYHEcKFWfY1A17HhPga83vYf2G6lAlDlAt7QlIhmYFj40jEDq5hq6Ehs3avhBbIR9OAUNKCRbotWA8IHI&amp;_hsmi=85165037&amp;utm_source=hs_email&amp;utm_content=85165037&amp;hsCtaTracking=7e048f91-fedd-4131-939d-25771a4a2d12%7Cf6d6f061-2319-4b5b-89f8-8c89fca06239</t>
  </si>
  <si>
    <t>2403@gmail.com</t>
  </si>
  <si>
    <t>https://resources.simonelectric.com/simon-ebook-vehiculo-electrico?utm_campaign=%23Simonentucasa&amp;utm_source=hs_email&amp;utm_medium=email&amp;utm_content=85165037&amp;_hsenc=p2ANqtz--w99hbl75OiFH_38g_6OoZMszBjR81A28tbzPRrQr8obTrDF-HNKOevB_yTfBY2FUfvwORs74MIuuG-yZ3h-ncsk-dvQ&amp;_hsmi=85165037</t>
  </si>
  <si>
    <t>2404@gmail.com</t>
  </si>
  <si>
    <t>https://resources.simonelectric.com/simon-ebook-vehiculo-electrico?utm_campaign=%23Simonentucasa&amp;utm_medium=email&amp;_hsenc=p2ANqtz-9ncDRJplmCp7EWQ-jZ0-Cs5QWtca3Sy0DmgZrELm7dy3Z3l1SQy28Z1Hjr-i188yen3LbRatBbAH68BpquDGYpfZ_clyf0bkmxh1Dfl9aLHAnByts&amp;_hsmi=85165037&amp;utm_source=hs_email&amp;utm_content=85165037&amp;hsCtaTracking=7e048f91-fedd-4131-939d-25771a4a2d12%7Cf6d6f061-2319-4b5b-89f8-8c89fca06239</t>
  </si>
  <si>
    <t>2405@simon.es</t>
  </si>
  <si>
    <t>https://resources.simonelectric.com/simon-ebook-vehiculo-electrico?utm_campaign=%23Simonentucasa&amp;utm_medium=email&amp;_hsenc=p2ANqtz-_gX3rXLovW344IbyJVtEeogXsxem8gx8lF8U3kLBrZvixnM_leUlFcKbSOCBUws9cYxHK8rnUcoGsLutRl7C44lv1aAA&amp;_hsmi=85165037&amp;utm_source=hs_email&amp;utm_content=85165037&amp;hsCtaTracking=7e048f91-fedd-4131-939d-25771a4a2d12%7Cf6d6f061-2319-4b5b-89f8-8c89fca06239</t>
  </si>
  <si>
    <t>2406@gmail.com</t>
  </si>
  <si>
    <t>https://resources.simonelectric.com/simon-ebook-vehiculo-electrico?utm_campaign=%23Simonentucasa&amp;utm_medium=email&amp;_hsenc=p2ANqtz--HlwMJk0zm_Sq-_FzdCS18WlcD1U57cU-FCQa963X3Y24JLw_5layphVYMeFmgRkgIC20wUs2egPZ8K4q13lCC2G-S0u1O5ALiepjlT-i6cP61UE0&amp;_hsmi=85165037&amp;utm_source=hs_email&amp;utm_content=85165037&amp;hsCtaTracking=7e048f91-fedd-4131-939d-25771a4a2d12%7Cf6d6f061-2319-4b5b-89f8-8c89fca06239</t>
  </si>
  <si>
    <t>2407@msn.com</t>
  </si>
  <si>
    <t>https://resources.simonelectric.com/simon-ebook-vehiculo-electrico?utm_campaign=%23Simonentucasa&amp;utm_medium=email&amp;_hsenc=p2ANqtz-_OqhlHShLPv8Hfy11t0nuwn4ZsjSJdZcLC9MocKahCj4sqRtjxm7IR-s0WXdBQ8ueGeew3aD0ssCGla77TDP2mV6Y8Hw&amp;_hsmi=85165037&amp;utm_source=hs_email&amp;utm_content=85165037&amp;hsCtaTracking=7e048f91-fedd-4131-939d-25771a4a2d12%7Cf6d6f061-2319-4b5b-89f8-8c89fca06239</t>
  </si>
  <si>
    <t>2408@me.com</t>
  </si>
  <si>
    <t>https://resources.simonelectric.com/simon-ebook-vehiculo-electrico?utm_campaign=%23Simonentucasa&amp;utm_medium=email&amp;_hsenc=p2ANqtz--rkkjl_u_flYvhiqo_zYn9ShjdBZH_MZshhYmmkXC4hq6rxjqWC6-p66teaVM3_j3bMqmgwlmQ20OR0l7eAa_5KtnuPg&amp;_hsmi=85165037&amp;utm_source=hs_email&amp;utm_content=85165037&amp;hsCtaTracking=7e048f91-fedd-4131-939d-25771a4a2d12%7Cf6d6f061-2319-4b5b-89f8-8c89fca06239</t>
  </si>
  <si>
    <t>2409@eufon.com</t>
  </si>
  <si>
    <t>https://resources.simonelectric.com/simon-ebook-vehiculo-electrico?utm_campaign=%23Simonentucasa&amp;utm_medium=email&amp;_hsenc=p2ANqtz-9nt_XLanKSlLL305MdLhrR1ZWt8-qyA-ltVNZim3xZAhfyJVdIth25dVGqtTTPnTKxldm42_xtCak6fk_NmmnZHADkbA&amp;_hsmi=85165037&amp;utm_source=hs_email&amp;utm_content=85165037&amp;hsCtaTracking=7e048f91-fedd-4131-939d-25771a4a2d12%7Cf6d6f061-2319-4b5b-89f8-8c89fca06239</t>
  </si>
  <si>
    <t>2410@me.com</t>
  </si>
  <si>
    <t>https://resources.simonelectric.com/simon-ebook-vehiculo-electrico?utm_campaign=%23Simonentucasa&amp;utm_source=hs_email&amp;utm_medium=email&amp;utm_content=85165037&amp;_hsenc=p2ANqtz--lQapw9YUaD0MNVAY7ilBPuBOi3aNynVz503qSfXkOh5JpZpGuNVghtMwSCbtdlJ8UBrxdilaHG6FKUPw1D8CISs2LNA&amp;_hsmi=85165037</t>
  </si>
  <si>
    <t>https://resources.simonelectric.com/simon-ebook-vehiculo-electrico?utm_campaign=%23Simonentucasa&amp;utm_medium=email&amp;_hsenc=p2ANqtz-8516FDuTdrEsylZZ7stnTwbzZAIqFNPDMFIg4NH1YI7i8yZGvt8QQ5jYM0Kg_uaIhy5TAVqYkoPfxikh5VVdPIuotWoA&amp;_hsmi=85165037&amp;utm_source=hs_email&amp;utm_content=85165037&amp;hsCtaTracking=7e048f91-fedd-4131-939d-25771a4a2d12%7Cf6d6f061-2319-4b5b-89f8-8c89fca06239</t>
  </si>
  <si>
    <t>2411@hotmail.com</t>
  </si>
  <si>
    <t>https://resources.simonelectric.com/simon-ebook-vehiculo-electrico?utm_campaign=%23Simonentucasa&amp;utm_medium=email&amp;_hsenc=p2ANqtz--4VXC0EgqcsNWAM0VE2z-eo-eCPghNsLgEHDydk3EgT8ta32VDLKkVn3vbqeUk3VeDp57vSSOMf9clBCbdPgIpL8QnhA&amp;_hsmi=85165037&amp;utm_source=hs_email&amp;utm_content=85165037&amp;hsCtaTracking=7e048f91-fedd-4131-939d-25771a4a2d12%7Cf6d6f061-2319-4b5b-89f8-8c89fca06239</t>
  </si>
  <si>
    <t>2412@conmasa.cat</t>
  </si>
  <si>
    <t>2413@siemensgamesa.com</t>
  </si>
  <si>
    <t>https://resources.simonelectric.com/simon-ebook-vehiculo-electrico?utm_campaign=%23Simonentucasa&amp;utm_medium=email&amp;_hsenc=p2ANqtz-9joCRNL7Qt_ZLGn2tDQqW-vo0WTcBxc3VhUeBJh6fKLfDIt9AsDQVW7gd3d138ar7Zenw1ajOrDX-1fItZWBOgjLrDIh0jOOxLow_4u5888YZIVm4&amp;_hsmi=85165037&amp;utm_source=hs_email&amp;utm_content=85165037&amp;hsCtaTracking=7e048f91-fedd-4131-939d-25771a4a2d12%7Cf6d6f061-2319-4b5b-89f8-8c89fca06239</t>
  </si>
  <si>
    <t>2414@saenzdesanpedro.com</t>
  </si>
  <si>
    <t>https://resources.simonelectric.com/simon-ebook-vehiculo-electrico?utm_campaign=%23Simonentucasa&amp;utm_source=hs_email&amp;utm_medium=email&amp;utm_content=85165037&amp;_hsenc=p2ANqtz-_B7_TfL5IN6FzwbTGE6yH_HO4B3iiyCoEk1vyDHIPaXyoX9VpMrvT3lB-4VwQjhHQF1sy9N4SQcejOFJ6ORW22Kkt6oxxJC3xyBKsO2yb-h0cHERY&amp;_hsmi=85165037</t>
  </si>
  <si>
    <t>https://resources.simonelectric.com/simon-ebook-vehiculo-electrico?utm_campaign=%23Simonentucasa&amp;utm_medium=email&amp;_hsenc=p2ANqtz-8rLDDhbSpOHeui_9aWpISjcvi7OGqEK5WFYabub93DqeWHyFdjVFy600DGmARGIXIqK6Cwl25f1xqgR-pZywbrCkTwrg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</si>
  <si>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_MPeIq1ImdyvRYIOtTIQCfWr3v5-Lide9h4o6TChnFp8ZydB4JteheRrOdtEZvVf0MdtKaVw-y4KvOy_LXbr96JCs4F1m1RHGo3CyylxSYqIrNYlo&amp;_hsmi=85165037&amp;utm_source=hs_email&amp;utm_content=85165037&amp;hsCtaTracking=7e048f91-fedd-4131-939d-25771a4a2d12%7Cf6d6f061-2319-4b5b-89f8-8c89fca06239</t>
  </si>
  <si>
    <t>2415@gmail.com</t>
  </si>
  <si>
    <t>https://resources.simonelectric.com/simon-ebook-vehiculo-electrico?utm_campaign=%23Simonentucasa&amp;utm_medium=email&amp;_hsenc=p2ANqtz-_ruTp4bQlm4X05NFMXoh5M7dyAxUZDQly0uEd6myJxRqsafJtnAxbzRXWJXW6NdrtGc8gjfY1iD-7psb63s68IzasRRk5FvjUBLcRDS0amm8IyEAw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</si>
  <si>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-9MHKXWeBvFLxE48PjbxeyPYOq5yDs5ZFM_8SkJMyXce3q77VDNJdclSI9lMKb_Vu137MWdk29c7QSCF2R83-J2ndN3eQ&amp;utm_source=hs_email&amp;utm_content=85165037&amp;hsCtaTracking=7e048f91-fedd-4131-939d-25771a4a2d12%7Cf6d6f061-2319-4b5b-89f8-8c89fca06239</t>
  </si>
  <si>
    <t>2416@veolia.com</t>
  </si>
  <si>
    <t>https://resources.simonelectric.com/simon-ebook-vehiculo-electrico?utm_campaign=%23Simonentucasa&amp;utm_medium=email&amp;_hsenc=p2ANqtz-9-E9wGbp9veofkz8lxuOT2HCF_6nq3StNKdilAR7G8LIlg7Zpn60YaTTnWEYQMLpZsMFE2EIGqju77eCEHDQensEPiccGccegrW2DM6BNGs1BLDb8&amp;_hsmi=85165037&amp;utm_source=hs_email&amp;utm_content=85165037&amp;hsCtaTracking=7e048f91-fedd-4131-939d-25771a4a2d12%7Cf6d6f061-2319-4b5b-89f8-8c89fca06239</t>
  </si>
  <si>
    <t>2417@rexel.es</t>
  </si>
  <si>
    <t>https://resources.simonelectric.com/simon-ebook-vehiculo-electrico?utm_campaign=%23Simonentucasa&amp;utm_source=hs_email&amp;utm_medium=email&amp;utm_content=85165037&amp;_hsenc=p2ANqtz-_syLQQOdpBg9GPDc8AtkSh5GhxuAyc86IYimnXGt69V_aqs4agSotN3OJqL_i1v5JOXDxM4cRDRZ9esBbDEq5TcoBfkg&amp;_hsmi=85165037</t>
  </si>
  <si>
    <t>https://resources.simonelectric.com/simon-catalogo-vehiculo-electrico?__hstc=83084745.f0407168ad11d7a016869b7c9e5b018d.1585046309479.1585046309479.1585046309479.1&amp;__hssc=83084745.11.1585046309479&amp;__hsfp=4233641954</t>
  </si>
  <si>
    <t>https://resources.simonelectric.com/simon-ebook-vehiculo-electrico?utm_campaign=%23Simonentucasa&amp;utm_source=hs_email&amp;utm_medium=email&amp;utm_content=85165037&amp;_hsenc=p2ANqtz-9LBIk8xKW2pT4-pjs7x1Ui5UM51jJB7QGzLI4rvJoViYI36VAjhTQRnR1S7XpROAQlE-Mh15DvMsSnXQQQF3rpkVXnGw&amp;_hsmi=85165037</t>
  </si>
  <si>
    <t>2418@ompsl.com</t>
  </si>
  <si>
    <t>https://resources.simonelectric.com/simon-ebook-vehiculo-electrico?utm_campaign=%23Simonentucasa&amp;utm_source=hs_email&amp;utm_medium=email&amp;utm_content=85165037&amp;_hsenc=p2ANqtz-_Vy2w2Dco5rhr3EfpuTCzfrxae-eNNTfxbLxiXsOQuzJ-op4234G048vMAQT763TmYOo0-lVX03R35ZdFWwotbGW_UPA&amp;_hsmi=85165037</t>
  </si>
  <si>
    <t>2419@aiguesdebarcelona.cat</t>
  </si>
  <si>
    <t>https://resources.simonelectric.com/simon-ebook-vehiculo-electrico?utm_campaign=%23Simonentucasa&amp;utm_medium=email&amp;_hsenc=p2ANqtz-_N4hMXpleARCETGkaUMokFnvCzUdj6XTd-1jA26RFcCS9E5WpdBAWykH2y264lJQWzna3R-r9XNI6ipSZr526Erwws8g&amp;_hsmi=85165037&amp;utm_source=hs_email&amp;utm_content=85165037&amp;hsCtaTracking=7e048f91-fedd-4131-939d-25771a4a2d12%7Cf6d6f061-2319-4b5b-89f8-8c89fca06239</t>
  </si>
  <si>
    <t>2420@gmail.com</t>
  </si>
  <si>
    <t>https://resources.simonelectric.com/simon-ebook-vehiculo-electrico?utm_campaign=%23Simonentucasa&amp;utm_medium=email&amp;_hsenc=p2ANqtz-8a4XXcP29qt9J9Jf2hLID4zilgWaS5psLmfMHn0VkyHs6MqTperzK9wTMFOoPCQha_hc3K5xUXHoUMYS8aBXuwV2dN0Q&amp;_hsmi=85165037&amp;utm_source=hs_email&amp;utm_content=85165037&amp;hsCtaTracking=7e048f91-fedd-4131-939d-25771a4a2d12%7Cf6d6f061-2319-4b5b-89f8-8c89fca06239</t>
  </si>
  <si>
    <t>2421@rexel.es</t>
  </si>
  <si>
    <t>https://resources.simonelectric.com/simon-ebook-vehiculo-electrico?utm_campaign=%23Simonentucasa&amp;utm_medium=email&amp;_hsenc=p2ANqtz-8kAlmAcyByNWbWR3ADtnGs8K97xqYcclNx8QvCCbxCtzjb34a__edjtZx9Hc2N6pvy6i5gPR8chBpf8LX3avbAaGW3ZQ&amp;utm_source=hs_email&amp;utm_content=85165037&amp;hsCtaTracking=7e048f91-fedd-4131-939d-25771a4a2d12%7Cf6d6f061-2319-4b5b-89f8-8c89fca06239</t>
  </si>
  <si>
    <t>https://resources.simonelectric.com/simon-ebook-vehiculo-electrico?utm_campaign=%23Simonentucasa&amp;utm_source=hs_email&amp;utm_medium=email&amp;utm_content=85165037&amp;_hsenc=p2ANqtz-8PPpraR5rcn2Y4IE3zmugjy5-0647_EnPTvnXyvJv6N23j0amWkSOMTwA1pQm7Awh4l-GNGivPF6p79Ndbffur5fYayg&amp;_hsmi=85165037</t>
  </si>
  <si>
    <t>2422@hotmail.com</t>
  </si>
  <si>
    <t>https://resources.simonelectric.com/simon-ebook-vehiculo-electrico?utm_campaign=%23Simonentucasa&amp;utm_source=hs_email&amp;utm_medium=email&amp;utm_content=85165037&amp;_hsenc=p2ANqtz-_piZ2A9aKWuh_I0kFWWh8jA6ZQxVcvVpKAv7Oz91rnikEIj0QqjFR_W-zXbjSKSH1QNXos09Xl5cWM2oyWMHI6xzY03g&amp;_hsmi=85165037</t>
  </si>
  <si>
    <t>2423@jccifuentes.com</t>
  </si>
  <si>
    <t>https://resources.simonelectric.com/simon-ebook-vehiculo-electrico?utm_campaign=%23Simonentucasa&amp;utm_source=hs_email&amp;utm_medium=email&amp;utm_content=85165037&amp;_hsenc=p2ANqtz-9NdajubMkT00fpoF5qO4ZGYeTzudFb68dWzxTpGwg74Y8W-d678Bd6TuEuUehqfodnuEk3jUUR-JdsjAGs7XOFyCMeyT3cM46hfBdqOtRybwghP5c&amp;_hsmi=85165037</t>
  </si>
  <si>
    <t>2424@sonepar.es</t>
  </si>
  <si>
    <t>https://resources.simonelectric.com/simon-ebook-vehiculo-electrico?utm_campaign=%23Simonentucasa&amp;utm_source=hs_email&amp;utm_medium=email&amp;utm_content=85165037&amp;_hsenc=p2ANqtz--b6U2PjvbYINUqVjK4vAcEtH5v20zbmmKtu6QCtLg6TAEK6gdYm2NcAemrUTaC_Q8qk6IV0p2nnSbnSbZkkLjEMRa0JNUIHb0zrre5N1ofYkiw89c&amp;_hsmi=85165037</t>
  </si>
  <si>
    <t>https://resources.simonelectric.com/simon-ebook-vehiculo-electrico?utm_campaign=%23Simonentucasa&amp;utm_medium=email&amp;_hsenc=p2ANqtz--f8RuMUAAnHxUua9EA4thQB2sk4Jw5YTqem2ZwrLuGkeySMoGtXU1-HWEavAYBeYfmhAZfB-NRDRTbSWDcC0Kt6QGseA&amp;_hsmi=85165037&amp;utm_source=hs_email&amp;utm_content=85165037&amp;hsCtaTracking=7e048f91-fedd-4131-939d-25771a4a2d12%7Cf6d6f061-2319-4b5b-89f8-8c89fca06239</t>
  </si>
  <si>
    <t>2425@hotmail.com</t>
  </si>
  <si>
    <t>https://resources.simonelectric.com/simon-ebook-vehiculo-electrico?utm_campaign=%23Simonentucasa&amp;utm_medium=email&amp;_hsenc=p2ANqtz-8ikGMPul47UuZEPUaQNhxe5La62xkULJma-o4g1P9f5vyzhor0-NZaaL60KHy33uNE7nEn2O5MnlC36pT8D5nd8049aA&amp;_hsmi=85165037&amp;utm_source=hs_email&amp;utm_content=85165037&amp;hsCtaTracking=7e048f91-fedd-4131-939d-25771a4a2d12%7Cf6d6f061-2319-4b5b-89f8-8c89fca06239</t>
  </si>
  <si>
    <t>2426@gmail.com</t>
  </si>
  <si>
    <t>https://resources.simonelectric.com/simon-ebook-vehiculo-electrico?utm_campaign=%23Simonentucasa&amp;utm_medium=email&amp;_hsenc=p2ANqtz-8V8joF5IYgMM7YsMN99FYxGoNH5UW6G6uMBkdSJduuUrFe8xAa3dX-0L__BUGeBMqbxe83b3zCqHfx8sb0nDHmZqjZ-A&amp;_hsmi=85165037&amp;utm_source=hs_email&amp;utm_content=85165037&amp;hsCtaTracking=7e048f91-fedd-4131-939d-25771a4a2d12%7Cf6d6f061-2319-4b5b-89f8-8c89fca06239</t>
  </si>
  <si>
    <t>2427@valnu.es</t>
  </si>
  <si>
    <t>https://resources.simonelectric.com/simon-ebook-vehiculo-electrico?utm_campaign=%23Simonentucasa&amp;utm_medium=email&amp;_hsenc=p2ANqtz-98gJB3FxJ68aHcfNrbQ2SEoF580I08N03O4HOBvbBxFbRtT6YoVOO3znH9LzIQv1I3qHPy_2e51XaqWhm9h2PpEfbCtg&amp;_hsmi=85165037&amp;utm_source=hs_email&amp;utm_content=85165037&amp;hsCtaTracking=7e048f91-fedd-4131-939d-25771a4a2d12%7Cf6d6f061-2319-4b5b-89f8-8c89fca06239</t>
  </si>
  <si>
    <t>2428@saltoki.es</t>
  </si>
  <si>
    <t>https://resources.simonelectric.com/simon-ebook-vehiculo-electrico?utm_campaign=%23Simonentucasa&amp;utm_medium=email&amp;_hsenc=p2ANqtz-9jjbAL2vq5b9bIo5sX5z6BQE9GtV77pjH6-t1oU4M47744Y2XrNcoJTbA_UexQnstNIetEh9Lmin0zYAtkZR3yi5lJHA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</si>
  <si>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-9--xDaX3INw3qDMOj7_8LmHrx53IVLzD5WLCHZnjL1V15ONRp8dhyhU_5Nhiu93sD0x12EsgThLZ3o5LjDNA-4hI4kScWPeGHXA8THN1LO9dhCvW4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</si>
  <si>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-Z4-rAsQiTc4C5XqBFwMeoz-EOGvNtzyOswgB5rUxt6NbOEf8T_5u6BtXv9-cov455YPNP7snqlDa9v-wlmJOdAV5mIw&amp;_hsmi=85165037&amp;utm_source=hs_email&amp;utm_content=85165037&amp;hsCtaTracking=7e048f91-fedd-4131-939d-25771a4a2d12%7Cf6d6f061-2319-4b5b-89f8-8c89fca06239</t>
  </si>
  <si>
    <t>2429@hotmail.com</t>
  </si>
  <si>
    <t>https://resources.simonelectric.com/simon-ebook-vehiculo-electrico?utm_campaign=%23Simonentucasa&amp;utm_medium=email&amp;_hsenc=p2ANqtz-9QP_sThm1kslCzusW_NFDfQ1L9Zk_nIHXKEcKli0RXLeVe4kAPvw7Ru5keJyQmFKFWMnyo0KMltLcp7fprze5ixWW6OFSrtgNXeMp_y4It5FhdAbY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</si>
  <si>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-9ktW8EWSpX7qJmr23DPqhRGnje2on9wYzmgFyuFwq1CjRS8aOGiC98uVDnRO6OC9YRLkdh4ANSw7Kj9zXQRkqKt22VCQ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</si>
  <si>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_ntjCnmh_H42JAn6zI4e59QZZLY1sqxIXZqh-UFMLTd1jsFcFRu3nD1h_gWtdCBb91LaBDYFx3hsOSkGZw94ZeYWBEHQ&amp;_hsmi=85165037&amp;utm_source=hs_email&amp;utm_content=85165037&amp;hsCtaTracking=7e048f91-fedd-4131-939d-25771a4a2d12%7Cf6d6f061-2319-4b5b-89f8-8c89fca06239</t>
  </si>
  <si>
    <t>2430@tenmega.pt</t>
  </si>
  <si>
    <t>https://resources.simonelectric.com/simon-ebook-vehiculo-electrico?utm_campaign=%23Simonentucasa&amp;utm_source=hs_email&amp;utm_medium=email&amp;utm_content=85165037&amp;_hsenc=p2ANqtz--JHsJwCT9vtZ_cH1qsqZKe8z-QCr4MjFXTfsLU6oRGN0MZq2Is6Ob7PGITfs__of708WFinZ9lQYHlBvEjx1iincCMxr-_9gS_jnBgB30to04DjcE&amp;_hsmi=85165037</t>
  </si>
  <si>
    <t>2431@gmail.com</t>
  </si>
  <si>
    <t>https://resources.simonelectric.com/simon-ebook-vehiculo-electrico?utm_campaign=%23Simonentucasa&amp;utm_medium=email&amp;_hsenc=p2ANqtz-8REN_mWWQbyD9WQviXi_Dg8KPal5LR6bQ2nNDYKTuynQjJMjNPPed2jNfVwrYUa6wiIX7eBBH2njKSZgvTLIuoUBojaA&amp;_hsmi=85165037&amp;utm_source=hs_email&amp;utm_content=85165037&amp;hsCtaTracking=7e048f91-fedd-4131-939d-25771a4a2d12%7Cf6d6f061-2319-4b5b-89f8-8c89fca06239</t>
  </si>
  <si>
    <t>2432@telefonica.net</t>
  </si>
  <si>
    <t>https://resources.simonelectric.com/simon-ebook-vehiculo-electrico?utm_campaign=%23Simonentucasa&amp;utm_medium=email&amp;_hsenc=p2ANqtz-8Jiuc-x4gsWr-sBVOvBL8RwzkqBrfHfjbCWQMdvPxOrguWSLIPKPYRFDEXuEy64He9nWbog-LL35ev8suL3ZqPg_LE3URkbg1gFJHg7dLZF46rm4c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</si>
  <si>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source=hs_email&amp;utm_medium=email&amp;utm_content=85165037&amp;_hsenc=p2ANqtz-_3Q-TmfmHUQ1EDhwGeNZjasRBO3inRaa2hleNTOu6_W5QVDSVz2IsQT1tPrHtIV6MCIuq-YaoNkJUpSNsaDwbJclND8g&amp;_hsmi=85165037</t>
  </si>
  <si>
    <t>https://resources.simonelectric.com/simon-ebook-vehiculo-electrico?utm_campaign=%23Simonentucasa&amp;utm_medium=email&amp;_hsenc=p2ANqtz--hbBVOz7BdyFYLIQ-2U7KMyldlmRk0nl5f-uK28uGzBqr1fm5HnX-142VvUsBhWKH70lrqIMSRc46qUc3gMtKgHDoKOg&amp;_hsmi=85165037&amp;utm_source=hs_email&amp;utm_content=85165037&amp;hsCtaTracking=7e048f91-fedd-4131-939d-25771a4a2d12%7Cf6d6f061-2319-4b5b-89f8-8c89fca06239</t>
  </si>
  <si>
    <t>2433@sonepar.es</t>
  </si>
  <si>
    <t>https://resources.simonelectric.com/simon-ebook-vehiculo-electrico?utm_campaign=%23Simonentucasa&amp;utm_medium=email&amp;_hsenc=p2ANqtz-9wr2896B9OxPDI--4wf2U19F-sBTi9eIcr93D1axZ7xjDZa3QeCYzHXqIppU5U1oTanMorPBLznbw_bfBJe8_O9sbORQ&amp;_hsmi=85165037&amp;utm_source=hs_email&amp;utm_content=85165037&amp;hsCtaTracking=7e048f91-fedd-4131-939d-25771a4a2d12%7Cf6d6f061-2319-4b5b-89f8-8c89fca06239</t>
  </si>
  <si>
    <t>https://resources.simonelectric.com/simon-ebook-vehiculo-electrico?utm_campaign=%23Simonentucasa&amp;utm_medium=email&amp;_hsenc=p2ANqtz--DZG-9QbWf-0AnbSSpj9T4jFtFwaUSPhTySpwUizFKy1i841npoqksLhgvNlmjk-WiW-rssVkG75lTSGt5DTu1x7tEVA&amp;_hsmi=85165037&amp;utm_source=hs_email&amp;utm_content=85165037&amp;hsCtaTracking=7e048f91-fedd-4131-939d-25771a4a2d12%7Cf6d6f061-2319-4b5b-89f8-8c89fca06239</t>
  </si>
  <si>
    <t>2434@gmail.com</t>
  </si>
  <si>
    <t>https://resources.simonelectric.com/simon-ebook-vehiculo-electrico?utm_campaign=SIC%20-%20Veh%C3%ADculo%20El%C3%A9ctrico&amp;utm_medium=email&amp;_hsenc=p2ANqtz-8mORo9IqcQZlOonXCg_xLCB-ezJ_lEgK28EMlVQ8NlJ-2hjSy8T5R7RRvU-yM3CvI2GDOCdSZa4-Z4aGcq1GBCHaEdFGg_MuJf4sBEEsiT3rcNjbE&amp;_hsmi=71033675&amp;utm_source=hs_automation&amp;utm_content=71033675&amp;hsCtaTracking=2e94ebfc-d414-4389-870c-d2f266a9420b%7C587ac4dc-a49a-4bdc-b449-e36f5d95395b</t>
  </si>
  <si>
    <t>2435@indasasl.es</t>
  </si>
  <si>
    <t>https://resources.simonelectric.com/simon-ebook-vehiculo-electrico?utm_referrer=https%3A%2F%2Fwww.simonelectric.com%2Fblog%2Fel-vehiculo-electrico-elementos-principales-y-funcionamiento%3Futm_campaign%3DSIC%2520-%2520Veh%25C3%25ADculo%2520El%25C3%25A9ctrico%26utm_source%3Dhs_automation%26utm_medium%3Demail%26utm_content%3D71033996%26_hsenc%3Dp2ANqtz-9undynLgPYaLJsxHYjssJf7XrCmo2bKGQ8iDIwV_IFjeWaS8Yg039fVbtFgAl7xiJk7Lm5VCt28VAW7fFDqPB9rYR4wg%26_hsmi%3D71033996</t>
  </si>
  <si>
    <t>2436@ydrolia.com</t>
  </si>
  <si>
    <t>2437@dos-atf.es</t>
  </si>
  <si>
    <t>https://resources.simonelectric.com/simon-catalogo-vehiculo-electrico?utm_campaign=SIC%20-%20Veh%C3%ADculo%20El%C3%A9ctrico&amp;utm_source=hs_automation&amp;utm_medium=email&amp;utm_content=71034014&amp;_hsenc=p2ANqtz-8-gZzRI7d3Y6q_4GS2XqVSJ5Fn-QzLLcZ02XLkbK0T7JaflYVmeh1Q2ckmpjPJzu0goiIP-nQUcNUKWAuMYIE6_Ap9Ww&amp;_hsmi=71034014</t>
  </si>
  <si>
    <t>2438@gmail.com</t>
  </si>
  <si>
    <t>https://resources.simonelectric.com/simon-catalogo-vehiculo-electrico?utm_campaign=SIC%20-%20Veh%C3%ADculo%20El%C3%A9ctrico&amp;utm_source=hs_automation&amp;utm_medium=email&amp;utm_content=71034014&amp;_hsenc=p2ANqtz--6a_Bgm0m-Eh0owcomTEoDmU8Bfr_lSnHN5BRYa2blsq8dfwtOQ3OfN1GPg8RNbgaoT3pbdmORnMdt_67YjfmQ9PUKAw&amp;_hsmi=71034014</t>
  </si>
  <si>
    <t>2439@hotmail.com</t>
  </si>
  <si>
    <t>https://resources.simonelectric.com/simon-catalogo-vehiculo-electrico?utm_campaign=SIC%20-%20Veh%C3%ADculo%20El%C3%A9ctrico&amp;utm_source=hs_automation&amp;utm_medium=email&amp;utm_content=71034014&amp;_hsenc=p2ANqtz-9Zvd9xI46N0l8yYOLPiW2Oh_k18eqYvZi9xe_1qzwi5cwCzO9B2yagVEdkfX95amjUQgjZqAeIOCQnm6S6g-3-wtOH7BhAXJuoE5PuBcaze8xuTos&amp;_hsmi=71034014</t>
  </si>
  <si>
    <t>2440@imanzanera.com</t>
  </si>
  <si>
    <t>https://resources.simonelectric.com/simon-catalogo-vehiculo-electrico?utm_campaign=SIC%20-%20Veh%C3%ADculo%20El%C3%A9ctrico&amp;utm_source=hs_automation&amp;utm_medium=email&amp;utm_content=71034014&amp;_hsenc=p2ANqtz-9_pQ7SJjJe0wY9-5gnddhEqE1XmraPT8p-wpWqXzBV84d6ISoDrBU6OmC7-1jWaAmzZ0b7q51_AYI3YcTPcEwpgDpxFdy0RnqyyNRUBWHx8dsJgGM&amp;_hsmi=71034014</t>
  </si>
  <si>
    <t>2441@berdin.com</t>
  </si>
  <si>
    <t>2442@gmail.com</t>
  </si>
  <si>
    <t>2443@gmail.com</t>
  </si>
  <si>
    <t>2444@gmail.com</t>
  </si>
  <si>
    <t>https://resources.simonelectric.com/simon-ebook-vehiculo-electrico?utm_referrer=https%3A%2F%2Fwww.simonelectric.com%2Fblog%2Fsistemas-de-recarga-para-la-gestion-de-flotas-de-vehiculos-en-pequenos-negocios</t>
  </si>
  <si>
    <t>2445@wallbox.com</t>
  </si>
  <si>
    <t>2446@hotmail.com</t>
  </si>
  <si>
    <t>2447@etecnic.es</t>
  </si>
  <si>
    <t>https://resources.simonelectric.com/simon-catalogo-vehiculo-electrico?utm_campaign=SIC%20-%20Veh%C3%ADculo%20El%C3%A9ctrico&amp;utm_source=hs_automation&amp;utm_medium=email&amp;utm_content=71034014&amp;_hsenc=p2ANqtz-_Aiqqd_u_RQ7OTfNNvqeRWuFDiqjn_IATonO9JWwcz3XMBNLO5wW32vfdwRcZW421SSZZ3Wp0iqUcq0dleHoXrvpXNhA&amp;_hsmi=71034014</t>
  </si>
  <si>
    <t>2448@uvigo.es</t>
  </si>
  <si>
    <t>2449@magtel.es</t>
  </si>
  <si>
    <t>https://resources.simonelectric.com/simon-ebook-vehiculo-electrico?utm_campaign=SIC%20-%20Veh%C3%ADculo%20El%C3%A9ctrico&amp;utm_source=hs_automation&amp;utm_medium=email&amp;utm_content=71033675&amp;_hsenc=p2ANqtz-8vfIBRErd81utUie6EeFc_He6vEZjzPHLtk-WRjCj8wSMtySt7MxESWxKsi8pXhORKAtpARQ78CaDwwr395xsaTWoprU2BNK3PSx0djwP_aR4r9zs&amp;_hsmi=71033675</t>
  </si>
  <si>
    <t>2450@sonepar.es</t>
  </si>
  <si>
    <t>https://resources.simonelectric.com/simon-catalogo-vehiculo-electrico?__hstc=83084745.6858fb56c9d05a519626c3652c160ff6.1584362345165.1584447957568.1584485819986.3&amp;__hssc=83084745.2.1584485819986&amp;__hsfp=137485176</t>
  </si>
  <si>
    <t>https://resources.simonelectric.com/simon-ebook-vehiculo-electrico?utm_campaign=SIC%20-%20Veh%C3%ADculo%20El%C3%A9ctrico&amp;utm_medium=email&amp;_hsenc=p2ANqtz-9F7vmNet2YtVa5g8aer-_8GEQtFHGhIE1uuxZvI3hhO0GcVLUxIHBOah0WF5CqK23hjYxRLmStYvlCeB0QBrTh2vHJZg&amp;_hsmi=71033675&amp;utm_source=hs_automation&amp;utm_content=71033675&amp;hsCtaTracking=2e94ebfc-d414-4389-870c-d2f266a9420b%7C587ac4dc-a49a-4bdc-b449-e36f5d95395b</t>
  </si>
  <si>
    <t>2451@gmail.com</t>
  </si>
  <si>
    <t>https://resources.simonelectric.com/simon-ebook-vehiculo-electrico?__hssc=83084745.5.1584466312912&amp;__hstc=83084745.cd3084c4a0f1a6348a0d43c2715d0e6a.1525000054250.1583688389271.1584466312912.4&amp;__hsfp=1540626750&amp;hsCtaTracking=2e94ebfc-d414-4389-870c-d2f266a9420b%7C587ac4dc-a49a-4bdc-b449-e36f5d95395b</t>
  </si>
  <si>
    <t>2452@fi-group.com</t>
  </si>
  <si>
    <t>https://resources.simonelectric.com/simon-ebook-vehiculo-electrico?utm_campaign=SIC%20-%20Veh%C3%ADculo%20El%C3%A9ctrico&amp;utm_medium=email&amp;_hsenc=p2ANqtz-8WRU7izSRk0M1vFxd76BhLkx3l-8QQ2ma_V_zDmwoTmHhJ7gjixNn8q3Z-YwqKCeT_F4pSqV90P6BzE3IvTy6QNE7cvkCi7KUFZSE4Qj5OEVqiZI4&amp;_hsmi=67858848&amp;utm_source=hs_automation&amp;utm_content=67858848&amp;hsCtaTracking=4ffb3aa1-677f-463b-8339-fc65a1da68db%7C5790d3b1-fbc3-4c32-a016-744222ad1cdc</t>
  </si>
  <si>
    <t>2453@insitecaingenieros.com</t>
  </si>
  <si>
    <t>https://resources.simonelectric.com/simon-catalogo-vehiculo-electrico?__hstc=83084745.cbb910817508969d15f033b1e23d6ed6.1584452893718.1584452893718.1584452893718.1&amp;__hssc=83084745.2.1584452893718&amp;__hsfp=952938693</t>
  </si>
  <si>
    <t>2454@gmail.com</t>
  </si>
  <si>
    <t>2455@gmail.com</t>
  </si>
  <si>
    <t>2456@serlujua.com</t>
  </si>
  <si>
    <t>2457@gmail.com</t>
  </si>
  <si>
    <t>https://resources.simonelectric.com/simon-ebook-vehiculo-electrico?utm_campaign=SIC%20-%20Veh%C3%ADculo%20El%C3%A9ctrico&amp;utm_medium=email&amp;_hsenc=p2ANqtz-_8T61fzMPvboI5gf9xCx6NIe1ln4W8u_It4nJAMUpVXWJCt_FPLCC8rISvny-niDgjnI_utibPBiw_GpqHq28zfcxC9A&amp;_hsmi=71033675&amp;utm_source=hs_automation&amp;utm_content=71033675&amp;hsCtaTracking=2e94ebfc-d414-4389-870c-d2f266a9420b%7C587ac4dc-a49a-4bdc-b449-e36f5d95395b</t>
  </si>
  <si>
    <t>2458@gmail.com</t>
  </si>
  <si>
    <t>https://resources.simonelectric.com/simon-ebook-vehiculo-electrico-0?gclid=EAIaIQobChMIlOG3jpSg6AIVVhIbCh1Qwwh6EAEYASAAEgIB3fD_BwE</t>
  </si>
  <si>
    <t>2459@grupoelectrostocks.com</t>
  </si>
  <si>
    <t>2460@gmail.com</t>
  </si>
  <si>
    <t>https://resources.simonelectric.com/simon-ebook-vehiculo-electrico?utm_referrer=https%3A%2F%2Fwww.simonelectric.com%2Fblog%2Fel-vehiculo-electrico-elementos-principales-y-funcionamiento%3Futm_campaign%3DSIC%2520-%2520Veh%25C3%25ADculo%2520El%25C3%25A9ctrico%26utm_source%3Dhs_automation%26utm_medium%3Demail%26utm_content%3D71033996%26_hsenc%3Dp2ANqtz-8rVNBBX4tyYuNagEc2xSHPRlTS_stFq4r0yk2enE4wdnFq7XLAe89SrIuYYoEFmNr4npe4E_ZBZE50oG8QWzDOaOGE1A%26_hsmi%3D71033996</t>
  </si>
  <si>
    <t>https://resources.simonelectric.com/simon-catalogo-vehiculo-electrico?utm_campaign=SIC%20-%20Veh%C3%ADculo%20El%C3%A9ctrico&amp;utm_source=hs_automation&amp;utm_medium=email&amp;utm_content=71034014&amp;_hsenc=p2ANqtz-_Ql3j7DZ_A3q1NsxRk4VKbrerVqISD7o1P4l7WGbYHyzssehNNfkNuuSvP8tCtRDz8q8MM4R1ORTUPJewb1LuValriug&amp;_hsmi=71034014</t>
  </si>
  <si>
    <t>2461@yahoo.es</t>
  </si>
  <si>
    <t>https://resources.simonelectric.com/simon-catalogo-vehiculo-electrico?utm_campaign=SIC%20-%20Veh%C3%ADculo%20El%C3%A9ctrico&amp;utm_source=hs_automation&amp;utm_medium=email&amp;utm_content=71034014&amp;_hsenc=p2ANqtz--_nbg_NtVe3zy2pPJrPTz2QkP0hXxeR-4XEIe0dXC1q1dJ7TvW7HmVndKo2wJ_CV-eVsKGVH34kaDjBziG5Os7WRThtg&amp;_hsmi=71034014</t>
  </si>
  <si>
    <t>2462@gmail.com</t>
  </si>
  <si>
    <t>https://resources.simonelectric.com/simon-catalogo-vehiculo-electrico?__hstc=83084745.c21efcde2d02b9bf55623c4438b6ac07.1584350327201.1584350327201.1584350327201.1&amp;__hssc=83084745.1.1584350327202&amp;__hsfp=475390084</t>
  </si>
  <si>
    <t>2463@ise40.com</t>
  </si>
  <si>
    <t>2464@pas.uned.es</t>
  </si>
  <si>
    <t>https://resources.simonelectric.com/simon-ebook-vehiculo-electrico?utm_campaign=SIC%20-%20Veh%C3%ADculo%20El%C3%A9ctrico&amp;utm_medium=email&amp;_hsenc=p2ANqtz-_VV7XpJu_EkXbU1oq5uRwMrOP-sEtJVaqjz3otls_FLEMmcDcL60YxapmvrNN7IM46Au6Nq3D6jmNVp50fOYC7N87rRg&amp;_hsmi=71033675&amp;utm_source=hs_automation&amp;utm_content=71033675&amp;hsCtaTracking=2e94ebfc-d414-4389-870c-d2f266a9420b%7C587ac4dc-a49a-4bdc-b449-e36f5d95395b</t>
  </si>
  <si>
    <t>2465@gmail.com</t>
  </si>
  <si>
    <t>https://resources.simonelectric.com/simon-ebook-vehiculo-electrico?utm_referrer=https%3A%2F%2Fwww.simonelectric.com%2Fblog%2Fvehiculo-electrico-todo-lo-que-tienes-que-saber-de-movilidad-sostenible%3Futm_campaign%3DSIC%2520-%2520Veh%25C3%25ADculo%2520El%25C3%25A9ctrico%26utm_medium%3Demail%26_hsenc%3Dp2ANqtz--I9E35H300SgI6mfvbczid0W-MrVDiBfDActqJ_sX9zuGwI2zUR-one8lkH8m1WVP8rq8uzcNR4Rsfc-Z_R0KLn0s5777VJToxhEdOStumFS-283o%26_hsmi%3D84121605%26utm_source%3Dhs_email%26utm_content%3D84121603%26hsCtaTracking%3D142b9333-ac5c-4efa-bb4a-d64b5cd618a7%257C1ecb110e-27d1-495c-b2c8-078959415359</t>
  </si>
  <si>
    <t>2466@hotmail.com</t>
  </si>
  <si>
    <t>2467@gmail.com</t>
  </si>
  <si>
    <t>2468@gmail.com</t>
  </si>
  <si>
    <t>https://resources.simonelectric.com/simon-catalogo-vehiculo-electrico?utm_campaign=SIC%20-%20Veh%C3%ADculo%20El%C3%A9ctrico&amp;utm_source=hs_automation&amp;utm_medium=email&amp;utm_content=71034014&amp;_hsenc=p2ANqtz-9vBigeJQUvdi5kbXV0HBJh9nxb1vJ3IJ7Xbe_52Tv9Cjv40U1iERZ4Z_6S8jfweo7b31k3wcqOJ0e9ELGKmCeXYnuQwA&amp;_hsmi=71034014</t>
  </si>
  <si>
    <t>2469@yca.es</t>
  </si>
  <si>
    <t>https://resources.simonelectric.com/simon-ebook-vehiculo-electrico?utm_campaign=SIC%20-%20Veh%C3%ADculo%20El%C3%A9ctrico&amp;utm_medium=email&amp;_hsenc=p2ANqtz-8RcYptkwI5DPpXg2uNexq2TgEgcxcE8ifHakReWoD-7UEOnieoyrNUhsx_q90eOBgrQ4YvsoUJwLPD9VWn1tP0XBaz_A&amp;_hsmi=71033675&amp;utm_source=hs_automation&amp;utm_content=71033675&amp;hsCtaTracking=2e94ebfc-d414-4389-870c-d2f266a9420b%7C587ac4dc-a49a-4bdc-b449-e36f5d95395b</t>
  </si>
  <si>
    <t>2470@gmail.com</t>
  </si>
  <si>
    <t>2471@gmail.com</t>
  </si>
  <si>
    <t>https://resources.simonelectric.com/simon-catalogo-vehiculo-electrico?utm_campaign=SIC%20-%20Veh%C3%ADculo%20El%C3%A9ctrico&amp;utm_source=hs_automation&amp;utm_medium=email&amp;utm_content=71034014&amp;_hsenc=p2ANqtz-_tVc5-pdM-9pxBj11ePjU_K9VOjYAWjRHProcSqRA7WI-5iCQVeO3DKZSxr6Ni31aTme4IDNsrXoIwk7yYZ4wlUs2TwQ&amp;_hsmi=71034014</t>
  </si>
  <si>
    <t>2472@gmail.com</t>
  </si>
  <si>
    <t>2473@hotmail.com</t>
  </si>
  <si>
    <t>2474@sehusol.com</t>
  </si>
  <si>
    <t>https://resources.simonelectric.com/simon-ebook-vehiculo-electrico?utm_campaign=SIC%20-%20Veh%C3%ADculo%20El%C3%A9ctrico&amp;utm_medium=email&amp;_hsenc=p2ANqtz-8F3pgA0kDubJF91LB9HCpEnO3SN3QGekruQ8s8UzFoQFQktQEM6YPIOuXmL0SYYYEbz4K3LLgs8WsWCyZVUh1utErgfBO3QWA6CNRFG29w24hwpuk&amp;_hsmi=71033675&amp;utm_source=hs_automation&amp;utm_content=71033675&amp;hsCtaTracking=2e94ebfc-d414-4389-870c-d2f266a9420b%7C587ac4dc-a49a-4bdc-b449-e36f5d95395b</t>
  </si>
  <si>
    <t>2475@berdin.com</t>
  </si>
  <si>
    <t>2476@dimces.com</t>
  </si>
  <si>
    <t>2477@moralesyartigasabogados.com</t>
  </si>
  <si>
    <t>2478@gmail.com</t>
  </si>
  <si>
    <t>https://resources.simonelectric.com/simon-ebook-vehiculo-electrico-0?gclid=EAIaIQobChMIlIGO08WT6AIVjAYGAB3Seg_2EAEYASAAEgKXvvD_BwE</t>
  </si>
  <si>
    <t>2479@hotmail.es</t>
  </si>
  <si>
    <t>2480@simon.es</t>
  </si>
  <si>
    <t>https://resources.simonelectric.com/simon-catalogo-vehiculo-electrico?__hstc=83084745.0f43a46b614a0c6ffd969606dc9e2fc4.1562230161263.1580895839443.1583939783922.15&amp;__hssc=83084745.5.1583939783922&amp;__hsfp=137485176</t>
  </si>
  <si>
    <t>2481@apogeaconsulting.com</t>
  </si>
  <si>
    <t>https://resources.simonelectric.com/simon-catalogo-vehiculo-electrico?__hstc=83084745.0b6763b6c7f15a1c91dc1f2e8fa304a5.1582009670274.1583338973982.1583936404159.5&amp;__hssc=83084745.2.1583936404159&amp;__hsfp=137485176</t>
  </si>
  <si>
    <t>2482@etelnoga.com</t>
  </si>
  <si>
    <t>https://resources.simonelectric.com/simon-catalogo-vehiculo-electrico?__hstc=83084745.005699f42df5ab4058b1e40d574bbd40.1578421095100.1583850346521.1583928260275.65&amp;__hssc=83084745.1119.1583928260275&amp;__hsfp=1183290012</t>
  </si>
  <si>
    <t>2483@gmail.com</t>
  </si>
  <si>
    <t>https://resources.simonelectric.com/simon-catalogo-vehiculo-electrico?__hstc=83084745.95406d6a3302ca3963465fb2c09c965b.1583923068442.1583923068442.1583925302111.2&amp;__hssc=83084745.10.1583925302111&amp;__hsfp=1058893358</t>
  </si>
  <si>
    <t>https://resources.simonelectric.com/simon-ebook-vehiculo-electrico?utm_campaign=SIC%20-%20Veh%C3%ADculo%20El%C3%A9ctrico&amp;utm_medium=email&amp;_hsenc=p2ANqtz-_5mvkbo8D8EPh9XoCIsYo7ietQYdW_pWj1SYKQDnY1RgPZBWS4cQq7k4wcgHTumvW3M2J7kfNX50QppsgPmB3tCRyiYXjpHvdLV8dR0AiCRFfK1ww&amp;_hsmi=71033675&amp;utm_source=hs_automation&amp;utm_content=71033675&amp;hsCtaTracking=2e94ebfc-d414-4389-870c-d2f266a9420b%7C587ac4dc-a49a-4bdc-b449-e36f5d95395b</t>
  </si>
  <si>
    <t>2484@grupo-jarama.com</t>
  </si>
  <si>
    <t>https://resources.simonelectric.com/simon-catalogo-vehiculo-electrico?__hstc=83084745.b35975246d5151186ec37103dc0f64ea.1583914578890.1583914578890.1583914578890.1&amp;__hssc=83084745.14.1583914578891&amp;__hsfp=137485176</t>
  </si>
  <si>
    <t>2485@saergy.com</t>
  </si>
  <si>
    <t>2486@hotmail.com</t>
  </si>
  <si>
    <t>https://resources.simonelectric.com/simon-ebook-vehiculo-electrico?utm_campaign=SIC%20-%20Veh%C3%ADculo%20El%C3%A9ctrico&amp;utm_medium=email&amp;_hsenc=p2ANqtz-8ZAtb5QVE1FIdyhwmayIAx5uSDHpwWl45zqhWt0xlnT9lHJEQUkHc5qX0Qr-U8nhhbZ5yyBzgWAdE6ULZf_BPcSCuyaA&amp;_hsmi=84202906&amp;utm_source=hs_automation&amp;utm_content=84202906&amp;hsCtaTracking=26d36c03-e482-4ae2-bb24-a3deafd20fb4%7C767cf64e-061e-4dd8-9e07-e6256dfa595c</t>
  </si>
  <si>
    <t>2487@telefonica.net</t>
  </si>
  <si>
    <t>2488@gmail.com</t>
  </si>
  <si>
    <t>2489@proytecenergia.com</t>
  </si>
  <si>
    <t>2490@mantenencies.com</t>
  </si>
  <si>
    <t>2491@saltoki.es</t>
  </si>
  <si>
    <t>2492@gmail.com</t>
  </si>
  <si>
    <t>https://resources.simonelectric.com/simon-ebook-vehiculo-electrico?utm_campaign=SIC%20-%20Veh%C3%ADculo%20El%C3%A9ctrico&amp;utm_medium=email&amp;_hsenc=p2ANqtz-8HsFYdpHEh65ORDmjO8KimH-YsxyuQqJMI-Wjyv7jB621SHsLpiP0BKngsitWDWGyzqAbRGfgyaHgpissLsu1Ov_1Qog&amp;_hsmi=71033675&amp;utm_source=hs_automation&amp;utm_content=71033675&amp;hsCtaTracking=2e94ebfc-d414-4389-870c-d2f266a9420b%7C587ac4dc-a49a-4bdc-b449-e36f5d95395b</t>
  </si>
  <si>
    <t>2493@gmail.com</t>
  </si>
  <si>
    <t>2494@gmail.com</t>
  </si>
  <si>
    <t>https://resources.simonelectric.com/simon-ebook-vehiculo-electrico?utm_campaign=SIC%20-%20Veh%C3%ADculo%20El%C3%A9ctrico&amp;utm_medium=email&amp;_hsenc=p2ANqtz-94_GIeNZ549QMgWuE7tQOASBeCLNMkAAXi18KKQiGB_-n4I3iT5euTu1MdQ_pWAUlfrOy25Zoqfs-Nmqw7HJC_BLS-UXqAk_KvMdKjfn6wUqqSiYE&amp;_hsmi=71033675&amp;utm_source=hs_automation&amp;utm_content=71033675&amp;hsCtaTracking=2e94ebfc-d414-4389-870c-d2f266a9420b%7C587ac4dc-a49a-4bdc-b449-e36f5d95395b</t>
  </si>
  <si>
    <t>2495@gmail.com</t>
  </si>
  <si>
    <t>2496@grupoelectrostocks.com</t>
  </si>
  <si>
    <t>2497@gmail.com</t>
  </si>
  <si>
    <t>2498@adtelcom.es</t>
  </si>
  <si>
    <t>https://resources.simonelectric.com/simon-ebook-vehiculo-electrico?utm_campaign=SIC%20-%20Veh%C3%ADculo%20El%C3%A9ctrico&amp;utm_medium=email&amp;_hsenc=p2ANqtz-89R8GeAdHsOSWercrfqo2yyLTw4OzyFAHW8uujM36C-ZfAU1QO2rurQ4Tx2n9djaqw8vga_9GEc_pvDK4BH3pqIVxdxg&amp;_hsmi=84202906&amp;utm_source=hs_automation&amp;utm_content=84202906&amp;hsCtaTracking=26d36c03-e482-4ae2-bb24-a3deafd20fb4%7C767cf64e-061e-4dd8-9e07-e6256dfa595c</t>
  </si>
  <si>
    <t>2499@hotmail.com</t>
  </si>
  <si>
    <t>https://resources.simonelectric.com/simon-ebook-vehiculo-electrico?utm_campaign=SIC%20-%20Veh%C3%ADculo%20El%C3%A9ctrico&amp;utm_source=hs_automation&amp;utm_medium=email&amp;utm_content=71033675&amp;_hsenc=p2ANqtz-9rOkUxcJyYXISHgFwKr0NWOZ28UhEBhwDdUojZLqnMm0Ut7mRNTugZu2316O8S9yYPyLgeo3w9kKUDXQ1G10X8tSLJhw&amp;_hsmi=71033675</t>
  </si>
  <si>
    <t>2500@sonepar.es</t>
  </si>
  <si>
    <t>2501@gmail.com</t>
  </si>
  <si>
    <t>https://resources.simonelectric.com/simon-ebook-vehiculo-electrico?utm_campaign=SIC%20-%20Veh%C3%ADculo%20El%C3%A9ctrico&amp;utm_medium=email&amp;_hsenc=p2ANqtz-8YnFmK6T8Tx5W56vRRMEKjVCT9-mf2VRlZJmsZJBaHcrjlTm0-_Uz28UA_1Kt5O5KXhkZNO5VZieMLduUSpNGY90I8nZ7YgoIz2F3Yc4YKeV1Rb-s&amp;_hsmi=84202906&amp;utm_source=hs_automation&amp;utm_content=84202906&amp;hsCtaTracking=26d36c03-e482-4ae2-bb24-a3deafd20fb4%7C767cf64e-061e-4dd8-9e07-e6256dfa595c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</si>
  <si>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_l4r_Zl5-TIdL_X3KhisPlQmGPU47B1ZHSZ_rXtBfkrP91Uh0Acjb9gWrCoRZrPNtxaXRBR9dwwCdx_jz7u11dicvl2A%26_hsmi%3D71033828</t>
  </si>
  <si>
    <t>2502@yahoo.es</t>
  </si>
  <si>
    <t>https://resources.simonelectric.com/simon-ebook-vehiculo-electrico?utm_campaign=SIC%20-%20Veh%C3%ADculo%20El%C3%A9ctrico&amp;utm_medium=email&amp;_hsenc=p2ANqtz--XjC-cSVeyei_Q9NmN9oOlPBwqgC8xKP0ScRt2lKt_cEErNgrRJL1iL2ArByyw_eGg7Fnpf8KsFLEFC2sfQIyLhCNXjw&amp;_hsmi=84202906&amp;utm_source=hs_automation&amp;utm_content=84202906&amp;hsCtaTracking=26d36c03-e482-4ae2-bb24-a3deafd20fb4%7C767cf64e-061e-4dd8-9e07-e6256dfa595c</t>
  </si>
  <si>
    <t>2503@grupoiicsa.com</t>
  </si>
  <si>
    <t>2504@gmail.com</t>
  </si>
  <si>
    <t>https://resources.simonelectric.com/simon-ebook-vehiculo-electrico?utm_campaign=SIC%20-%20Veh%C3%ADculo%20El%C3%A9ctrico&amp;utm_medium=email&amp;_hsenc=p2ANqtz-9pUbtRNf7e86gOCfGtEIP0uKNr2nmbLFa35Hc-t7bXE3N40DK_dWfHkiD-yKcaqkN8ni8Z2Pf49DWw1Nt1m3bsH-O0i6ydr_0deasvzEAY4t4rOmM&amp;_hsmi=71033675&amp;utm_source=hs_automation&amp;utm_content=71033675&amp;hsCtaTracking=2e94ebfc-d414-4389-870c-d2f266a9420b%7C587ac4dc-a49a-4bdc-b449-e36f5d95395b</t>
  </si>
  <si>
    <t>2505@gmail.com</t>
  </si>
  <si>
    <t>https://resources.simonelectric.com/simon-ebook-vehiculo-electrico?utm_campaign=SIC%20-%20Veh%C3%ADculo%20El%C3%A9ctrico&amp;utm_medium=email&amp;_hsenc=p2ANqtz-_3FhN9SZ3iS3EU5gMRrd90ziNDowidSOm2HVJpnpdniJ789VG6GRQmxKwZfJuKlwHqIYa-5NcsByfLk0BhYtHVPz_hiQ&amp;_hsmi=71033675&amp;utm_source=hs_automation&amp;utm_content=71033675&amp;hsCtaTracking=2e94ebfc-d414-4389-870c-d2f266a9420b%7C587ac4dc-a49a-4bdc-b449-e36f5d95395b</t>
  </si>
  <si>
    <t>2506@es.issworld.com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</si>
  <si>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-iNKI7Ay4vIAl3dvXIoWzccbak5mrjgSOWk5OykGoXYGx6Q8r5nP5XUT450WJJmjwAWAYg6WNod9w_zNHi-99-WRlMWB5HmpYxvyEib4kcsU_FHBM%26_hsmi%3D71033828</t>
  </si>
  <si>
    <t>2507@victorperezsl.com</t>
  </si>
  <si>
    <t>https://resources.simonelectric.com/simon-ebook-vehiculo-electrico?utm_referrer=https%3A%2F%2Fwww.simonelectric.com%2Fblog%2Fvehiculo-electrico-instalar-punto-de-recarga-en-garaje-comunitario%3Futm_campaign%3DSIC%2520-%2520Veh%25C3%25ADculo%2520El%25C3%25A9ctrico%26utm_source%3Dhs_automation%26utm_medium%3Demail%26utm_content%3D71033828%26_hsenc%3Dp2ANqtz-_Z8KwS1_kAUoreLdT8WfE3UTT90swVKUlYhFxW9mt3mePWm_CHjwMqtQrAV0dTGcNVqTuxYCDWr6-IEWv_1UQgE4N5PQugPmodCdLwaQ9ZzOyFCyM%26_hsmi%3D71033828</t>
  </si>
  <si>
    <t>2508@solardelvalle.es</t>
  </si>
  <si>
    <t>2509@elecnor.es</t>
  </si>
  <si>
    <t>https://resources.simonelectric.com/simon-ebook-vehiculo-electrico?utm_campaign=SIC%20-%20Veh%C3%ADculo%20El%C3%A9ctrico&amp;utm_medium=email&amp;_hsenc=p2ANqtz-_ZusnurdLmFhgkCqtWa2aJiu1DFLqufUlqeLMLoy5u6UPXXT1bFS9Ydd5MVFt772XUxyDG8gazNxL2k6XvTYYK3n1uhA&amp;_hsmi=71033675&amp;utm_source=hs_automation&amp;utm_content=71033675&amp;hsCtaTracking=2e94ebfc-d414-4389-870c-d2f266a9420b%7C587ac4dc-a49a-4bdc-b449-e36f5d95395b</t>
  </si>
  <si>
    <t>2510@sermicro.com</t>
  </si>
  <si>
    <t>https://resources.simonelectric.com/simon-ebook-vehiculo-electrico?utm_campaign=SIC%20-%20Veh%C3%ADculo%20El%C3%A9ctrico&amp;utm_medium=email&amp;_hsenc=p2ANqtz-8RJ2at-4Lnmno2yIRNsj1wQcRMxJmbmbibgnwZNLm_lvr1bIx_07Th8z3o5SuhAmlEw1MROpDbfc3_K3w81GHIGrI4Vu7NTZnRiZWuV4JBZfXoszE&amp;_hsmi=71033675&amp;utm_source=hs_automation&amp;utm_content=71033675&amp;hsCtaTracking=2e94ebfc-d414-4389-870c-d2f266a9420b%7C587ac4dc-a49a-4bdc-b449-e36f5d95395b</t>
  </si>
  <si>
    <t>2511@gmail.com</t>
  </si>
  <si>
    <t>https://resources.simonelectric.com/simon-catalogo-vehiculo-electrico?__hstc=83084745.3fe71311dd3677b144bde33e498bfe17.1578988423259.1578988423259.1583569717790.2&amp;__hssc=83084745.9.1583569717790&amp;__hsfp=2604063290</t>
  </si>
  <si>
    <t>https://resources.simonelectric.com/simon-ebook-vehiculo-electrico?utm_campaign=SIC%20-%20Veh%C3%ADculo%20El%C3%A9ctrico&amp;utm_medium=email&amp;_hsenc=p2ANqtz-8Ujw4-4pYC2KgUNahQd6OSgL7ma4pkwhqaCPrv_WSDDOgeYXNRnMDDeklchnuRGzisCO-sPLQVV8PPM4kvTgPs_XSV7w&amp;_hsmi=84202906&amp;utm_source=hs_automation&amp;utm_content=84202906&amp;hsCtaTracking=26d36c03-e482-4ae2-bb24-a3deafd20fb4%7C767cf64e-061e-4dd8-9e07-e6256dfa595c</t>
  </si>
  <si>
    <t>2512@hotmail.com</t>
  </si>
  <si>
    <t>2513@gmail.com</t>
  </si>
  <si>
    <t>2514@coitialicante.com</t>
  </si>
  <si>
    <t>2515@simon.es</t>
  </si>
  <si>
    <t>2516@isega.es</t>
  </si>
  <si>
    <t>2517@ineleeg.es</t>
  </si>
  <si>
    <t>https://resources.simonelectric.com/simon-ebook-vehiculo-electrico?utm_campaign=SIC%20-%20Veh%C3%ADculo%20El%C3%A9ctrico&amp;utm_medium=email&amp;_hsenc=p2ANqtz-9qa7J9x7pM_v2OZ1GFXIzWyBRTHX3pY-RBJ8XtCpPiKZJBoZB6DbXlvlLpIgYRmAmw-W7RixF77iqYW-4fLOJc0wlmcrZ0mTZZ7JHhaHkbg10cDqo&amp;_hsmi=84202906&amp;utm_source=hs_automation&amp;utm_content=84202906&amp;hsCtaTracking=26d36c03-e482-4ae2-bb24-a3deafd20fb4%7C767cf64e-061e-4dd8-9e07-e6256dfa595c</t>
  </si>
  <si>
    <t>2518@solardelvalle.es</t>
  </si>
  <si>
    <t>https://resources.simonelectric.com/simon-ebook-vehiculo-electrico?utm_referrer=https%3A%2F%2Fwww.simonelectric.com%2Fblog%2Finstalacion-de-un-punto-de-recarga-para-un-coche-electrico%3Futm_campaign%3DSIC%2520-%2520Veh%25C3%25ADculo%2520El%25C3%25A9ctrico%26utm_source%3Dhs_automation%26utm_medium%3Demail%26utm_content%3D71034014%26_hsenc%3Dp2ANqtz-9ciV2LQKWfUa8J0Xl-7KjtvmOtTodnx9ve3X_SUrzW6BXaySPs9Gs3_2G8TKKAxmxewlsWgPpe_-WXcQXV8q_zkieoeg%26_hsmi%3D71034014</t>
  </si>
  <si>
    <t>2519@hotmail.com</t>
  </si>
  <si>
    <t>https://resources.simonelectric.com/simon-ebook-vehiculo-electrico-tw?utm_source=twitter&amp;utm_medium=social_ads&amp;utm_campaign=vehiculo_electrico</t>
  </si>
  <si>
    <t>2520@jspelectrotecnia.com</t>
  </si>
  <si>
    <t>https://resources.simonelectric.com/simon-catalogo-vehiculo-electrico?utm_campaign=SIC%20-%20Veh%C3%ADculo%20El%C3%A9ctrico&amp;utm_source=hs_automation&amp;utm_medium=email&amp;utm_content=71034014&amp;_hsenc=p2ANqtz-9ijgCfDKg5BD25tJZtYKne27IP9Ezmk60DwciAbFLTYHzPYiC4VPse5FKZG-2K3Gw1EDK9cPwZ0P1NKdjiSjs0xUq52w&amp;_hsmi=71034014</t>
  </si>
  <si>
    <t>2521@amisur.es</t>
  </si>
  <si>
    <t>https://resources.simonelectric.com/simon-catalogo-vehiculo-electrico?utm_campaign=SIC%20-%20Veh%C3%ADculo%20El%C3%A9ctrico&amp;utm_source=hs_automation&amp;utm_medium=email&amp;utm_content=71034014&amp;_hsenc=p2ANqtz-9qRZfAd_Ihs-5jVJAD9h1Ut98xiLicOtrAUFmF0rtBIzRnBWkvsrKefLeGQ1fYDjadSExS3yMwaqePpjWm8loU_xw2Ow&amp;_hsmi=71034014</t>
  </si>
  <si>
    <t>2522@gmail.com</t>
  </si>
  <si>
    <t>https://resources.simonelectric.com/simon-ebook-vehiculo-electrico?utm_campaign=SIC%20-%20Veh%C3%ADculo%20El%C3%A9ctrico&amp;utm_medium=email&amp;_hsenc=p2ANqtz--WHaBH_SUvBkg6E1XuxP6Dy3Vmi40s-vuR1IjnyxT3ZIoOndhsOJzW7LgoDYgafvJ5uMQxhLF40dyHmeT3z841i1LbMQ&amp;_hsmi=84202906&amp;utm_source=hs_automation&amp;utm_content=84202906&amp;hsCtaTracking=26d36c03-e482-4ae2-bb24-a3deafd20fb4%7C767cf64e-061e-4dd8-9e07-e6256dfa595c</t>
  </si>
  <si>
    <t>2523@ipae.es</t>
  </si>
  <si>
    <t>https://resources.simonelectric.com/simon-catalogo-vehiculo-electrico?__hstc=83084745.454559a1a16116a7324cb5f8279abed7.1583476677428.1583476677428.1583476677428.1&amp;__hssc=83084745.9.1583476677429&amp;__hsfp=137485176</t>
  </si>
  <si>
    <t>2524@me.com</t>
  </si>
  <si>
    <t>https://resources.simonelectric.com/simon-ebook-vehiculo-electrico-0?gclid=EAIaIQobChMIqdnox-yE6AIV2OIbCh0WcQg_EAEYASAAEgI8W_D_BwE</t>
  </si>
  <si>
    <t>2525@gmail.com</t>
  </si>
  <si>
    <t>https://resources.simonelectric.com/simon-ebook-vehiculo-electrico?utm_campaign=SIC%20-%20Veh%C3%ADculo%20El%C3%A9ctrico&amp;utm_medium=email&amp;_hsenc=p2ANqtz-9oUVnPRJEn9TqYJa94BrSOEhv5e_YEMX4VNBWbBgH85pZf_Qc7kjor_Tx2bGDrI81fSi7RACLCl58nxMvZMy20KY_oSQ&amp;_hsmi=84202906&amp;utm_source=hs_automation&amp;utm_content=84202906&amp;hsCtaTracking=26d36c03-e482-4ae2-bb24-a3deafd20fb4%7C767cf64e-061e-4dd8-9e07-e6256dfa595c</t>
  </si>
  <si>
    <t>2526@reparacioneslsanchez.es</t>
  </si>
  <si>
    <t>https://resources.simonelectric.com/simon-ebook-vehiculo-electrico?utm_campaign=SIC%20-%20Veh%C3%ADculo%20El%C3%A9ctrico&amp;utm_medium=email&amp;_hsenc=p2ANqtz-8Tc6Ud0fe_RxMDjaUOEEuKrp3O89g4aAs5CkP9oWcE5gTm0gJ3eOwdw6pT_aNILqAttyoOtqxZd8Bwf89hRoXUQ7CG5w&amp;_hsmi=84202906&amp;utm_source=hs_automation&amp;utm_content=84202906&amp;hsCtaTracking=26d36c03-e482-4ae2-bb24-a3deafd20fb4%7C767cf64e-061e-4dd8-9e07-e6256dfa595c</t>
  </si>
  <si>
    <t>2527@gmail.com</t>
  </si>
  <si>
    <t>2528@leing.es</t>
  </si>
  <si>
    <t>2529@upc.edu</t>
  </si>
  <si>
    <t>https://resources.simonelectric.com/simon-catalogo-vehiculo-electrico?__hstc=83084745.7124acae867336999ecc222eab784e14.1583414138031.1583414138031.1583414138031.1&amp;__hssc=83084745.1.1583414138031&amp;__hsfp=1183290012</t>
  </si>
  <si>
    <t>2530@galimar.com.es</t>
  </si>
  <si>
    <t>https://resources.simonelectric.com/simon-ebook-vehiculo-electrico?utm_campaign=SIC%20-%20Veh%C3%ADculo%20El%C3%A9ctrico&amp;utm_medium=email&amp;_hsenc=p2ANqtz-9juXi8-NTUQvXJGYbOfB4NLJO_x0o4f_0cHzCZnjaJUiCeAIqIcZuWQKPqEB1vCtFw-LWO5TFBr-oPbB7DMLpDpXyKfg&amp;_hsmi=84202906&amp;utm_source=hs_automation&amp;utm_content=84202906&amp;hsCtaTracking=26d36c03-e482-4ae2-bb24-a3deafd20fb4%7C767cf64e-061e-4dd8-9e07-e6256dfa595c</t>
  </si>
  <si>
    <t>2531@arquitecturaygestion.com</t>
  </si>
  <si>
    <t>https://resources.simonelectric.com/simon-ebook-vehiculo-electrico-0?utm_campaign=SIC%20-%20Veh%C3%ADculo%20El%C3%A9ctrico&amp;utm_source=hs_automation&amp;utm_medium=email&amp;utm_content=77035422&amp;_hsenc=p2ANqtz-8t1feZHYsy0SIH_0dJnnUojTcY14Hs1aHilDeva3mXG70FfG6I1YLPZtcx9XvnJKuahG2gXzWHXNfLr5PAeqUcrDfL7SxRPFt9KHDFexVw-LjTHJI&amp;_hsmi=77035422</t>
  </si>
  <si>
    <t>2532@gmail.com</t>
  </si>
  <si>
    <t>https://resources.simonelectric.com/simon-ebook-vehiculo-electrico?utm_campaign=SIC%20-%20Veh%C3%ADculo%20El%C3%A9ctrico&amp;utm_medium=email&amp;_hsenc=p2ANqtz-8rEaOLdP-xe0DMUM-U5XMkA3Till3MpB3HO5BkRKCWPYuFaC1EARQ_BAd7wmnHWvcF-DrGY35VtUEwAMrD56Vzf7Yh3w&amp;_hsmi=84202906&amp;utm_source=hs_automation&amp;utm_content=84202906&amp;hsCtaTracking=26d36c03-e482-4ae2-bb24-a3deafd20fb4%7C767cf64e-061e-4dd8-9e07-e6256dfa595c</t>
  </si>
  <si>
    <t>2533@hotmail.com</t>
  </si>
  <si>
    <t>https://resources.simonelectric.com/simon-ebook-vehiculo-electrico?utm_campaign=SIC%20-%20Veh%C3%ADculo%20El%C3%A9ctrico&amp;utm_medium=email&amp;_hsenc=p2ANqtz-_V7Exx-Wy24vr_w-ZBBPCx8apSNJH5YkG9_ln1-K44SBUEsTMuvWsjfdQwL2FjQ3XTU_tFlM2auSMRyb-2eH0As8NaDQ&amp;_hsmi=84202906&amp;utm_source=hs_automation&amp;utm_content=84202906&amp;hsCtaTracking=26d36c03-e482-4ae2-bb24-a3deafd20fb4%7C767cf64e-061e-4dd8-9e07-e6256dfa595c</t>
  </si>
  <si>
    <t>https://resources.simonelectric.com/simon-ebook-vehiculo-electrico?utm_campaign=SIC%20-%20Veh%C3%ADculo%20El%C3%A9ctrico&amp;utm_medium=email&amp;_hsenc=p2ANqtz-8WKkfZ49zpZwGzVmTxJh37CYggRp-uyTQohR1fGiEcbnzUZLyLaE3mi5Q1QZVf9E9lbnRfNBW5vgvEQ1Vr-UETzEjGtg&amp;_hsmi=84202906&amp;utm_source=hs_automation&amp;utm_content=84202906&amp;hsCtaTracking=26d36c03-e482-4ae2-bb24-a3deafd20fb4%7C767cf64e-061e-4dd8-9e07-e6256dfa595c</t>
  </si>
  <si>
    <t>2534@gmail.com</t>
  </si>
  <si>
    <t>https://resources.simonelectric.com/simon-ebook-vehiculo-electrico?utm_campaign=SIC%20-%20Veh%C3%ADculo%20El%C3%A9ctrico&amp;utm_medium=email&amp;_hsenc=p2ANqtz-_i3rrdknzNq0DDfhrLAgMAM5MiEODuKmG3Dm9MxoP-ycGxGxuRmlFyLdLAuXunDeOvnyZPhElSJS8fDeQkiuUd351byQ&amp;_hsmi=84202906&amp;utm_source=hs_automation&amp;utm_content=84202906&amp;hsCtaTracking=26d36c03-e482-4ae2-bb24-a3deafd20fb4%7C767cf64e-061e-4dd8-9e07-e6256dfa595c</t>
  </si>
  <si>
    <t>2535@hotmail.com</t>
  </si>
  <si>
    <t>2536@telefonica.net</t>
  </si>
  <si>
    <t>https://resources.simonelectric.com/simon-ebook-vehiculo-electrico?utm_campaign=SIC%20-%20Veh%C3%ADculo%20El%C3%A9ctrico&amp;utm_medium=email&amp;_hsenc=p2ANqtz--Xs0iGp2iueL7Mae_tNvzg0vmM3VXjUopesPFHbGfceZ-OgrMR5utLXFu75pm7OIrQvKl4OFoVRRrjL3lS4usFXs-oZ1FSy0KPo02YOy7a5sOrZw0&amp;_hsmi=84202906&amp;utm_source=hs_automation&amp;utm_content=84202906&amp;hsCtaTracking=26d36c03-e482-4ae2-bb24-a3deafd20fb4%7C767cf64e-061e-4dd8-9e07-e6256dfa595c</t>
  </si>
  <si>
    <t>2537@electram.es</t>
  </si>
  <si>
    <t>https://resources.simonelectric.com/simon-ebook-vehiculo-electrico-0?utm_campaign=SIC%20-%20Veh%C3%ADculo%20El%C3%A9ctrico&amp;utm_source=hs_automation&amp;utm_medium=email&amp;utm_content=84202906&amp;_hsenc=p2ANqtz-8HoEJcFXvW5ecYRkGzJrrQUbugz5mE1cY97XsnF0f8VDWdDUbrr0Q5KCTYP_bcMUu-kygSmbjwRpiWH4WVQq7lkm8cNw&amp;_hsmi=84202906</t>
  </si>
  <si>
    <t>https://resources.simonelectric.com/simon-ebook-vehiculo-electrico?utm_campaign=SIC%20-%20Veh%C3%ADculo%20El%C3%A9ctrico&amp;utm_medium=email&amp;_hsenc=p2ANqtz--od_lDem9t3FCtDydZjpG_KcFyptAX-WgqGu9wL2HR8ebId94oaQxl3ENynGty63amKRIoLRrEmiA-FD_Q2BG1Z2Ib3fEaD9OxfZRk2H73QHzji8w&amp;_hsmi=84202906&amp;utm_source=hs_automation&amp;utm_content=84202906&amp;hsCtaTracking=26d36c03-e482-4ae2-bb24-a3deafd20fb4%7C767cf64e-061e-4dd8-9e07-e6256dfa595c</t>
  </si>
  <si>
    <t>https://resources.simonelectric.com/simon-ebook-vehiculo-electrico?utm_campaign=SIC%20-%20Veh%C3%ADculo%20El%C3%A9ctrico&amp;utm_medium=email&amp;_hsenc=p2ANqtz-9dJoM_gGQ6YAi3yZ-Ud3NYEjrTvb1N9mHYWLwXIc3dt5HncXJttFfIPtCAW1ojOhZzimDRr5RG7tEZqmcY4vFHIvy1Sg&amp;_hsmi=84202906&amp;utm_source=hs_automation&amp;utm_content=84202906&amp;hsCtaTracking=26d36c03-e482-4ae2-bb24-a3deafd20fb4%7C767cf64e-061e-4dd8-9e07-e6256dfa595c</t>
  </si>
  <si>
    <t>https://resources.simonelectric.com/simon-ebook-vehiculo-electrico-0?utm_campaign=SIC%20-%20Veh%C3%ADculo%20El%C3%A9ctrico&amp;utm_source=hs_automation&amp;utm_medium=email&amp;utm_content=84202906&amp;_hsenc=p2ANqtz-_zwaIFSCAN_svY8i5fuM1d0ljHXlQ4Blp0Enn-tMHgzIqiW4K_5guscBoKYRyUPzOqIn-Sm88ffXCBHYIWZgBxzteURw&amp;_hsmi=84202906</t>
  </si>
  <si>
    <t>2538@elcorteingles.es</t>
  </si>
  <si>
    <t>https://resources.simonelectric.com/simon-ebook-vehiculo-electrico?utm_campaign=SIC%20-%20Veh%C3%ADculo%20El%C3%A9ctrico&amp;utm_medium=email&amp;_hsenc=p2ANqtz-_85Srtts-COLYXp3lP7KTmLSO6cvSEVU8dLZNcXgCUd4NQWEJwTWYUO6l5Dv3wJzUZqYBCONnyPSI1e4REgDflfYI9OPTzqOnkxKXpJX5WY5CRdp4&amp;_hsmi=84202906&amp;utm_source=hs_automation&amp;utm_content=84202906&amp;hsCtaTracking=26d36c03-e482-4ae2-bb24-a3deafd20fb4%7C767cf64e-061e-4dd8-9e07-e6256dfa595c</t>
  </si>
  <si>
    <t>2539@gmail.com</t>
  </si>
  <si>
    <t>https://resources.simonelectric.com/simon-ebook-vehiculo-electrico?utm_campaign=SIC%20-%20Veh%C3%ADculo%20El%C3%A9ctrico&amp;utm_medium=email&amp;_hsenc=p2ANqtz-_-stcLD6KJ2FNEkDmD7K1wxp039V3yhFI6wiWhGWJqkxZCRzcv9DqZY_qNUVDgOX1_I9n6SO0UYHEakoldMM3zaSzlYw&amp;_hsmi=84202906&amp;utm_source=hs_automation&amp;utm_content=84202906&amp;hsCtaTracking=26d36c03-e482-4ae2-bb24-a3deafd20fb4%7C767cf64e-061e-4dd8-9e07-e6256dfa595c</t>
  </si>
  <si>
    <t>2540@gmail.com</t>
  </si>
  <si>
    <t>https://resources.simonelectric.com/simon-ebook-vehiculo-electrico?utm_campaign=SIC%20-%20Veh%C3%ADculo%20El%C3%A9ctrico&amp;utm_medium=email&amp;_hsenc=p2ANqtz-_xlVtu5I3mf1mgNcRHxlAYT2XKCxZ1p1_EXaRCubqWy3lpd-uRiOgM5R8uHZztxDs0cs9sIqrihNuT3bYdXBd7BSeTsxPDplwrtqzzXgEZqiC62YA&amp;_hsmi=84202906&amp;utm_source=hs_automation&amp;utm_content=84202906&amp;hsCtaTracking=26d36c03-e482-4ae2-bb24-a3deafd20fb4%7C767cf64e-061e-4dd8-9e07-e6256dfa595c</t>
  </si>
  <si>
    <t>https://resources.simonelectric.com/simon-ebook-vehiculo-electrico?utm_campaign=SIC%20-%20Veh%C3%ADculo%20El%C3%A9ctrico&amp;utm_medium=email&amp;_hsenc=p2ANqtz-8igWbou9G9esNHxILiC8LAQVuiLLP8RSbXeFfUO8exdw_mESLU91iRdcPQjUnhQRrSFCrZ05cy9Su8y8-HO3MG-GCSww&amp;_hsmi=84202906&amp;utm_source=hs_automation&amp;utm_content=84202906&amp;hsCtaTracking=26d36c03-e482-4ae2-bb24-a3deafd20fb4%7C767cf64e-061e-4dd8-9e07-e6256dfa595c</t>
  </si>
  <si>
    <t>2541@gmail.com</t>
  </si>
  <si>
    <t>https://resources.simonelectric.com/simon-ebook-vehiculo-electrico?utm_campaign=SIC%20-%20Veh%C3%ADculo%20El%C3%A9ctrico&amp;utm_medium=email&amp;_hsenc=p2ANqtz-_JCX4PtKNI_6i4ABIi325lOH5XFhVfJnFdCWL5fTHWHwguR3s-tNnopEaqezBKdKzEig0DK2c4-OQpXH9w-jGmg0zGhmlTwDn68-RwiZz4ESrz2tE&amp;_hsmi=84202906&amp;utm_source=hs_automation&amp;utm_content=84202906&amp;hsCtaTracking=26d36c03-e482-4ae2-bb24-a3deafd20fb4%7C767cf64e-061e-4dd8-9e07-e6256dfa595c</t>
  </si>
  <si>
    <t>2542@tecnica4.com</t>
  </si>
  <si>
    <t>https://resources.simonelectric.com/simon-catalogo-vehiculo-electrico?__hstc=83084745.285a19b50934ad49e94b8bede82e82b1.1580128379549.1583237174106.1583392383238.10&amp;__hssc=83084745.5.1583392383238&amp;__hsfp=137485176</t>
  </si>
  <si>
    <t>2543@eltec-servicios.com</t>
  </si>
  <si>
    <t>2544@hotmail.com</t>
  </si>
  <si>
    <t>2545@telefonica.net</t>
  </si>
  <si>
    <t>2546@tecnovap.es</t>
  </si>
  <si>
    <t>2547@gmail.com</t>
  </si>
  <si>
    <t>2548@gmail.com</t>
  </si>
  <si>
    <t>2549@gmail.com</t>
  </si>
  <si>
    <t>https://resources.simonelectric.com/simon-catalogo-vehiculo-electrico?__hstc=83084745.c75031e34094d9d072247dbc67ce0d16.1583320175167.1583320175167.1583333488567.2&amp;__hssc=83084745.775558775560775600.1583333488567&amp;__hsfp=3731769533</t>
  </si>
  <si>
    <t>2550@energema.com</t>
  </si>
  <si>
    <t>2551@inelsa.com</t>
  </si>
  <si>
    <t>2552@gmail.com</t>
  </si>
  <si>
    <t>2553@telefonica.net</t>
  </si>
  <si>
    <t>2554@telefonica.net</t>
  </si>
  <si>
    <t>2555@gmail.com</t>
  </si>
  <si>
    <t>https://resources.simonelectric.com/simon-catalogo-vehiculo-electrico?__hstc=83084745.ce2c7c4e49ef36767dafc6aa73bd8114.1583319759067.1583319759067.1583319759067.1&amp;__hssc=83084745.13.1583319759067&amp;__hsfp=381640519</t>
  </si>
  <si>
    <t>2556@hotmail.com</t>
  </si>
  <si>
    <t>2557@hotmail.com</t>
  </si>
  <si>
    <t>https://resources.simonelectric.com/simon-catalogo-vehiculo-electrico?__hstc=83084745.9986e994004105b7617c5fb0bc38d2b8.1522925215301.1583310795712.1583317684436.53&amp;__hssc=83084745.6.1583317684436&amp;__hsfp=3361055166</t>
  </si>
  <si>
    <t>2558@gmail.com</t>
  </si>
  <si>
    <t>2559@simon.es</t>
  </si>
  <si>
    <t>2560@gmail.com</t>
  </si>
  <si>
    <t>2561@gmail.com</t>
  </si>
  <si>
    <t>2562@artesolar.com</t>
  </si>
  <si>
    <t>2563@hotmail.com</t>
  </si>
  <si>
    <t>2564@ctv.masaveu.com</t>
  </si>
  <si>
    <t>2565@hotmail.com</t>
  </si>
  <si>
    <t>2566@casadoguia.com</t>
  </si>
  <si>
    <t>2567@hotmail.com</t>
  </si>
  <si>
    <t>2568@email.com</t>
  </si>
  <si>
    <t>2569@gmail.com</t>
  </si>
  <si>
    <t>2570@telefonica.net</t>
  </si>
  <si>
    <t>2571@dival.es</t>
  </si>
  <si>
    <t>2572@sesaelec.com</t>
  </si>
  <si>
    <t>https://resources.simonelectric.com/simon-ebook-vehiculo-electrico?utm_referrer=https%3A%2F%2Fwww.simonelectric.com%2Fblog%2Fvehiculo-electrico-todo-lo-que-tienes-que-saber-de-movilidad-sostenible%3Futm_campaign%3DSIC%2520-%2520Blog%2520digest%26utm_source%3Dhs_email%26utm_medium%3Demail%26utm_content%3D84126495%26_hsenc%3Dp2ANqtz-_nxJ5qEnHw8Zc_XXXlIoD2wB2BfU1KVptiZ0AONSrCWisaUPNSM_mc_JbmkMglDQWiSDz9np2IE3_FUCpyqs2ALiUyHQ%26_hsmi%3D84126495</t>
  </si>
  <si>
    <t>2573@edetcotecnics.com</t>
  </si>
  <si>
    <t>2574@telefonica.net</t>
  </si>
  <si>
    <t>2575@gruposti.com</t>
  </si>
  <si>
    <t>2576@construciainstalaciones.com</t>
  </si>
  <si>
    <t>2577@gmail.com</t>
  </si>
  <si>
    <t>https://resources.simonelectric.com/simon-catalogo-vehiculo-electrico?utm_campaign=SIC%20-%20Veh%C3%ADculo%20El%C3%A9ctrico&amp;utm_source=hs_automation&amp;utm_medium=email&amp;utm_content=71034014&amp;_hsenc=p2ANqtz-9hNaBh4AjlFfgtJUYIfpCB58Wk1UJ3ve8Ha6GJ-6xFUUAh5gmLtuwbOsqxmRDmslRfUJigU6raJOIZh-18brJq_vSrMA&amp;_hsmi=71034014</t>
  </si>
  <si>
    <t>2578@hotmail.com</t>
  </si>
  <si>
    <t>2579@fgc.cat</t>
  </si>
  <si>
    <t>2580@imagenyarquitectura.com.mx</t>
  </si>
  <si>
    <t>2581@yahoo.com</t>
  </si>
  <si>
    <t>2582@ccaait.cat</t>
  </si>
  <si>
    <t>2583@grupcarol.com</t>
  </si>
  <si>
    <t>2584@sistemasdeenergia.es</t>
  </si>
  <si>
    <t>2585@grupoelectrostocks.com</t>
  </si>
  <si>
    <t>2586@saltoki.es</t>
  </si>
  <si>
    <t>2587@picocompany.es</t>
  </si>
  <si>
    <t>2588@fossic.es</t>
  </si>
  <si>
    <t>2589@hotmail.com</t>
  </si>
  <si>
    <t>2590@gmail.com</t>
  </si>
  <si>
    <t>2591@gmail.com</t>
  </si>
  <si>
    <t>2592@bsmsa.cat</t>
  </si>
  <si>
    <t>2593@abcgrup.com</t>
  </si>
  <si>
    <t>2594@gmail.com</t>
  </si>
  <si>
    <t>2595@gmail.com</t>
  </si>
  <si>
    <t>2596@simonelectrica.com</t>
  </si>
  <si>
    <t>2597@3xakoenergi.com</t>
  </si>
  <si>
    <t>2598@tecoel.es</t>
  </si>
  <si>
    <t>2599@sazepi.com</t>
  </si>
  <si>
    <t>https://resources.simonelectric.com/simon-catalogo-vehiculo-electrico?__hstc=83084745.972a87fc288f8b0a1da4a7e774b350c6.1583240473413.1583240473413.1583240473413.1&amp;__hssc=83084745.6.1583240473414&amp;__hsfp=3512955578</t>
  </si>
  <si>
    <t>2600@electrimega.es</t>
  </si>
  <si>
    <t>2601@seituria.com</t>
  </si>
  <si>
    <t>2602@saherlux.com</t>
  </si>
  <si>
    <t>2603@guillenmotor.com</t>
  </si>
  <si>
    <t>2604@hotelnelva.es</t>
  </si>
  <si>
    <t>2605@gmail.com</t>
  </si>
  <si>
    <t>2606@gmail.com</t>
  </si>
  <si>
    <t>2607@hotmail.com</t>
  </si>
  <si>
    <t>2608@zambongroup.com</t>
  </si>
  <si>
    <t>2609@construccioicontrol.com</t>
  </si>
  <si>
    <t>2610@orangecorreo.es</t>
  </si>
  <si>
    <t>2611@gocsa.es</t>
  </si>
  <si>
    <t>2612@ingenieriaconforma.com</t>
  </si>
  <si>
    <t>2613@gmail.com</t>
  </si>
  <si>
    <t>2614@rexel.es</t>
  </si>
  <si>
    <t>2615@orbiumsolar.es</t>
  </si>
  <si>
    <t>2616@prysmiangroup.com</t>
  </si>
  <si>
    <t>2617@hotmail.com</t>
  </si>
  <si>
    <t>2618@viegasefilhos.pt</t>
  </si>
  <si>
    <t>2619@gmail.com</t>
  </si>
  <si>
    <t>2620@icloud.com</t>
  </si>
  <si>
    <t>2621@integralplm.com</t>
  </si>
  <si>
    <t>2622@instavi.es</t>
  </si>
  <si>
    <t>2623@mansel.es</t>
  </si>
  <si>
    <t>2624@hotmail.com</t>
  </si>
  <si>
    <t>2625@gmail.com</t>
  </si>
  <si>
    <t>2626@proycoga.es</t>
  </si>
  <si>
    <t>2627@aemsys.com</t>
  </si>
  <si>
    <t>2628@telefonica.net</t>
  </si>
  <si>
    <t>2629@hotmail.com</t>
  </si>
  <si>
    <t>2630@gmail.com</t>
  </si>
  <si>
    <t>2631@gmail.com</t>
  </si>
  <si>
    <t>2632@felices.agency</t>
  </si>
  <si>
    <t>2633@araelec.com</t>
  </si>
  <si>
    <t>2634@hotmail.es</t>
  </si>
  <si>
    <t>2635@ambginy.com</t>
  </si>
  <si>
    <t>2636@sonepar.es</t>
  </si>
  <si>
    <t>2637@metromadrid.es</t>
  </si>
  <si>
    <t>2638@ativalles.com</t>
  </si>
  <si>
    <t>2639@sanitariosbosco.es</t>
  </si>
  <si>
    <t>2640@magserveis.com</t>
  </si>
  <si>
    <t>2641@gmail.com</t>
  </si>
  <si>
    <t>2642@mipelsa.es</t>
  </si>
  <si>
    <t>2643@sansiga.com</t>
  </si>
  <si>
    <t>2644@gmail.com</t>
  </si>
  <si>
    <t>2645@hotmail.com</t>
  </si>
  <si>
    <t>2646@gmail.com</t>
  </si>
  <si>
    <t>2647@rexel.es</t>
  </si>
  <si>
    <t>2648@electracaldense.com</t>
  </si>
  <si>
    <t>2649@grupocuerva.com</t>
  </si>
  <si>
    <t>2650@coac.net</t>
  </si>
  <si>
    <t>2651@yntegraservicios.es</t>
  </si>
  <si>
    <t>https://resources.simonelectric.com/simon-catalogo-vehiculo-electrico?__hstc=83084745.b8f0213542ea9d68f4c0cb278cfb39e2.1565593962408.1565593962408.1583232797507.2&amp;__hssc=83084745.5.1583232797507&amp;__hsfp=3361055166</t>
  </si>
  <si>
    <t>2652@tessai.es</t>
  </si>
  <si>
    <t>https://resources.simonelectric.com/simon-ebook-vehiculo-electrico?utm_referrer=https%3A%2F%2Fwww.simonelectric.com%2Fblog%2Fvehiculo-electrico-todo-lo-que-tienes-que-saber-de-movilidad-sostenible%3Futm_campaign%3DSIC%2520-%2520Blog%2520digest%26utm_source%3Dhs_email%26utm_medium%3Demail%26utm_content%3D84126495%26_hsenc%3Dp2ANqtz-_avtcUYqtha9Ir4WdYTsxr7WeBzTmP-JEnzLGz8o0hhmgwi6r9vtPha6OhCrJ6IVOjNtlojIcrChWf1EZlmAcgvVQ83w%26_hsmi%3D84126495</t>
  </si>
  <si>
    <t>2653@idiada.com</t>
  </si>
  <si>
    <t>2654@edmcadiz.es</t>
  </si>
  <si>
    <t>2655@getsa.es</t>
  </si>
  <si>
    <t>2656@sonepar.es</t>
  </si>
  <si>
    <t>https://resources.simonelectric.com/simon-ebook-vehiculo-electrico-0?gclid=EAIaIQobChMIlPKHv4v-5wIVASzgCh1n2wCHEAEYASAAEgJ25vD_BwE</t>
  </si>
  <si>
    <t>2657@a4ingenieria.es</t>
  </si>
  <si>
    <t>2658@gmail.com</t>
  </si>
  <si>
    <t>2659@gmail.com</t>
  </si>
  <si>
    <t>https://resources.simonelectric.com/simon-catalogo-vehiculo-electrico?utm_campaign=SIC%20-%20Veh%C3%ADculo%20El%C3%A9ctrico&amp;utm_source=hs_automation&amp;utm_medium=email&amp;utm_content=71034014&amp;_hsenc=p2ANqtz-8hFtMfJWwyu1qyB0hOXfD3mg4S0SqM-Xu06ayhM-eRTFFCO3QBGgP1rXO3hxhzv_jVwigQhk9E_KN2GP0ckD12YKt0jg&amp;_hsmi=71034014</t>
  </si>
  <si>
    <t>2660@gmail.com</t>
  </si>
  <si>
    <t>2661@gmail.com</t>
  </si>
  <si>
    <t>2662@gmail.com</t>
  </si>
  <si>
    <t>2663@bitjerez.com</t>
  </si>
  <si>
    <t>2664@gmail.com</t>
  </si>
  <si>
    <t>2665@electroaldis.com</t>
  </si>
  <si>
    <t>2666@gmail.com</t>
  </si>
  <si>
    <t>2667@iselektric.com</t>
  </si>
  <si>
    <t>2668@gmail.com</t>
  </si>
  <si>
    <t>2669@electroidella.com</t>
  </si>
  <si>
    <t>2670@gmail.com</t>
  </si>
  <si>
    <t>2671@gmail.com</t>
  </si>
  <si>
    <t>2672@gmail.com</t>
  </si>
  <si>
    <t>2673@gamil.com</t>
  </si>
  <si>
    <t>https://resources.simonelectric.com/simon-catalogo-vehiculo-electrico?__hstc=83084745.a6ca381680854fbb1075a8f851536cd8.1528789874610.1580745538989.1583175992436.12&amp;__hssc=83084745.3.1583175992436&amp;__hsfp=1183290012</t>
  </si>
  <si>
    <t>2674@coar.es</t>
  </si>
  <si>
    <t>https://resources.simonelectric.com/simon-catalogo-vehiculo-electrico?__hstc=83084745.1885a0e0ed39755e760d08c495919f86.1577968716218.1577968716218.1583170112371.2&amp;__hssc=83084745.5.1583170112371&amp;__hsfp=1540626750</t>
  </si>
  <si>
    <t>2675@grupoelectrostocks.com</t>
  </si>
  <si>
    <t>2676@gmail.com</t>
  </si>
  <si>
    <t>https://resources.simonelectric.com/simon-catalogo-vehiculo-electrico?__hstc=83084745.37431debbcba207c8e35f5ba4290a77f.1583085429146.1583085429146.1583085429146.1&amp;__hssc=83084745.5.1583085429149&amp;__hsfp=1387324904</t>
  </si>
  <si>
    <t>2677@gmail.com</t>
  </si>
  <si>
    <t>2678@impact-al.com</t>
  </si>
  <si>
    <t>2679@hotmail.com</t>
  </si>
  <si>
    <t>https://resources.simonelectric.com/simon-catalogo-vehiculo-electrico?__hstc=83084745.681d72d7ae51487c9d3314118e5857c2.1573060979452.1582768377888.1582979772631.9&amp;__hssc=83084745.1.1582979772631&amp;__hsfp=1183290012</t>
  </si>
  <si>
    <t>2680@copitima.com</t>
  </si>
  <si>
    <t>2681@sueprat.es</t>
  </si>
  <si>
    <t>2682@dipucuenca.es</t>
  </si>
  <si>
    <t>2683@live.fr</t>
  </si>
  <si>
    <t>https://resources.simonelectric.com/simon-ebook-vehiculo-electrico-0?gclid=CjwKCAiA7t3yBRADEiwA4GFlI0SGS7-UJbvI8Z5kFcE7kpxI1_C_ahg02IU3BvNwEEXdqRKN3i94VhoCClwQAvD_BwE</t>
  </si>
  <si>
    <t>https://resources.simonelectric.com/simon-catalogo-vehiculo-electrico?__hstc=83084745.1af2b3486dc1c20032337eee4876261e.1573577064871.1581955747648.1582830674492.18&amp;__hssc=83084745.5.1582830674492&amp;__hsfp=1183290012</t>
  </si>
  <si>
    <t>2684@hotmail.com</t>
  </si>
  <si>
    <t>2685@orgaus.com</t>
  </si>
  <si>
    <t>2686@kbingenieria.com</t>
  </si>
  <si>
    <t>2687@serium.es</t>
  </si>
  <si>
    <t>https://resources.simonelectric.com/simon-ebook-vehiculo-electrico?utm_campaign=SIC%20-%20Veh%C3%ADculo%20El%C3%A9ctrico&amp;utm_medium=email&amp;_hsenc=p2ANqtz-_RW_rrYr6G6kfvnOlMt75_k7Z-yvF8PsnX2AeIp0GJ835lD2ZGuLSHzeBUPdDAZ8QtPF4mn8aLdPNj874H5Qdu3j9ijQ&amp;_hsmi=71033675&amp;utm_source=hs_automation&amp;utm_content=71033675&amp;hsCtaTracking=2e94ebfc-d414-4389-870c-d2f266a9420b%7C587ac4dc-a49a-4bdc-b449-e36f5d95395b</t>
  </si>
  <si>
    <t>2688@hotmail.com</t>
  </si>
  <si>
    <t>https://resources.simonelectric.com/simon-catalogo-vehiculo-electrico?__hstc=83084745.4ee18f2935770937b8ba0a9b13807818.1582794576502.1582794576502.1582794576502.1&amp;__hssc=83084745.2.1582794576503&amp;__hsfp=3512955578</t>
  </si>
  <si>
    <t>2689@edp-sl.com</t>
  </si>
  <si>
    <t>2690@gmail.com</t>
  </si>
  <si>
    <t>2691@magserveis.com</t>
  </si>
  <si>
    <t>2692@gmail.com</t>
  </si>
  <si>
    <t>2693@bextron.es</t>
  </si>
  <si>
    <t>https://resources.simonelectric.com/simon-ebook-vehiculo-electrico-0?gclid=EAIaIQobChMIxaaDy6vw5wIVxJMbCh1nxwvjEAEYASAAEgLGL_D_BwE</t>
  </si>
  <si>
    <t>2694@gmail.com</t>
  </si>
  <si>
    <t>2695@inelt.es</t>
  </si>
  <si>
    <t>2696@1aingenieros.com</t>
  </si>
  <si>
    <t>2697@digamel.com</t>
  </si>
  <si>
    <t>https://resources.simonelectric.com/simon-catalogo-vehiculo-electrico?__hstc=83084745.dfd286c51276d904944d3fff7c26b4a3.1582707747527.1582707747527.1582707747527.1&amp;__hssc=83084745.4.1582707747527&amp;__hsfp=1183290012</t>
  </si>
  <si>
    <t>2698@gmail.com</t>
  </si>
  <si>
    <t>https://resources.simonelectric.com/simon-ebook-vehiculo-electrico-0?gclid=EAIaIQobChMIp5b5x-vt5wIVMQYGAB1azg0qEAEYASAAEgK85PD_BwE</t>
  </si>
  <si>
    <t>2699@gmail.com</t>
  </si>
  <si>
    <t>2700@hotmail.com</t>
  </si>
  <si>
    <t>2701@gmail.com</t>
  </si>
  <si>
    <t>2702@digamel.com</t>
  </si>
  <si>
    <t>https://resources.simonelectric.com/simon-catalogo-vehiculo-electrico?__hstc=83084745.f445907774b01433866e232026899357.1564655438259.1580116981255.1582622454060.4&amp;__hssc=83084745.6.1582622454060&amp;__hsfp=2523309921</t>
  </si>
  <si>
    <t>2703@hotmail.com</t>
  </si>
  <si>
    <t>2704@construciainstalaciones.com</t>
  </si>
  <si>
    <t>https://resources.simonelectric.com/simon-ebook-vehiculo-electrico-0?gclid=EAIaIQobChMImZSD5Knr5wIVBfzVCh1dbAZNEAEYASAAEgKMTPD_BwE</t>
  </si>
  <si>
    <t>2705@tmb.cat</t>
  </si>
  <si>
    <t>2706@opportunity-one.com</t>
  </si>
  <si>
    <t>2707@gmail.com</t>
  </si>
  <si>
    <t>2708@meta-sidecar.com</t>
  </si>
  <si>
    <t>2709@construciainstalaciones.com</t>
  </si>
  <si>
    <t>2710@arbonapiza.com</t>
  </si>
  <si>
    <t>https://resources.simonelectric.com/simon-catalogo-vehiculo-electrico?utm_campaign=SIC%20-%20Veh%C3%ADculo%20El%C3%A9ctrico&amp;utm_source=hs_automation&amp;utm_medium=email&amp;utm_content=71034014&amp;_hsenc=p2ANqtz-8IEtwq1LnTlGk2ok3yQnBtIlgb78Aj1zgCjGkeVv8tCW-_vH3AzpibAdz5bgeZBoACoA170YeR7hZtqMGqDZLMUxzxfKdpA9enrhqyfx7kvAwR47s&amp;_hsmi=71034014</t>
  </si>
  <si>
    <t>2711@infinitypv.com</t>
  </si>
  <si>
    <t>https://resources.simonelectric.com/simon-ebook-vehiculo-electrico-0?gclid=EAIaIQobChMI_aiB48np5wIVFTwbCh2NiQ-oEAEYASAAEgIis_D_BwE</t>
  </si>
  <si>
    <t>2712@gmail.com</t>
  </si>
  <si>
    <t>2713@gmail.com</t>
  </si>
  <si>
    <t>https://resources.simonelectric.com/simon-ebook-vehiculo-electrico-0?gclid=EAIaIQobChMIp-v56ezo5wIVAchRCh2XpwG5EAEYASAAEgLtS_D_BwE</t>
  </si>
  <si>
    <t>2714@gma.es</t>
  </si>
  <si>
    <t>2715@gmail.com</t>
  </si>
  <si>
    <t>2716@gmail.com</t>
  </si>
  <si>
    <t>2717@gmail.com</t>
  </si>
  <si>
    <t>2718@none.com</t>
  </si>
  <si>
    <t>https://resources.simonelectric.com/simon-catalogo-vehiculo-electrico?__hstc=83084745.1dcb345d8a75afc27c8e2d1748e3718c.1582303367058.1582303367058.1582303846307.2&amp;__hssc=83084745.1.1582303846307&amp;__hsfp=2782246528</t>
  </si>
  <si>
    <t>2719@saltoki.es</t>
  </si>
  <si>
    <t>https://resources.simonelectric.com/simon-catalogo-vehiculo-electrico?__hstc=83084745.40924afef0792ed5791c09254370fbe7.1540833854345.1575016424870.1582299808254.10&amp;__hssc=83084745.1.1582299808254&amp;__hsfp=2523309921</t>
  </si>
  <si>
    <t>2720@grupoelectrostocks.com</t>
  </si>
  <si>
    <t>https://resources.simonelectric.com/simon-ebook-vehiculo-electrico?utm_campaign=SIC%20-%20Veh%C3%ADculo%20El%C3%A9ctrico&amp;utm_medium=email&amp;_hsenc=p2ANqtz-813ZIP8xMQarsvAHvlq4LsRH5Mwjx3mQIgpo-inEL9ANmXIun8iiUPptbdGmgl9QK0iZKVTXWKnkpT4e2TQOQc1W0bNOx9dfKtae1dmKgPPL55QsFay8CM4ccbbJBmr2czpgX3&amp;_hsmi=71033675&amp;utm_source=hs_automation&amp;utm_content=71033675&amp;hsCtaTracking=2e94ebfc-d414-4389-870c-d2f266a9420b%7C587ac4dc-a49a-4bdc-b449-e36f5d95395b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</si>
  <si>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-97GtYVPWsKUdWUqnBtJ7Rkubr-Kl6xVB8F-ix6FC5eHjTjE-05el3crCemHnmVaYVcZl2d_NvCRcD0daBgR46Tg1e8ZQ%26_hsmi%3D71033828</t>
  </si>
  <si>
    <t>2721@anpasa.es</t>
  </si>
  <si>
    <t>2722@instalacionesyobrasdelrio.com</t>
  </si>
  <si>
    <t>https://resources.simonelectric.com/simon-ebook-vehiculo-electrico?utm_campaign=SIC%20-%20Veh%C3%ADculo%20El%C3%A9ctrico&amp;utm_source=hs_automation&amp;utm_medium=email&amp;utm_content=71033675&amp;_hsenc=p2ANqtz-9dtLNght82W4PM1_IM5lCqciZpmWiZa4VER9txMN2brW_2rdJkMLFFbNM1k7hi1X9012lp3_-Q3oYwB_RAvfpc56ljKdDl25GRhSOv8lGmkcWMvAM&amp;_hsmi=71033675</t>
  </si>
  <si>
    <t>2723@hotmail.com</t>
  </si>
  <si>
    <t>https://resources.simonelectric.com/simon-ebook-vehiculo-electrico-0?gclid=Cj0KCQiA-bjyBRCcARIsAFboWg0TVHuYgWTUDhHjZ-bZWT-wve6nfRMOpm-QVjtpT7wDbfiw2D7tUmsaAlgXEALw_wcB</t>
  </si>
  <si>
    <t>2724@gmeil.com</t>
  </si>
  <si>
    <t>2725@hotmail.com</t>
  </si>
  <si>
    <t>2726@sonepar.es</t>
  </si>
  <si>
    <t>2727@gruponovelec.com</t>
  </si>
  <si>
    <t>https://resources.simonelectric.com/simon-catalogo-vehiculo-electrico?__hstc=83084745.94def9047a244177735c8a61227fe9f6.1581499799508.1582035988991.1582192528036.4&amp;__hssc=83084745.7.1582192528036&amp;__hsfp=689805222</t>
  </si>
  <si>
    <t>https://resources.simonelectric.com/simon-ebook-vehiculo-electrico?utm_campaign=SIC%20-%20Veh%C3%ADculo%20El%C3%A9ctrico&amp;utm_source=hs_automation&amp;utm_medium=email&amp;utm_content=71033675&amp;_hsenc=p2ANqtz-81oxm78Y4vCtADit_b5WfLr_RQkcWOXaMAebxh_OgAmiKE0RGWV14uPhm2YIJNCcGJEJJ1ZoqL0Oe6Oxmp5M-BK4pf2w&amp;_hsmi=71033675</t>
  </si>
  <si>
    <t>https://resources.simonelectric.com/simon-ebook-vehiculo-electrico?utm_campaign=SIC%20-%20Veh%C3%ADculo%20El%C3%A9ctrico&amp;utm_source=hs_automation&amp;utm_medium=email&amp;utm_content=71033675&amp;_hsenc=p2ANqtz-_BShzVCQKg7lb_hj7K-UaAwk7ixPvtbSrzud4N83D2GiEihc5T99_PYW7rG3k3i_sJFOny5eUUyRHzc1r768qgWRCnRBirfHJr47B5jA4jaUYz5KE&amp;_hsmi=71033675</t>
  </si>
  <si>
    <t>2728@gmail.com</t>
  </si>
  <si>
    <t>https://resources.simonelectric.com/simon-ebook-vehiculo-electrico?utm_campaign=SIC%20-%20Veh%C3%ADculo%20El%C3%A9ctrico&amp;utm_medium=email&amp;_hsenc=p2ANqtz-9qPkrIbXDKDqC0K_dE3qoPMwxEzKBABN4uP9_832UtF-rZ2XfFiIdKPSL_UWzp9UZd6nyrnEkDauRyd_FGA48aOxtYRw&amp;_hsmi=71033675&amp;utm_source=hs_automation&amp;utm_content=71033675&amp;hsCtaTracking=2e94ebfc-d414-4389-870c-d2f266a9420b%7C587ac4dc-a49a-4bdc-b449-e36f5d95395b</t>
  </si>
  <si>
    <t>2729@hotmail.com</t>
  </si>
  <si>
    <t>2730@enzazaden.es</t>
  </si>
  <si>
    <t>https://resources.simonelectric.com/simon-catalogo-vehiculo-electrico?utm_campaign=SIC%20-%20Veh%C3%ADculo%20El%C3%A9ctrico&amp;utm_source=hs_automation&amp;utm_medium=email&amp;utm_content=71034014&amp;_hsenc=p2ANqtz--7ncRaNgZJwgmgkETjvM3CGMaKhSLYmkRtWrDQstvOkj4hhqqImQ26qbemYTcY5fhX1C1KJmPb43zKG_K_VglT8d3-uQ&amp;_hsmi=71034014</t>
  </si>
  <si>
    <t>2731@gmail.com</t>
  </si>
  <si>
    <t>2732@gmail.com</t>
  </si>
  <si>
    <t>2733@sigmaenginyers.es</t>
  </si>
  <si>
    <t>2734@gmail.com</t>
  </si>
  <si>
    <t>2735@gmail.com</t>
  </si>
  <si>
    <t>2736@gmail.com</t>
  </si>
  <si>
    <t>2737@gmail.com</t>
  </si>
  <si>
    <t>2738@conalepmex.edu.mx</t>
  </si>
  <si>
    <t>https://resources.simonelectric.com/simon-catalogo-vehiculo-electrico?__hstc=83084745.0b4b3fd47e114efb2c8af2e92ad9adf5.1582043403030.1582043403030.1582043403030.1&amp;__hssc=83084745.6.1582043403031&amp;__hsfp=1196594768</t>
  </si>
  <si>
    <t>2739@constructorasanjose.com</t>
  </si>
  <si>
    <t>https://resources.simonelectric.com/simon-catalogo-vehiculo-electrico?__hstc=83084745.a37519ff942b547007a8c467cfdbd180.1582041962561.1582041962562.1582041962562.1&amp;__hssc=83084745.1.1582041962563&amp;__hsfp=2854026282</t>
  </si>
  <si>
    <t>2740@gmail.com</t>
  </si>
  <si>
    <t>2741@cruzroja.es</t>
  </si>
  <si>
    <t>2742@mindual.com</t>
  </si>
  <si>
    <t>2743@itaipu.gov.py</t>
  </si>
  <si>
    <t>2744@simon.es</t>
  </si>
  <si>
    <t>https://resources.simonelectric.com/simon-catalogo-vehiculo-electrico?__hstc=83084745.5aeeac9cbe2b8f44d4bb1f39a13137ca.1580717913552.1581970563587.1582017506663.5&amp;__hssc=83084745.5.1582017506663&amp;__hsfp=1614285979</t>
  </si>
  <si>
    <t>2745@urbanresilience.eu</t>
  </si>
  <si>
    <t>2746@proinelec.com</t>
  </si>
  <si>
    <t>https://resources.simonelectric.com/simon-catalogo-vehiculo-electrico?__hstc=83084745.a3a5ee108e88e2c51be1182cb687b77e.1524895290852.1581961638067.1582008018069.20&amp;__hssc=83084745.2.1582008018069&amp;__hsfp=1614285979</t>
  </si>
  <si>
    <t>2747@gmail.com</t>
  </si>
  <si>
    <t>https://resources.simonelectric.com/simon-ebook-vehiculo-electrico?utm_referrer=https%3A%2F%2Fwww.simonelectric.com%2Fblog%2Fvehiculo-electrico-instalar-punto-de-recarga-en-garaje-comunitario%3Futm_campaign%3DSIC%2520-%2520Veh%25C3%25ADculo%2520El%25C3%25A9ctrico%26utm_source%3Dhs_automation%26utm_medium%3Demail%26utm_content%3D71033828%26_hsenc%3Dp2ANqtz-8LZI3jGTJ-Ge84AGjfTqmeZzTxMaS3NPn5VxQ9Yvpgut_4PuxxQPfl9x5dv4EzG9dQziJHNeejhTG4ucO1DscRFjMUgZRDrxOXelYYPfVceTbBSRU%26_hsmi%3D71033828</t>
  </si>
  <si>
    <t>2748@nitlux.es</t>
  </si>
  <si>
    <t>https://resources.simonelectric.com/simon-catalogo-vehiculo-electrico?__hstc=83084745.b590c4cfe0d136ba601633b6a08a7f7b.1575281645258.1580824520408.1581941677642.7&amp;__hssc=83084745.8.1581941677642&amp;__hsfp=1614285979</t>
  </si>
  <si>
    <t>2749@gmail.com</t>
  </si>
  <si>
    <t>2750@exavoltio.es</t>
  </si>
  <si>
    <t>https://resources.simonelectric.com/simon-ebook-vehiculo-electrico?utm_campaign=SIC%20-%20Veh%C3%ADculo%20El%C3%A9ctrico&amp;utm_medium=email&amp;_hsenc=p2ANqtz-9IMNR_VVZWabiHNaTBaKOzzh7zj3-xDQfUGzEaLOdjyHgJS8x2A14S-PXWLvLWidn1eYZoRH0utJhgblrOpRLO3n73Ng&amp;_hsmi=71033675&amp;utm_source=hs_automation&amp;utm_content=71033675&amp;hsCtaTracking=2e94ebfc-d414-4389-870c-d2f266a9420b%7C587ac4dc-a49a-4bdc-b449-e36f5d95395b</t>
  </si>
  <si>
    <t>2751@gruponovelec.com</t>
  </si>
  <si>
    <t>https://resources.simonelectric.com/simon-catalogo-vehiculo-electrico?utm_campaign=SIC%20-%20Veh%C3%ADculo%20El%C3%A9ctrico&amp;utm_source=hs_automation&amp;utm_medium=email&amp;utm_content=71034014&amp;_hsenc=p2ANqtz--EMEE1afvcUbnIjtYrFGVvMCjPpH0rLWlLX719nMkBN1X9QexM4YgkgLRmLXs4hdQ2OFCe7JGEzLxFb96sKsOhh-RePHTASdns4Z4CJGV5N653FZ8&amp;_hsmi=71034014</t>
  </si>
  <si>
    <t>2752@ingener.net</t>
  </si>
  <si>
    <t>https://resources.simonelectric.com/simon-catalogo-vehiculo-electrico?__hstc=83084745.ca45e3aa4b229be2d8c896e29e8005ec.1581930078384.1581930078384.1581930078384.1&amp;__hssc=83084745.5.1581930078385&amp;__hsfp=1614285979</t>
  </si>
  <si>
    <t>2753@aurialux.com</t>
  </si>
  <si>
    <t>https://resources.simonelectric.com/simon-ebook-vehiculo-electrico?utm_campaign=SIC%20-%20Veh%C3%ADculo%20El%C3%A9ctrico&amp;utm_medium=email&amp;_hsenc=p2ANqtz-_CBHoufARBCTZzqRodSIN7nl9svTJO548xf8W_xHyOu0u3hzhlxAwTptKAjHMfD9V7NZzNwqFUcMX9W3XQRTvYwTGjxFhgZPblMZV3OHl9IEvsuVI&amp;_hsmi=71033675&amp;utm_source=hs_automation&amp;utm_content=71033675&amp;hsCtaTracking=2e94ebfc-d414-4389-870c-d2f266a9420b%7C587ac4dc-a49a-4bdc-b449-e36f5d95395b</t>
  </si>
  <si>
    <t>2754@emgvlasrozas.org</t>
  </si>
  <si>
    <t>https://resources.simonelectric.com/simon-ebook-vehiculo-electrico-tw</t>
  </si>
  <si>
    <t>2755@gmail.com</t>
  </si>
  <si>
    <t>https://resources.simonelectric.com/simon-ebook-vehiculo-electrico?utm_campaign=SIC%20-%20Veh%C3%ADculo%20El%C3%A9ctrico&amp;utm_source=hs_automation&amp;utm_medium=email&amp;utm_content=71033675&amp;_hsenc=p2ANqtz--2SCXZ94mZwhmSeR8nhD0Y_v7H23Oz4PSuKrqCrDu7qDquEfG0_xhTzxkwN-PmFCzWfUrtVvEfdNXYS3GqlSvhOatsnfrnS1XsFNO8arZHL0v1HLY&amp;_hsmi=71033675</t>
  </si>
  <si>
    <t>https://resources.simonelectric.com/simon-ebook-vehiculo-electrico?utm_campaign=SIC%20-%20Veh%C3%ADculo%20El%C3%A9ctrico&amp;utm_source=hs_automation&amp;utm_medium=email&amp;utm_content=71033675&amp;_hsenc=p2ANqtz--whMziGoorlhCAQfB5isWpxUN30JMSGM7iwSNJi3l0iOBFufMCYjI7GLPKK9ecV_mkL1r6-rUM8BDrPVdsEbqw1gdiorMHSWus7g16NQUUcVDRSI0&amp;_hsmi=71033675</t>
  </si>
  <si>
    <t>2756@gmail.com</t>
  </si>
  <si>
    <t>2757@irradiaenergia.com</t>
  </si>
  <si>
    <t>2758@gmail.com</t>
  </si>
  <si>
    <t>2759@gmail.com</t>
  </si>
  <si>
    <t>2760@yahoo.es</t>
  </si>
  <si>
    <t>https://resources.simonelectric.com/simon-catalogo-vehiculo-electrico?utm_campaign=SIC%20-%20Veh%C3%ADculo%20El%C3%A9ctrico&amp;utm_source=hs_automation&amp;utm_medium=email&amp;utm_content=71034014&amp;_hsenc=p2ANqtz-9Q7Vu0arJqvuASqy4ncNzoOvyBUoLwaNAmgoP8uRE9aKZmG9dBrbGT71l08J0PZ8riuc-nAjDV_56SXKWgJKD5cMQ7hg&amp;_hsmi=71034014</t>
  </si>
  <si>
    <t>https://resources.simonelectric.com/simon-ebook-vehiculo-electrico?utm_campaign=SIC%20-%20Veh%C3%ADculo%20El%C3%A9ctrico&amp;utm_medium=email&amp;_hsenc=p2ANqtz--sj5kALN88ayZRrqaEFKIDldep7I9afL1BVjHZd6CS7y6HwbXGCqCcHNFyhGamyGi98eEhnqu9E2GWWY5JKCyW3E2yJQ&amp;_hsmi=71033675&amp;utm_source=hs_automation&amp;utm_content=71033675&amp;hsCtaTracking=2e94ebfc-d414-4389-870c-d2f266a9420b%7C587ac4dc-a49a-4bdc-b449-e36f5d95395b</t>
  </si>
  <si>
    <t>2761@stratum22.com</t>
  </si>
  <si>
    <t>https://resources.simonelectric.com/simon-catalogo-vehiculo-electrico?__hstc=83084745.56419e51c8206d2decd4f986d427c9ee.1581857873706.1581857873706.1581857873706.1&amp;__hssc=83084745.10.1581857873706&amp;__hsfp=1738955151</t>
  </si>
  <si>
    <t>2762@gmail.com</t>
  </si>
  <si>
    <t>2763@gmail.com</t>
  </si>
  <si>
    <t>2764@gmail.com</t>
  </si>
  <si>
    <t>2765@gmail.com</t>
  </si>
  <si>
    <t>https://resources.simonelectric.com/simon-catalogo-vehiculo-electrico?__hstc=83084745.8df1688fe81c45af34c7ab19f0550f4e.1581839108405.1581839108405.1581839108405.1&amp;__hssc=83084745.1.1581839108407&amp;__hsfp=2212516658</t>
  </si>
  <si>
    <t>2766@telefonica.net</t>
  </si>
  <si>
    <t>2767@gmail.com</t>
  </si>
  <si>
    <t>https://resources.simonelectric.com/simon-catalogo-vehiculo-electrico?__hstc=83084745.45f3031983d8d31044450c3f9de244f1.1581770756493.1581770756493.1581770756493.1&amp;__hssc=83084745.7.1581770756494&amp;__hsfp=1717524264</t>
  </si>
  <si>
    <t>2768@gmail.com</t>
  </si>
  <si>
    <t>2769@gmail.com</t>
  </si>
  <si>
    <t>2770@gmail.com</t>
  </si>
  <si>
    <t>2771@gmail.com</t>
  </si>
  <si>
    <t>2772@saltoki.es</t>
  </si>
  <si>
    <t>https://resources.simonelectric.com/simon-catalogo-vehiculo-electrico?utm_campaign=SIC%20-%20Veh%C3%ADculo%20El%C3%A9ctrico&amp;utm_source=hs_automation&amp;utm_medium=email&amp;utm_content=71034014&amp;_hsenc=p2ANqtz-_0rNoGVBdsadJ63xNvWhbRPdV2j6NkTEHG4Ku2KUpIJFPJXLeeWmO5hbPi3QurJo651hFtk3MvlKsbOLEYwBWorfhY0w&amp;_hsmi=71034014</t>
  </si>
  <si>
    <t>2773@energiaactiva.es</t>
  </si>
  <si>
    <t>2774@trensfm.com</t>
  </si>
  <si>
    <t>2775@gmail.com</t>
  </si>
  <si>
    <t>2776@pgiengineering.com</t>
  </si>
  <si>
    <t>https://resources.simonelectric.com/simon-catalogo-vehiculo-electrico?__hstc=83084745.a478b7eff9b482ba9b748b53efb164d0.1555073189453.1571311364492.1581676008175.8&amp;__hssc=83084745.1.1581676008175&amp;__hsfp=4057972507</t>
  </si>
  <si>
    <t>2777@huelva.es</t>
  </si>
  <si>
    <t>2778@empretelco.es</t>
  </si>
  <si>
    <t>https://resources.simonelectric.com/simon-catalogo-vehiculo-electrico?utm_campaign=SIC%20-%20Veh%C3%ADculo%20El%C3%A9ctrico&amp;utm_source=hs_automation&amp;utm_medium=email&amp;utm_content=71034014&amp;_hsenc=p2ANqtz-9XdFFd89RCBwqZz0aHjAkaHJtP4IV2L7bmiFbPFqm3Z5soUSrMr6NXBSW5urew2vytL__-LCWUAGP7Vlgd2dccFQ1aMA&amp;_hsmi=71034014</t>
  </si>
  <si>
    <t>2779@gmail.com</t>
  </si>
  <si>
    <t>https://resources.simonelectric.com/simon-catalogo-vehiculo-electrico?utm_campaign=SIC%20-%20Veh%C3%ADculo%20El%C3%A9ctrico&amp;utm_source=hs_automation&amp;utm_medium=email&amp;utm_content=71034014&amp;_hsenc=p2ANqtz--olf7TJSfwCH3saoTv2LnK-8pyKdStqoDTnbdY2FfbJMuw0q0nn9rEjiAdG-H-3nPWy6oR5uuhFrTvt770eX_rJOCGvw&amp;_hsmi=71034014</t>
  </si>
  <si>
    <t>2780@abcgrup.com</t>
  </si>
  <si>
    <t>2781@ahabana.co.cu</t>
  </si>
  <si>
    <t>2782@gmail.com</t>
  </si>
  <si>
    <t>2783@gmail.com</t>
  </si>
  <si>
    <t>2784@coac.net</t>
  </si>
  <si>
    <t>2785@climarubi.com</t>
  </si>
  <si>
    <t>2786@metromadrid.es</t>
  </si>
  <si>
    <t>2787@grupocematel.com</t>
  </si>
  <si>
    <t>2788@eurocabos.es</t>
  </si>
  <si>
    <t>https://resources.simonelectric.com/simon-ebook-vehiculo-electrico?utm_campaign=SIC%20-%20Veh%C3%ADculo%20El%C3%A9ctrico&amp;utm_source=hs_automation&amp;utm_medium=email&amp;utm_content=71033675&amp;_hsenc=p2ANqtz-_TjGjsyyjrRE7rCEPWlwd3yuTVCOs-7SLG37WAWZWDuHhq2dbHijotHSm8OAXyKSfXzTJwGxtAI-xzW6eQo58l9pNSSw&amp;_hsmi=71033675</t>
  </si>
  <si>
    <t>2789@telefonica.net</t>
  </si>
  <si>
    <t>2790@gmail.com</t>
  </si>
  <si>
    <t>2791@pickdata.net</t>
  </si>
  <si>
    <t>2792@ajcampos.org</t>
  </si>
  <si>
    <t>2793@gmail.com</t>
  </si>
  <si>
    <t>2794@efinetika.com</t>
  </si>
  <si>
    <t>2795@gmail.com</t>
  </si>
  <si>
    <t>2796@gmail.com</t>
  </si>
  <si>
    <t>2797@gmail.com</t>
  </si>
  <si>
    <t>2798@yahoo.es</t>
  </si>
  <si>
    <t>2799@oceanim.es</t>
  </si>
  <si>
    <t>2800@gmail.com</t>
  </si>
  <si>
    <t>2801@eei-ingenieria.com</t>
  </si>
  <si>
    <t>2802@gonzalezsme.com</t>
  </si>
  <si>
    <t>2803@rodriguezromeu.com</t>
  </si>
  <si>
    <t>https://resources.simonelectric.com/simon-ebook-vehiculo-electrico?utm_campaign=SIC%20-%20Veh%C3%ADculo%20El%C3%A9ctrico&amp;utm_source=hs_automation&amp;utm_medium=email&amp;utm_content=71033675&amp;_hsenc=p2ANqtz--BOpEWiTFxQI9yaSTxlk-aGUX5ggnuDR8NvCOaG3sgg4E0_GSIInZzvj5KGsB8M178uYHkXnw1i8zNGZHInRIRzHmsHRWBnFzsnUthRrH7G_iDnQA&amp;_hsmi=71033675</t>
  </si>
  <si>
    <t>2804@vtisl.com</t>
  </si>
  <si>
    <t>2805@gmail.com</t>
  </si>
  <si>
    <t>https://resources.simonelectric.com/simon-catalogo-vehiculo-electrico?__hstc=83084745.dbcdd5aaf943053a5618ce9b98d8b59e.1581317553260.1581317553260.1581349476941.2&amp;__hssc=83084745.3.1581349476941&amp;__hsfp=3296011490</t>
  </si>
  <si>
    <t>2806@jdingenieria.com</t>
  </si>
  <si>
    <t>2807@jhfsystemcrane.com</t>
  </si>
  <si>
    <t>2808@gmail.com</t>
  </si>
  <si>
    <t>https://resources.simonelectric.com/simon-catalogo-vehiculo-electrico?utm_campaign=SIC%20-%20Veh%C3%ADculo%20El%C3%A9ctrico&amp;utm_source=hs_automation&amp;utm_medium=email&amp;utm_content=71034014&amp;_hsenc=p2ANqtz-8uSQqzUIMFI879O964Z__gHCKuLVaWipAFxulNYoglThBcAOy0w9H6cEjLKdCpWK1ywkGZagvt_M7WnSKouJYcmnmjKA&amp;_hsmi=71034014</t>
  </si>
  <si>
    <t>2809@solerteselen.cat</t>
  </si>
  <si>
    <t>https://resources.simonelectric.com/simon-ebook-vehiculo-electrico?utm_campaign=SIC%20-%20Veh%C3%ADculo%20El%C3%A9ctrico&amp;utm_medium=email&amp;_hsenc=p2ANqtz-_bOcoy-OgCX1zuTWVEiEC9Sd8D9bShJEO8S_i2ZULqx2D3oyiwoHgbDNEgiAtdTTTLX11fAes6LqUI5NOBFIy_zPq2mg&amp;_hsmi=71033675&amp;utm_source=hs_automation&amp;utm_content=71033675&amp;hsCtaTracking=2e94ebfc-d414-4389-870c-d2f266a9420b%7C587ac4dc-a49a-4bdc-b449-e36f5d95395b</t>
  </si>
  <si>
    <t>2810@sensorstecnics.net</t>
  </si>
  <si>
    <t>2811@gmail.com</t>
  </si>
  <si>
    <t>https://resources.simonelectric.com/simon-ebook-vehiculo-electrico?utm_referrer=https%3A%2F%2Fwww.simonelectric.com%2Fblog%2Finstalacion-de-un-punto-de-recarga-para-un-coche-electrico%3Futm_source%3Dtwitter%26utm_medium%3Dsocial_ads%26utm_campaign%3Dvehiculo_electrico</t>
  </si>
  <si>
    <t>2812@martipala.com</t>
  </si>
  <si>
    <t>2813@gmail.com</t>
  </si>
  <si>
    <t>https://resources.simonelectric.com/simon-ebook-vehiculo-electrico?__hssc=83084745.1.1581260388828&amp;__hstc=83084745.967665d8bdad7cacc9929e1ed9f5b063.1581256138908.1581256138908.1581260388828.2&amp;__hsfp=2986513318&amp;hsCtaTracking=2e94ebfc-d414-4389-870c-d2f266a9420b%7C587ac4dc-a49a-4bdc-b449-e36f5d95395b</t>
  </si>
  <si>
    <t>2814@vitrosep.com</t>
  </si>
  <si>
    <t>2815@gmail.com</t>
  </si>
  <si>
    <t>2816@hotmail.com</t>
  </si>
  <si>
    <t>2817@hotmail.com</t>
  </si>
  <si>
    <t>2818@gmail.com</t>
  </si>
  <si>
    <t>https://resources.simonelectric.com/simon-catalogo-vehiculo-electrico?utm_campaign=SIC%20-%20Veh%C3%ADculo%20El%C3%A9ctrico&amp;utm_source=hs_automation&amp;utm_medium=email&amp;utm_content=71034014&amp;_hsenc=p2ANqtz-89AboYlwZ9X6y2JXqbsHvpZCBh7vY8cA4enCE67gKSe97AU45GoAK3M4xNdXYArQr5lHDqZnku3gkJivQKoF6TwfyrJw&amp;_hsmi=71034014</t>
  </si>
  <si>
    <t>https://resources.simonelectric.com/simon-catalogo-vehiculo-electrico?utm_campaign=SIC%20-%20Veh%C3%ADculo%20El%C3%A9ctrico&amp;utm_source=hs_automation&amp;utm_medium=email&amp;utm_content=71034014&amp;_hsenc=p2ANqtz-_kJi5SfliUNByrqIB-UBwVcLcGSuVtfq-FJhcYGOHMILnLDhgZRXAC3glct4x5doW1Rhcry-2dLj-u50oOHV-XrWSncA&amp;_hsmi=71034014</t>
  </si>
  <si>
    <t>2819@satydal.es</t>
  </si>
  <si>
    <t>https://resources.simonelectric.com/simon-catalogo-vehiculo-electrico?__hstc=83084745.280ca9f5c65eee3a9659405652ab9480.1581078224752.1581078224752.1581078224752.1&amp;__hssc=83084745.4.1581078224755&amp;__hsfp=1540626750</t>
  </si>
  <si>
    <t>2820@sanitariosbosco.es</t>
  </si>
  <si>
    <t>https://resources.simonelectric.com/simon-ebook-vehiculo-electrico?utm_campaign=SIC%20-%20Veh%C3%ADculo%20El%C3%A9ctrico&amp;utm_medium=email&amp;_hsenc=p2ANqtz-9MgZwYhLoI5TPM589r_S7rLdfVxJxBuzQbZF5molqJNYZaiwxrTMgKz400JESSopgJXa_4VqjAIN60OeHpxwVvknaw_Q&amp;_hsmi=71033675&amp;utm_source=hs_automation&amp;utm_content=71033675&amp;hsCtaTracking=2e94ebfc-d414-4389-870c-d2f266a9420b%7C587ac4dc-a49a-4bdc-b449-e36f5d95395b</t>
  </si>
  <si>
    <t>2821@gmail.com</t>
  </si>
  <si>
    <t>2822@gmail.com</t>
  </si>
  <si>
    <t>2823@mindual.com</t>
  </si>
  <si>
    <t>2824@gmail.com</t>
  </si>
  <si>
    <t>https://resources.simonelectric.com/simon-catalogo-vehiculo-electrico?__hstc=83084745.1774e341d4e6277bb68df8054409219c.1580994858273.1580994858273.1580994858273.1&amp;__hssc=83084745.5.1580994858274&amp;__hsfp=1388327447</t>
  </si>
  <si>
    <t>2825@gmail.com</t>
  </si>
  <si>
    <t>https://resources.simonelectric.com/simon-catalogo-vehiculo-electrico?__hstc=83084745.799d24d878f124cdabd73c88c4c84fdf.1571303286906.1580906989452.1580987071734.4&amp;__hssc=83084745.11.1580987071734&amp;__hsfp=2523309921</t>
  </si>
  <si>
    <t>2826@educacion.gob.es</t>
  </si>
  <si>
    <t>2827@soltecgrupo.es</t>
  </si>
  <si>
    <t>https://resources.simonelectric.com/simon-ebook-vehiculo-electrico?utm_campaign=SIC%20-%20Veh%C3%ADculo%20El%C3%A9ctrico&amp;utm_source=hs_automation&amp;utm_medium=email&amp;utm_content=71033675&amp;_hsenc=p2ANqtz--Ib2GRYX_GFRXu0SSEdIHnPY6aaZ3hdB8TcMtfZt6dovC8Nnyxts0HWOiIKVmvR9H0lW-TBm4lmtyMx1DXR9vVBbT0PQ&amp;_hsmi=71033675</t>
  </si>
  <si>
    <t>2828@coaatz.org</t>
  </si>
  <si>
    <t>https://resources.simonelectric.com/simon-ebook-vehiculo-electrico?utm_referrer=https%3A%2F%2Fwww.simonelectric.com%2Fblog%2Fvehiculo-electrico-instalar-punto-de-recarga-en-garaje-comunitario%3Futm_campaign%3DSIC%2520-%2520Veh%25C3%25ADculo%2520El%25C3%25A9ctrico%26utm_source%3Dhs_automation%26utm_medium%3Demail%26utm_content%3D71033828%26_hsenc%3Dp2ANqtz-8RoE--gqSlMIcL7WC0KzQuJxvWwt_3S69bJ538AeF6F-Jobs5UNjVyH2i_CvTpoSl8ucu6bFG9o2a3O2PK4KAA2BDnTg%26_hsmi%3D71033828</t>
  </si>
  <si>
    <t>2829@sindel.es</t>
  </si>
  <si>
    <t>https://resources.simonelectric.com/simon-ebook-vehiculo-electrico?utm_campaign=SIC%20-%20Veh%C3%ADculo%20El%C3%A9ctrico&amp;utm_medium=email&amp;_hsenc=p2ANqtz-_JsEdo4FJY3qG6RlfrXXQCPa2_sdYHvfIii_1S7uk8l2P4NbMD4NAJcwteUR1G_VFElUjwp7H2zaSvVu6wGIkPLZtGzg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</si>
  <si>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medium=email&amp;_hsenc=p2ANqtz--s1g3imrQOh13NH6CUKV-YpYQHwAt0w97OD2qTKZyQO56eVCrcnc6j5ajfENjVDjbaGegGlQVaNh3nAcFBz7d57TQvQQ&amp;_hsmi=71033675&amp;utm_source=hs_automation&amp;utm_content=71033675&amp;hsCtaTracking=2e94ebfc-d414-4389-870c-d2f266a9420b%7C587ac4dc-a49a-4bdc-b449-e36f5d95395b</t>
  </si>
  <si>
    <t>2830@mequintana.com</t>
  </si>
  <si>
    <t>2831@lantec.es</t>
  </si>
  <si>
    <t>https://resources.simonelectric.com/simon-catalogo-vehiculo-electrico?__hstc=83084745.b2c12b7d88ce5cff5a0fe5d5f3349bcc.1528795551580.1571728960493.1580927502850.14&amp;__hssc=83084745.5.1580927502850&amp;__hsfp=1348086788</t>
  </si>
  <si>
    <t>2832@energia.eiffage.es</t>
  </si>
  <si>
    <t>2833@inelsa.com</t>
  </si>
  <si>
    <t>2834@idom.com</t>
  </si>
  <si>
    <t>https://resources.simonelectric.com/simon-ebook-vehiculo-electrico?utm_campaign=SIC%20-%20Veh%C3%ADculo%20El%C3%A9ctrico&amp;utm_medium=email&amp;_hsenc=p2ANqtz-9AwPiWAoN6lJbXVAPlJ7lt5w62WvfDP8S6Feki6be1--4i5amDlpfHx54V6HTVAJxv5NRD-zBUdn1GP-c62eX1wYjHdVaFCfMnaw-B1LIXyjR2JFA&amp;utm_source=hs_email&amp;utm_content=71033675&amp;hsCtaTracking=2e94ebfc-d414-4389-870c-d2f266a9420b%7C587ac4dc-a49a-4bdc-b449-e36f5d95395b</t>
  </si>
  <si>
    <t>2835@idom.com</t>
  </si>
  <si>
    <t>2836@pgigrup.com</t>
  </si>
  <si>
    <t>2837@gmail.com</t>
  </si>
  <si>
    <t>2838@gmail.com</t>
  </si>
  <si>
    <t>2839@esprosa.es</t>
  </si>
  <si>
    <t>2840@onemons.es</t>
  </si>
  <si>
    <t>2841@blaudrive.com</t>
  </si>
  <si>
    <t>https://resources.simonelectric.com/simon-catalogo-vehiculo-electrico?__hstc=83084745.62051e47f89016cd1fe61d6f604cd8cd.1580560897759.1580589203194.1580816071900.4&amp;__hssc=83084745.1.1580816071900&amp;__hsfp=2783527544</t>
  </si>
  <si>
    <t>https://resources.simonelectric.com/simon-ebook-vehiculo-electrico?utm_referrer=https%3A%2F%2Fwww.simonelectric.com%2Fvehiculo-electrico%2Fsoluciones-recarga-interior</t>
  </si>
  <si>
    <t>2842@yahoo.es</t>
  </si>
  <si>
    <t>https://resources.simonelectric.com/simon-ebook-vehiculo-electrico?utm_campaign=SIC%20-%20Veh%C3%ADculo%20El%C3%A9ctrico&amp;utm_medium=email&amp;_hsenc=p2ANqtz-8eEZ6YVvt8adRyUKQQ_blFKYzsmxZYGCTcBN1MzJSPjJvPh7PeZCfwdu39NKZPC-utqkNVYnsRKhX38dYu2Zet8gprwg&amp;_hsmi=71033675&amp;utm_source=hs_automation&amp;utm_content=71033675&amp;hsCtaTracking=2e94ebfc-d414-4389-870c-d2f266a9420b%7C587ac4dc-a49a-4bdc-b449-e36f5d95395b</t>
  </si>
  <si>
    <t>2843@gmail.com</t>
  </si>
  <si>
    <t>https://resources.simonelectric.com/simon-ebook-vehiculo-electrico?utm_referrer=https%3A%2F%2Fwww.simonelectric.com%2Fblog%2Finstalacion-de-un-punto-de-recarga-para-un-coche-electrico</t>
  </si>
  <si>
    <t>2844@alamos.es</t>
  </si>
  <si>
    <t>2845@araiz.es</t>
  </si>
  <si>
    <t>2846@kubicat.com</t>
  </si>
  <si>
    <t>https://resources.simonelectric.com/simon-catalogo-vehiculo-electrico?__hstc=83084745.36600e93282338fea92d8704b284d61b.1580714850962.1580714850962.1580714850962.1&amp;__hssc=83084745.9.1580714850963&amp;__hsfp=867555951</t>
  </si>
  <si>
    <t>https://resources.simonelectric.com/simon-ebook-vehiculo-electrico?utm_campaign=SIC%20-%20Veh%C3%ADculo%20El%C3%A9ctrico&amp;utm_medium=email&amp;_hsenc=p2ANqtz-_Ak2YyOJ6yPgiG3xePtP5mtB3pvawkS7wMiTlmWGEY2nsvMpB_y4jOm5wBtMQWKSF5IKNFe0oO31uVlnRLArAKoG0PDg&amp;_hsmi=71033675&amp;utm_source=hs_automation&amp;utm_content=71033675&amp;hsCtaTracking=2e94ebfc-d414-4389-870c-d2f266a9420b%7C587ac4dc-a49a-4bdc-b449-e36f5d95395b</t>
  </si>
  <si>
    <t>2847@gmail.com</t>
  </si>
  <si>
    <t>2848@telefonica.net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</si>
  <si>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JxySm74u6aBQSwHf_k6th_y68BzkR8E1eTZL61m6XEF50RWHNKoE2IagtxxzFR0KPUCs8-NEBbFjaHn69_Z2eotA3qgryaUMmPC-der1KtHL3jZo%26_hsmi%3D81085387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</si>
  <si>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xIfdpJhhIql-ukiMjpA6DL2qfvrS5GHkXz77KHfpwtaa8NXS6UlKaZYPqu330cyVxccMvcpER7DkXS_0Z_SkJAfPznA%26_hsmi%3D81085387</t>
  </si>
  <si>
    <t>2849@gmail.com</t>
  </si>
  <si>
    <t>2850@hotmail.com</t>
  </si>
  <si>
    <t>https://resources.simonelectric.com/simon-ebook-vehiculo-electrico?utm_campaign=SIC%20-%20Veh%C3%ADculo%20El%C3%A9ctrico&amp;utm_medium=email&amp;_hsenc=p2ANqtz-8eWeT-vyKlrgj150iosOdgPqRQss3PM1vkUvDUlLwVTrrjIpoMthm7aWnLAPUz0sDkdaWSHp4qZVWORtSpb3jtsbEYKQ&amp;_hsmi=71033675&amp;utm_source=hs_automation&amp;utm_content=71033675&amp;hsCtaTracking=2e94ebfc-d414-4389-870c-d2f266a9420b%7C587ac4dc-a49a-4bdc-b449-e36f5d95395b</t>
  </si>
  <si>
    <t>2851@yahoo.es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</si>
  <si>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__IsqSxUSbqJFfzi3k6WmFPJgZDMvMh9ohHkEgh5wrJCdqo2EPoSnaqj4sTp3NlQdDscDGh9Ek6mJ3MBN3VdnHJrHmZAmK5QfTzY1OswD2B1po5zQ%26_hsmi%3D71033828</t>
  </si>
  <si>
    <t>2852@gmail.com</t>
  </si>
  <si>
    <t>2853@gmail.com</t>
  </si>
  <si>
    <t>2854@voltplus.es</t>
  </si>
  <si>
    <t>https://resources.simonelectric.com/simon-catalogo-vehiculo-electrico?__hstc=83084745.7eb67b02600a4beef2fcababe4e5a1e6.1580200645809.1580200645809.1580485557431.2&amp;__hssc=83084745.2.1580485557431&amp;__hsfp=68024908</t>
  </si>
  <si>
    <t>2855@trc.es</t>
  </si>
  <si>
    <t>2856@eurocabos.es</t>
  </si>
  <si>
    <t>2857@gmail.com</t>
  </si>
  <si>
    <t>2858@gmail.com</t>
  </si>
  <si>
    <t>2859@hotmail.com</t>
  </si>
  <si>
    <t>2860@soltecingenieros.com</t>
  </si>
  <si>
    <t>2861@live.com</t>
  </si>
  <si>
    <t>2862@gmail.com</t>
  </si>
  <si>
    <t>2863@hibrielectric.com</t>
  </si>
  <si>
    <t>2864@gmail.com</t>
  </si>
  <si>
    <t>2865@gadisel.com</t>
  </si>
  <si>
    <t>2866@hotmail.com</t>
  </si>
  <si>
    <t>2867@jqadvisors.com</t>
  </si>
  <si>
    <t>2868@cipfplacostera.com</t>
  </si>
  <si>
    <t>https://resources.simonelectric.com/simon-catalogo-vehiculo-electrico?utm_campaign=SIC%20-%20Veh%C3%ADculo%20El%C3%A9ctrico&amp;utm_source=hs_automation&amp;utm_medium=email&amp;utm_content=71034014&amp;_hsenc=p2ANqtz-8Ys3y1nWM0oZYs-gOLE6avykVpklxRPUHpb_gepcgP7ClFRuigxAgEn6x1dSqSiOKM681mPsu6BPjQnHK8TrMrAkZw5X9qGOu9IUQe81uwMVPfa9Q&amp;_hsmi=71034014</t>
  </si>
  <si>
    <t>2869@montajes-medyp.com</t>
  </si>
  <si>
    <t>https://resources.simonelectric.com/simon-catalogo-vehiculo-electrico?__hstc=83084745.e1f47b8a6ca22361e5490481a12fc5d2.1580120311312.1580199189318.1580207051182.4&amp;__hssc=83084745.2.1580207051182&amp;__hsfp=1348086788</t>
  </si>
  <si>
    <t>2870@yahoo.com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</si>
  <si>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-91ZdzbNmbNgzcds2dV0Z4OAO_LkGGm7IXMDerjnyS9g37B5qT_WU9ZQX99TegzAz038eNRwPvGH1ST7fdo-A881R7pzf7_Bl-ipIzYkz8ROzXzXOw%26_hsmi%3D81085386</t>
  </si>
  <si>
    <t>2871@assinsta.com</t>
  </si>
  <si>
    <t>2872@hotmail.com</t>
  </si>
  <si>
    <t>2873@gmail.com</t>
  </si>
  <si>
    <t>https://resources.simonelectric.com/simon-catalogo-vehiculo-electrico?utm_campaign=SIC%20-%20Veh%C3%ADculo%20El%C3%A9ctrico&amp;utm_source=hs_automation&amp;utm_medium=email&amp;utm_content=71034014&amp;_hsenc=p2ANqtz-8jfPLCGio7a5BCPCN3l9ow9AaFcH0jXbDeOh7Yp2-O_icZlX15PhQ6LUSsk91bK9AGIrsfr1SsIuast0ldzR7Pmz1ShA&amp;_hsmi=71034014</t>
  </si>
  <si>
    <t>2874@broa.net</t>
  </si>
  <si>
    <t>https://resources.simonelectric.com/simon-catalogo-vehiculo-electrico?__hstc=83084745.91e996feb81dc3018bff0901c8cc6030.1560186111034.1578384735426.1580118857959.8&amp;__hssc=83084745.8.1580118857959&amp;__hsfp=3019540099</t>
  </si>
  <si>
    <t>2875@ulper.es</t>
  </si>
  <si>
    <t>https://resources.simonelectric.com/simon-catalogo-vehiculo-electrico?utm_campaign=SIC%20-%20Veh%C3%ADculo%20El%C3%A9ctrico&amp;utm_source=hs_automation&amp;utm_medium=email&amp;utm_content=71034014&amp;_hsenc=p2ANqtz--SnfOllUwOLVkXKftxjc8iLk6MAZnjOPXQEpchoXZMQGBiPU1HVeMQAJCnEiTQeA7SGS1LuYpK7gTmHlJr3rgC9mWg7g&amp;_hsmi=71034014</t>
  </si>
  <si>
    <t>2876@gmail.com</t>
  </si>
  <si>
    <t>2877@gammasg.com</t>
  </si>
  <si>
    <t>https://resources.simonelectric.com/simon-catalogo-vehiculo-electrico?utm_campaign=SIC%20-%20Veh%C3%ADculo%20El%C3%A9ctrico&amp;utm_source=hs_automation&amp;utm_medium=email&amp;utm_content=71034014&amp;_hsenc=p2ANqtz-_BfHGLZN_8yUK29eJluayCew3vr7AeSRbN-DkURfBjXqQsYhYgYjkd7AD1yIJvM7iqw9iWBECJIq7V692eBWuPTlrJlg&amp;_hsmi=71034014</t>
  </si>
  <si>
    <t>2878@grupojab.es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</si>
  <si>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-HQGa61FSzOWG-4hIlFnpgU0k-TcYlDDDpCXUO60hjHWO42JyJI3io0KKbJzLrW5L-yRZmjb9s3WHmYuHxN8Mqk04inw%26_hsmi%3D71033828</t>
  </si>
  <si>
    <t>2879@hbalcells.com</t>
  </si>
  <si>
    <t>2880@alfasel.es</t>
  </si>
  <si>
    <t>https://resources.simonelectric.com/simon-catalogo-vehiculo-electrico?__hstc=83084745.57a7f2f76dcf6d3fca309eb6233192c1.1523963605348.1571295136481.1580067597413.13&amp;__hssc=83084745.13.1580067597413&amp;__hsfp=1931039041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</si>
  <si>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XHTrhK7WEPM2LcpmbldeJqhAAsV9vc2R7LYe-rnLcHj7r9MyJX5uMM9csyYiJTNo-ZSyJCipG51S82-Wcy1Jn6Wh1IA%26_hsmi%3D81085388</t>
  </si>
  <si>
    <t>https://resources.simonelectric.com/simon-catalogo-vehiculo-electrico?__hstc=83084745.96d43ea18144884016c288152563e6ad.1578744333062.1578744333062.1580033203668.2&amp;__hssc=83084745.4.1580033203668&amp;__hsfp=1931039041</t>
  </si>
  <si>
    <t>2881@hotmail.com</t>
  </si>
  <si>
    <t>2882@secorsa.com</t>
  </si>
  <si>
    <t>2883@acciona.com</t>
  </si>
  <si>
    <t>2884@gmail.com</t>
  </si>
  <si>
    <t>https://resources.simonelectric.com/simon-catalogo-vehiculo-electrico?utm_campaign=SIC%20-%20Veh%C3%ADculo%20El%C3%A9ctrico&amp;utm_source=hs_automation&amp;utm_medium=email&amp;utm_content=71034014&amp;_hsenc=p2ANqtz-_BMswoTbF91cCrM7oO5CwzLCIXISi2Ad4t9gTsfTzYCjIPE_mfoSfaLMneW-qnyunvRelvB3sp0Mt8dLiu-ipY7mdgDw&amp;_hsmi=71034014</t>
  </si>
  <si>
    <t>2885@instalacionessegura.es</t>
  </si>
  <si>
    <t>2886@construroura.es</t>
  </si>
  <si>
    <t>https://resources.simonelectric.com/simon-ebook-vehiculo-electrico?utm_campaign=SIC%20-%20Veh%C3%ADculo%20El%C3%A9ctrico&amp;utm_medium=email&amp;_hsenc=p2ANqtz--4lHh6Kedv84lQrVZf2O_Jj9bilVkprkxUNurlyRsWbsWaYAjbauqkSaWsxeeaBnSqSkZJGBlS8cMTXppHP1xpZJtJOQ&amp;_hsmi=71033675&amp;utm_source=hs_automation&amp;utm_content=71033675&amp;hsCtaTracking=2e94ebfc-d414-4389-870c-d2f266a9420b%7C587ac4dc-a49a-4bdc-b449-e36f5d95395b</t>
  </si>
  <si>
    <t>https://resources.simonelectric.com/simon-catalogo-vehiculo-electrico?__hstc=83084745.ed1a0bfc0f34643dae15fc205af27618.1579109481597.1579621222307.1579775585790.3&amp;__hssc=83084745.8.1579775585790&amp;__hsfp=1348086788</t>
  </si>
  <si>
    <t>2887@indasasl.es</t>
  </si>
  <si>
    <t>https://resources.simonelectric.com/simon-catalogo-vehiculo-electrico?__hstc=83084745.099d755616f7ea99823ba7d12f0db4d3.1579769502939.1579769502939.1579771454584.2&amp;__hssc=83084745.3.1579771454584&amp;__hsfp=3185171820</t>
  </si>
  <si>
    <t>2888@proalingenieros.com</t>
  </si>
  <si>
    <t>2889@eurocabos.es</t>
  </si>
  <si>
    <t>2890@edu.xunta.es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</si>
  <si>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TwuC_Ew8YPYWmv2Cj9XbVZCLuZ_qXISmTHEdXKBAl7QOeZzzupENIIszB2bt6s8ZPL0C1s1hdGYI4_30-kIJdhzFJqg%26_hsmi%3D81085386</t>
  </si>
  <si>
    <t>2891@ingenibo.com</t>
  </si>
  <si>
    <t>https://resources.simonelectric.com/simon-catalogo-vehiculo-electrico?__hstc=83084745.14c5d0a81889dda5f19b946480adc164.1570719498904.1577952469954.1579696950314.3&amp;__hssc=83084745.1.1579696950314&amp;__hsfp=3201754394</t>
  </si>
  <si>
    <t>2892@gmail.com</t>
  </si>
  <si>
    <t>2893@yahoo.com</t>
  </si>
  <si>
    <t>2894@me.com</t>
  </si>
  <si>
    <t>https://resources.simonelectric.com/simon-catalogo-vehiculo-electrico?__hstc=83084745.f00140edfded524cc439ccc9d9e1df44.1575569560527.1575569560527.1579623756623.2&amp;__hssc=83084745.5.1579623756623&amp;__hsfp=3788137526</t>
  </si>
  <si>
    <t>2895@mundoled.net</t>
  </si>
  <si>
    <t>2896@energia.eiffage.es</t>
  </si>
  <si>
    <t>2897@radytel.com</t>
  </si>
  <si>
    <t>2898@simon.es</t>
  </si>
  <si>
    <t>https://resources.simonelectric.com/simon-catalogo-vehiculo-electrico?__hstc=83084745.7708de786207023c911d3d0c2ad66c6c.1549357013168.1579522373480.1579597201832.35&amp;__hssc=83084745.3.1579597201832&amp;__hsfp=3019540099</t>
  </si>
  <si>
    <t>2899@gmail.com</t>
  </si>
  <si>
    <t>2900@hotmail.com</t>
  </si>
  <si>
    <t>2901@eneroptim.es</t>
  </si>
  <si>
    <t>https://resources.simonelectric.com/simon-ebook-vehiculo-electrico?utm_campaign=SIC%20-%20Veh%C3%ADculo%20El%C3%A9ctrico&amp;utm_source=hs_automation&amp;utm_medium=email&amp;utm_content=71033675&amp;_hsenc=p2ANqtz-9eu6hrnSbxF0wJGi98S2gkRhaE36SlNyPmg_gLq8XXljl0RkHnfNplYvIZjn1FYgyt7yw0nxxqiRkGRPHnw37mXIt0bw&amp;_hsmi=71033675</t>
  </si>
  <si>
    <t>2902@gmail.com</t>
  </si>
  <si>
    <t>https://resources.simonelectric.com/simon-ebook-vehiculo-electrico?utm_campaign=SIC%20-%20Veh%C3%ADculo%20El%C3%A9ctrico&amp;utm_medium=email&amp;_hsenc=p2ANqtz--VOW0Hket3BUt9wQ4BaroWbDfV9P1BNuHs07uEAlnNLc6MicfPl7Hl36pNZa1I0nDPaVZvUILOrMh-44yzTLrao4C8CA&amp;_hsmi=71033675&amp;utm_source=hs_automation&amp;utm_content=71033675&amp;hsCtaTracking=2e94ebfc-d414-4389-870c-d2f266a9420b%7C587ac4dc-a49a-4bdc-b449-e36f5d95395b</t>
  </si>
  <si>
    <t>https://resources.simonelectric.com/simon-catalogo-vehiculo-electrico?utm_campaign=SIC%20-%20Veh%C3%ADculo%20El%C3%A9ctrico&amp;utm_source=hs_automation&amp;utm_medium=email&amp;utm_content=71034014&amp;_hsenc=p2ANqtz-8V1OXEpTguYCxESY5m89I7EAPJyofHdvAvJ2ymEm9Bb-eP3bachvBVqLVagHG66lLXLA_KWHZAw5FtkOMNrWs2H7h3tA&amp;_hsmi=71034014</t>
  </si>
  <si>
    <t>https://resources.simonelectric.com/simon-ebook-vehiculo-electrico?utm_referrer=https%3A%2F%2Fwww.simonelectric.com%2Fblog%2Fel-vehiculo-electrico-elementos-principales-y-funcionamiento%3Futm_campaign%3DSIC%2520-%2520Veh%25C3%25ADculo%2520El%25C3%25A9ctrico%26utm_source%3Dhs_automation%26utm_medium%3Demail%26utm_content%3D71033996%26_hsenc%3Dp2ANqtz-8eIvXtXw2GTSPhmkztSWFtPirjjkOIcnwMkjt78OA-v2ChINoxlEkEXgLWuO3eB9eo4e-zz1mQS7Tz4G7aReIEWXhzyioBui29Uon3j66ooY0d1bk%26_hsmi%3D71033996</t>
  </si>
  <si>
    <t>2903@estudioelan.com</t>
  </si>
  <si>
    <t>https://resources.simonelectric.com/simon-ebook-vehiculo-electrico?utm_referrer=https%3A%2F%2Fwww.simonelectric.com%2Fblog%2Finstalacion-de-un-punto-de-recarga-para-un-coche-electrico%3Futm_campaign%3DSIC%2520-%2520Blog%2520digest%26utm_source%3Dhs_email%26utm_medium%3Demail%26utm_content%3D73091991%26_hsenc%3Dp2ANqtz-9-JeHgeQKS4BGvZzLKLt1NAmXutsXwHXP_wGwqjqV8LzFpZBR4PN5-Yrl8EXJu5XnsHS4dbpOjZLIGtNx9j4iAk64G7w%26_hsmi%3D73091991</t>
  </si>
  <si>
    <t>2904@gmail.com</t>
  </si>
  <si>
    <t>2905@atoms.cat</t>
  </si>
  <si>
    <t>2906@comb.cat</t>
  </si>
  <si>
    <t>https://resources.simonelectric.com/simon-ebook-vehiculo-electrico?utm_campaign=SIC%20-%20Veh%C3%ADculo%20El%C3%A9ctrico&amp;utm_medium=email&amp;_hsenc=p2ANqtz--ao7dX1r2p9jm79WVxeXT6_faIJtLzCbx-hIjsCNwE9EAvru9uckjJgF9jY8Mv7tXiR2QczhakBwraDj2wR_RtouPRZZciURYClhGtTq2vE2CF1Es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</si>
  <si>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medium=email&amp;_hsenc=p2ANqtz-_M8jgG5OqwtHt69Dcg6MFbPFT1yZsyGpEcFEXR04kfx7mj3okq0D0g25P5kf7zP0pbZpvh0lsNZbKipKtdyXzltjsDHpN1ZqIuxTlrtC0bdH-TjVI&amp;_hsmi=71033675&amp;utm_source=hs_automation&amp;utm_content=71033675&amp;hsCtaTracking=2e94ebfc-d414-4389-870c-d2f266a9420b%7C587ac4dc-a49a-4bdc-b449-e36f5d95395b</t>
  </si>
  <si>
    <t>2907@generaeficiencia.com</t>
  </si>
  <si>
    <t>https://resources.simonelectric.com/simon-catalogo-vehiculo-electrico?__hstc=83084745.3f76bfe01db6180760334ba7d8fb8a2f.1579263277485.1579263277485.1579263277485.1&amp;__hssc=83084745.3.1579263277485&amp;__hsfp=1830652789</t>
  </si>
  <si>
    <t>2908@esplugues.cat</t>
  </si>
  <si>
    <t>https://resources.simonelectric.com/simon-catalogo-vehiculo-electrico?utm_campaign=SIC%20-%20Veh%C3%ADculo%20El%C3%A9ctrico&amp;utm_source=hs_automation&amp;utm_medium=email&amp;utm_content=71034014&amp;_hsenc=p2ANqtz--9aa7iXhsQY7j8YQU2EWN2GANPzJEpw4qdgJUTXGu2SWoHRCoR94f2J8JeoWHpbFBt1TUkQ1Cy7YFvlRl5Y05XJFy9fg&amp;_hsmi=71034014</t>
  </si>
  <si>
    <t>2909@ekoleds.com</t>
  </si>
  <si>
    <t>2910@syocsa-inarsa.es</t>
  </si>
  <si>
    <t>2911@grupocobra.com</t>
  </si>
  <si>
    <t>https://resources.simonelectric.com/simon-catalogo-vehiculo-electrico?__hstc=83084745.0504c49c9dd0d61d85448adbbee8cf9c.1579175350985.1579175350985.1579175350985.1&amp;__hssc=83084745.5.1579175350985&amp;__hsfp=4198672045</t>
  </si>
  <si>
    <t>2912@essatel.es</t>
  </si>
  <si>
    <t>2913@gmail.com</t>
  </si>
  <si>
    <t>https://resources.simonelectric.com/simon-catalogo-vehiculo-electrico?utm_campaign=SIC%20-%20Veh%C3%ADculo%20El%C3%A9ctrico&amp;utm_source=hs_email&amp;utm_medium=email&amp;utm_content=71034014&amp;_hsenc=p2ANqtz-_LmK-zGROrEKdDwJMzZUFm3n3Prh7FUDhTBhDTxwcfBpn5HjL5TTZPSdHit3qZVNFImPTmUAeBnSqGVSfeNrwtUfZe5A</t>
  </si>
  <si>
    <t>2914@aldaproyectos.es</t>
  </si>
  <si>
    <t>https://resources.simonelectric.com/simon-ebook-vehiculo-electrico?utm_campaign=SIC%20-%20Veh%C3%ADculo%20El%C3%A9ctrico&amp;utm_source=hs_automation&amp;utm_medium=email&amp;utm_content=71033675&amp;_hsenc=p2ANqtz-8CO5ayUgOXjCFMTkfmHC9tL7yRwdlPo90vkFLhVJ_20XtJpLuWtJA7mFYG2Jje9r6irpEmTMNyJyYjzp3qp3YOsJBFmeW5_urOFP3YUKBHwXavEq0&amp;_hsmi=71033675</t>
  </si>
  <si>
    <t>2915@crescencioperez.com</t>
  </si>
  <si>
    <t>2916@diazrojo.com</t>
  </si>
  <si>
    <t>2917@mastercentella.com</t>
  </si>
  <si>
    <t>https://resources.simonelectric.com/simon-catalogo-vehiculo-electrico?__hstc=83084745.fa788d897a09934af11c7d27888da9d3.1579102794232.1579102794232.1579102794232.1&amp;__hssc=83084745.6.1579102794233&amp;__hsfp=1830652789</t>
  </si>
  <si>
    <t>2918@gmail.com</t>
  </si>
  <si>
    <t>https://resources.simonelectric.com/simon-catalogo-vehiculo-electrico?utm_campaign=SIC%20-%20Veh%C3%ADculo%20El%C3%A9ctrico&amp;utm_source=hs_automation&amp;utm_medium=email&amp;utm_content=71034014&amp;_hsenc=p2ANqtz-_cpcTuMuce6mYEKQW_cUDDT6B99QOd7X__OvarhSQFRggl8FZMiJUm2tvhAvXFvLQKx6DlSNwPtjYrgsycJwIC-j7zYA&amp;_hsmi=71034014</t>
  </si>
  <si>
    <t>https://resources.simonelectric.com/simon-ebook-vehiculo-electrico?utm_campaign=SIC%20-%20Veh%C3%ADculo%20El%C3%A9ctrico&amp;utm_medium=email&amp;_hsenc=p2ANqtz--Px_RyGETYGpxjDYM37zT2SBHRCabYWaWu9i1qhVGhb1cE8Ah6QlhdOjBvChOv7z-gDL_zo8X6sH4h77SR-9cVvookxA&amp;_hsmi=71033675&amp;utm_source=hs_automation&amp;utm_content=71033675&amp;hsCtaTracking=2e94ebfc-d414-4389-870c-d2f266a9420b%7C587ac4dc-a49a-4bdc-b449-e36f5d95395b</t>
  </si>
  <si>
    <t>2919@gmail.com</t>
  </si>
  <si>
    <t>2920@prodelectric.es</t>
  </si>
  <si>
    <t>2921@hotmail.com</t>
  </si>
  <si>
    <t>https://resources.simonelectric.com/simon-catalogo-vehiculo-electrico?__hstc=83084745.02dc77bd7a00edf9cce8adc57aff575f.1579015266603.1579015266603.1579015266603.1&amp;__hssc=83084745.11.1579015266603&amp;__hsfp=1062041132</t>
  </si>
  <si>
    <t>https://resources.simonelectric.com/simon-catalogo-vehiculo-electrico?__hstc=83084745.d0f2f20768b6767a65a2e69c28ceb7b3.1577690708226.1578943730302.1579002219777.3&amp;__hssc=83084745.2.1579002219777&amp;__hsfp=1830652789</t>
  </si>
  <si>
    <t>2922@tecnicanorte.com</t>
  </si>
  <si>
    <t>https://resources.simonelectric.com/simon-catalogo-vehiculo-electrico?utm_campaign=SIC%20-%20Veh%C3%ADculo%20El%C3%A9ctrico&amp;utm_source=hs_automation&amp;utm_medium=email&amp;utm_content=71034014&amp;_hsenc=p2ANqtz-8S2T6vTfrS3ZjzLlc7g9ntC5LWnDNKhX-DAu346cmliYaZf5YzgOgji-YLvMr2vO123-HvMUhgO7dzujPeOxzW-y8lqUpgD7PUIDEkl6PEqQw7Xvg&amp;_hsmi=71034014</t>
  </si>
  <si>
    <t>2923@gmail.com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</si>
  <si>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-9LxV3pxIIOdTq53cHU3QZGwNNXpMiGgmn2Conhq0exmTON9DsdWGgtGRCf5CSoZqNhM0jFA8PlWe41W4BuGF45mlLUQsS6-DIb7Q8lvsqEJBB2Tpw%26_hsmi%3D71033828</t>
  </si>
  <si>
    <t>2924@gmail.com</t>
  </si>
  <si>
    <t>2925@gmail.com</t>
  </si>
  <si>
    <t>https://resources.simonelectric.com/simon-catalogo-vehiculo-electrico?utm_campaign=SIC%20-%20Veh%C3%ADculo%20El%C3%A9ctrico&amp;utm_source=hs_automation&amp;utm_medium=email&amp;utm_content=71034014&amp;_hsenc=p2ANqtz--GSssjJe-PTAJvWWVQ2myrIdbfOybeAq36iiUq8XTM9Ten0poopLXaZu6cj6VTLolEHgh4WOJLn7tDZ9RZJjmGa4NNVw&amp;_hsmi=71034014</t>
  </si>
  <si>
    <t>2926@elherco.com</t>
  </si>
  <si>
    <t>https://resources.simonelectric.com/simon-ebook-vehiculo-electrico?utm_campaign=SIC%20-%20Veh%C3%ADculo%20El%C3%A9ctrico&amp;utm_medium=email&amp;_hsenc=p2ANqtz--UAIjjg2jogN1DZqUHNEMLhXzMSAlU_CTnfBVNLD6kAxy2JuImJbl9lMr5tpVFGjwEK2rjRZFiTvzJA7rapS0ly97WbA&amp;_hsmi=71033675&amp;utm_source=hs_automation&amp;utm_content=71033675&amp;hsCtaTracking=2e94ebfc-d414-4389-870c-d2f266a9420b%7C587ac4dc-a49a-4bdc-b449-e36f5d95395b</t>
  </si>
  <si>
    <t>https://resources.simonelectric.com/simon-catalogo-vehiculo-electrico?utm_campaign=SIC%20-%20Veh%C3%ADculo%20El%C3%A9ctrico&amp;utm_source=hs_automation&amp;utm_medium=email&amp;utm_content=71034014&amp;_hsenc=p2ANqtz--Yek3ogx2zFOj18Lvt2pqNBto7HP_7sDBiF6DBQc1ikqojTE3LgSPBWCAedZ-deYOhVrkrt_4sYbHKQeH8Qghmq-inEw&amp;_hsmi=71034014</t>
  </si>
  <si>
    <t>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-8bOh9TgDAYUDFQGrCw5-4cMvbZPocnwTftRZfwB_b-0wLsCGzENOvnaDpZBMGHQExAl1svTlRDgKXiETFR_8Goycydyg%26_hsmi%3D71033828</t>
  </si>
  <si>
    <t>https://resources.simonelectric.com/simon-catalogo-vehiculo-electrico?utm_campaign=SIC%20-%20Veh%C3%ADculo%20El%C3%A9ctrico&amp;utm_source=hs_automation&amp;utm_medium=email&amp;utm_content=71034014&amp;_hsenc=p2ANqtz--Q2Qokb83pAeFem1h7fS4J3OzKSwIuSJ7j8F799l5mML2ZogoWXj9oNj3R_e4QdfCCepyO-VPD9c0EK4yC7YY_3NGM4A&amp;_hsmi=71034014</t>
  </si>
  <si>
    <t>2927@interflex.es</t>
  </si>
  <si>
    <t>2928@simon.es</t>
  </si>
  <si>
    <t>https://resources.simonelectric.com/simon-ebook-vehiculo-electrico?utm_campaign=SIC%20-%20Veh%C3%ADculo%20El%C3%A9ctrico&amp;utm_medium=email&amp;_hsenc=p2ANqtz-_qDFI6TuE-tujWchZ3HSxGEoSmtSfw-dm4mG04r9oii_yzOa0D2xFjQMqwkOz1ffkr6grphuoqMkzbwZ-EWSiG94FuCyTB9hm0TdyJZv-J9OJ_Gtw&amp;_hsmi=71033675&amp;utm_source=hs_automation&amp;utm_content=71033675&amp;hsCtaTracking=2e94ebfc-d414-4389-870c-d2f266a9420b%7C587ac4dc-a49a-4bdc-b449-e36f5d95395b</t>
  </si>
  <si>
    <t>2929@baurenginyers.cat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</si>
  <si>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-55nAHvlE-cqF3g2barEGlhp-VCSzvjtZOMnx9dt93dBFo-hWHvMcY0uIHdS9SrS79iDqRYoLYeZn-zFbCXmE_LZRB9Q%26_hsmi%3D81085387</t>
  </si>
  <si>
    <t>3292@movistar.es</t>
  </si>
  <si>
    <t>3297@hotmail.com</t>
  </si>
  <si>
    <t>2930@hotmail.com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</si>
  <si>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-30nPeaDwimaosN3yk9RjlKRq0hbPKArCXFV_HzseGGUCNYfZOYKNOmml0hw7WcHuWekvX7bxTRE9ISmqlx7bh7SRjkg%26_hsmi%3D81085386</t>
  </si>
  <si>
    <t>2931@telefonica.net</t>
  </si>
  <si>
    <t>https://resources.simonelectric.com/simon-ebook-vehiculo-electrico?utm_campaign=SIC%20-%20Veh%C3%ADculo%20El%C3%A9ctrico&amp;utm_medium=email&amp;_hsenc=p2ANqtz-9VgWsKM2wn4MQQ2FKEknU72ap3s6gzpDa59wjl4d5NbtLhE6mlvMADyvERDak7MD-L2ONa6QCVs0UJo1_DheeG90OOCg&amp;_hsmi=67858848&amp;utm_source=hs_automation&amp;utm_content=67858848&amp;hsCtaTracking=4ffb3aa1-677f-463b-8339-fc65a1da68db%7C5790d3b1-fbc3-4c32-a016-744222ad1cdc</t>
  </si>
  <si>
    <t>2932@soldeser.com</t>
  </si>
  <si>
    <t>2933@agenex.org</t>
  </si>
  <si>
    <t>2934@gruponovelec.com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</si>
  <si>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y7rrKLiVviYbuhDnm8ZQu0V0gBosYEZC1jYIpJG4MU0EcWXbva-X8aJJJIlv2i9QWrha5z-T0UvDn2ff6LpD7QNc4WQ%26_hsmi%3D81085386</t>
  </si>
  <si>
    <t>2935@hotellosllanos.es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</si>
  <si>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scPBTujNm8cSidlNMBhiwXupvVmIeBu_ojw6PXGNY6L6HIl1iK8a94qORDLZLxZbiQek9KT8UzvygdCLE7-fqFERrvw%26_hsmi%3D81085388</t>
  </si>
  <si>
    <t>2936@gmail.com</t>
  </si>
  <si>
    <t>https://resources.simonelectric.com/simon-ebook-vehiculo-electrico?utm_campaign=SIC%20-%20Veh%C3%ADculo%20El%C3%A9ctrico&amp;utm_source=hs_automation&amp;utm_medium=email&amp;utm_content=71033675&amp;_hsenc=p2ANqtz-8gw158dNrAIC0szl7kgU5xI8WT9OO_xCJgXsmOpfCRgImF5a6TNsZPSqqUZ7wXpN-oQdhyQh8GD4r1vJAb1FqiqnX4rA&amp;_hsmi=71033675</t>
  </si>
  <si>
    <t>2937@gmail.com</t>
  </si>
  <si>
    <t>2938@inemesa.com</t>
  </si>
  <si>
    <t>2939@oscarcaselles.com</t>
  </si>
  <si>
    <t>2940@xtec.cat</t>
  </si>
  <si>
    <t>https://resources.simonelectric.com/simon-catalogo-vehiculo-electrico?__hstc=83084745.bf0bfb7ae8c7370a1b3e64936989eb01.1575476676296.1575476676296.1578505016208.2&amp;__hssc=83084745.3.1578505016208&amp;__hsfp=203081590</t>
  </si>
  <si>
    <t>2941@gmail.com</t>
  </si>
  <si>
    <t>2942@ragaluz.com</t>
  </si>
  <si>
    <t>2943@agaeng.es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</si>
  <si>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YFTuxfrJflcmuRGCZQ9A8NjGwpppf34heGnSyHUW5jnr-vHvoMJ7g6N7wybmHwfAnC0nsyNINby1hDhIIVOKSiEDdgA%26_hsmi%3D81085388</t>
  </si>
  <si>
    <t>2944@prysmiangroup.com</t>
  </si>
  <si>
    <t>2945@gmail.com</t>
  </si>
  <si>
    <t>https://resources.simonelectric.com/simon-ebook-vehiculo-electrico?utm_campaign=SIC%20-%20Veh%C3%ADculo%20El%C3%A9ctrico&amp;utm_medium=email&amp;_hsenc=p2ANqtz-9eqocGKdYLctUBSCyfAJHfa-nQD0cB7ZkT8R76_aCRCxuIiGEfnu48wG9EOqgWCfanE6bZp_JGP_rVEUa4LeP2bTPtHplmVgMCxD5IXKsymONdH-w&amp;_hsmi=71033675&amp;utm_source=hs_automation&amp;utm_content=71033675&amp;hsCtaTracking=2e94ebfc-d414-4389-870c-d2f266a9420b%7C587ac4dc-a49a-4bdc-b449-e36f5d95395b</t>
  </si>
  <si>
    <t>2946@gmail.com</t>
  </si>
  <si>
    <t>https://resources.simonelectric.com/simon-ebook-vehiculo-electrico?utm_campaign=SIC%20-%20Veh%C3%ADculo%20El%C3%A9ctrico&amp;utm_source=hs_automation&amp;utm_medium=email&amp;utm_content=71033675&amp;_hsenc=p2ANqtz-9Qj4oL56FErXutz-HVSe0kPO3j26TXgYSrh8bg-4Cxsuc8kqCVCQycX0weLu9k2up9nJsueNqeAjqP8zCONUBS0S7aUA&amp;_hsmi=71033675</t>
  </si>
  <si>
    <t>2947@gmail.com</t>
  </si>
  <si>
    <t>https://resources.simonelectric.com/simon-catalogo-vehiculo-electrico?__hstc=83084745.22c73eec21c62db005503c9add9af7d2.1554207582614.1578393385798.1578396373653.147&amp;__hssc=83084745.6.1578396373653&amp;__hsfp=166097190</t>
  </si>
  <si>
    <t>2948@gmail.com</t>
  </si>
  <si>
    <t>2949@ignasiconillas.com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</si>
  <si>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gvKeIORPY1z3rUN0oI5vu0b0b09kpaqASN5oLESPLCPX4Jwn2ZNl5rI81PejrTOuHk0LbuF9AZHtleMzAtRUa7PPGug%26_hsmi%3D81085386</t>
  </si>
  <si>
    <t>2950@telematel.com</t>
  </si>
  <si>
    <t>https://resources.simonelectric.com/simon-ebook-vehiculo-electrico?utm_referrer=https%3A%2F%2Fwww.simonelectric.com%2Fblog%2Finstalacion-de-un-punto-de-recarga-para-un-coche-electrico%3Futm_medium%3Dppc%26utm_source%3Dtwitterads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</si>
  <si>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L-MvPYa_6l8H9KmSeSaWSnaTcBzp1ad29uYdTrI-bMQVjr74bCaumy9I5XwkASRS22SQ6XoYbpDn95kxRvvcZFH5HNg%26_hsmi%3D81085387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</si>
  <si>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uwcAs0J6abWfM9_U9EttMxTNC3KNYcvVAPMYjaQnHT-ATBTKS3jUOb_th7f01GzcjvAZg-D8RErHfS6qjajPUG6oFMg%26_hsmi%3D81085387</t>
  </si>
  <si>
    <t>2951@telman.es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</si>
  <si>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Pxp73IE3odc-7SUaJ4_l6PHysv56OSTlh9rbwPQYrBaUn0LLKOaFC2Dx1Ere_S1XwiTUYOQ4wMSc5aNVUR0zs7t0dWw%26_hsmi%3D81085386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</si>
  <si>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ryR_tQ8X-tq6dngaxHAvoTZGWLBLsiiKO13ZiOCyaq0FC4wy1z43FOvDLgNts8dHQ6obFhHIgOTzH2LMWif_12VTvyw%26_hsmi%3D81085386</t>
  </si>
  <si>
    <t>https://resources.simonelectric.com/simon-ebook-vehiculo-electrico?utm_campaign=SIC%20-%20Veh%C3%ADculo%20El%C3%A9ctrico&amp;utm_source=hs_automation&amp;utm_medium=email&amp;utm_content=71033675&amp;_hsenc=p2ANqtz-_RdoOcpMOtd0jen21sisQDXMZXM61MUT_1XkSaSgOhx3kVugEY0-jpLvqCmoFV3Apq25Z3gmJ44FjbNUmf_fQYkOLWng&amp;_hsmi=71033675</t>
  </si>
  <si>
    <t>2952@catrisse.net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</si>
  <si>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-1n2j2C5OSJg9Jj1tfved38mgcb4QNDl941MO0csu2DJQvwX0WvLMmRkxp4bPM5VtOPHPlgbSWte0rrGeOJQOvXjN_lg%26_hsmi%3D81085388</t>
  </si>
  <si>
    <t>2953@sinophosgroup.com</t>
  </si>
  <si>
    <t>2954@gmail.com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</si>
  <si>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-96QwUjsoTJb62oB-CNVFv_CIJ9xObBz5YeS4P7ewQXv-ET1Ibo6h0wbMEgGlmrPDWWkCggWA2bAgf-09pU_ldxLcb3OWRqyMj-Mie2LI2V3zGYNaI%26_hsmi%3D81085388</t>
  </si>
  <si>
    <t>2955@imamagnets.com</t>
  </si>
  <si>
    <t>2956@engie.com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</si>
  <si>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-8gMrPzXphp0u1g-jwaU1t8xvlCZ0-02w-owa39pgiuFy-9hkdkAVs5QjMpAiAs8YRZcMIY-StD_4IHMen9RdTFew3Qg%26_hsmi%3D81085386</t>
  </si>
  <si>
    <t>2957@doladoingenieria.es</t>
  </si>
  <si>
    <t>https://resources.simonelectric.com/simon-ebook-vehiculo-electrico?utm_campaign=SIC%20-%20Veh%C3%ADculo%20El%C3%A9ctrico&amp;utm_medium=email&amp;_hsenc=p2ANqtz-8w0VRI73dZXsonpYFY20gK8wrEDApQ6qe8tgQHiST9AMEvoJZYbuqYNc-dbGvxzuUszN3HueMEpPjN7vondCSxVwwNgN6u-0_bLM89OWVQVM_UI3g&amp;_hsmi=71033675&amp;utm_source=hs_automation&amp;utm_content=71033675&amp;hsCtaTracking=2e94ebfc-d414-4389-870c-d2f266a9420b%7C587ac4dc-a49a-4bdc-b449-e36f5d95395b</t>
  </si>
  <si>
    <t>https://resources.simonelectric.com/simon-ebook-vehiculo-electrico?utm_campaign=SIC%20-%20Veh%C3%ADculo%20El%C3%A9ctrico&amp;utm_medium=email&amp;_hsenc=p2ANqtz--I3G2YfJICshtJs5Pyn-QCNotCPH_V_WH7vZ8Ck7SplcPIxC9R-I5DTP7AfSyKh4yiFUMv5MbrtEO4TDT1LeJr7-fWKw&amp;_hsmi=71033675&amp;utm_source=hs_automation&amp;utm_content=71033675&amp;hsCtaTracking=2e94ebfc-d414-4389-870c-d2f266a9420b%7C587ac4dc-a49a-4bdc-b449-e36f5d95395b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</si>
  <si>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Ik4z8xsMfnJQ-8RPDJ_vbl69ZxsVjomFzpAoiArI1nLXw7CqZJ1nupiZweSg4-xANsJXFm0uZtG4c951osr6wPYxY_b3qk50-brwe8qM31fmVIH8%26_hsmi%3D81085387</t>
  </si>
  <si>
    <t>2958@gmail.com</t>
  </si>
  <si>
    <t>2959@instalacionesfb.com</t>
  </si>
  <si>
    <t>https://resources.simonelectric.com/simon-ebook-vehiculo-electrico?utm_campaign=SIC%20-%20Veh%C3%ADculo%20El%C3%A9ctrico&amp;utm_source=hs_automation&amp;utm_medium=email&amp;utm_content=71033675&amp;_hsenc=p2ANqtz-_ko6ItG_uZnExCOJ984GOBADQqp5XCxGSyUjhFwxhW65ZEi9CifzReubKlKg1-6dvQCikR4wu3SGYoUBkgtxk9n5ExZg&amp;_hsmi=71033675</t>
  </si>
  <si>
    <t>2960@gmail.com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</si>
  <si>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eSYZTfCsvUUjws9MB-qHpilrc8sFaxdM_4Y__lxn88Q5YhZLV0vLzSrjmRWIUSnCDYhrHEdVM9bQuInQoJY85rG_VKy0bSbVQEZnEeOf8vVZUULw%26_hsmi%3D81085386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</si>
  <si>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wjaawEo80EUWgaPA7TnIms8lGkJKX50BW-YNqpL-yzCxMEC1fU7FOYNcVVokyqeYfGHB4bolIQhorUaEwjy9cQsxFJcMnzcCAO2w22DVv6T56rOY%26_hsmi%3D81085387</t>
  </si>
  <si>
    <t>2961@mqrenovables.com</t>
  </si>
  <si>
    <t>2962@gmail.com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</si>
  <si>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VnbNfa0zqUsqT4ytMJwgeSZOilepH_DWCpiwCoSO7qa4mBFJegpP6z1aN-wjAJmNoPQTQohJCHi9llBGeDiI6J58n9g%26_hsmi%3D81085386</t>
  </si>
  <si>
    <t>2963@gmail.com</t>
  </si>
  <si>
    <t>2964@duoarquitectura.es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</si>
  <si>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hBmilTwhqNuvXTQTEDkKz_aebZo1RBU6_BuJpjXu5guWLEy0bBH8uTgdPrQoXsThS8YtgmU3WNRxcg-pOJqf8wP4lWg%26_hsmi%3D81085388</t>
  </si>
  <si>
    <t>2965@hotmail.com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</si>
  <si>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Ojfcsx-aJgBnzM54J9I15wH-lXMuOknFZBTKX5MwLjCv_n2ams0JzCUjkjTjO4sd3WpO_Tv38so5AYPXER-4pggLyYw%26_hsmi%3D81085387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</si>
  <si>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mCTBh0TZk2cR3VqrqunIi4hCVOyibZsqM3UorSPw98XzYWKYmx33UalMLTLa7_WwDUdqEe_pVvfXug-bKmDwGtsbgg1vrFDZmlDhGKbymi6UW1iM%26_hsmi%3D81085387</t>
  </si>
  <si>
    <t>2966@gmail.com</t>
  </si>
  <si>
    <t>https://resources.simonelectric.com/simon-ebook-vehiculo-electrico?utm_campaign=SIC%20-%20Veh%C3%ADculo%20El%C3%A9ctrico&amp;utm_medium=email&amp;_hsenc=p2ANqtz-9PrW8A2rAFF3mHTJI5vs6RR2qyVU8ftYSpWVhsUDz9XQCL8PuwCIv2ln0QJOb-kHSp5YLI-FNtfCpOYeikblE6LVK2uA&amp;_hsmi=71033675&amp;utm_source=hs_automation&amp;utm_content=71033675&amp;hsCtaTracking=2e94ebfc-d414-4389-870c-d2f266a9420b%7C587ac4dc-a49a-4bdc-b449-e36f5d95395b</t>
  </si>
  <si>
    <t>2967@gmail.com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</si>
  <si>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g_SR2_bqtpsEn6iCRdqeOX0vLPyU1QY5Ks3IG41lYLlzXtlJ-eNVJdZUUuT6XvZGgbPW1p9cDIxlKNpLE7Quf448JPw%26_hsmi%3D81085386</t>
  </si>
  <si>
    <t>2968@sueprat.es</t>
  </si>
  <si>
    <t>https://resources.simonelectric.com/simon-catalogo-vehiculo-electrico?__hstc=83084745.2af9fc4f0bf6441289a1b911bfc60f68.1559049907316.1571823734896.1578050716502.9&amp;__hssc=83084745.1.1578050716502&amp;__hsfp=2004022226</t>
  </si>
  <si>
    <t>2969@gmail.com</t>
  </si>
  <si>
    <t>2970@sonepar.es</t>
  </si>
  <si>
    <t>2971@gmail.com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</si>
  <si>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wIo27zadxjGKzl5wNdYrK5XS7N8DcGxIbSrOZnKvvl6m9i31_bX_FkafPxEzACJPmpwmYYG26b7IdiV8opkKFkvqshw%26_hsmi%3D81085388</t>
  </si>
  <si>
    <t>2972@us.es</t>
  </si>
  <si>
    <t>2973@rt105.es</t>
  </si>
  <si>
    <t>2974@outlook.com</t>
  </si>
  <si>
    <t>https://resources.simonelectric.com/simon-catalogo-vehiculo-electrico?utm_campaign=SIC%20-%20Veh%C3%ADculo%20El%C3%A9ctrico&amp;utm_source=hs_automation&amp;utm_medium=email&amp;utm_content=71034014&amp;_hsenc=p2ANqtz--A-Oz_o7g4F-LJoOI1DN59kF00nR8XZeqKntgGNiaa6OF53UkcGTD2711T4j-qqQIhseYUpsjl60AiB9C7Xmd5B9M4mw&amp;_hsmi=71034014</t>
  </si>
  <si>
    <t>2975@gmail.com</t>
  </si>
  <si>
    <t>2976@gmail.com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</si>
  <si>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U_2Nc_lhh4PMmiog1e4KeFYoT-rahUXWWpsRVCsQF1WHqact5F1l4Uz99Ujc0FIx5S4a0Hb7AtVVXBOKo7_-u-kG9Cw%26_hsmi%3D81085386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</si>
  <si>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kGgKm6kiIZ1aIxcK67DlNTDIwhgRYRNHC5hda-v3JhQ5acCqCrM4MlndapbaLvf_qw_ZgDqOVXn0SonPbcuKRnv57OQ%26_hsmi%3D81085386</t>
  </si>
  <si>
    <t>2977@gmail.com</t>
  </si>
  <si>
    <t>2978@electroredes.com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</si>
  <si>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-5BJHmS4vny0pCIBb6N2p4P7QXOhyoOa-ZE4Q_lIQEI1R9xYKS4XOCbrddHBwowL7axzoLeqCw-g4SOaPKYSTXoevlxQ%26_hsmi%3D81085386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</si>
  <si>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fRqBE5eLFL0AiGdAWBH4BuNBr74Au62AeZ-zuvgPZevWZ0zBYYu6r5gKVI6SCPi9G0P15ZHBYxYotXqf0o5szek3Brw%26_hsmi%3D81085387</t>
  </si>
  <si>
    <t>2979@gmail.com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</si>
  <si>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PqdMrdd1xJrxzsRTUW75A8x972lZeDMMCJA011Os4T45V2yXMu8H5ZvIrxr0BgfLpu-kwS6xk_Zyg1Z_4aC1Cc7Nsi1S7rBFnX4q9c8BccfpVU7E%26_hsmi%3D81085386</t>
  </si>
  <si>
    <t>2980@live.com</t>
  </si>
  <si>
    <t>https://resources.simonelectric.com/simon-catalogo-vehiculo-electrico?utm_campaign=SIC%20-%20Veh%C3%ADculo%20El%C3%A9ctrico&amp;utm_source=hs_automation&amp;utm_medium=email&amp;utm_content=71034014&amp;_hsenc=p2ANqtz-_Z8mLtOlGCxg6AF6x_H7hLeBRrvOCgkgJ1gLOoSmubJQzVSMQfAsyk74tL7_OUYhy5ru8gYEFDBdT_IxF1I1u5_2lYrQ&amp;_hsmi=71034014</t>
  </si>
  <si>
    <t>2981@gmail.com</t>
  </si>
  <si>
    <t>2982@hotmail.es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</si>
  <si>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_WvIQYkAkzS7X1siq7M27peGQSvQv7SH28mgavbLi6cJYsOHRiTZVw4FLJnhoCIz4jrG38yt1ItjpsYV9JuNxE_kCww%26_hsmi%3D81085387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</si>
  <si>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qk1Ph3I2xCR343HmsI5ajV7mwSeNcMpbg99aE8_Nes-4ejpYq9i_CJPuCXsEU9SOYIgN9artmhRyi6v_WJQyGCPztO83clZWOXSsAYOuHNrg-bkc%26_hsmi%3D81085386</t>
  </si>
  <si>
    <t>2983@hotmail.com</t>
  </si>
  <si>
    <t>2984@hotmail.com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</si>
  <si>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NN0r6kMyeBukcbrPbrPDcaS3cX_4D62jEP2XeqCGNIuQMlScC5CM7h9iUbu8Up0lhPH6qtHpwvVDKasN264hnbLX32A%26_hsmi%3D81085386</t>
  </si>
  <si>
    <t>2985@gmail.com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</si>
  <si>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i70z1OhF4OI3wlfP1wS01RVOIT7yW_6bYmbLBd8X2H38hkb3ciSvZQ4TeA3ANUTgYnyq_NE2ABWl1_tadbpzExSZ34ky83w3Pu7E41jDkfvb4Lt4%26_hsmi%3D81085388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</si>
  <si>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RroO-tujw1W8zV-HQttjVs6nDAeVbqlnECTKX1rdF35W2QfoXUkyFjje8bD7E12HpOouoqrwejtEaauypK1dQbjFXMg%26_hsmi%3D81085386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</si>
  <si>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h290rby0-zWDkPyhQmyUuO8iTg2Vyk0pUDNeNhvjUBVfmBvVz96NuBcIzbG0wqzFBe17pXyfIcMUbOZesbVQj6FXnuPsJ1pkgv0K-qo8ozDeY1xw%26_hsmi%3D81085386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</si>
  <si>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7otxNaDZbEkwTRDjNaYYrnu6eEzqIXG6YL6z1tYI1-eDLIPdJVacZZvuL9gPfWgAb4XTooHAMEFa9hXhFHq0e4LlzJA%26_hsmi%3D81085386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</si>
  <si>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Ejukf4FFgdHyYKjsYGdWGLvRDWc2x-EzCL4kCf2x4WXZpIDFIJKA9rRSMR06hMwjNBqPuE6_BIU-0QLzhOFSxWg4OWe68whw6H5JD3Ndzkm4_cv8%26_hsmi%3D81085387</t>
  </si>
  <si>
    <t>2986@signum.cat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</si>
  <si>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wAdYrUv1Cz9H4AUzUYGnD3zS4Brku3h9wJeJsqyg3mER4JV8N_rURiQ6g7dbev_tNcCWSjD-NtBE5klqVUZ_Qwiz3EA%26_hsmi%3D81085388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</si>
  <si>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IejIHUpDLnbC2MIu6DPUwHXY_2G0gTQ6d3GUTV_PkbDqZXBthb5xgQ4u0deRDRTJAeexdSJVNDXpeg_X06l74Y7M81g%26_hsmi%3D81085386</t>
  </si>
  <si>
    <t>2987@comercialsis.com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</si>
  <si>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vLdFSUkYCjV6d286LMNw64dyGMq_vo-rNJd1kLf2xqn17pHT8Hg02ZMzmE1BXuPBtO6QFP68nj1NCIokPP_KBBpyQqQ%26_hsmi%3D81085386</t>
  </si>
  <si>
    <t>2988@lopezona.com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</si>
  <si>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Zk8ttPMRvEEtiZbzSkhCbGYXmhechFYhP6B8MUKboTcdMxd5cP5MzfMokGaY0JPcIeJBdCXUupTlWuI_NaCmBjprp1g%26_hsmi%3D81085386</t>
  </si>
  <si>
    <t>2989@9chip.com</t>
  </si>
  <si>
    <t>2990@gilten.es</t>
  </si>
  <si>
    <t>2991@yahoo.es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</si>
  <si>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k_7VceOH_L2T0KpmrW_N86-78gSCVK8MfEGRAIL0hMnT8V9999Fmxz6xUv3lQEwnkslXUY5ty-_0436hk29A4NM3ykg%26_hsmi%3D81085386</t>
  </si>
  <si>
    <t>2992@socidesel.es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</si>
  <si>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sh-yG9KI_Qk3Fk-zNVX2hEkYulGpgEmGQ_k0NWKhzhYGvNTk8E92OW2sVXm0i5lWocveL8EECD7uq0MFo4EmynXT5sA%26_hsmi%3D81085386</t>
  </si>
  <si>
    <t>2993@gmail.com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</si>
  <si>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_BMzN2_PJPm5PXZ5gxeg7ksM6o7mJnDqhlTA_631M77EvBBK-95KgKrrTgwNlGbtsQCoBQ-0ARaQ4mlLWZgliEJUxRQ%26_hsmi%3D81085386</t>
  </si>
  <si>
    <t>2994@hotmail.com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</si>
  <si>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CK0GkI4f3q8CAypPoJHMGq5XfIzj-zCQWeNZyyVEu1D1NDEvjtmET1GG4nHaNpuVqicoPETB3cEZaA_snMBXHgeHDcw%26_hsmi%3D81085386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</si>
  <si>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4ii63KNwwpFjABxASnmQMTwBfRPJjlASXMl1F0rAIo-oycSGFcLtBN7mlSC99CIdlHB6GPRGd-1dQFJc1dRL3HXmLRA%26_hsmi%3D81085387</t>
  </si>
  <si>
    <t>2995@suris.es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</si>
  <si>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BcGjxH78_dgKNKVBZ9nE8mlFOBs2JAl0cy05hYtg1Ei10eDVAKJFCEvA2qFUlhooq8SD8OoNY2bxu9pUSNLi-M542ZgmeviB7bFZhokx_gijJ3Sg%26_hsmi%3D81085387</t>
  </si>
  <si>
    <t>2996@hotmail.com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</si>
  <si>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EpOnUsLSvxOVs9NAiNeVCmfJGvSE2rsw72Cx9ZrPJTHDTPavmbblfQKQH93pAWwPsEZaPfUFhWHTj_jyjqYbwIM6cxHJOCMW1MLcVSq28lqJTP4E%26_hsmi%3D81085388</t>
  </si>
  <si>
    <t>2997@bgm.pt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</si>
  <si>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l0NyLVFCbam9Y-ZR7KpYWgqvxzoagAB_rVdycJhz7bGKLBPvarxn3bOFePT8vQSOWJD-MkmmxvQqoq_X5FNZD2xtEukAeuG4ac8CwPTcdpW4Xm_I%26_hsmi%3D81085388</t>
  </si>
  <si>
    <t>2998@dosreisinstalaciones.es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</si>
  <si>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bedon4OnHtbab7LK6y9cnWY1dv3g8GcDt2rvAttgxXe-uw_8qm1rr2Va_vT3zHC-8uEcjx3R9xV9qtz5JoqKGQBRGQk_TnC5A3__B1lOLXU3ZZAE%26_hsmi%3D81085388</t>
  </si>
  <si>
    <t>2999@gmail.com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</si>
  <si>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1hC24j82T34LZZd6DvK0j9XAfnRPIQ7nW1k2w_zmi7EUJPd8jxPo5Zxi4f9a5BMqIjNiF689dU8TYO-rynkCKbEnpVA%26_hsmi%3D81085388</t>
  </si>
  <si>
    <t>3000@strongpoint.com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</si>
  <si>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ARMZgF41oQrY3Dr3YBQILPeuA6Qtk9UvW0UoyExbxMqrHghaV4KK2e0Hc7MHagxP4MUKD5hpneHXv9XcU3167sFGC4Q%26_hsmi%3D81085388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</si>
  <si>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DeO2s7RYUtwx4bg0DjMUBfHuQznc_Mvnv5Qtu6kHTTlt1Gr0J4eq6xvY-7EtBy1cy_4NlgOQPsnkhH1B-fCeO7l5c3Q%26_hsmi%3D81085387</t>
  </si>
  <si>
    <t>3001@gmail.com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</si>
  <si>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x1woma6UuTzHLPOc6TVXc542TXwZPMQBUMubnxllpnc0ivo6HZSVV38uYVvpyyfIE1-dimsTpBR40GPdrP0C-bw7Sd7na2_3iKWHwHtC5Eo2JqOM%26_hsmi%3D81085387</t>
  </si>
  <si>
    <t>3002@energiaactiva.es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</si>
  <si>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54t1hgMK5dl1v088U8yTfP1DCeo75G1OvraahTTFltv6YZ9W8JgCKq2oNZ5Y4cQ0fhKbAUTzYWDgMKXE7ajZpD1wUTg%26_hsmi%3D81085387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</si>
  <si>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IoDhrznkcWPj-DlE5xJxoOFCi0d0rX_2RWO8uar0NV5CaheMcEAZzy28A6T-OS4ULv7kSuPz_5ZTfEXX9IQX-u9i1tg%26_hsmi%3D81085388</t>
  </si>
  <si>
    <t>3003@ingenieriabenimamet.com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</si>
  <si>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mEGcIRDEWQXXvGHXp9EChVP19RFzBawahFXgfN61MeQx9hF1MlR6xCv9o3uugeHFxIj-jkcehV5hRBc5kJbkvYE6QXg%26_hsmi%3D81085388</t>
  </si>
  <si>
    <t>3004@yahoo.es</t>
  </si>
  <si>
    <t>3005@electroizas.es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</si>
  <si>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WLuI1CCHc2-e2O6vrMlNxTkZxCS9d7TmcLF11PNR5-GWJHOJZx0Wq3y_4EPqWCHZQnc3n4Aj1KGLGUVpCELx_Fcfxrw%26_hsmi%3D81085387</t>
  </si>
  <si>
    <t>3006@ingenieriajorpa.es</t>
  </si>
  <si>
    <t>3007@gmail.com</t>
  </si>
  <si>
    <t>3008@codime.es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</si>
  <si>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jIbtTlw4BSNZJhnq1VccsTGqJCn-lin-e4JUMqGKGyBHtCfidKsTxT6zaYi2LpZVSuc9sywsnr1Gp5NCeayIGappfcA%26_hsmi%3D81085388</t>
  </si>
  <si>
    <t>3009@acciona.com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</si>
  <si>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uzbX44UY0l5HC2S3SP334mnYWYUsOl9A8-ZQlyGNI88sfhdJL5ywXOmTiN3zR9pr74JbwW7lZiMHYY84pwbbXPRFXLN7n3_uDeYNArAg4waK3H0I%26_hsmi%3D81085387</t>
  </si>
  <si>
    <t>3010@eleko.es</t>
  </si>
  <si>
    <t>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59_Ev6X8oFQLdvRqjVQl1FrMsZoo2W3TdKjYLM8b7-0iZdvhWgAEPcHQJusmMhxQukEsvoPTLzmA8PyslfOk_jVhGxA%26_hsmi%3D81085388</t>
  </si>
  <si>
    <t>3011@gmail.com</t>
  </si>
  <si>
    <t>https://resources.simonelectric.com/simon-ebook-vehiculo-electrico?utm_campaign=SIC%20-%20Veh%C3%ADculo%20El%C3%A9ctrico&amp;utm_source=hs_automation&amp;utm_medium=email&amp;utm_content=71033675&amp;_hsenc=p2ANqtz-8oSEEddNS7NZ_CTRWO4kEi5S5n9CAgTkaVz0_uD9iNNgNqBNnw2VWpJQqVLukSIMFhHJFxoQIGAdUpsKiKRU2510x4PQ&amp;_hsmi=71033675</t>
  </si>
  <si>
    <t>Email - optim</t>
  </si>
  <si>
    <t>mail optimizado - def</t>
  </si>
  <si>
    <t>Date - Month</t>
  </si>
  <si>
    <t>COUNTA of Email - optim</t>
  </si>
  <si>
    <t>Jan</t>
  </si>
  <si>
    <t>Feb</t>
  </si>
  <si>
    <t>Mar</t>
  </si>
  <si>
    <t>Apr</t>
  </si>
  <si>
    <t>May</t>
  </si>
  <si>
    <t>Jun</t>
  </si>
  <si>
    <t>null</t>
  </si>
  <si>
    <t>Grand Total</t>
  </si>
  <si>
    <t>Mes</t>
  </si>
  <si>
    <t>nMes</t>
  </si>
  <si>
    <t>Nombre</t>
  </si>
  <si>
    <t>Descargas</t>
  </si>
  <si>
    <t>Leads</t>
  </si>
  <si>
    <t>Conversion</t>
  </si>
  <si>
    <t>ene.</t>
  </si>
  <si>
    <t>Catálogo</t>
  </si>
  <si>
    <t>Ebook</t>
  </si>
  <si>
    <t>https://resources.simonelectric.com/simon-ebook-vehiculo-electrico-0</t>
  </si>
  <si>
    <t>Ebook Paid</t>
  </si>
  <si>
    <t>Ebook Twitter</t>
  </si>
  <si>
    <t>Material Formativo</t>
  </si>
  <si>
    <t>feb.</t>
  </si>
  <si>
    <t>mar.</t>
  </si>
  <si>
    <t>abr.</t>
  </si>
  <si>
    <t>may.</t>
  </si>
  <si>
    <t>jun.</t>
  </si>
  <si>
    <t>Create Date</t>
  </si>
  <si>
    <t>3012@diegodiazlopez.com</t>
  </si>
  <si>
    <t>3013@gmail.com</t>
  </si>
  <si>
    <t>3014@gmail.com</t>
  </si>
  <si>
    <t>3015@cetill.cat</t>
  </si>
  <si>
    <t>3016@arrow.com</t>
  </si>
  <si>
    <t>3017@hotmail.com</t>
  </si>
  <si>
    <t>3018@hotmail.com</t>
  </si>
  <si>
    <t>3019@gmail.com</t>
  </si>
  <si>
    <t>3020@gesluz.es</t>
  </si>
  <si>
    <t>3021@gmail.com</t>
  </si>
  <si>
    <t>3022@gmail.com</t>
  </si>
  <si>
    <t>3023@hotmail.com</t>
  </si>
  <si>
    <t>3024@pina-ingenieria.com</t>
  </si>
  <si>
    <t>3025@ingenierosvigo.com</t>
  </si>
  <si>
    <t>3026@gmail.com</t>
  </si>
  <si>
    <t>3027@liabeny.com</t>
  </si>
  <si>
    <t>3028@gmail.com</t>
  </si>
  <si>
    <t>3029@electricidad-galindo.com</t>
  </si>
  <si>
    <t>3030@a6ingenieria.es</t>
  </si>
  <si>
    <t>3031@grupojab.es</t>
  </si>
  <si>
    <t>3032@gmail.com</t>
  </si>
  <si>
    <t>3033@gmail.com</t>
  </si>
  <si>
    <t>3034@gmail.com</t>
  </si>
  <si>
    <t>3035@ingenieriaspi.com</t>
  </si>
  <si>
    <t>3036@romeroycantalejo.com</t>
  </si>
  <si>
    <t>3037@gmail.com</t>
  </si>
  <si>
    <t>3038@hotmail.com</t>
  </si>
  <si>
    <t>3039@normatica.es</t>
  </si>
  <si>
    <t>3040@icloud.com</t>
  </si>
  <si>
    <t>3041@hotmail.com</t>
  </si>
  <si>
    <t>3042@gmail.com</t>
  </si>
  <si>
    <t>3043@yahoo.es</t>
  </si>
  <si>
    <t>3044@electricidadaldama.com</t>
  </si>
  <si>
    <t>3045@donbany.com</t>
  </si>
  <si>
    <t>3046@gmail.com</t>
  </si>
  <si>
    <t>3047@gmail.com</t>
  </si>
  <si>
    <t>3048@ferrovial.com</t>
  </si>
  <si>
    <t>3049@suris.es</t>
  </si>
  <si>
    <t>3050@gmail.com</t>
  </si>
  <si>
    <t>3051@hotmail.es</t>
  </si>
  <si>
    <t>3052@elecnor.com</t>
  </si>
  <si>
    <t>3053@gmail.com</t>
  </si>
  <si>
    <t>3054@autosvaliente.net</t>
  </si>
  <si>
    <t>3055@gatlantica.com</t>
  </si>
  <si>
    <t>3056@hotmail.com</t>
  </si>
  <si>
    <t>3057@gmail.com</t>
  </si>
  <si>
    <t>3058@hotmail.es</t>
  </si>
  <si>
    <t>3059@gmail.com</t>
  </si>
  <si>
    <t>3060@hotmail.com</t>
  </si>
  <si>
    <t>3061@gmail.com</t>
  </si>
  <si>
    <t>3062@gmail.com</t>
  </si>
  <si>
    <t>3063@gmail.com</t>
  </si>
  <si>
    <t>3064@upm.es</t>
  </si>
  <si>
    <t>3065@sarria.salesians.cat</t>
  </si>
  <si>
    <t>3066@gmail.com</t>
  </si>
  <si>
    <t>3067@gmail.com</t>
  </si>
  <si>
    <t>3068@irakasle.net</t>
  </si>
  <si>
    <t>3069@coitim.es</t>
  </si>
  <si>
    <t>3070@gmail.com</t>
  </si>
  <si>
    <t>3071@garridoinstalaciones.com</t>
  </si>
  <si>
    <t>3072@hotmail.com</t>
  </si>
  <si>
    <t>3073@gmail.com</t>
  </si>
  <si>
    <t>3074@gmail.com</t>
  </si>
  <si>
    <t>3075@hotmail.com</t>
  </si>
  <si>
    <t>3076@gmail.com</t>
  </si>
  <si>
    <t>3077@gmail.co</t>
  </si>
  <si>
    <t>3078@hotmail.com</t>
  </si>
  <si>
    <t>3079@yahoo.es</t>
  </si>
  <si>
    <t>3080@gmail.com</t>
  </si>
  <si>
    <t>3081@yahoo.com</t>
  </si>
  <si>
    <t>3082@gmail.com</t>
  </si>
  <si>
    <t>3083@hotmail.com</t>
  </si>
  <si>
    <t>3084@hotmail.com</t>
  </si>
  <si>
    <t>3085@gmail.com</t>
  </si>
  <si>
    <t>3086@gmail.com</t>
  </si>
  <si>
    <t>3087@gmail.com</t>
  </si>
  <si>
    <t>3088@grupoelectrostocks.com</t>
  </si>
  <si>
    <t>3089@yahoo.es</t>
  </si>
  <si>
    <t>3090@hotmail.com</t>
  </si>
  <si>
    <t>3091@hotmail.com</t>
  </si>
  <si>
    <t>3092@hotmail.com</t>
  </si>
  <si>
    <t>3093@gmail.com</t>
  </si>
  <si>
    <t>3094@hotmail.com</t>
  </si>
  <si>
    <t>3095@wallbox.com</t>
  </si>
  <si>
    <t>3096@hotmail.com</t>
  </si>
  <si>
    <t>3097@hotmail.com</t>
  </si>
  <si>
    <t>3098@soc.redcitroen.com</t>
  </si>
  <si>
    <t>3099@hotmail.com</t>
  </si>
  <si>
    <t>3100@cold-facilities.com</t>
  </si>
  <si>
    <t>3101@hotmail.com</t>
  </si>
  <si>
    <t>3102@gmail.com</t>
  </si>
  <si>
    <t>3103@gmail.com</t>
  </si>
  <si>
    <t>3104@hotmail.com</t>
  </si>
  <si>
    <t>3105@tecnoantena.es</t>
  </si>
  <si>
    <t>3106@hotmail.com</t>
  </si>
  <si>
    <t>3107@gmail.com</t>
  </si>
  <si>
    <t>3108@gmail.com</t>
  </si>
  <si>
    <t>3109@gmail.com</t>
  </si>
  <si>
    <t>3110@gmail.com</t>
  </si>
  <si>
    <t>3111@hotmail.com</t>
  </si>
  <si>
    <t>3112@moinpro.es</t>
  </si>
  <si>
    <t>3113@gmail.com</t>
  </si>
  <si>
    <t>3114@hotmail.com</t>
  </si>
  <si>
    <t>3115@gmail.com</t>
  </si>
  <si>
    <t>3116@msn.com</t>
  </si>
  <si>
    <t>3117@gmail.com</t>
  </si>
  <si>
    <t>3118@gmail.com</t>
  </si>
  <si>
    <t>3119@hotmail.com</t>
  </si>
  <si>
    <t>3120@pine.zimacorp.es</t>
  </si>
  <si>
    <t>3121@hotmail.com</t>
  </si>
  <si>
    <t>3122@gmail.com</t>
  </si>
  <si>
    <t>3123@hotmail.com</t>
  </si>
  <si>
    <t>3124@dtas.es</t>
  </si>
  <si>
    <t>3125@galansat.es</t>
  </si>
  <si>
    <t>3126@gmail.com</t>
  </si>
  <si>
    <t>3127@gmail.com</t>
  </si>
  <si>
    <t>3128@gmail.com</t>
  </si>
  <si>
    <t>3129@gmail.com</t>
  </si>
  <si>
    <t>3130@gmail.com</t>
  </si>
  <si>
    <t>3131@gmail.com</t>
  </si>
  <si>
    <t>3132@gmail.com</t>
  </si>
  <si>
    <t>3133@danfar.com</t>
  </si>
  <si>
    <t>3134@gmail.com</t>
  </si>
  <si>
    <t>3135@salesianospizarrales.com</t>
  </si>
  <si>
    <t>3136@ineleeg.es</t>
  </si>
  <si>
    <t>3137@gmail.com</t>
  </si>
  <si>
    <t>3138@hotmail.com</t>
  </si>
  <si>
    <t>3139@coitt.es</t>
  </si>
  <si>
    <t>3140@yahoo.es</t>
  </si>
  <si>
    <t>3141@hotmail.com</t>
  </si>
  <si>
    <t>3142@yahoo.es</t>
  </si>
  <si>
    <t>3143@gmail.com</t>
  </si>
  <si>
    <t>3144@fundacionfunme.org</t>
  </si>
  <si>
    <t>3145@email.com</t>
  </si>
  <si>
    <t>3146@gmail.com</t>
  </si>
  <si>
    <t>3147@hotmail.com</t>
  </si>
  <si>
    <t>3148@gmail.com</t>
  </si>
  <si>
    <t>3149@gmail.com</t>
  </si>
  <si>
    <t>3150@gmail.com</t>
  </si>
  <si>
    <t>3151@gmail.com</t>
  </si>
  <si>
    <t>3152@aceuve.com</t>
  </si>
  <si>
    <t>3153@gmail.com</t>
  </si>
  <si>
    <t>3154@hotmail.com</t>
  </si>
  <si>
    <t>3155@gmail.com</t>
  </si>
  <si>
    <t>3156@gmail.com</t>
  </si>
  <si>
    <t>3157@hotmail.com</t>
  </si>
  <si>
    <t>3158@ofintec.es</t>
  </si>
  <si>
    <t>3159@gmail.com</t>
  </si>
  <si>
    <t>3160@yahoo.com</t>
  </si>
  <si>
    <t>3161@hotmail.com</t>
  </si>
  <si>
    <t>3162@hotmail.com</t>
  </si>
  <si>
    <t>3163@hotmail.com</t>
  </si>
  <si>
    <t>3164@gmail.com</t>
  </si>
  <si>
    <t>3165@hotmail.com</t>
  </si>
  <si>
    <t>3166@enrelec.com</t>
  </si>
  <si>
    <t>3167@gmail.com</t>
  </si>
  <si>
    <t>3168@hotmail.com</t>
  </si>
  <si>
    <t>3169@hotmail.com</t>
  </si>
  <si>
    <t>3170@hotmail.com</t>
  </si>
  <si>
    <t>3171@rivadulla.cat</t>
  </si>
  <si>
    <t>3172@solardelvalle.es</t>
  </si>
  <si>
    <t>3173@hotmail.com</t>
  </si>
  <si>
    <t>3174@hotmail.com</t>
  </si>
  <si>
    <t>3175@hotmail.com</t>
  </si>
  <si>
    <t>3176@hotmail.com</t>
  </si>
  <si>
    <t>3177@hotmail.com</t>
  </si>
  <si>
    <t>3178@hotmail.com</t>
  </si>
  <si>
    <t>3179@gmail.com</t>
  </si>
  <si>
    <t>3180@hotmail.com</t>
  </si>
  <si>
    <t>3181@gmail.com</t>
  </si>
  <si>
    <t>3182@hormail.com</t>
  </si>
  <si>
    <t>3183@gmail.com</t>
  </si>
  <si>
    <t>3184@gmail.com</t>
  </si>
  <si>
    <t>3185@gmail.com</t>
  </si>
  <si>
    <t>3186@gmail.com</t>
  </si>
  <si>
    <t>3187@gmail.com</t>
  </si>
  <si>
    <t>3188@hotmail.com</t>
  </si>
  <si>
    <t>3189@ambling.es</t>
  </si>
  <si>
    <t>3190@aprenergia.es</t>
  </si>
  <si>
    <t>3191@gmail.com</t>
  </si>
  <si>
    <t>3192@ingenierosdecadiz.es</t>
  </si>
  <si>
    <t>3193@metalux.es</t>
  </si>
  <si>
    <t>3194@hotmail.es</t>
  </si>
  <si>
    <t>3195@hotmail.com</t>
  </si>
  <si>
    <t>3196@gmail.com</t>
  </si>
  <si>
    <t>3197@gmail.com</t>
  </si>
  <si>
    <t>3198@gmail.com</t>
  </si>
  <si>
    <t>3199@gmail.com</t>
  </si>
  <si>
    <t>3200@gmail.com</t>
  </si>
  <si>
    <t>3201@sub-vidayfoto.com</t>
  </si>
  <si>
    <t>3202@msn.com</t>
  </si>
  <si>
    <t>3203@gmail.com</t>
  </si>
  <si>
    <t>3204@gmail.com</t>
  </si>
  <si>
    <t>3205@gmail.com</t>
  </si>
  <si>
    <t>3206@hotmail.com</t>
  </si>
  <si>
    <t>3207@gmail.com</t>
  </si>
  <si>
    <t>3208@hotmail.com</t>
  </si>
  <si>
    <t>3209@gmail.com</t>
  </si>
  <si>
    <t>3210@gmail.com</t>
  </si>
  <si>
    <t>3211@gmail.com</t>
  </si>
  <si>
    <t>3212@sharklasers.com</t>
  </si>
  <si>
    <t>3213@ucm.es</t>
  </si>
  <si>
    <t>3214@msn.com</t>
  </si>
  <si>
    <t>3215@gmail.com</t>
  </si>
  <si>
    <t>3216@gmail.com</t>
  </si>
  <si>
    <t>3217@hotmail.com</t>
  </si>
  <si>
    <t>3218@hotmail.com</t>
  </si>
  <si>
    <t>3219@me.com</t>
  </si>
  <si>
    <t>3220@gmail.com</t>
  </si>
  <si>
    <t>3221@hotmail.es</t>
  </si>
  <si>
    <t>3222@casagrandexanceda.com</t>
  </si>
  <si>
    <t>3223@hotmail.com</t>
  </si>
  <si>
    <t>3224@seidor.es</t>
  </si>
  <si>
    <t>3225@gmail.com</t>
  </si>
  <si>
    <t>3226@yahoo.es</t>
  </si>
  <si>
    <t>3227@gmail.com</t>
  </si>
  <si>
    <t>3228@gmail.com</t>
  </si>
  <si>
    <t>3229@hotmail.com</t>
  </si>
  <si>
    <t>3230@gmial.com</t>
  </si>
  <si>
    <t>3231@anframa.com</t>
  </si>
  <si>
    <t>3232@ufd.es</t>
  </si>
  <si>
    <t>3233@gmail.com</t>
  </si>
  <si>
    <t>3234@hotmail.com</t>
  </si>
  <si>
    <t>3235@hotmail.com</t>
  </si>
  <si>
    <t>3236@enzazaden.es</t>
  </si>
  <si>
    <t>3237@gmail.com</t>
  </si>
  <si>
    <t>3238@optimainfraestructuras.com</t>
  </si>
  <si>
    <t>3239@gmail.com</t>
  </si>
  <si>
    <t>3240@gmail.com</t>
  </si>
  <si>
    <t>3241@gmx.es</t>
  </si>
  <si>
    <t>3242@gmail.com</t>
  </si>
  <si>
    <t>3243@gmail.com</t>
  </si>
  <si>
    <t>3244@hotmail.com</t>
  </si>
  <si>
    <t>3245@gmail.com</t>
  </si>
  <si>
    <t>3246@gmail.com</t>
  </si>
  <si>
    <t>3247@hotmail.com</t>
  </si>
  <si>
    <t>3248@hormail.com</t>
  </si>
  <si>
    <t>3249@gmail.com</t>
  </si>
  <si>
    <t>3250@gmail.com</t>
  </si>
  <si>
    <t>3251@gmail.com</t>
  </si>
  <si>
    <t>3252@gmail.com</t>
  </si>
  <si>
    <t>3253@hotmail.es</t>
  </si>
  <si>
    <t>3254@gmail.com</t>
  </si>
  <si>
    <t>3255@gmail.com</t>
  </si>
  <si>
    <t>3256@gmail.com</t>
  </si>
  <si>
    <t>3257@hotmail.es</t>
  </si>
  <si>
    <t>3258@gmail.com</t>
  </si>
  <si>
    <t>3259@gmail.com</t>
  </si>
  <si>
    <t>3260@gmail.co.</t>
  </si>
  <si>
    <t>3261@gikasl.es</t>
  </si>
  <si>
    <t>3262@gmail.com</t>
  </si>
  <si>
    <t>3263@gmail.com</t>
  </si>
  <si>
    <t>3264@vila-real.es</t>
  </si>
  <si>
    <t>3265@gmail.com</t>
  </si>
  <si>
    <t>3266@hotmail.com</t>
  </si>
  <si>
    <t>3267@gmail.com</t>
  </si>
  <si>
    <t>3268@gmail.com</t>
  </si>
  <si>
    <t>3269@hotmail.com</t>
  </si>
  <si>
    <t>3270@gmail.com</t>
  </si>
  <si>
    <t>3271@yahoo.es</t>
  </si>
  <si>
    <t>3272@iesarxiduc.net</t>
  </si>
  <si>
    <t>3273@gmail.com</t>
  </si>
  <si>
    <t>3274@telefonica.net</t>
  </si>
  <si>
    <t>3275@hotmail.com</t>
  </si>
  <si>
    <t>3276@telefonica.net</t>
  </si>
  <si>
    <t>3277@cyeservicios.es</t>
  </si>
  <si>
    <t>3278@gmail.com</t>
  </si>
  <si>
    <t>3279@ya.com</t>
  </si>
  <si>
    <t>3280@outlook.es</t>
  </si>
  <si>
    <t>3281@gmail.com</t>
  </si>
  <si>
    <t>3282@armentalis.es</t>
  </si>
  <si>
    <t>3283@hotmail.com</t>
  </si>
  <si>
    <t>3284@efimarket.com</t>
  </si>
  <si>
    <t>3285@gmail.com</t>
  </si>
  <si>
    <t>3286@anticimex.com.es</t>
  </si>
  <si>
    <t>3287@gmail.com</t>
  </si>
  <si>
    <t>3288@gmail.com</t>
  </si>
  <si>
    <t>3289@gmail.com</t>
  </si>
  <si>
    <t>3290@hotmail.com</t>
  </si>
  <si>
    <t>3291@sara-07.es</t>
  </si>
  <si>
    <t>3293@hotmail.es</t>
  </si>
  <si>
    <t>3294@gmail.com</t>
  </si>
  <si>
    <t>3295@telefonica.net</t>
  </si>
  <si>
    <t>3296@canillos.com</t>
  </si>
  <si>
    <t>3298@hotmail.com</t>
  </si>
  <si>
    <t>3299@hotmail.com</t>
  </si>
  <si>
    <t>3300@hotmail.com</t>
  </si>
  <si>
    <t>3301@gmail.com</t>
  </si>
  <si>
    <t>3302@gmail.com</t>
  </si>
  <si>
    <t>3303@gmail.com</t>
  </si>
  <si>
    <t>3304@gmail.com</t>
  </si>
  <si>
    <t>3305@hotmail.es</t>
  </si>
  <si>
    <t>3306@gmail.com</t>
  </si>
  <si>
    <t>3307@tica.es</t>
  </si>
  <si>
    <t>3308@gmail.com</t>
  </si>
  <si>
    <t>3309@covisa.cat</t>
  </si>
  <si>
    <t>3310@gmail.com</t>
  </si>
  <si>
    <t>3311@gmail.com</t>
  </si>
  <si>
    <t>3312@gmail.com</t>
  </si>
  <si>
    <t>3313@gmail.com</t>
  </si>
  <si>
    <t>3314@hotmail.com</t>
  </si>
  <si>
    <t>3315@hotmail.com</t>
  </si>
  <si>
    <t>3316@hotmail.com</t>
  </si>
  <si>
    <t>3317@bonetcars.com</t>
  </si>
  <si>
    <t>3318@gmail.com</t>
  </si>
  <si>
    <t>3319@gmail.com</t>
  </si>
  <si>
    <t>3320@googlemail.com</t>
  </si>
  <si>
    <t>3321@gmail.com</t>
  </si>
  <si>
    <t>3322@gmail.com</t>
  </si>
  <si>
    <t>3323@gmail.com</t>
  </si>
  <si>
    <t>3324@gmail.com</t>
  </si>
  <si>
    <t>3325@gmail.com</t>
  </si>
  <si>
    <t>3326@laosoler.com</t>
  </si>
  <si>
    <t>3327@hotmail.com</t>
  </si>
  <si>
    <t>3328@gmail.com</t>
  </si>
  <si>
    <t>3329@hotmail.es</t>
  </si>
  <si>
    <t>3330@aplicaciones.com</t>
  </si>
  <si>
    <t>3331@hotmail.com</t>
  </si>
  <si>
    <t>3332@gmail.com</t>
  </si>
  <si>
    <t>3333@gmail.com</t>
  </si>
  <si>
    <t>3334@fundacionmetal.org</t>
  </si>
  <si>
    <t>3335@igrenergeticos.es</t>
  </si>
  <si>
    <t>3336@hotmail.com</t>
  </si>
  <si>
    <t>3337@gmail.com</t>
  </si>
  <si>
    <t>3338@live.com</t>
  </si>
  <si>
    <t>3339@gmail.com</t>
  </si>
  <si>
    <t>3340@redelectrictorres.es</t>
  </si>
  <si>
    <t>3341@hagaselaluz.cat</t>
  </si>
  <si>
    <t>3342@gmail.com</t>
  </si>
  <si>
    <t>Email</t>
  </si>
  <si>
    <t>date</t>
  </si>
  <si>
    <t>Nuevo</t>
  </si>
  <si>
    <t>Estado</t>
  </si>
  <si>
    <t>date - Month</t>
  </si>
  <si>
    <t>COUNTA of Email</t>
  </si>
  <si>
    <t>NumMes</t>
  </si>
  <si>
    <t>Registros No Nuevos</t>
  </si>
  <si>
    <t>Registros Nuevos</t>
  </si>
  <si>
    <t>Registros</t>
  </si>
  <si>
    <t xml:space="preserve"> Total</t>
  </si>
  <si>
    <t>No Nuevo</t>
  </si>
  <si>
    <t>No Nuevo Total</t>
  </si>
  <si>
    <t>Nuevo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</si>
</sst>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&quot;/&quot;yyyy"/>
    <numFmt numFmtId="165" formatCode="D/M/YYYY"/>
    <numFmt numFmtId="166" formatCode="m/d/yyyy h:mm:ss"/>
    <numFmt numFmtId="167" formatCode="m"/>
    <numFmt numFmtId="168" formatCode="d/MM/yyyy"/>
  </numFmts>
  <fonts count="23">
    <font>
      <sz val="10.0"/>
      <color rgb="FF000000"/>
      <name val="Arial"/>
    </font>
    <font>
      <b/>
      <sz val="11.0"/>
      <color rgb="FFFFFFFF"/>
      <name val="Calibri"/>
    </font>
    <font>
      <sz val="11.0"/>
      <color theme="1"/>
      <name val="Calibri"/>
    </font>
    <font>
      <sz val="8.0"/>
      <color theme="1"/>
      <name val="Arial"/>
    </font>
    <font>
      <u/>
      <sz val="8.0"/>
      <color rgb="FF0000FF"/>
      <name val="Arial"/>
    </font>
    <font>
      <u/>
      <sz val="11.0"/>
      <color rgb="FF0563C1"/>
      <name val="Calibri"/>
    </font>
    <font>
      <u/>
      <sz val="11.0"/>
      <color rgb="FF0563C1"/>
      <name val="Calibri"/>
    </font>
    <font>
      <sz val="11.0"/>
      <color rgb="FF0563C1"/>
      <name val="Calibri"/>
    </font>
    <font>
      <u/>
      <sz val="11.0"/>
      <color theme="1"/>
      <name val="Calibri"/>
    </font>
    <font>
      <sz val="11.0"/>
      <color rgb="FF1155CC"/>
      <name val="Calibri"/>
    </font>
    <font>
      <b/>
      <sz val="10.0"/>
      <color theme="1"/>
      <name val="Calibri"/>
    </font>
    <font>
      <color theme="1"/>
      <name val="Arial"/>
    </font>
    <font>
      <sz val="11.0"/>
      <color rgb="FF000000"/>
      <name val="Calibri"/>
    </font>
    <font>
      <sz val="10.0"/>
      <color theme="1"/>
      <name val="Calibri"/>
    </font>
    <font>
      <color theme="1"/>
      <name val="Calibri"/>
    </font>
    <font>
      <color rgb="FFFFFFFF"/>
      <name val="Calibri"/>
    </font>
    <font>
      <sz val="11.0"/>
      <color rgb="FFFFFFFF"/>
      <name val="Calibri"/>
    </font>
    <font>
      <u/>
      <color rgb="FF0000FF"/>
    </font>
    <font>
      <u/>
      <color rgb="FF0000FF"/>
    </font>
    <font>
      <sz val="11.0"/>
      <color theme="1"/>
      <name val="Inconsolata"/>
    </font>
    <font>
      <u/>
      <sz val="11.0"/>
      <color rgb="FF0000FF"/>
      <name val="Calibri"/>
    </font>
    <font>
      <color rgb="FF000000"/>
      <name val="Calibri"/>
    </font>
    <font>
      <color rgb="FFFFFFFF"/>
      <name val="Arial"/>
    </font>
  </fonts>
  <fills count="4">
    <fill>
      <patternFill patternType="none"/>
    </fill>
    <fill>
      <patternFill patternType="lightGray"/>
    </fill>
    <fill>
      <patternFill patternType="solid">
        <fgColor rgb="FF0B5394"/>
        <bgColor rgb="FF0B5394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right" readingOrder="0" vertical="bottom"/>
    </xf>
    <xf borderId="1" fillId="2" fontId="1" numFmtId="164" xfId="0" applyAlignment="1" applyBorder="1" applyFont="1" applyNumberFormat="1">
      <alignment horizontal="right" vertical="bottom"/>
    </xf>
    <xf borderId="1" fillId="2" fontId="1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1" fillId="0" fontId="3" numFmtId="164" xfId="0" applyAlignment="1" applyBorder="1" applyFont="1" applyNumberFormat="1">
      <alignment horizontal="right"/>
    </xf>
    <xf borderId="1" fillId="0" fontId="4" numFmtId="0" xfId="0" applyAlignment="1" applyBorder="1" applyFont="1">
      <alignment horizontal="left"/>
    </xf>
    <xf borderId="1" fillId="0" fontId="5" numFmtId="0" xfId="0" applyAlignment="1" applyBorder="1" applyFont="1">
      <alignment horizontal="right" shrinkToFit="0" vertical="bottom" wrapText="1"/>
    </xf>
    <xf borderId="1" fillId="0" fontId="6" numFmtId="0" xfId="0" applyAlignment="1" applyBorder="1" applyFont="1">
      <alignment vertical="bottom"/>
    </xf>
    <xf borderId="1" fillId="0" fontId="7" numFmtId="0" xfId="0" applyAlignment="1" applyBorder="1" applyFont="1">
      <alignment horizontal="right" shrinkToFit="0" vertical="bottom" wrapText="1"/>
    </xf>
    <xf borderId="1" fillId="0" fontId="8" numFmtId="0" xfId="0" applyAlignment="1" applyBorder="1" applyFont="1">
      <alignment horizontal="right" shrinkToFit="0" vertical="bottom" wrapText="1"/>
    </xf>
    <xf borderId="1" fillId="0" fontId="2" numFmtId="0" xfId="0" applyAlignment="1" applyBorder="1" applyFont="1">
      <alignment horizontal="right" shrinkToFit="0" vertical="bottom" wrapText="1"/>
    </xf>
    <xf borderId="0" fillId="0" fontId="2" numFmtId="164" xfId="0" applyAlignment="1" applyFont="1" applyNumberFormat="1">
      <alignment horizontal="right"/>
    </xf>
    <xf borderId="0" fillId="0" fontId="2" numFmtId="0" xfId="0" applyAlignment="1" applyFont="1">
      <alignment horizontal="left"/>
    </xf>
    <xf borderId="0" fillId="0" fontId="9" numFmtId="0" xfId="0" applyAlignment="1" applyFont="1">
      <alignment horizontal="right" shrinkToFit="0" vertical="bottom" wrapText="1"/>
    </xf>
    <xf borderId="0" fillId="0" fontId="7" numFmtId="0" xfId="0" applyAlignment="1" applyFont="1">
      <alignment vertical="bottom"/>
    </xf>
    <xf borderId="0" fillId="0" fontId="10" numFmtId="0" xfId="0" applyAlignment="1" applyFont="1">
      <alignment vertical="bottom"/>
    </xf>
    <xf borderId="0" fillId="0" fontId="11" numFmtId="0" xfId="0" applyFont="1"/>
    <xf borderId="1" fillId="0" fontId="3" numFmtId="164" xfId="0" applyAlignment="1" applyBorder="1" applyFont="1" applyNumberFormat="1">
      <alignment horizontal="left"/>
    </xf>
    <xf borderId="1" fillId="0" fontId="12" numFmtId="165" xfId="0" applyAlignment="1" applyBorder="1" applyFont="1" applyNumberFormat="1">
      <alignment vertical="bottom"/>
    </xf>
    <xf borderId="1" fillId="3" fontId="12" numFmtId="164" xfId="0" applyBorder="1" applyFill="1" applyFont="1" applyNumberFormat="1"/>
    <xf borderId="0" fillId="0" fontId="13" numFmtId="0" xfId="0" applyFont="1"/>
    <xf borderId="0" fillId="0" fontId="11" numFmtId="166" xfId="0" applyFont="1" applyNumberFormat="1"/>
    <xf borderId="0" fillId="0" fontId="11" numFmtId="164" xfId="0" applyFont="1" applyNumberFormat="1"/>
    <xf borderId="1" fillId="3" fontId="12" numFmtId="0" xfId="0" applyBorder="1" applyFont="1"/>
    <xf borderId="0" fillId="0" fontId="3" numFmtId="0" xfId="0" applyAlignment="1" applyFont="1">
      <alignment horizontal="left"/>
    </xf>
    <xf borderId="0" fillId="0" fontId="13" numFmtId="164" xfId="0" applyAlignment="1" applyFont="1" applyNumberFormat="1">
      <alignment horizontal="right"/>
    </xf>
    <xf borderId="0" fillId="0" fontId="13" numFmtId="0" xfId="0" applyAlignment="1" applyFont="1">
      <alignment vertical="bottom"/>
    </xf>
    <xf borderId="0" fillId="0" fontId="14" numFmtId="0" xfId="0" applyAlignment="1" applyFont="1">
      <alignment vertical="bottom"/>
    </xf>
    <xf borderId="1" fillId="2" fontId="15" numFmtId="0" xfId="0" applyAlignment="1" applyBorder="1" applyFont="1">
      <alignment horizontal="left" vertical="bottom"/>
    </xf>
    <xf borderId="1" fillId="2" fontId="16" numFmtId="4" xfId="0" applyBorder="1" applyFont="1" applyNumberFormat="1"/>
    <xf borderId="1" fillId="2" fontId="15" numFmtId="4" xfId="0" applyAlignment="1" applyBorder="1" applyFont="1" applyNumberFormat="1">
      <alignment vertical="bottom"/>
    </xf>
    <xf borderId="1" fillId="2" fontId="15" numFmtId="0" xfId="0" applyAlignment="1" applyBorder="1" applyFont="1">
      <alignment vertical="bottom"/>
    </xf>
    <xf borderId="1" fillId="2" fontId="15" numFmtId="10" xfId="0" applyAlignment="1" applyBorder="1" applyFont="1" applyNumberFormat="1">
      <alignment vertical="bottom"/>
    </xf>
    <xf borderId="1" fillId="0" fontId="2" numFmtId="166" xfId="0" applyAlignment="1" applyBorder="1" applyFont="1" applyNumberFormat="1">
      <alignment horizontal="left"/>
    </xf>
    <xf borderId="1" fillId="0" fontId="11" numFmtId="0" xfId="0" applyBorder="1" applyFont="1"/>
    <xf borderId="1" fillId="0" fontId="17" numFmtId="0" xfId="0" applyBorder="1" applyFont="1"/>
    <xf borderId="1" fillId="0" fontId="14" numFmtId="4" xfId="0" applyAlignment="1" applyBorder="1" applyFont="1" applyNumberFormat="1">
      <alignment vertical="bottom"/>
    </xf>
    <xf borderId="1" fillId="0" fontId="14" numFmtId="0" xfId="0" applyAlignment="1" applyBorder="1" applyFont="1">
      <alignment vertical="bottom"/>
    </xf>
    <xf borderId="1" fillId="0" fontId="14" numFmtId="10" xfId="0" applyAlignment="1" applyBorder="1" applyFont="1" applyNumberFormat="1">
      <alignment vertical="bottom"/>
    </xf>
    <xf borderId="0" fillId="0" fontId="18" numFmtId="0" xfId="0" applyFont="1"/>
    <xf borderId="0" fillId="0" fontId="14" numFmtId="0" xfId="0" applyFont="1"/>
    <xf borderId="0" fillId="0" fontId="2" numFmtId="167" xfId="0" applyFont="1" applyNumberFormat="1"/>
    <xf borderId="0" fillId="0" fontId="2" numFmtId="0" xfId="0" applyFont="1"/>
    <xf borderId="0" fillId="0" fontId="2" numFmtId="0" xfId="0" applyAlignment="1" applyFont="1">
      <alignment horizontal="right" vertical="bottom"/>
    </xf>
    <xf borderId="0" fillId="0" fontId="19" numFmtId="0" xfId="0" applyFont="1"/>
    <xf borderId="0" fillId="0" fontId="2" numFmtId="166" xfId="0" applyFont="1" applyNumberFormat="1"/>
    <xf borderId="0" fillId="0" fontId="2" numFmtId="166" xfId="0" applyAlignment="1" applyFont="1" applyNumberFormat="1">
      <alignment horizontal="right" vertical="bottom"/>
    </xf>
    <xf borderId="0" fillId="0" fontId="19" numFmtId="166" xfId="0" applyFont="1" applyNumberFormat="1"/>
    <xf borderId="0" fillId="0" fontId="14" numFmtId="164" xfId="0" applyFont="1" applyNumberFormat="1"/>
    <xf borderId="0" fillId="0" fontId="20" numFmtId="167" xfId="0" applyFont="1" applyNumberFormat="1"/>
    <xf borderId="1" fillId="0" fontId="2" numFmtId="166" xfId="0" applyAlignment="1" applyBorder="1" applyFont="1" applyNumberFormat="1">
      <alignment horizontal="left" vertical="bottom"/>
    </xf>
    <xf borderId="1" fillId="0" fontId="19" numFmtId="166" xfId="0" applyAlignment="1" applyBorder="1" applyFont="1" applyNumberFormat="1">
      <alignment horizontal="left"/>
    </xf>
    <xf borderId="0" fillId="0" fontId="11" numFmtId="0" xfId="0" applyFont="1"/>
    <xf borderId="1" fillId="0" fontId="12" numFmtId="0" xfId="0" applyAlignment="1" applyBorder="1" applyFont="1">
      <alignment horizontal="left"/>
    </xf>
    <xf borderId="0" fillId="0" fontId="14" numFmtId="167" xfId="0" applyFont="1" applyNumberFormat="1"/>
    <xf borderId="0" fillId="0" fontId="14" numFmtId="0" xfId="0" applyAlignment="1" applyFont="1">
      <alignment horizontal="left"/>
    </xf>
    <xf borderId="0" fillId="0" fontId="21" numFmtId="0" xfId="0" applyFont="1"/>
    <xf borderId="0" fillId="0" fontId="14" numFmtId="10" xfId="0" applyFont="1" applyNumberFormat="1"/>
    <xf borderId="0" fillId="0" fontId="11" numFmtId="0" xfId="0" applyAlignment="1" applyFont="1">
      <alignment horizontal="left"/>
    </xf>
    <xf borderId="0" fillId="0" fontId="11" numFmtId="10" xfId="0" applyFont="1" applyNumberFormat="1"/>
    <xf borderId="1" fillId="2" fontId="16" numFmtId="0" xfId="0" applyAlignment="1" applyBorder="1" applyFont="1">
      <alignment readingOrder="0" shrinkToFit="0" vertical="bottom" wrapText="0"/>
    </xf>
    <xf borderId="1" fillId="2" fontId="16" numFmtId="164" xfId="0" applyAlignment="1" applyBorder="1" applyFont="1" applyNumberFormat="1">
      <alignment shrinkToFit="0" vertical="bottom" wrapText="0"/>
    </xf>
    <xf borderId="1" fillId="0" fontId="3" numFmtId="0" xfId="0" applyAlignment="1" applyBorder="1" applyFont="1">
      <alignment horizontal="left"/>
    </xf>
    <xf borderId="0" fillId="0" fontId="3" numFmtId="20" xfId="0" applyAlignment="1" applyFont="1" applyNumberFormat="1">
      <alignment horizontal="right"/>
    </xf>
    <xf borderId="0" fillId="0" fontId="12" numFmtId="0" xfId="0" applyAlignment="1" applyFont="1">
      <alignment shrinkToFit="0" vertical="bottom" wrapText="0"/>
    </xf>
    <xf borderId="0" fillId="0" fontId="12" numFmtId="164" xfId="0" applyAlignment="1" applyFont="1" applyNumberFormat="1">
      <alignment horizontal="right" shrinkToFit="0" vertical="bottom" wrapText="0"/>
    </xf>
    <xf borderId="0" fillId="0" fontId="3" numFmtId="164" xfId="0" applyAlignment="1" applyFont="1" applyNumberFormat="1">
      <alignment horizontal="right"/>
    </xf>
    <xf borderId="1" fillId="2" fontId="16" numFmtId="0" xfId="0" applyAlignment="1" applyBorder="1" applyFont="1">
      <alignment horizontal="left" shrinkToFit="0" vertical="bottom" wrapText="0"/>
    </xf>
    <xf borderId="1" fillId="2" fontId="22" numFmtId="164" xfId="0" applyBorder="1" applyFont="1" applyNumberFormat="1"/>
    <xf borderId="1" fillId="2" fontId="22" numFmtId="0" xfId="0" applyAlignment="1" applyBorder="1" applyFont="1">
      <alignment horizontal="left"/>
    </xf>
    <xf borderId="1" fillId="0" fontId="3" numFmtId="168" xfId="0" applyAlignment="1" applyBorder="1" applyFont="1" applyNumberFormat="1">
      <alignment horizontal="left"/>
    </xf>
    <xf borderId="1" fillId="0" fontId="3" numFmtId="20" xfId="0" applyAlignment="1" applyBorder="1" applyFont="1" applyNumberFormat="1">
      <alignment horizontal="left"/>
    </xf>
    <xf borderId="0" fillId="0" fontId="3" numFmtId="168" xfId="0" applyAlignment="1" applyFont="1" applyNumberFormat="1">
      <alignment horizontal="left"/>
    </xf>
    <xf borderId="0" fillId="0" fontId="3" numFmtId="164" xfId="0" applyAlignment="1" applyFont="1" applyNumberFormat="1">
      <alignment horizontal="left"/>
    </xf>
    <xf borderId="0" fillId="0" fontId="3" numFmtId="20" xfId="0" applyAlignment="1" applyFont="1" applyNumberFormat="1">
      <alignment horizontal="left"/>
    </xf>
    <xf borderId="0" fillId="2" fontId="22" numFmtId="0" xfId="0" applyAlignment="1" applyFont="1">
      <alignment vertical="bottom"/>
    </xf>
    <xf borderId="0" fillId="2" fontId="22" numFmtId="0" xfId="0" applyAlignment="1" applyFont="1">
      <alignment readingOrder="0" vertical="bottom"/>
    </xf>
    <xf borderId="1" fillId="2" fontId="22" numFmtId="0" xfId="0" applyAlignment="1" applyBorder="1" applyFont="1">
      <alignment vertical="bottom"/>
    </xf>
    <xf borderId="0" fillId="0" fontId="11" numFmtId="20" xfId="0" applyFont="1" applyNumberFormat="1"/>
    <xf borderId="1" fillId="0" fontId="11" numFmtId="166" xfId="0" applyBorder="1" applyFont="1" applyNumberFormat="1"/>
    <xf borderId="1" fillId="0" fontId="11" numFmtId="0" xfId="0" applyAlignment="1" applyBorder="1" applyFont="1">
      <alignment horizontal="right" readingOrder="0" vertical="bottom"/>
    </xf>
    <xf borderId="1" fillId="0" fontId="11" numFmtId="0" xfId="0" applyAlignment="1" applyBorder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4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4087" sheet="Descargas - Preprocessing"/>
  </cacheSource>
  <cacheFields>
    <cacheField name="Email_pseudo" numFmtId="164">
      <sharedItems containsBlank="1">
        <s v="1@gmail.com"/>
        <s v="2@yahoo.es"/>
        <s v="3@gmail.com"/>
        <s v="4@gmail.com"/>
        <s v="5@infortel.es"/>
        <s v="6@yahoo.es"/>
        <s v="7@unizar.es"/>
        <s v="8@gomezmoreno.com"/>
        <s v="9@chacontch.com"/>
        <s v="10@hotmail.com"/>
        <s v="11@gmail.com"/>
        <s v="12@gmail.com"/>
        <s v="13@inel.es"/>
        <s v="14@enerparking.com"/>
        <s v="15@apba.es"/>
        <s v="16@cambrabcn.org"/>
        <s v="17@gmail.com"/>
        <s v="18@urv.cat"/>
        <s v="19@grupoespacioindustrial.com"/>
        <s v="20@gmail.com"/>
        <s v="21@iteser.com"/>
        <s v="22@gmail.com"/>
        <s v="23@gmail.com"/>
        <s v="24@gmail.com"/>
        <s v="25@gmail.com"/>
        <s v="26@mktg.com"/>
        <s v="27@hotmail.com"/>
        <s v="28@gmail.com"/>
        <s v="29@gmail.com"/>
        <s v="30@gmail.com"/>
        <s v="31@gmail.com"/>
        <s v="32@gmail.com"/>
        <s v="33@gmail.com"/>
        <s v="34@gmail.com"/>
        <s v="35@gmail.com"/>
        <s v="36@visaonomada.pt"/>
        <s v="37@intienergia.com"/>
        <s v="38@telefonica.net"/>
        <s v="39@idom.com"/>
        <s v="40@hotmail.com"/>
        <s v="41@gmail.com"/>
        <s v="42@gmail.com"/>
        <s v="43@electricidadjoselucas.com"/>
        <s v="44@gmail.com"/>
        <s v="45@acotech.es"/>
        <s v="46@hotmail.com"/>
        <s v="47@marpemac.com"/>
        <s v="48@legebiltzarra.eus"/>
        <s v="49@grupocaeiro.es"/>
        <s v="50@gmail.com"/>
        <s v="51@yahoo.es"/>
        <s v="52@tdi-sistemas.com"/>
        <s v="53@dicara.es"/>
        <s v="54@abengoa.com"/>
        <s v="55@hotmail.com"/>
        <s v="56@iesmurgi.org"/>
        <s v="57@gmail.com"/>
        <s v="58@gabyl.com"/>
        <s v="59@gmail.com"/>
        <s v="60@rocketmail.com"/>
        <s v="61@elektra-sa.es"/>
        <s v="62@hotmail.com"/>
        <s v="63@semael.com"/>
        <s v="64@gmail.com"/>
        <s v="65@copitima.com"/>
        <s v="66@dgingenieros.es"/>
        <s v="67@becibiza.es"/>
        <s v="68@ingeosolar.com"/>
        <s v="69@gmail.com"/>
        <s v="70@gmail.com"/>
        <s v="71@hotmail.com"/>
        <s v="72@grupoelectrostocks.com"/>
        <s v="73@hotmail.com"/>
        <s v="74@electricidadguerra.com"/>
        <s v="75@telefonica.net"/>
        <s v="76@gmail.com"/>
        <s v="77@comsa.com"/>
        <s v="78@gmail.com"/>
        <s v="79@sonepar.es"/>
        <s v="80@enginyerstarragona.cat"/>
        <s v="81@gmail.com"/>
        <s v="82@sedes.es"/>
        <s v="83@eduardoaleman.es"/>
        <s v="84@electromontajesroldan.com"/>
        <s v="85@gmail.com"/>
        <s v="86@ingbuero-group.de"/>
        <s v="87@comsa.com"/>
        <s v="88@ingenierosvigo.com"/>
        <s v="89@ipsumindustrial.com"/>
        <s v="90@telefonica.net"/>
        <s v="91@valmet.com"/>
        <s v="92@gmail.com"/>
        <s v="93@gmail.com"/>
        <s v="94@grupocobra.com"/>
        <s v="95@gmail.com"/>
        <s v="96@hotmail.com"/>
        <s v="97@igpingenieria.com"/>
        <s v="98@davidjdiaz.es"/>
        <s v="99@coitir.com"/>
        <s v="100@hotmail.com"/>
        <s v="101@coiirm.es"/>
        <s v="102@telefonica.net"/>
        <s v="103@ciccp.es"/>
        <s v="104@spiningenieros.com"/>
        <s v="105@gmail.com"/>
        <s v="106@ucm.es"/>
        <s v="107@dipucr.es"/>
        <s v="108@salesianos.edu"/>
        <s v="109@gmail.com"/>
        <s v="110@3epsilonsolutions.com"/>
        <s v="111@murciaeduca.es"/>
        <s v="112@gmail.com"/>
        <s v="113@gmail.com"/>
        <s v="114@hotmail.com"/>
        <s v="115@yahoo.es"/>
        <s v="116@sgs.com"/>
        <s v="117@telefonica.net"/>
        <s v="118@legebiltzarra.eus"/>
        <s v="119@ideaingenieria.es"/>
        <s v="120@yahoo.com"/>
        <s v="121@gmail.com"/>
        <s v="122@tecnimed.net"/>
        <s v="123@grupocuerva.com"/>
        <s v="124@betenergia.es"/>
        <s v="125@gmail.com"/>
        <s v="126@gmail.com"/>
        <s v="127@prevae.com"/>
        <s v="128@gmail.com"/>
        <s v="129@inypro.com"/>
        <s v="130@gmail.com"/>
        <s v="131@hotmail.com"/>
        <s v="132@gmail.com"/>
        <s v="133@fasfas.com"/>
        <s v="134@gmail.com"/>
        <s v="135@telefonica.net"/>
        <s v="136@gmail.com"/>
        <s v="137@alcar2000.com"/>
        <s v="138@grupocobra.com"/>
        <s v="139@yahoo.es"/>
        <s v="140@yahoo.es"/>
        <s v="141@gmail.com"/>
        <s v="142@gmail.com"/>
        <s v="143@gmail.com"/>
        <s v="144@gmail.com"/>
        <s v="145@coitihuelva.com"/>
        <s v="146@instalacionsigualada.com"/>
        <s v="147@hotmail.es"/>
        <s v="148@gmail.com"/>
        <s v="149@gmail.com"/>
        <s v="150@atla.es"/>
        <s v="151@gmail.com"/>
        <s v="152@gmail.com"/>
        <s v="153@telefonica.net"/>
        <s v="154@jorditamayo.com"/>
        <s v="155@arcbcn.cat"/>
        <s v="156@riosrenovables.com"/>
        <s v="157@hotmail.com"/>
        <s v="158@acollconsulting.es"/>
        <s v="159@gmail.com"/>
        <s v="160@hotmail.com"/>
        <s v="161@gmail.com"/>
        <s v="162@gmail.com"/>
        <s v="163@gmail.com"/>
        <s v="164@telefonica.net"/>
        <s v="165@dobontech.com"/>
        <s v="166@napols.net"/>
        <s v="167@me.com"/>
        <s v="168@hc-ingenieros.com"/>
        <s v="169@gmail.com"/>
        <s v="170@ciudaddelosmuchachos.com"/>
        <s v="171@gmail.com"/>
        <s v="172@ardisenginyeria.com"/>
        <s v="173@gmail.com"/>
        <s v="174@hotmail.com"/>
        <s v="175@gobesa.com"/>
        <s v="176@aia.cat"/>
        <s v="177@mobcn.org"/>
        <s v="178@tec-engineering.es"/>
        <s v="179@mundo-r.com"/>
        <s v="180@aquambiente.es"/>
        <s v="181@juntaex.es"/>
        <s v="182@usal.es"/>
        <s v="183@arquired.es"/>
        <s v="184@telefonica.net"/>
        <s v="185@asintec.info"/>
        <s v="186@msn.com"/>
        <s v="187@castelyfernandez.es"/>
        <s v="188@gmail.com"/>
        <s v="189@gmail.com"/>
        <s v="190@idom.com"/>
        <s v="191@gruposinelec.com"/>
        <s v="192@gmail.com"/>
        <s v="193@triangulo.com.es"/>
        <s v="194@hotmail.com"/>
        <s v="195@electricidadmadruga.com"/>
        <s v="196@gmail.com"/>
        <s v="197@enginyerstarragona.cat"/>
        <s v="198@hotmail.es"/>
        <s v="199@elektra-sa.es"/>
        <s v="200@smassa.eu"/>
        <s v="201@gmail.com"/>
        <s v="202@gmail.com"/>
        <s v="203@outlook.com"/>
        <s v="204@ebcn.cat"/>
        <s v="205@es.tuv.com"/>
        <s v="206@jgingenieros.es"/>
        <s v="207@tecnicasyrecursos.com"/>
        <s v="208@acortaenergia.com"/>
        <s v="209@azingenieria.es"/>
        <s v="210@simon.pt"/>
        <s v="211@elgremi.cat"/>
        <s v="212@gmail.com"/>
        <s v="213@guidogroup.com"/>
        <s v="214@gmail.com"/>
        <s v="215@enel.com"/>
        <s v="216@gmail.com"/>
        <s v="217@esypro.net"/>
        <s v="218@erasmil.com"/>
        <s v="219@gmail.com"/>
        <s v="220@istem.es"/>
        <s v="221@maganrenovables.com"/>
        <s v="222@jcgracia.es"/>
        <s v="223@gmail.com"/>
        <s v="224@hotmail.com"/>
        <s v="225@gmail.com"/>
        <s v="226@hotmail.com"/>
        <s v="227@gmail.com"/>
        <s v="228@erasmil.com"/>
        <s v="229@gmail.com"/>
        <s v="230@solsureste.com"/>
        <s v="231@gmail.com"/>
        <s v="232@mersa.es"/>
        <s v="233@gmail.com"/>
        <s v="234@pgiengineering.com"/>
        <s v="235@gmail.com"/>
        <s v="236@elecnor.com"/>
        <s v="237@idsa.es"/>
        <s v="238@engie.com"/>
        <s v="239@alfadesarrollo.com"/>
        <s v="240@hotmail.com"/>
        <s v="241@gmail.com"/>
        <s v="242@outlook.es"/>
        <s v="243@homcrea.fr"/>
        <s v="244@as.com"/>
        <s v="245@gmail.com"/>
        <s v="246@simon.es"/>
        <s v="247@gmail.com"/>
        <s v="248@llachsoillum.cat"/>
        <s v="249@herreroingenieros.com"/>
        <s v="250@inacces.com"/>
        <s v="251@gmail.com"/>
        <s v="252@hotmail.com"/>
        <s v="253@putzmeister.com"/>
        <s v="254@hotmail.com"/>
        <s v="255@hotmail.com"/>
        <s v="256@mail.com"/>
        <s v="257@telefonica.net"/>
        <s v="258@jesnar2011.es"/>
        <s v="259@electricosaragon2000.com"/>
        <s v="260@hotmail.com"/>
        <s v="261@gmail.com"/>
        <s v="262@gmail.com"/>
        <s v="263@sueprat.es"/>
        <s v="264@edaie.com"/>
        <s v="265@gmail.com"/>
        <s v="266@hotmail.es"/>
        <s v="267@fiberlec.com"/>
        <s v="268@gmail.com"/>
        <s v="269@hotmail.com"/>
        <s v="270@gmail.com"/>
        <s v="271@pkcgroup.com"/>
        <s v="272@gmail.com"/>
        <s v="273@gmail.com"/>
        <s v="274@movistar.es"/>
        <s v="275@aransa.com"/>
        <s v="276@gmail.com"/>
        <s v="277@fcc.es"/>
        <s v="278@urbaser.com"/>
        <s v="279@vazquezconsuegra.com"/>
        <s v="280@susaeta.net"/>
        <s v="281@montajescastellon.com"/>
        <s v="282@comsa.com"/>
        <s v="283@occidentalhotels.com"/>
        <s v="284@telman.es"/>
        <s v="285@hotmail.com"/>
        <s v="286@icaluz.com"/>
        <s v="287@parcdesalutmar.cat"/>
        <s v="288@fcc.es"/>
        <s v="289@gmail.com"/>
        <s v="290@msn.com"/>
        <s v="291@yahoo.es"/>
        <s v="292@espe.edu.ec"/>
        <s v="293@hotmail.com"/>
        <s v="294@lumial.es"/>
        <s v="295@gmail.com"/>
        <s v="296@gmail.com"/>
        <s v="297@hotmail.com"/>
        <s v="298@ibielectric.com"/>
        <s v="299@vimasol.es"/>
        <s v="300@vimasol.es"/>
        <s v="301@vimasol.es"/>
        <s v="302@loalnet.com"/>
        <s v="303@simon.es"/>
        <s v="304@simon.es"/>
        <s v="305@wanadoo.es"/>
        <s v="306@gmail.com"/>
        <s v="307@yahoo.es"/>
        <s v="308@rexel.es"/>
        <s v="309@hotmail.com"/>
        <s v="310@outlook.com"/>
        <s v="311@tresa.volkswagen.es"/>
        <s v="312@telefonica.net"/>
        <s v="313@inelbo.eiffage.es"/>
        <s v="314@bitrir.es"/>
        <s v="315@bongrup.es"/>
        <s v="316@aymesa.com"/>
        <s v="317@portsdebalears.com"/>
        <s v="318@gmail.com"/>
        <s v="319@gmail.com"/>
        <s v="320@gmail.com"/>
        <s v="321@gmail.com"/>
        <s v="322@rutronik.com"/>
        <s v="323@hotmail.com"/>
        <s v="324@onsaze.es"/>
        <s v="325@sonepar.es"/>
        <s v="326@gmail.com"/>
        <s v="327@romovi.com"/>
        <s v="328@siemens.com"/>
        <s v="329@covama.es"/>
        <s v="330@hotmail.com"/>
        <s v="331@gmail.com"/>
        <s v="332@gmail.com"/>
        <s v="333@jbizcocho.es"/>
        <s v="334@mixmail.com"/>
        <s v="335@faepac.org"/>
        <s v="336@gmail.com"/>
        <s v="337@gmail.com"/>
        <s v="338@u220.es"/>
        <s v="339@emiliocueto.com"/>
        <s v="340@bizkaia.eu"/>
        <s v="341@enchufesolar.com"/>
        <s v="342@idesa.pro"/>
        <s v="343@gmail.com"/>
        <s v="344@hotmail.com"/>
        <s v="345@enerwatt.es"/>
        <s v="346@gmail.com"/>
        <s v="347@engie.com"/>
        <s v="348@telefonica.net"/>
        <s v="349@dipualba.es"/>
        <s v="350@talleresloam.com"/>
        <s v="351@cochele.com"/>
        <s v="352@live.com.mx"/>
        <s v="353@industrialgines.com"/>
        <s v="354@gmail.com"/>
        <s v="355@gmail.com"/>
        <s v="356@hotmail.com"/>
        <s v="357@cesvimap.com"/>
        <s v="358@suris.es"/>
        <s v="359@movistar.es"/>
        <s v="360@gmail.com"/>
        <s v="361@trabajosadomicilio.es"/>
        <s v="362@hotmail.com"/>
        <s v="363@gmail.com"/>
        <s v="364@telefonica.net"/>
        <s v="365@edu.xunta.es"/>
        <s v="366@gmail.com"/>
        <s v="367@yahoo.es"/>
        <s v="368@gmail.com"/>
        <s v="369@upc.edu"/>
        <s v="370@coac.es"/>
        <s v="371@hotmail.com"/>
        <s v="372@ub.edu"/>
        <s v="373@eling.es"/>
        <s v="374@copitima.com"/>
        <s v="375@gmail.com"/>
        <s v="376@gmail.com"/>
        <s v="377@nouges.es"/>
        <s v="378@mcrdielec.com"/>
        <s v="379@gmail.com"/>
        <s v="380@acp-level.es"/>
        <s v="381@mtcholding.ro"/>
        <s v="382@gmail.com"/>
        <s v="383@llamas.com.es"/>
        <s v="384@comsa.com"/>
        <s v="385@upc.edu"/>
        <s v="386@xtec.cat"/>
        <s v="387@gmail.com"/>
        <s v="388@gmail.com"/>
        <s v="389@yahoo.es"/>
        <s v="390@hotmail.com"/>
        <s v="391@gmail.com"/>
        <s v="392@gmail.com"/>
        <s v="393@gmail.com"/>
        <s v="394@yahoo.es"/>
        <s v="395@ajinstal.cat"/>
        <s v="396@gmail.com"/>
        <s v="397@orange.es"/>
        <s v="398@ciudaddelosmuchachos.com"/>
        <s v="399@gmail.com"/>
        <s v="400@arquired.es"/>
        <s v="401@hotmail.es"/>
        <s v="402@gmail.com"/>
        <s v="403@hotmail.com"/>
        <s v="404@hotmail.com"/>
        <s v="405@yahoo.es"/>
        <s v="406@gmail.com"/>
        <s v="407@romher.es"/>
        <s v="408@ic3sl.com"/>
        <s v="409@gruposinelec.com"/>
        <s v="410@gmail.com"/>
        <s v="411@proyectosdelhogar.com"/>
        <s v="412@seelectroled.com"/>
        <s v="413@emancha.com"/>
        <s v="414@gruptba.com"/>
        <s v="415@gmail.com"/>
        <s v="416@dominguezelectricidad.es"/>
        <s v="417@gmail.com"/>
        <s v="418@proyectosict.net"/>
        <s v="419@miscelec.com"/>
        <s v="420@covama.es"/>
        <s v="421@maelse.com"/>
        <s v="422@amena.com"/>
        <s v="423@me.com"/>
        <s v="424@ulmahandling.com"/>
        <s v="425@telefonica.net"/>
        <s v="426@gmail.com"/>
        <s v="427@gmail.com"/>
        <s v="428@hotmail.com"/>
        <s v="429@yahoo.es"/>
        <s v="430@urgon.es"/>
        <s v="431@hotmail.com"/>
        <s v="432@acacea.es"/>
        <s v="433@gmail.com"/>
        <s v="434@gmail.com"/>
        <s v="435@solucionesms.es"/>
        <s v="436@electrosoler.com"/>
        <s v="437@alrolasistemas.es"/>
        <s v="438@epla.es"/>
        <s v="439@edu.xunta.es"/>
        <s v="440@fedirbra.com"/>
        <s v="441@arquiem.es"/>
        <s v="442@hotmail.com"/>
        <s v="443@ingenia.es"/>
        <s v="444@dymiel.es"/>
        <s v="445@sueprat.es"/>
        <s v="446@atega.net"/>
        <s v="447@iescotesbaixes.org"/>
        <s v="448@gmail.com"/>
        <s v="449@urgon.es"/>
        <s v="450@gmail.com"/>
        <s v="451@ingelux.com"/>
        <s v="452@urgon.es"/>
        <s v="453@edelafuente.com"/>
        <s v="454@gmail.com"/>
        <s v="455@gmail.com"/>
        <s v="456@electricidadvilela.com"/>
        <s v="457@outlook.com"/>
        <s v="458@imel.es"/>
        <s v="459@sesetec.com"/>
        <s v="460@gmail.com"/>
        <s v="461@msn.com"/>
        <s v="462@gmail.com"/>
        <s v="463@gmail.com"/>
        <s v="464@hotmail.es"/>
        <s v="465@hotmail.com"/>
        <s v="466@gmail.com"/>
        <s v="467@gmail.com"/>
        <s v="468@yahoo.es"/>
        <s v="469@somorrostro.com"/>
        <s v="470@gmail.com"/>
        <s v="471@abengoa.com"/>
        <s v="472@ebcn.cat"/>
        <s v="473@inexo.es"/>
        <s v="474@tectram.com"/>
        <s v="475@hotmail.es"/>
        <s v="476@hotmail.com"/>
        <s v="477@gmail.com"/>
        <s v="478@gmail.com"/>
        <s v="479@gmail.com"/>
        <s v="480@gmail.com"/>
        <s v="481@gmail.com"/>
        <s v="482@pentamatik.com"/>
        <s v="483@arval.es"/>
        <s v="484@macegroup.com"/>
        <s v="485@hotmail.com"/>
        <s v="486@gmail.com"/>
        <s v="487@gmail.com"/>
        <s v="488@gmail.com"/>
        <s v="489@carbonellfigueras.com"/>
        <s v="490@idom.com"/>
        <s v="491@gmail.com"/>
        <s v="492@hotmail.com"/>
        <s v="493@gmail.com"/>
        <s v="494@protelec.es"/>
        <s v="495@boslan.com"/>
        <s v="496@gmail.com"/>
        <s v="497@6d-ingenieros.com"/>
        <s v="498@gmail.com"/>
        <s v="499@netcabo.pt"/>
        <s v="500@gmail.com"/>
        <s v="501@gmail.com"/>
        <s v="502@hotmail.com"/>
        <s v="503@ofp.cat"/>
        <s v="504@avilayhevia.com"/>
        <s v="505@mavipas.com"/>
        <s v="506@pina-ingenieria.com"/>
        <s v="507@eco-voltaica.com"/>
        <s v="508@gmail.com"/>
        <s v="509@hotmail.com"/>
        <s v="510@gmail.com"/>
        <s v="511@yahoo.es"/>
        <s v="512@hotmail.com"/>
        <s v="513@osmos.es"/>
        <s v="514@hotmail.com"/>
        <s v="515@torrepacheco.es"/>
        <s v="516@hotmail.es"/>
        <s v="517@palmersebastian.com"/>
        <s v="518@gmail.com"/>
        <s v="519@outlook.com"/>
        <s v="520@ecf-electricidad.com"/>
        <s v="521@gmail.com"/>
        <s v="522@siemens.com"/>
        <s v="523@gmail.com"/>
        <s v="524@gmail.com"/>
        <s v="525@comsa.com"/>
        <s v="526@gmail.com"/>
        <s v="527@yahoo.com.mx"/>
        <s v="528@gmail.com"/>
        <s v="529@gmail.com"/>
        <s v="530@trilegend.com"/>
        <s v="531@csisuministros.com"/>
        <s v="532@gmail.com"/>
        <s v="533@emconsulting.es"/>
        <s v="534@gmail.com"/>
        <s v="535@bgp.es"/>
        <s v="536@adymus.es"/>
        <s v="537@sonneingenieria.com"/>
        <s v="538@herquesa.com"/>
        <s v="539@cablenergia.com"/>
        <s v="540@hotmail.com"/>
        <s v="541@gmail.com"/>
        <s v="542@yahoo.es"/>
        <s v="543@andreumanteniment.com"/>
        <s v="544@telnor.es"/>
        <s v="545@serviciosenergeticoslp.es"/>
        <s v="546@gmail.com"/>
        <s v="547@grupocuerva.com"/>
        <s v="548@hotmail.com"/>
        <s v="549@gmail.com"/>
        <s v="550@activate2.com"/>
        <s v="551@mdvproyectos.es"/>
        <s v="552@engie.com"/>
        <s v="553@aenor.com"/>
        <s v="554@gngrup.com"/>
        <s v="555@yahoo.es"/>
        <s v="556@gmail.com"/>
        <s v="557@dip-badajoz.es"/>
        <s v="558@gmail.com"/>
        <s v="559@sygsa.com"/>
        <s v="560@gmail.com"/>
        <s v="561@aialmeingenieros.com"/>
        <s v="562@gmail.com"/>
        <s v="563@salesianospamplona.net"/>
        <s v="564@gmail.com"/>
        <s v="565@gmail.com"/>
        <s v="566@gmail.com"/>
        <s v="567@sonovatec.com"/>
        <s v="568@hotmail.com"/>
        <s v="569@hotmail.com"/>
        <s v="570@hotmail.com"/>
        <s v="571@outlook.com"/>
        <s v="572@gmail.com"/>
        <s v="573@gmail.com"/>
        <s v="574@tecuni.com"/>
        <s v="575@hotmail.com"/>
        <s v="576@gmail.com"/>
        <s v="577@electroalbors.com"/>
        <s v="578@gmail.com"/>
        <s v="579@gmail.com"/>
        <s v="580@gmail.com"/>
        <s v="581@gmail.com"/>
        <s v="582@gmail.com"/>
        <s v="583@iesmontsia.org"/>
        <s v="584@petronet24.net"/>
        <s v="585@hotmail.com"/>
        <s v="586@hotmail.com"/>
        <s v="587@gescogestio.com"/>
        <s v="588@gmail.com"/>
        <s v="589@freelight.es"/>
        <s v="590@hotmail.com"/>
        <s v="591@alterenergy.com.ar"/>
        <s v="592@garciacomas.com"/>
        <s v="593@sorigue.com"/>
        <s v="594@hotmail.com"/>
        <s v="595@centroasturianobarcelona.com"/>
        <s v="596@gmail.com"/>
        <s v="597@svingenieria.com.co"/>
        <s v="598@simon.es"/>
        <s v="599@gmail.com"/>
        <s v="600@saltoki.es"/>
        <s v="601@gmail.com"/>
        <s v="602@gmail.com"/>
        <s v="603@tenmega.pt"/>
        <s v="604@goliathspain.es"/>
        <s v="605@hotmail.com"/>
        <s v="606@gmail.com"/>
        <s v="607@eficiona.com"/>
        <s v="608@sgingenieros.es"/>
        <s v="609@ritelecenergia.es"/>
        <s v="610@electricharger.com"/>
        <s v="611@santacruzdetenerife.es"/>
        <s v="612@gmail.com"/>
        <s v="613@proingo.es"/>
        <s v="614@valledeleste.es"/>
        <s v="615@iealcazar.com"/>
        <s v="616@a6ingenieria.es"/>
        <s v="617@energia.eiffage.es"/>
        <s v="618@ibil.es"/>
        <s v="619@movistar.es"/>
        <s v="620@loop-cn.com"/>
        <s v="621@gmail.com"/>
        <s v="622@icingenieros.es"/>
        <s v="623@gmail.com"/>
        <s v="624@inserty.net"/>
        <s v="625@hotmail.com"/>
        <s v="626@yahoo.es"/>
        <s v="627@gmail.com"/>
        <s v="628@inquo.es"/>
        <s v="629@gmail.com"/>
        <s v="630@melia.com"/>
        <s v="631@engie.com"/>
        <s v="632@gmail.com"/>
        <s v="633@outlook.com"/>
        <s v="634@easycharger.es"/>
        <s v="635@coneq.es"/>
        <s v="636@csisuministros.com"/>
        <s v="637@simon.es"/>
        <s v="638@me.com"/>
        <s v="639@rolearmais.pt"/>
        <s v="640@simon.es"/>
        <s v="641@bodai.es"/>
        <s v="642@ecoviv.eu"/>
        <s v="643@gmail.com"/>
        <s v="644@ebconsultores.com"/>
        <s v="645@confiplano.com"/>
        <s v="646@gmail.com"/>
        <s v="647@apis-ing.es"/>
        <s v="648@bcnovatecnics.com"/>
        <s v="649@yahoo.es"/>
        <s v="650@hotmail.com"/>
        <s v="651@coitim.es"/>
        <s v="652@miesasa.com"/>
        <s v="653@hotmail.com"/>
        <s v="654@staperpetua.cat"/>
        <s v="655@seproi.com"/>
        <s v="656@gmail.com"/>
        <s v="657@enaire.es"/>
        <s v="658@gmail.com"/>
        <s v="659@gleeds.es"/>
        <s v="660@unex.net"/>
        <s v="661@horus.es"/>
        <s v="662@3cid.es"/>
        <s v="663@hotmail.com"/>
        <s v="664@hotmail.es"/>
        <s v="665@gmail.com"/>
        <s v="666@ighmallorca.com"/>
        <s v="667@ces2010.es"/>
        <s v="668@dipucordoba.es"/>
        <s v="669@hotmail.com"/>
        <s v="670@nogawatio.es"/>
        <s v="671@csisuministros.com"/>
        <s v="672@gmail.com"/>
        <s v="673@gmail.com"/>
        <s v="674@coitt.es"/>
        <s v="675@aclingenieria.com"/>
        <s v="676@promec.es"/>
        <s v="677@gmail.com"/>
        <s v="678@nh-hotels.com"/>
        <s v="679@hotmail.com"/>
        <s v="680@chargeguru.com"/>
        <s v="681@electricidadbalaguer.es"/>
        <s v="682@gmail.com"/>
        <s v="683@hagergroup.com"/>
        <s v="684@gmail.com"/>
        <s v="685@climava.com"/>
        <s v="686@electro-h.es"/>
        <s v="687@outlook.es"/>
        <s v="688@legrandgroup.es"/>
        <s v="689@arbonapiza.com"/>
        <s v="690@dllgroup.com"/>
        <s v="691@cbre.com"/>
        <s v="692@gmail.com"/>
        <s v="693@yahoo.com.mx"/>
        <s v="694@gmail.com"/>
        <s v="695@gmail.com"/>
        <s v="696@rlinstalacioneselectricas.com"/>
        <s v="697@ingedomsl.com"/>
        <s v="698@gmail.com"/>
        <s v="699@unisystems.es"/>
        <s v="700@gmail.com"/>
        <s v="701@gmail.com"/>
        <s v="702@hotmail.com"/>
        <s v="703@gmail.com"/>
        <s v="704@gmail.com"/>
        <s v="705@gmail.com"/>
        <s v="706@juntaex.es"/>
        <s v="707@ufd.es"/>
        <s v="708@zaker.com"/>
        <s v="709@gmail.com"/>
        <s v="710@hotmail.com"/>
        <s v="711@hotmail.com"/>
        <s v="712@gjautomotive.com"/>
        <s v="713@gmail.com"/>
        <s v="714@hotmail.com"/>
        <s v="715@gmail.com"/>
        <s v="716@gmail.com"/>
        <s v="717@rtve.es"/>
        <s v="718@poweringcar.com"/>
        <s v="719@gmail.com"/>
        <s v="720@pgiengineering.com"/>
        <s v="721@gmail.com"/>
        <s v="722@gmail.com"/>
        <s v="723@gmail.com"/>
        <s v="724@gmail.com"/>
        <s v="725@gmail.com"/>
        <s v="726@gmail.com"/>
        <s v="727@membrives.es"/>
        <s v="728@calambre.net"/>
        <s v="729@gmail.com"/>
        <s v="730@hotmail.com"/>
        <s v="731@bonoboenergy.com"/>
        <s v="732@vcejudo.es"/>
        <s v="733@gmail.com"/>
        <s v="734@gmail.com"/>
        <s v="735@serveiskronier55.com"/>
        <s v="736@yahoo.com"/>
        <s v="737@lagingenieros.es"/>
        <s v="738@caatvalencia.es"/>
        <s v="739@isf-esp.com"/>
        <s v="740@cee.com.es"/>
        <s v="741@dieselsanchez.com"/>
        <s v="742@acoeman.com"/>
        <s v="743@bahiguell.com"/>
        <s v="744@gmail.com"/>
        <s v="745@geinstal.com"/>
        <s v="746@msn.com"/>
        <s v="747@tecnicas.es"/>
        <s v="748@gmail.com"/>
        <s v="749@gmail.com"/>
        <s v="750@germaniaweb.com"/>
        <s v="751@ecium.es"/>
        <s v="752@hotmail.com"/>
        <s v="753@arquinur.es"/>
        <s v="754@gmail.com"/>
        <s v="755@coitt.es"/>
        <s v="756@gsima.es"/>
        <s v="757@integra-sti.com"/>
        <s v="758@ingenieros.com"/>
        <s v="759@hotmail.com"/>
        <s v="760@hotmail.com"/>
        <s v="761@insfuert.es"/>
        <s v="762@hotmail.com"/>
        <s v="763@gmail.com"/>
        <s v="764@nova-electrica.com"/>
        <s v="765@gmail.com"/>
        <s v="766@hotmail.com"/>
        <s v="767@rexel.es"/>
        <s v="768@gmail.com"/>
        <s v="769@gmail.com"/>
        <s v="770@inmotiza.com"/>
        <s v="771@solutions30.com"/>
        <s v="772@faen.es"/>
        <s v="773@perequart.com"/>
        <s v="774@urgon.es"/>
        <s v="775@yahoo.es"/>
        <s v="776@entepi.com"/>
        <s v="777@onofflife.es"/>
        <s v="778@gmail.com"/>
        <s v="779@gmail.com"/>
        <s v="780@hotmail.com"/>
        <s v="781@gmail.com"/>
        <s v="782@gmail.com"/>
        <s v="783@diexfe.com"/>
        <s v="784@live.com"/>
        <s v="785@gabrielcorchero.org"/>
        <s v="786@grupoelectrostocks.com"/>
        <s v="787@electricidadoriagomez.com"/>
        <s v="788@casvicuatro.es"/>
        <s v="789@simsabdn.cat"/>
        <s v="790@yahoo.com.ar"/>
        <s v="791@hotmail.com"/>
        <s v="792@gva.es"/>
        <s v="793@gmail.com"/>
        <s v="794@somoselectricistas.com"/>
        <s v="795@lomosamovilidad.com"/>
        <s v="796@gmail.com"/>
        <s v="797@gmail.com"/>
        <s v="798@gmail.com"/>
        <s v="799@yahoo.es"/>
        <s v="800@taubertek.com"/>
        <s v="801@hotmail.es"/>
        <s v="802@hotmail.com"/>
        <s v="803@outlook.com"/>
        <s v="804@monrabal.net"/>
        <s v="805@gmail.com"/>
        <s v="806@gmail.com"/>
        <s v="807@gmail.com"/>
        <s v="808@ale.es"/>
        <s v="809@naturgy.com"/>
        <s v="810@arquired.es"/>
        <s v="811@proinsermant.com"/>
        <s v="812@invgrupo.com"/>
        <s v="813@kilovatiogalicia.com"/>
        <s v="814@interingenieria.com"/>
        <s v="815@uach.mx"/>
        <s v="816@energia.eiffage.es"/>
        <s v="817@gmail.com"/>
        <s v="818@galektra.es"/>
        <s v="819@hotmail.com"/>
        <s v="820@ebcn.cat"/>
        <s v="821@gmail.com"/>
        <s v="822@yahoo.fr"/>
        <s v="823@gmail.com"/>
        <s v="824@gmail.com"/>
        <s v="825@hotmail.com"/>
        <s v="826@gmail.com"/>
        <s v="827@coitiar.es"/>
        <s v="828@zf.com"/>
        <s v="829@gmail.com"/>
        <s v="830@gmail.com"/>
        <s v="831@gmail.com"/>
        <s v="832@suministradora.com"/>
        <s v="833@ofitecbp.com"/>
        <s v="834@gmail.com"/>
        <s v="835@gmail.com"/>
        <s v="836@simon.es"/>
        <s v="837@gmail.com"/>
        <s v="838@sdin.es"/>
        <s v="839@fluidsa.com"/>
        <s v="840@gmail.com"/>
        <s v="841@gmail.com"/>
        <s v="842@fibramur.com"/>
        <s v="843@instalacionescueto.com"/>
        <s v="844@certis.cat"/>
        <s v="845@hotmail.com"/>
        <s v="846@hotmail.com"/>
        <s v="847@lodeal.es"/>
        <s v="848@sesaelec.com"/>
        <s v="849@gmail.com"/>
        <s v="850@gmail.com"/>
        <s v="851@arquitecto.com"/>
        <s v="852@grupviu.com"/>
        <s v="853@gmail.com"/>
        <s v="854@msn.com"/>
        <s v="855@msn.com"/>
        <s v="856@gmail.com"/>
        <s v="857@gmail.com"/>
        <s v="858@gmail.com"/>
        <s v="859@hotmail.com"/>
        <s v="860@gmail.com"/>
        <s v="861@outlook.com"/>
        <s v="862@fpcm.es"/>
        <s v="863@outlook.com"/>
        <s v="864@es.uazuay.edu.ec"/>
        <s v="865@asmoaingenieria.com"/>
        <s v="866@typsa.es"/>
        <s v="867@proyectosjamaras.es"/>
        <s v="868@gmail.com"/>
        <s v="869@yahoo.es"/>
        <s v="870@gmail.com"/>
        <s v="871@cefiner.com"/>
        <s v="872@gmail.com"/>
        <s v="873@eutikes.com"/>
        <s v="874@coac.net"/>
        <s v="875@orange.es"/>
        <s v="876@arquitectonica.cat"/>
        <s v="877@gmail.com"/>
        <s v="878@masteringenieria.com"/>
        <s v="879@sicoris.com"/>
        <s v="880@miquelnieto.com"/>
        <s v="881@hotmail.com"/>
        <s v="882@domotelelectric.com"/>
        <s v="883@hotmail.com"/>
        <s v="884@enersos.es"/>
        <s v="885@gmail.com"/>
        <s v="886@gmail.com"/>
        <s v="887@gmail.com"/>
        <s v="888@zivautomation.com"/>
        <s v="889@hotmail.com"/>
        <s v="890@hotmail.com"/>
        <s v="891@gmail.com"/>
        <s v="892@hotmail.com"/>
        <s v="893@krean.com"/>
        <s v="894@gmail.com"/>
        <s v="895@volumetric.eu"/>
        <s v="896@gmail.com"/>
        <s v="897@rtve.es"/>
        <s v="898@gmail.com"/>
        <s v="899@gmail.com"/>
        <s v="900@hirurok.eu"/>
        <s v="901@gmail.com"/>
        <s v="902@gmail.com"/>
        <s v="903@edirocsa.com"/>
        <s v="904@inboundcycle.com"/>
        <s v="905@yahoo.es"/>
        <s v="906@europrojectes.es"/>
        <s v="907@gmail.com"/>
        <s v="908@hotmail.com"/>
        <s v="909@gmail.com"/>
        <s v="910@sogesa.es"/>
        <s v="911@lusorede.pt"/>
        <s v="912@gmail.com"/>
        <s v="913@quorania.com"/>
        <s v="914@gmail.com"/>
        <s v="915@gmail.com"/>
        <s v="916@gcaarq.com"/>
        <s v="917@gmail.com"/>
        <s v="918@gmail.com"/>
        <s v="919@hotmail.com"/>
        <s v="920@meval.eu"/>
        <s v="921@gmail.com"/>
        <s v="922@ingenierosvigo.com"/>
        <s v="923@gmail.com"/>
        <s v="924@msn.com"/>
        <s v="925@eco-voltaica.com"/>
        <s v="926@electricidadyserviciosmontero.com"/>
        <s v="927@argionelectric.es"/>
        <s v="928@gmail.com"/>
        <s v="929@acciona.com"/>
        <s v="930@acciona.com"/>
        <s v="931@acciona.com"/>
        <s v="932@bellmasenginyers.cat"/>
        <s v="933@orsei.es"/>
        <s v="934@outlook.com"/>
        <s v="935@gmail.com"/>
        <s v="936@gmail.com"/>
        <s v="937@gmail.com"/>
        <s v="938@montegar.es"/>
        <s v="939@gmail.com"/>
        <s v="940@masojuando.com"/>
        <s v="941@gmail.com"/>
        <s v="942@r11arquitectos.com"/>
        <s v="943@gabyl.com"/>
        <s v="944@gmail.com"/>
        <s v="945@red.renault.es"/>
        <s v="946@gmail.com"/>
        <s v="947@clysema.com"/>
        <s v="948@gmail.com"/>
        <s v="949@cadielsa.com"/>
        <s v="950@grupocobra.com"/>
        <s v="951@tenerasa.es"/>
        <s v="952@simon.es"/>
        <s v="953@mosancar.com"/>
        <s v="954@aiguesmanresa.cat"/>
        <s v="955@conras.es"/>
        <s v="956@mebaluz.es"/>
        <s v="957@germaniaweb.com"/>
        <s v="958@hotmail.es"/>
        <s v="959@mlopezarquitectos.com"/>
        <s v="960@aqelectric.es"/>
        <s v="961@gmail.com"/>
        <s v="962@electropla.cat"/>
        <s v="963@gmail.com"/>
        <s v="964@hotmail.com"/>
        <s v="965@gmail.com"/>
        <s v="966@miguelmoralesingenieros.com"/>
        <s v="967@lacsl.es"/>
        <s v="968@gmail.com"/>
        <s v="969@comercialsis.com"/>
        <s v="970@acelecsal.com"/>
        <s v="971@imagogestion.com"/>
        <s v="972@acelecsal.com"/>
        <s v="973@live.com"/>
        <s v="974@yahoo.es"/>
        <s v="975@yahoo.com"/>
        <s v="976@simonelectrica.com"/>
        <s v="977@tarragona.cat"/>
        <s v="978@gmail.com"/>
        <s v="979@gmail.com"/>
        <s v="980@coiiar.org"/>
        <s v="981@gmail.com"/>
        <s v="982@gmail.com"/>
        <s v="983@elektracat.com"/>
        <s v="984@gmail.com"/>
        <s v="985@jesnar2011.es"/>
        <s v="986@hotmail.com"/>
        <s v="987@ginsa.cat"/>
        <s v="988@electromercantil.es"/>
        <s v="989@electricasllop.com"/>
        <s v="990@gmail.com"/>
        <s v="991@yahoo.es"/>
        <s v="992@yahoo.es"/>
        <s v="993@electricidadguerra.com"/>
        <s v="994@gruponovelec.com"/>
        <s v="995@telefonica.net"/>
        <s v="996@comb.cat"/>
        <s v="997@yahoo.es"/>
        <s v="998@damuvi.com"/>
        <s v="999@aeperez.es"/>
        <s v="1000@hotmail.com"/>
        <s v="1001@hotmail.com"/>
        <s v="1002@hotmail.com"/>
        <s v="1003@gmail.com"/>
        <s v="1004@telefonica.net"/>
        <s v="1005@allendearquitectos.com"/>
        <s v="1006@gmail.com"/>
        <s v="1007@yahoo.es"/>
        <s v="1008@olleo.es"/>
        <s v="1009@ccatlantico.com"/>
        <s v="1010@simon.es"/>
        <s v="1011@gmail.com"/>
        <s v="1012@formasymateriales.com"/>
        <s v="1013@hotmail.com"/>
        <s v="1014@gmail.com"/>
        <s v="1015@aziraelectricidad.com"/>
        <s v="1016@coitt.es"/>
        <s v="1017@tesnetwork.net"/>
        <s v="1018@esmassmart.com"/>
        <s v="1019@ingeralbaida.es"/>
        <s v="1020@deinrresa.es"/>
        <s v="1021@proturhotels.com"/>
        <s v="1022@uhu.es"/>
        <s v="1023@hotmail.com"/>
        <s v="1024@elecnor.com"/>
        <s v="1025@gmail.com"/>
        <s v="1026@aia.cat"/>
        <s v="1027@leanteam.es"/>
        <s v="1028@ingenierosvalladolid.es"/>
        <s v="1029@gmail.com"/>
        <s v="1030@inmaser-integral.es"/>
        <s v="1031@grupoitesa.com"/>
        <s v="1032@zioenginy.com"/>
        <s v="1033@gmail.com"/>
        <s v="1034@gmail.com"/>
        <s v="1035@gmail.com"/>
        <s v="1036@grupoelectrostocks.com"/>
        <s v="1037@gmail.com"/>
        <s v="1038@gmail.com"/>
        <s v="1039@yahoo.es"/>
        <s v="1040@gmail.com"/>
        <s v="1041@jordimoran.es"/>
        <s v="1042@alvae.es"/>
        <s v="1043@gmail.com"/>
        <s v="1044@hotmail.com"/>
        <s v="1045@coac.net"/>
        <s v="1046@gmail.com"/>
        <s v="1047@coag.es"/>
        <s v="1048@usc.es"/>
        <s v="1049@gmail.com"/>
        <s v="1050@hotmail.es"/>
        <s v="1051@gmail.com"/>
        <s v="1052@yahoo.es"/>
        <s v="1053@gmail.com"/>
        <s v="1054@isd-ingenieria.es"/>
        <s v="1055@gmail.com"/>
        <s v="1056@gmail.com"/>
        <s v="1057@gmsil.com"/>
        <s v="1058@gmail.com"/>
        <s v="1059@yahoo.es"/>
        <s v="1060@hotmail.com"/>
        <s v="1061@perezescribano.es"/>
        <s v="1062@hotmail.com"/>
        <s v="1063@gmail.com"/>
        <s v="1064@abxat.com"/>
        <s v="1065@movistar.es"/>
        <s v="1066@gmail.com"/>
        <s v="1067@gmail.com"/>
        <s v="1068@dominion.es"/>
        <s v="1069@agoitziru.es"/>
        <s v="1070@vamostelecom.es"/>
        <s v="1071@industrialgines.com"/>
        <s v="1072@gmail.com"/>
        <s v="1073@grupolasser.com"/>
        <s v="1074@hotmail.com"/>
        <s v="1075@gmail.com"/>
        <s v="1076@gmail.com"/>
        <s v="1077@hotmail.com"/>
        <s v="1078@gmail.com"/>
        <s v="1079@outlook.es"/>
        <s v="1080@levitec.es"/>
        <s v="1081@teideingenieros.com"/>
        <s v="1082@gmail.com"/>
        <s v="1083@hotmail.com"/>
        <s v="1084@gmail.com"/>
        <s v="1085@gmail.com"/>
        <s v="1086@gmail.com"/>
        <s v="1087@hotmail.com"/>
        <s v="1088@citemaing.com"/>
        <s v="1089@gmail.com"/>
        <s v="1090@hotmail.com"/>
        <s v="1091@simon.es"/>
        <s v="1092@cipfpcanastell.com"/>
        <s v="1093@edu.xunta.es"/>
        <s v="1094@hotmail.com"/>
        <s v="1095@gmail.com"/>
        <s v="1096@mpf-ingenieria.es"/>
        <s v="1097@santaeulalia.cat"/>
        <s v="1098@simonelectrica.com"/>
        <s v="1099@hotmail.com"/>
        <s v="1100@boffor.com"/>
        <s v="1101@hotmail.com"/>
        <s v="1102@gmail.com"/>
        <s v="1103@montajeselectricosfase.com"/>
        <s v="1104@gmail.com"/>
        <s v="1105@gmail.com"/>
        <s v="1106@gruponoria.com"/>
        <s v="1107@ryaingenieros.com"/>
        <s v="1108@enginyerstarragona.cat"/>
        <s v="1109@gmail.com"/>
        <s v="1110@gmail.com"/>
        <s v="1111@hotmail.com"/>
        <s v="1112@covama.es"/>
        <s v="1113@aurialux.com"/>
        <s v="1114@teclisa.com"/>
        <s v="1115@muntanerelectro.com"/>
        <s v="1116@suelba.com"/>
        <s v="1117@hotmail.com"/>
        <s v="1118@coitiar.es"/>
        <s v="1119@gmail.com"/>
        <s v="1120@sonepar.es"/>
        <s v="1121@gmail.com"/>
        <s v="1122@hotmail.es"/>
        <s v="1123@gmail.com"/>
        <s v="1124@energonrenovables.es"/>
        <s v="1125@rocaingenieros.com"/>
        <s v="1126@viveme.es"/>
        <s v="1127@telefonica.net"/>
        <s v="1128@fgingenieria.com"/>
        <s v="1129@eselfri.com"/>
        <s v="1130@kairsa.com"/>
        <s v="1131@gmail.com"/>
        <s v="1132@yahoo.es"/>
        <s v="1133@hotmail.com"/>
        <s v="1134@integratoledo.com"/>
        <s v="1135@gmail.com"/>
        <s v="1136@metalux.es"/>
        <s v="1137@eiasein.es"/>
        <s v="1138@arquired.es"/>
        <s v="1139@gmail.com"/>
        <s v="1140@fer.es"/>
        <s v="1141@coitim.es"/>
        <s v="1142@asmesl.es"/>
        <s v="1143@gmail.com"/>
        <s v="1144@idponline.net"/>
        <s v="1145@miretelectricidad.com"/>
        <s v="1146@hotmail.com"/>
        <s v="1147@magalux.es"/>
        <s v="1148@dipusevilla.es"/>
        <s v="1149@fillsdelluissureda.cat"/>
        <s v="1150@gmail.com"/>
        <s v="1151@telefonica.net"/>
        <s v="1152@lahidro.net"/>
        <s v="1153@hotmail.com"/>
        <s v="1154@gmail.com"/>
        <s v="1155@mapelsl.com"/>
        <s v="1156@berrilanbim.com"/>
        <s v="1157@himalayaclimatizacionycontrol.es"/>
        <s v="1158@hotmail.com"/>
        <s v="1159@birtes.com.tr"/>
        <s v="1160@copcisa.com"/>
        <s v="1161@sygsa.com"/>
        <s v="1162@gmail.com"/>
        <s v="1163@instalmasa.com"/>
        <s v="1164@projecat.com"/>
        <s v="1165@gmail.com"/>
        <s v="1166@hotmail.com"/>
        <s v="1167@tselsur.es"/>
        <s v="1168@renaultpineda.com"/>
        <s v="1169@gmail.com"/>
        <s v="1170@lahidro.net"/>
        <s v="1171@albaida.es"/>
        <s v="1172@sunkatel.com"/>
        <s v="1173@vifrisan.com"/>
        <s v="1174@alem.es"/>
        <s v="1175@gmail.com"/>
        <s v="1176@gmail.com"/>
        <s v="1177@imte.cat"/>
        <s v="1178@hotmail.com"/>
        <s v="1179@hotmail.com"/>
        <s v="1180@sonepar.es"/>
        <s v="1181@mapfre.com"/>
        <s v="1182@damm.es"/>
        <s v="1183@ddisl.com"/>
        <s v="1184@tecmotica.net"/>
        <s v="1185@lmretavi.es"/>
        <s v="1186@gmail.com"/>
        <s v="1187@gmail.com"/>
        <s v="1188@gmail.com"/>
        <s v="1189@gmail.com"/>
        <s v="1190@telecable.es"/>
        <s v="1191@tinet.fut.es"/>
        <s v="1192@toyota-canarias.es"/>
        <s v="1193@grupoelectrostocks.com"/>
        <s v="1194@hotmail.com"/>
        <s v="1195@gmail.com"/>
        <s v="1196@hotmail.com"/>
        <s v="1197@electricidadcelec.com"/>
        <s v="1198@hotmail.com"/>
        <s v="1199@qwerty.es"/>
        <s v="1200@gg.com"/>
        <s v="1201@yahoo.es"/>
        <s v="1202@gmail.com"/>
        <s v="1203@smarthaus.studio"/>
        <s v="1204@me.com"/>
        <s v="1205@telefonica.net"/>
        <s v="1206@gmail.com"/>
        <s v="1207@gmail.com"/>
        <s v="1208@gmail.com"/>
        <s v="1209@hotmail.es"/>
        <s v="1210@pepepower.es"/>
        <s v="1211@outlook.es"/>
        <s v="1212@hotmail.com"/>
        <s v="1213@hotmail.com"/>
        <s v="1214@gmail.com"/>
        <s v="1215@subis.cat"/>
        <s v="1216@gmail.com"/>
        <s v="1217@gmail.com"/>
        <s v="1218@gmail.com"/>
        <s v="1219@actluz.com"/>
        <s v="1220@sanitariosbosco.es"/>
        <s v="1221@gencat.cat"/>
        <s v="1222@hotmail.com"/>
        <s v="1223@proyecta79.com"/>
        <s v="1224@ipertec.es"/>
        <s v="1225@yahoo.es"/>
        <s v="1226@agiceringenieros.es"/>
        <s v="1227@telefonica.net"/>
        <s v="1228@entax.es"/>
        <s v="1229@yahoo.es"/>
        <s v="1230@gmail.com"/>
        <s v="1231@gmail.com"/>
        <s v="1232@planocaceres.com"/>
        <s v="1233@hotmail.com"/>
        <s v="1234@gmail.com"/>
        <s v="1235@gmail.com"/>
        <s v="1236@hotmail.com"/>
        <s v="1237@gmail.com"/>
        <s v="1238@gmail.com"/>
        <s v="1239@telefonica.net"/>
        <s v="1240@hotmail.com"/>
        <s v="1241@gmail.com"/>
        <s v="1242@hotmail.com"/>
        <s v="1243@educa.jcyl.es"/>
        <s v="1244@gmail.com"/>
        <s v="1245@hotmail.com"/>
        <s v="1246@ecoltan.org"/>
        <s v="1247@gmail.com"/>
        <s v="1248@gmail.com"/>
        <s v="1249@gmail.com"/>
        <s v="1250@telefonica.net"/>
        <s v="1251@gomurmya.com"/>
        <s v="1252@desarrollotecnico.com"/>
        <s v="1253@gmail.com"/>
        <s v="1254@gmail.com"/>
        <s v="1255@hotmail.com"/>
        <s v="1256@gmail.com"/>
        <s v="1257@carsbarcelona.es"/>
        <s v="1258@gmail.com"/>
        <s v="1259@radresa.com"/>
        <s v="1260@gdr.es"/>
        <s v="1261@e-copitile.es"/>
        <s v="1262@hotmail.com"/>
        <s v="1263@hotmail.com"/>
        <s v="1264@gmail.com"/>
        <s v="1265@hotmail.com"/>
        <s v="1266@gmail.com"/>
        <s v="1267@motor2000.net"/>
        <s v="1268@gamai.com"/>
        <s v="1269@kuartafase.com"/>
        <s v="1270@solcansl.com"/>
        <s v="1271@yahoo.es"/>
        <s v="1272@gmail.com"/>
        <s v="1273@telefonica.net"/>
        <s v="1274@gmail.com"/>
        <s v="1275@sonepar.es"/>
        <s v="1276@protomar.es"/>
        <s v="1277@sonepar.es"/>
        <s v="1278@gmail.com"/>
        <s v="1279@fccco.com"/>
        <s v="1280@coitiar.es"/>
        <s v="1281@albillos.com"/>
        <s v="1282@hotmail.com"/>
        <s v="1283@gmail.com"/>
        <s v="1284@gmail.com"/>
        <s v="1285@e3ingenieria.com"/>
        <s v="1286@instalacionespiru.es"/>
        <s v="1287@aytosalamanca.es"/>
        <s v="1288@serpel.es"/>
        <s v="1289@gmail.com"/>
        <s v="1290@tesma.es"/>
        <s v="1291@macegroup.com"/>
        <s v="1292@gmail.com"/>
        <s v="1293@gmail.com"/>
        <s v="1294@gmail.com"/>
        <s v="1295@hotmail.es"/>
        <s v="1296@gmail.com"/>
        <s v="1297@silmarinstalacions.com"/>
        <s v="1298@gmail.com"/>
        <s v="1299@sonepar.es"/>
        <s v="1300@movistar.es"/>
        <s v="1301@electricidadaldama.com"/>
        <s v="1302@alem.es"/>
        <s v="1303@hotmail.com"/>
        <s v="1304@ingenibo.com"/>
        <s v="1305@checa67.es"/>
        <s v="1306@instalacionesyobrasdelrio.com"/>
        <s v="1307@gmail.com"/>
        <s v="1308@tdgi.pt"/>
        <s v="1309@gmail.com"/>
        <s v="1310@hotmail.com"/>
        <s v="1311@gmail.com"/>
        <s v="1312@gmail.com"/>
        <s v="1313@adober.es"/>
        <s v="1314@jtelectricperu.com"/>
        <s v="1315@riello-tdl.com"/>
        <s v="1316@proyndust.es"/>
        <s v="1317@gmail.com"/>
        <s v="1318@inteleclamancha.com"/>
        <s v="1319@masfarne.info"/>
        <s v="1320@gmail.com"/>
        <s v="1321@gmail.com"/>
        <s v="1322@gmail.com"/>
        <s v="1323@gmail.com"/>
        <s v="1324@hotmail.com"/>
        <s v="1325@gmail.com"/>
        <s v="1326@saltoki.es"/>
        <s v="1327@tinet.org"/>
        <s v="1328@gmail.com"/>
        <s v="1329@gmail.com"/>
        <s v="1330@comb.cat"/>
        <s v="1331@gmail.com"/>
        <s v="1332@novarquia.es"/>
        <s v="1333@lantec.es"/>
        <s v="1334@hotmail.es"/>
        <s v="1335@santalucia.es"/>
        <s v="1336@yahoo.es"/>
        <s v="1337@grupoelectrostocks.com"/>
        <s v="1338@gmail.com"/>
        <s v="1339@electrogalmar.es"/>
        <s v="1340@silezgrup.com"/>
        <s v="1341@electricidadinstalvi.com"/>
        <s v="1342@ic3sl.com"/>
        <s v="1343@hotmail.com"/>
        <s v="1344@gmail.com"/>
        <s v="1345@telefonica.net"/>
        <s v="1346@boslan.com"/>
        <s v="1347@ormazabal.com"/>
        <s v="1348@gmail.com"/>
        <s v="1349@gmail.com"/>
        <s v="1350@gmail.com"/>
        <s v="1351@conselldemallorca.net"/>
        <s v="1352@autelec.net"/>
        <s v="1353@cairo.ad"/>
        <s v="1354@hotmail.com"/>
        <s v="1355@gmail.com"/>
        <s v="1356@hotmail.com"/>
        <s v="1357@gmail.com"/>
        <s v="1358@gmail.com"/>
        <s v="1359@grupotandal.com"/>
        <s v="1360@hotmail.com"/>
        <s v="1361@gmail.com"/>
        <s v="1362@gmail.com"/>
        <s v="1363@hotmail.com"/>
        <s v="1364@eirazola.com"/>
        <s v="1365@hotmail.com"/>
        <s v="1366@electroalco.es"/>
        <s v="1367@telecable.es"/>
        <s v="1368@baselec.es"/>
        <s v="1369@atribal.es"/>
        <s v="1370@hotmail.com"/>
        <s v="1371@gmail.com"/>
        <s v="1372@telefonica.net"/>
        <s v="1373@electrolucman.com"/>
        <s v="1374@autelec.net"/>
        <s v="1375@gmail.com"/>
        <s v="1376@telefonica.net"/>
        <s v="1377@hotmail.com"/>
        <s v="1378@electromat.com"/>
        <s v="1379@hotmail.com"/>
        <s v="1380@gmail.com"/>
        <s v="1381@msn.com"/>
        <s v="1382@gmail.com"/>
        <s v="1383@grupoazmont.com"/>
        <s v="1384@eringenieria.com"/>
        <s v="1385@telefonica.net"/>
        <s v="1386@grupoevc.es"/>
        <s v="1387@yahoo.com.mx"/>
        <s v="1388@covama.es"/>
        <s v="1389@hotmail.com"/>
        <s v="1390@gmail.com"/>
        <s v="1391@grupojab.es"/>
        <s v="1392@msn.com"/>
        <s v="1393@electricidadguerra.com"/>
        <s v="1394@gmail.com"/>
        <s v="1395@cenorma.com"/>
        <s v="1396@telefonica.net"/>
        <s v="1397@olibayas.net"/>
        <s v="1398@teclisa.com"/>
        <s v="1399@gmail.com"/>
        <s v="1400@apeh.org"/>
        <s v="1401@auditenergia.com"/>
        <s v="1402@gmail.com"/>
        <s v="1403@grupoelectrostocks.com"/>
        <s v="1404@eurocabos.es"/>
        <s v="1405@arreglosoluciones.com"/>
        <s v="1406@gmail.com"/>
        <s v="1407@gmail.com"/>
        <s v="1408@cepsa.com"/>
        <s v="1409@simon.es"/>
        <s v="1410@elecnor.es"/>
        <s v="1411@ujaen.es"/>
        <s v="1412@electryser.com"/>
        <s v="1413@gmail.com"/>
        <s v="1414@gmail.com"/>
        <s v="1415@coytesa.com"/>
        <s v="1416@edifesa.com"/>
        <s v="1417@gmail.com"/>
        <s v="1418@gmail.com"/>
        <s v="1419@gmail.com"/>
        <s v="1420@globalelectrica.com"/>
        <s v="1421@itesasl.com"/>
        <s v="1422@gmail.com"/>
        <s v="1423@telefonica.net"/>
        <s v="1424@gmail.com"/>
        <s v="1425@elezvi.com"/>
        <s v="1426@gmail.com"/>
        <s v="1427@hotmail.es"/>
        <s v="1428@gadeaingenieros.com"/>
        <s v="1429@yahoo.es"/>
        <s v="1430@outlook.es"/>
        <s v="1431@jgingenieros.es"/>
        <s v="1432@gmail.com"/>
        <s v="1433@apeme.es"/>
        <s v="1434@planamar.com"/>
        <s v="1435@serindex.es"/>
        <s v="1436@deerns.com"/>
        <s v="1437@indal-tec.com"/>
        <s v="1438@hotmail.com"/>
        <s v="1439@amingenieros.com"/>
        <s v="1440@hotmail.com"/>
        <s v="1441@gmail.com"/>
        <s v="1442@sonepar.es"/>
        <s v="1443@hotmail.com"/>
        <s v="1444@gmail.com"/>
        <s v="1445@gmail.com"/>
        <s v="1446@gmail.com"/>
        <s v="1447@galektra.es"/>
        <s v="1448@renowattandorra.com"/>
        <s v="1449@aseisa.es"/>
        <s v="1450@hotmail.com"/>
        <s v="1451@electrocuebar.com"/>
        <s v="1452@ricarsat.com"/>
        <s v="1453@ingenierosdecadiz.es"/>
        <s v="1454@yahoo.es"/>
        <s v="1455@gmail.com"/>
        <s v="1456@telefonica.net"/>
        <s v="1457@covama.es"/>
        <s v="1458@gmail.com"/>
        <s v="1459@mican.es"/>
        <s v="1460@gmail.com"/>
        <s v="1461@gmail.com"/>
        <s v="1462@cadlan.com"/>
        <s v="1463@sicarsl.es"/>
        <s v="1464@gmail.com"/>
        <s v="1465@guielec.es"/>
        <s v="1466@telegrado.es"/>
        <s v="1467@agave-broadcast.es"/>
        <s v="1468@gmail.com"/>
        <s v="1469@hotmail.com"/>
        <s v="1470@gmail.com"/>
        <s v="1471@tcasertec.com"/>
        <s v="1472@yahoo.es"/>
        <s v="1473@hotmail.com"/>
        <s v="1474@urgon.es"/>
        <s v="1475@electricidadreset.es"/>
        <s v="1476@sonepar.es"/>
        <s v="1477@sonepar.es"/>
        <s v="1478@gmail.com"/>
        <s v="1479@iespunyes.com"/>
        <s v="1480@coiim.es"/>
        <s v="1481@iesmercurio.es"/>
        <s v="1482@gmail.com"/>
        <s v="1483@gruponovelec.com"/>
        <s v="1484@r3recymed.com"/>
        <s v="1485@simon.es"/>
        <s v="1486@gmail.com"/>
        <s v="1487@gmail.com"/>
        <s v="1488@telefonica.net"/>
        <s v="1489@gmail.com"/>
        <s v="1490@hotmail.com"/>
        <s v="1491@donbany.com"/>
        <s v="1492@aurialux.com"/>
        <s v="1493@hotmail.com"/>
        <s v="1494@gmail.com"/>
        <s v="1495@grupcluster.com"/>
        <s v="1496@coitt.es"/>
        <s v="1497@covama.es"/>
        <s v="1498@gmail.com"/>
        <s v="1499@sonepar.es"/>
        <s v="1500@covama.es"/>
        <s v="1501@clientes.euskaltel.es"/>
        <s v="1502@educastur.org"/>
        <s v="1503@simon.es"/>
        <s v="1504@gmail.com"/>
        <s v="1505@gmail.com"/>
        <s v="1506@dhorma.com"/>
        <s v="1507@hotmail.com"/>
        <s v="1508@gmail.com"/>
        <s v="1509@xonxa.com"/>
        <s v="1510@adelanteenergia.es"/>
        <s v="1511@hotmail.com"/>
        <s v="1512@elecox.es"/>
        <s v="1513@simon.es"/>
        <s v="1514@hotmail.com"/>
        <s v="1515@expertline.es"/>
        <s v="1516@gmail.com"/>
        <s v="1517@hotmail.com"/>
        <s v="1518@gmail.com"/>
        <s v="1519@tadelec.com"/>
        <s v="1520@cebrinsa.es"/>
        <s v="1521@hotmail.com"/>
        <s v="1522@agad.cat"/>
        <s v="1523@ofitep.com"/>
        <s v="1524@suministrosserpis.es"/>
        <s v="1525@abcgrup.com"/>
        <s v="1526@gmail.com"/>
        <s v="1527@prodelec.es"/>
        <s v="1528@sitiaingenieria.com"/>
        <s v="1529@simon.es"/>
        <s v="1530@aller.es"/>
        <s v="1531@telefonica.net"/>
        <s v="1532@telefonica.net"/>
        <s v="1533@gmail.com"/>
        <s v="1534@gmail.com"/>
        <s v="1535@hotmail.com"/>
        <s v="1536@estudiosyproyectos.com"/>
        <s v="1537@prysmiangroup.com"/>
        <s v="1538@auditenergia.com"/>
        <s v="1539@hotmail.com"/>
        <s v="1540@heliopol.es"/>
        <s v="1541@acp-level.es"/>
        <s v="1542@meomsl.com"/>
        <s v="1543@cotpa.com"/>
        <s v="1544@hotmail.com"/>
        <s v="1545@hotmail.com"/>
        <s v="1546@gmail.com"/>
        <s v="1547@gmail.com"/>
        <s v="1548@gva.es"/>
        <s v="1549@urgon.es"/>
        <s v="1550@die.upv.es"/>
        <s v="1551@avatry.es"/>
        <s v="1552@yahoo.es"/>
        <s v="1553@arfecons.es"/>
        <s v="1554@simon.es"/>
        <s v="1555@marinstal.com"/>
        <s v="1556@electricidadguerra.com"/>
        <s v="1557@gmail.com"/>
        <s v="1558@gmail.com"/>
        <s v="1559@strong.es"/>
        <s v="1560@copitival.es"/>
        <s v="1561@elecvic.com"/>
        <s v="1562@gmail.com"/>
        <s v="1563@emtvalencia.es"/>
        <s v="1564@dimelsa.es"/>
        <s v="1565@simon.es"/>
        <s v="1566@elecparamos.com"/>
        <s v="1567@egarriga.com"/>
        <s v="1568@gmail.com"/>
        <s v="1569@ecag.es"/>
        <s v="1570@yahoo.es"/>
        <s v="1571@electrolid.es"/>
        <s v="1572@flotatsyasociados.com"/>
        <s v="1573@hotmail.com"/>
        <s v="1574@gmail.com"/>
        <s v="1575@gmail.com"/>
        <s v="1576@conrad.cat"/>
        <s v="1577@cimelsa.com"/>
        <s v="1578@covama.es"/>
        <s v="1579@inblau.es"/>
        <s v="1580@grupotesein.com"/>
        <s v="1581@arpeestudio.com"/>
        <s v="1582@edu.xunta.es"/>
        <s v="1583@hotmail.com"/>
        <s v="1584@gmail.com"/>
        <s v="1585@vialuz.es"/>
        <s v="1586@genserma.es"/>
        <s v="1587@naturgy.com"/>
        <s v="1588@jgingenieros.es"/>
        <s v="1589@gmail.com"/>
        <s v="1590@efik.cat"/>
        <s v="1591@gmail.com"/>
        <s v="1592@mesenergia.cat"/>
        <s v="1593@gmail.com"/>
        <s v="1594@jgingenieros.es"/>
        <s v="1595@gmail.com"/>
        <s v="1596@gruponovelec.com"/>
        <s v="1597@gmail.com"/>
        <s v="1598@coac.net"/>
        <s v="1599@conmasa.cat"/>
        <s v="1600@coelca.com"/>
        <s v="1601@yahoo.es"/>
        <s v="1602@gmail.com"/>
        <s v="1603@gmail.com"/>
        <s v="1604@geinstal.com"/>
        <s v="1605@recargamostucoche.com"/>
        <s v="1606@cesvimap.com"/>
        <s v="1607@talesingenieria.es"/>
        <s v="1608@grupolasser.com"/>
        <s v="1609@gmail.com"/>
        <s v="1610@gmail.com"/>
        <s v="1611@lasallesagradocorazon.es"/>
        <s v="1612@gmail.com"/>
        <s v="1613@muntanerelectro.com"/>
        <s v="1614@electronalon.es"/>
        <s v="1615@hotmail.es"/>
        <s v="1616@wct.es"/>
        <s v="1617@e-noses.com"/>
        <s v="1618@hotmail.com"/>
        <s v="1619@simon.es"/>
        <s v="1620@ciudaddelosmuchachos.com"/>
        <s v="1621@salicru.com"/>
        <s v="1622@electropla.cat"/>
        <s v="1623@gmail.com"/>
        <s v="1624@sistema1.es"/>
        <s v="1625@hotmail.com"/>
        <s v="1626@adaliaradio.com"/>
        <s v="1627@elec-matic.com"/>
        <s v="1628@solbesingenieros.com"/>
        <s v="1629@coac.net"/>
        <s v="1630@sertec.es"/>
        <s v="1631@sri.es"/>
        <s v="1632@iremael.com"/>
        <s v="1633@coam.es"/>
        <s v="1634@gmail.com"/>
        <s v="1635@arevoltapc.com"/>
        <s v="1636@yahoo.es"/>
        <s v="1637@gmail.com"/>
        <s v="1638@teclisa.com"/>
        <s v="1639@senae.es"/>
        <s v="1640@infonegocio.com"/>
        <s v="1641@gmail.com"/>
        <s v="1642@aytoguadalajara.es"/>
        <s v="1643@splitmania.net"/>
        <s v="1644@tevigrup.com"/>
        <s v="1645@gomezmoreno.com"/>
        <s v="1646@geserelectric.es"/>
        <s v="1647@telefonica.net"/>
        <s v="1648@gmail.com"/>
        <s v="1649@vamostelecom.es"/>
        <s v="1650@hotmail.com"/>
        <s v="1651@gmail.com"/>
        <s v="1652@skyclimber.es"/>
        <s v="1653@sonepar.es"/>
        <s v="1654@movinetenergia.com"/>
        <s v="1655@sonepar.es"/>
        <s v="1656@gmx.es"/>
        <s v="1657@pontosolar.com"/>
        <s v="1658@gmail.com"/>
        <s v="1659@orpoint.com"/>
        <s v="1660@relsa.es"/>
        <s v="1661@turelectric.com"/>
        <s v="1662@neinorhomes.com"/>
        <s v="1663@hotmail.com"/>
        <s v="1664@jgingenieros.es"/>
        <s v="1665@gmail.com"/>
        <s v="1666@coto.pro"/>
        <s v="1667@hotmail.com"/>
        <s v="1668@negratin.com"/>
        <s v="1669@gmail.com"/>
        <s v="1670@electricidadisla.com"/>
        <s v="1671@epc-industrial.com"/>
        <s v="1672@internoringenieros.es"/>
        <s v="1673@gailmafra.com"/>
        <s v="1674@gmail.com"/>
        <s v="1675@exinor.com"/>
        <s v="1676@unex.net"/>
        <s v="1677@simon.es"/>
        <s v="1678@simon.es"/>
        <s v="1679@levantinadecuadros.com"/>
        <s v="1680@trelec.es"/>
        <s v="1681@gmail.com"/>
        <s v="1682@hotmail.es"/>
        <s v="1683@eleccom.es"/>
        <s v="1684@climalec.com"/>
        <s v="1685@zuaznabar.com"/>
        <s v="1686@yahoo.com"/>
        <s v="1687@gestilar.com"/>
        <s v="1688@muringenieros.es"/>
        <s v="1689@jlgingenieria.com"/>
        <s v="1690@gruponovelec.com"/>
        <s v="1691@hotmail.com"/>
        <s v="1692@tecasol.net"/>
        <s v="1693@gmx.es"/>
        <s v="1694@gmail.com"/>
        <s v="1695@gruponortica.com"/>
        <s v="1696@gmail.com"/>
        <s v="1697@yahoo.es"/>
        <s v="1698@jgi.es"/>
        <s v="1699@panchofernandez.com"/>
        <s v="1700@padrao.com.pt"/>
        <s v="1701@insmarbella.com"/>
        <s v="1702@gestion-energetica.eu"/>
        <s v="1703@laelectrica.com"/>
        <s v="1704@hotmail.com"/>
        <s v="1705@sanehogar.com"/>
        <s v="1706@otp.cat"/>
        <s v="1707@lledosa.es"/>
        <s v="1708@gmail.com"/>
        <s v="1709@serium.es"/>
        <s v="1710@gmail.com"/>
        <s v="1711@simon.es"/>
        <s v="1712@gmail.com"/>
        <s v="1713@gmail.com"/>
        <s v="1714@cirima.es"/>
        <s v="1715@upv.es"/>
        <s v="1716@fuengiroluz.es"/>
        <s v="1717@soelvi.es"/>
        <s v="1718@yupcharge.com"/>
        <s v="1719@simon.pt"/>
        <s v="1720@yahoo.es"/>
        <s v="1721@mafonsa.cat"/>
        <s v="1722@folgarona.com"/>
        <s v="1723@gmail.com"/>
        <s v="1724@arbonapiza.com"/>
        <s v="1725@coelbe.com"/>
        <s v="1726@quadrifoli.com"/>
        <s v="1727@grupojab.es"/>
        <s v="1728@gmail.com"/>
        <s v="1729@gmail.com"/>
        <s v="1730@armeriaeskola.eus"/>
        <s v="1731@inserty.net"/>
        <s v="1732@gmail.com"/>
        <s v="1733@ecm-partners.com"/>
        <s v="1734@ofintex.com"/>
        <s v="1735@gruponovelec.com"/>
        <s v="1736@electrovizcaya.com"/>
        <s v="1737@salesianos.edu"/>
        <s v="1738@msn.com"/>
        <s v="1739@jh-internacional.com"/>
        <s v="1740@doica.net"/>
        <s v="1741@grupoelectrostocks.com"/>
        <s v="1742@industrialgines.com"/>
        <s v="1743@ceymo.es"/>
        <s v="1744@gmail.com"/>
        <s v="1745@bod.es"/>
        <s v="1746@hotmail.es"/>
        <s v="1747@araiz.es"/>
        <s v="1748@salesianosatocha.es"/>
        <s v="1749@simon.es"/>
        <s v="1750@itecnal.com"/>
        <s v="1751@altener.es"/>
        <s v="1752@intec3.es"/>
        <s v="1753@arcadis.com"/>
        <s v="1754@gabyl.com"/>
        <s v="1755@pgiengineering.com"/>
        <s v="1756@gmail.com"/>
        <s v="1757@indair-genercasadevall.cat"/>
        <s v="1758@gmail.com"/>
        <s v="1759@galektra.es"/>
        <s v="1760@xtec.cat"/>
        <s v="1761@spiritingenieria.es"/>
        <s v="1762@adqa.com"/>
        <s v="1763@coacordoba.net"/>
        <s v="1764@gmail.com"/>
        <s v="1765@instalplus.es"/>
        <s v="1766@gmail.com"/>
        <s v="1767@gmail.com"/>
        <s v="1768@telefonica.net"/>
        <s v="1769@gmail.com"/>
        <s v="1770@hotmail.es"/>
        <s v="1771@gmail.com"/>
        <s v="1772@cosmoseguridad.com"/>
        <s v="1773@simon.es"/>
        <s v="1774@soloviov.es"/>
        <s v="1775@gmail.com"/>
        <s v="1776@incat.cat"/>
        <s v="1777@simon.pt"/>
        <s v="1778@gmail.com"/>
        <s v="1779@barreu.com"/>
        <s v="1780@metromadrid.es"/>
        <s v="1781@autoradiomontijo.es"/>
        <s v="1782@simon.es"/>
        <s v="1783@telefonica.net"/>
        <s v="1784@coytesa.com"/>
        <s v="1785@arintec.com"/>
        <s v="1786@simon.es"/>
        <s v="1787@roigconstruccions.com"/>
        <s v="1788@hotmail.com"/>
        <s v="1789@electromat.com"/>
        <s v="1790@electricarius.com"/>
        <s v="1791@gmail.com"/>
        <s v="1792@incober.es"/>
        <s v="1793@gmail.com"/>
        <s v="1794@enchufing.com"/>
        <s v="1795@gmail.com"/>
        <s v="1796@sorigue.com"/>
        <s v="1797@icaingenieros.com"/>
        <s v="1798@eleccom.es"/>
        <s v="1799@wurth.es"/>
        <s v="1800@hotmail.com"/>
        <s v="1801@gmail.com"/>
        <s v="1802@hotmail.es"/>
        <s v="1803@ymcelectrica.com"/>
        <s v="1804@meguerra.com"/>
        <s v="1805@gmail.com"/>
        <s v="1806@aymesa.com"/>
        <s v="1807@saltoki.es"/>
        <s v="1808@gmail.com"/>
        <s v="1809@prodelec.es"/>
        <s v="1810@ebegroup.net"/>
        <s v="1811@ansiel.eu"/>
        <s v="1812@ext.mpsa.com"/>
        <s v="1813@gmail.com"/>
        <s v="1814@grupoetra.com"/>
        <s v="1815@grupojab.es"/>
        <s v="1816@petesan.es"/>
        <s v="1817@eurocabos.es"/>
        <s v="1818@electricidadpolop.es"/>
        <s v="1819@simon.es"/>
        <s v="1820@marveco.com"/>
        <s v="1821@construciainstalaciones.com"/>
        <s v="1822@diexfe.com"/>
        <s v="1823@saltoki.es"/>
        <s v="1824@selpri.pt"/>
        <s v="1825@digamel.com"/>
        <s v="1826@gestionservicios.com"/>
        <s v="1827@gmail.com"/>
        <s v="1828@econergia.es"/>
        <s v="1829@1aingenieros.com"/>
        <s v="1830@gmail.com"/>
        <s v="1831@monlau.com"/>
        <s v="1832@mhindustrias.com"/>
        <s v="1833@coitir.com"/>
        <s v="1834@valls.cat"/>
        <s v="1835@gmail.com"/>
        <s v="1836@biper.es"/>
        <s v="1837@cersanz.es"/>
        <s v="1838@gruponovelec.com"/>
        <s v="1839@gmail.com"/>
        <s v="1840@ingenierosvigo.com"/>
        <s v="1841@infova.es"/>
        <s v="1842@simon.es"/>
        <s v="1843@jovitel.com"/>
        <s v="1844@grupoelectrostocks.com"/>
        <s v="1845@hotmail.com"/>
        <s v="1846@gmail.com"/>
        <s v="1847@viegasefilhos.pt"/>
        <s v="1848@gmail.com"/>
        <s v="1849@minsait.com"/>
        <s v="1850@yahoo.com"/>
        <s v="1851@gmail.com"/>
        <s v="1852@gmail.com"/>
        <s v="1853@hotmail.com"/>
        <s v="1854@hotmail.com"/>
        <s v="1855@inboundcycle.com"/>
        <s v="1856@hotmail.com"/>
        <s v="1857@mantise.com"/>
        <s v="1858@yahoo.es"/>
        <s v="1859@gmail.com"/>
        <s v="1860@gmail.com"/>
        <s v="1861@gmail.com"/>
        <s v="1862@gmail.com"/>
        <s v="1863@hotmail.com"/>
        <s v="1864@gmail.com"/>
        <s v="1865@gmail.com"/>
        <s v="1866@inrobadajoz.com"/>
        <s v="1867@cbringenieria.es"/>
        <s v="1868@hotmail.com"/>
        <s v="1869@gmail.com"/>
        <s v="1870@marlexingenieria.com"/>
        <s v="1871@abc.gob.ar"/>
        <s v="1872@gmail.com"/>
        <s v="1873@rodosa.com"/>
        <s v="1874@gesel.ie.ufrj.br"/>
        <s v="1875@gmail.com"/>
        <s v="1876@gmail.com"/>
        <s v="1877@gmail.com"/>
        <s v="1878@gmail.com"/>
        <s v="1879@jafenginyeria.cat"/>
        <s v="1880@dipta.cat"/>
        <s v="1881@simon.es"/>
        <s v="1882@gmail.com"/>
        <s v="1883@adingenieros.es"/>
        <s v="1884@zuecoingenieria.com"/>
        <s v="1885@groupg4.com"/>
        <s v="1886@outlook.com"/>
        <s v="1887@gmail.com"/>
        <s v="1888@instalacionsgarmi.com"/>
        <s v="1889@cetim.cat"/>
        <s v="1890@setenergia.com"/>
        <s v="1891@ciudaddelosmuchachos.com"/>
        <s v="1892@soltecingenieros.com"/>
        <s v="1893@byguk.com"/>
        <s v="1894@arasolutions.es"/>
        <s v="1895@grupoarquitelia.com"/>
        <s v="1896@gmail.com"/>
        <s v="1897@hotmail.es"/>
        <s v="1898@navantia.es"/>
        <s v="1899@gmail.com"/>
        <s v="1900@hotmail.com"/>
        <s v="1901@gmail.com"/>
        <s v="1902@hotmail.com"/>
        <s v="1903@yahoo.es"/>
        <s v="1904@gmail.com"/>
        <s v="1905@gmail.com"/>
        <s v="1906@gmail.com"/>
        <s v="1907@yahoo.es"/>
        <s v="1908@enel.com"/>
        <s v="1909@gmail.com"/>
        <s v="1910@antelecat.com"/>
        <s v="1911@gmail.com"/>
        <s v="1912@gmail.com"/>
        <s v="1913@gmail.com"/>
        <s v="1914@simon.es"/>
        <s v="1915@zmingenieros.com"/>
        <s v="1916@gmail.com"/>
        <s v="1917@gmail.com"/>
        <s v="1918@sgx.cat"/>
        <s v="1919@simon.pt"/>
        <s v="1920@gmail.com"/>
        <s v="1921@msn.com"/>
        <s v="1922@simon.es"/>
        <s v="1923@agosa.es"/>
        <s v="1924@merlosl.es"/>
        <s v="1925@elecnor.com"/>
        <s v="1926@elecam.com"/>
        <s v="1927@anbatel.com"/>
        <s v="1928@gmail.com"/>
        <s v="1929@hotmail.com"/>
        <s v="1930@gmail.com"/>
        <s v="1931@gmail.com"/>
        <s v="1932@cotelsa.com"/>
        <s v="1933@lujama.com"/>
        <s v="1934@ferrovial.com"/>
        <s v="1935@telefonica.net"/>
        <s v="1936@e2enginyeria.com"/>
        <s v="1937@gmail.com"/>
        <s v="1938@gmail.com"/>
        <s v="1939@simon.es"/>
        <s v="1940@electromercantil.es"/>
        <s v="1941@hotmail.com"/>
        <s v="1942@ciudaddelosmuchachos.com"/>
        <s v="1943@gmail.com"/>
        <s v="1944@didacticaformacion.es"/>
        <s v="1945@ip21ingenieria.com"/>
        <s v="1946@gmail.com"/>
        <s v="1947@gmail.com"/>
        <s v="1948@culmar.net"/>
        <s v="1949@suno.cat"/>
        <s v="1950@yahoo.es"/>
        <s v="1951@engimatica.com"/>
        <s v="1952@tinet.cat"/>
        <s v="1953@proyteczaragoza.com"/>
        <s v="1954@dicsl.com"/>
        <s v="1955@salesianos.edu"/>
        <s v="1956@gmail.com"/>
        <s v="1957@msn.com"/>
        <s v="1958@iebsl.com"/>
        <s v="1959@gmail.com"/>
        <s v="1960@ic3sl.com"/>
        <s v="1961@hotmail.com"/>
        <s v="1962@lliro.com"/>
        <s v="1963@atisistemas.com"/>
        <s v="1964@hotmail.com"/>
        <s v="1965@tienda-gasnatural.com"/>
        <s v="1966@gmail.com"/>
        <s v="1967@ferrovial.com"/>
        <s v="1968@gmail.com"/>
        <s v="1969@fundacionmasaveu.com"/>
        <s v="1970@electrificacionesparra.es"/>
        <s v="1971@tienda-gasnatural.com"/>
        <s v="1972@projecal.com"/>
        <s v="1973@ingekor.com"/>
        <s v="1974@proluxingenieros.com"/>
        <s v="1975@outlook.es"/>
        <s v="1976@electronavia.com"/>
        <s v="1977@gmail.com"/>
        <s v="1978@hotmail.com"/>
        <s v="1979@matcas.es"/>
        <s v="1980@hotmail.com"/>
        <s v="1981@gmail.com"/>
        <s v="1982@hotmail.com"/>
        <s v="1983@suno.cat"/>
        <s v="1984@hotmail.com"/>
        <s v="1985@tinet.org"/>
        <s v="1986@martipala.com"/>
        <s v="1987@simon.es"/>
        <s v="1988@lusorede.pt"/>
        <s v="1989@elecdomo.com"/>
        <s v="1990@gmail.com"/>
        <s v="1991@gmail.com"/>
        <s v="1992@proecoingenieria.com"/>
        <s v="1993@simon.es"/>
        <s v="1994@gmail.com"/>
        <s v="1995@gmail.com"/>
        <s v="1996@gmail.com"/>
        <s v="1997@comi-sl.com"/>
        <s v="1998@gmail.com"/>
        <s v="1999@obrelsa.com"/>
        <s v="2000@hotmail.com"/>
        <s v="2001@alainsa.com"/>
        <s v="2002@camarasaragon.com"/>
        <s v="2003@alainsa.com"/>
        <s v="2004@mcamps.es"/>
        <s v="2005@hotmail.com"/>
        <s v="2006@masteringenieria.com"/>
        <s v="2007@simon.es"/>
        <s v="2008@yahoo.es"/>
        <s v="2009@gmail.com"/>
        <s v="2010@incasl.com"/>
        <s v="2011@gmail.com"/>
        <s v="2012@gmail.com"/>
        <s v="2013@ecopimeprojects.com"/>
        <s v="2014@gmail.com"/>
        <s v="2015@hotmail.com"/>
        <s v="2016@simon.es"/>
        <s v="2017@sogesa.es"/>
        <s v="2018@mantise.com"/>
        <s v="2019@didacticaformacion.es"/>
        <s v="2020@forestaldelatlantico.com"/>
        <s v="2021@osnova.net"/>
        <s v="2022@solarinspain.com"/>
        <s v="2023@gmail.com"/>
        <s v="2024@grupooca.com"/>
        <s v="2025@gmail.com"/>
        <s v="2026@telefonica.net"/>
        <s v="2027@hotmail.com"/>
        <s v="2028@grupooca.com"/>
        <s v="2029@sonepar.es"/>
        <s v="2030@gmail.com"/>
        <s v="2031@electrofiloeste.es"/>
        <s v="2032@masalo.biz"/>
        <s v="2033@elmoelectric.com"/>
        <s v="2034@tienda-gasnatural.com"/>
        <s v="2035@yahoo.es"/>
        <s v="2036@sece.com"/>
        <s v="2037@agefred.es"/>
        <s v="2038@legomar.com"/>
        <s v="2039@antrelec.net"/>
        <s v="2040@grupsoler.com"/>
        <s v="2041@electromercantil.es"/>
        <s v="2042@gmail.com"/>
        <s v="2043@gmail.com"/>
        <s v="2044@orvi-s.es"/>
        <s v="2045@gmail.com"/>
        <s v="2046@gmail.com"/>
        <s v="2047@gmail.com"/>
        <s v="2048@visioelectric.es"/>
        <s v="2049@telefonica.net"/>
        <s v="2050@melecmor.com"/>
        <s v="2051@gmail.com"/>
        <s v="2052@simon.es"/>
        <s v="2053@sades.es"/>
        <s v="2054@simon.es"/>
        <s v="2055@gmail.com"/>
        <s v="2056@hotmail.com"/>
        <s v="2057@gmail.com"/>
        <s v="2058@sonepar.es"/>
        <s v="2059@gmail.com"/>
        <s v="2060@gmail.com"/>
        <s v="2061@hotmail.es"/>
        <s v="2062@euskalnet.net"/>
        <s v="2063@gmail.com"/>
        <s v="2064@hotmail.com"/>
        <s v="2065@gmail.com"/>
        <s v="2066@gmail.com"/>
        <s v="2067@gmail.com"/>
        <s v="2068@gencat.cat"/>
        <s v="2069@gmail.com"/>
        <s v="2070@hotmail.com"/>
        <s v="2071@gmail.com"/>
        <s v="2072@gmail.com"/>
        <s v="2073@gmail.com"/>
        <s v="2074@hotmail.com"/>
        <s v="2075@gmail.com"/>
        <s v="2076@gmail.com"/>
        <s v="2077@gmail.com"/>
        <s v="2078@gmail.com"/>
        <s v="2079@gmail.com"/>
        <s v="2080@grupoelectrostocks.com"/>
        <s v="2081@cymel.com"/>
        <s v="2082@hotmail.com"/>
        <s v="2083@gmail.com"/>
        <s v="2084@hcparquitectos.com"/>
        <s v="2085@gmail.com"/>
        <s v="2086@farelle.com"/>
        <s v="2087@hotmail.com"/>
        <s v="2088@gmail.com"/>
        <s v="2089@hotmail.com"/>
        <s v="2090@estabanell.cat"/>
        <s v="2091@gmail.com"/>
        <s v="2092@outlook.com"/>
        <s v="2093@gmail.com"/>
        <s v="2094@gmail.com"/>
        <s v="2095@hotmail.com"/>
        <s v="2096@formasymateriales.com"/>
        <s v="2097@hotmail.com"/>
        <s v="2098@simon.es"/>
        <s v="2099@grupoelectrostocks.com"/>
        <s v="2100@simon.es"/>
        <s v="2101@gmail.com"/>
        <s v="2102@gmail.com"/>
        <s v="2103@hotmail.com"/>
        <s v="2104@temarelectronica.es"/>
        <s v="2105@nauta.cu"/>
        <s v="2106@gmail.com"/>
        <s v="2107@danmur.es"/>
        <s v="2108@emvisesa.org"/>
        <s v="2109@huelvanorte.es"/>
        <s v="2110@ingeconsulting.com"/>
        <s v="2111@iraiaingenieros.com"/>
        <s v="2112@gmail.com"/>
        <s v="2113@gmail.com"/>
        <s v="2114@tecnoclimainstalaciones.com"/>
        <s v="2115@outlook.es"/>
        <s v="2116@gmail.com"/>
        <s v="2117@gmail.com"/>
        <s v="2118@hotmail.com"/>
        <s v="2119@gmail.com"/>
        <s v="2120@gmail.com"/>
        <s v="2121@gmail.com"/>
        <s v="2122@somains.com"/>
        <s v="2123@gmail.com"/>
        <s v="2124@gmail.com"/>
        <s v="2125@ctac.es"/>
        <s v="2126@gmail.com"/>
        <s v="2127@hotmail.com"/>
        <s v="2128@gmail.com"/>
        <s v="2129@gmail.com"/>
        <s v="2130@hotmail.com"/>
        <s v="2131@gmail.com"/>
        <s v="2132@hotmail.com"/>
        <s v="2133@gmail.com"/>
        <s v="2134@gmx.es"/>
        <s v="2135@gmail.com"/>
        <s v="2136@gmail.com"/>
        <s v="2137@hotmail.com"/>
        <s v="2138@gmail.com"/>
        <s v="2139@gmail.com"/>
        <s v="2140@gmail.com"/>
        <s v="2141@gmail.com"/>
        <s v="2142@simon.es"/>
        <s v="2143@gmail.com"/>
        <s v="2144@gmail.com"/>
        <s v="2145@gmail.com"/>
        <s v="2146@hotmail.es"/>
        <s v="2147@gmail.com"/>
        <s v="2148@gmail.com"/>
        <s v="2149@gmail.com"/>
        <s v="2150@yahoo.es"/>
        <s v="2151@gmail.com"/>
        <s v="2152@igkarratu.com"/>
        <s v="2153@gmail.com"/>
        <s v="2154@gmail.com"/>
        <s v="2155@gmail.com"/>
        <s v="2156@gmail.com"/>
        <s v="2157@hotmail.com"/>
        <s v="2158@gmail.com"/>
        <s v="2159@hotmail.com"/>
        <s v="2160@yahoo.es"/>
        <s v="2161@hotmail.com"/>
        <s v="2162@gienergygroup.com"/>
        <s v="2163@hotmail.com"/>
        <s v="2164@macegroup.com"/>
        <s v="2165@orangemail.es"/>
        <s v="2166@gmail.com"/>
        <s v="2167@outlook.es"/>
        <s v="2168@simon.es"/>
        <s v="2169@gmail.com"/>
        <s v="2170@reparatuequipo.es"/>
        <s v="2171@gmail.com"/>
        <s v="2172@gmail.com"/>
        <s v="2173@menendezygamonal.com"/>
        <s v="2174@wurth.es"/>
        <s v="2175@canogarcia.es"/>
        <s v="2176@hotmail.com"/>
        <s v="2177@yahoo.es"/>
        <s v="2178@altair.edu.es"/>
        <s v="2179@gmail.com"/>
        <s v="2180@hotmail.com"/>
        <s v="2181@gmail.com"/>
        <s v="2182@hotmail.com"/>
        <s v="2183@gmail.com"/>
        <s v="2184@suris.es"/>
        <s v="2185@gmail.com"/>
        <s v="2186@grupoelectrostocks.com"/>
        <s v="2187@hotmail.com"/>
        <s v="2188@gmail.com"/>
        <s v="2189@infova.es"/>
        <s v="2190@hotmail.com"/>
        <s v="2191@hotmail.es"/>
        <s v="2192@itcl.es"/>
        <s v="2193@gmail.com"/>
        <s v="2194@mesado.es"/>
        <s v="2195@yahoo.es"/>
        <s v="2196@telefonica.net"/>
        <s v="2197@outlook.es"/>
        <s v="2198@gmail.com"/>
        <s v="2199@gmail.com"/>
        <s v="2200@gmail.com"/>
        <s v="2201@4fils.es"/>
        <s v="2202@sanjosetecno.com"/>
        <s v="2203@gmail.com"/>
        <s v="2204@hotmail.es"/>
        <s v="2205@gmail.com"/>
        <s v="2206@gmail.com"/>
        <s v="2207@gmail.com"/>
        <s v="2208@wp.pl"/>
        <s v="2209@elecem.es"/>
        <s v="2210@hotmail.com"/>
        <s v="2211@hotmail.com"/>
        <s v="2212@pgiengineering.com"/>
        <s v="2213@gmail.com"/>
        <s v="2214@hotmail.com"/>
        <s v="2215@gmail.com"/>
        <s v="2216@bladis.com"/>
        <s v="2217@gmail.com"/>
        <s v="2218@gmx.es"/>
        <s v="2219@teigatmi.es"/>
        <s v="2220@hotmail.com"/>
        <s v="2221@hotmail.com"/>
        <s v="2222@gmail.com"/>
        <s v="2223@hotmail.com"/>
        <s v="2224@gmail.com"/>
        <s v="2225@evectra.es"/>
        <s v="2226@hotmail.com"/>
        <s v="2227@gmail.com"/>
        <s v="2228@gmail.com"/>
        <s v="2229@enerluz.es"/>
        <s v="2230@hotmail.com"/>
        <s v="2231@hotmail.com"/>
        <s v="2232@gmail.com"/>
        <s v="2233@gmail.com"/>
        <s v="2234@hotmail.com"/>
        <s v="2235@hotmail.com"/>
        <s v="2236@hotmail.com"/>
        <s v="2237@simon.es"/>
        <s v="2238@hotmail.es"/>
        <s v="2239@gmail.com"/>
        <s v="2240@coac.net"/>
        <s v="2241@outlook.com"/>
        <s v="2242@eurogestiones.com"/>
        <s v="2243@gmail.com"/>
        <s v="2244@outlook.com"/>
        <s v="2245@gmail.com"/>
        <s v="2246@eleko.es"/>
        <s v="2247@gmail.com"/>
        <s v="2248@telefonica.net"/>
        <s v="2249@politecnicomalaga.com"/>
        <s v="2250@gmail.com"/>
        <s v="2251@gmail.com"/>
        <s v="2252@energestic.es"/>
        <s v="2253@hotmail.com"/>
        <s v="2254@gmail.com"/>
        <s v="2255@yahoo.es"/>
        <s v="2256@gmail.com"/>
        <s v="2257@hotmail.com"/>
        <s v="2258@fercansa.es"/>
        <s v="2259@gmail.com"/>
        <s v="2260@gmail.com"/>
        <s v="2261@grupoefelec.com"/>
        <s v="2262@hotmail.com"/>
        <s v="2263@gmail.com"/>
        <s v="2264@gmail.com"/>
        <s v="2265@gmail.com"/>
        <s v="2266@gmail.com"/>
        <s v="2267@gmail.com"/>
        <s v="2268@gmail.com"/>
        <s v="2269@qq.com"/>
        <s v="2270@hotmail.com"/>
        <s v="2271@gmail.com"/>
        <s v="2272@tiempobbdo.es"/>
        <s v="2273@telefonica.net"/>
        <s v="2274@fersitec.com"/>
        <s v="2275@rccyp.com"/>
        <s v="2276@hotmail.com"/>
        <s v="2277@gmail.com"/>
        <s v="2278@gmail.com"/>
        <s v="2279@gmail.com"/>
        <s v="2280@gmail.com"/>
        <s v="2281@hotmail.com"/>
        <s v="2282@gmail.com"/>
        <s v="2283@hotmail.com"/>
        <s v="2284@gmail.com"/>
        <s v="2285@hotmail.com"/>
        <s v="2286@hotmail.com"/>
        <s v="2287@sonepar.es"/>
        <s v="2288@yahoo.es"/>
        <s v="2289@hotmail.com"/>
        <s v="2290@atmos.link"/>
        <s v="2291@fegime.es"/>
        <s v="2292@gmail.com"/>
        <s v="2293@usa.com"/>
        <s v="2294@gmail.com"/>
        <s v="2295@msn.com"/>
        <s v="2296@gmail.com"/>
        <s v="2297@sece.com"/>
        <s v="2298@sonepar.es"/>
        <s v="2299@protele.es"/>
        <s v="2300@grupoelectrostocks.com"/>
        <s v="2301@sonepar.es"/>
        <s v="2302@agosa.es"/>
        <s v="2303@industrialgines.com"/>
        <s v="2304@gmail.com"/>
        <s v="2305@hotmail.com"/>
        <s v="2306@somosemotion.es"/>
        <s v="2307@gmail.com"/>
        <s v="2308@gmail.com"/>
        <s v="2309@hotmail.com"/>
        <s v="2310@yahoo.es"/>
        <s v="2311@deluxson.com"/>
        <s v="2312@yahoo.es"/>
        <s v="2313@gmail.com"/>
        <s v="2314@gmail.com"/>
        <s v="2315@electricidadguerra.com"/>
        <s v="2316@telecable.es"/>
        <s v="2317@eimetropolitana.com"/>
        <s v="2318@grupo-jarama.com"/>
        <s v="2319@gmail.com"/>
        <s v="2320@electrovizcaya.com"/>
        <s v="2321@coto.pro"/>
        <s v="2322@hotmail.com"/>
        <s v="2323@gmail.com"/>
        <s v="2324@gmail.com"/>
        <s v="2325@ingenierosvalladolid.es"/>
        <s v="2326@gmail.com"/>
        <s v="2327@gmail.com"/>
        <s v="2328@gmail.com"/>
        <s v="2329@hotmail.com"/>
        <s v="2330@gmail.com"/>
        <s v="2331@gmail.com"/>
        <s v="2332@gmail.com"/>
        <s v="2333@gmail.com"/>
        <s v="2334@grupoelectrostocks.com"/>
        <s v="2335@gmail.com"/>
        <s v="2336@gmail.com"/>
        <s v="2337@msn.com"/>
        <s v="2338@gmail.com"/>
        <s v="2339@monlau.com"/>
        <s v="2340@yahoo.es"/>
        <s v="2341@hotmail.com"/>
        <s v="2342@inescoconstructora.es"/>
        <s v="2343@gmail.com"/>
        <s v="2344@tecmagenil.es"/>
        <s v="2345@yahoo.es"/>
        <s v="2346@grupoetra.com"/>
        <s v="2347@visaonomada.pt"/>
        <s v="2348@ya.com"/>
        <s v="2349@belsanz.com"/>
        <s v="2350@gmail.com"/>
        <s v="2351@gmail.com"/>
        <s v="2352@gmail.com"/>
        <s v="2353@conecta-sistemas.com"/>
        <s v="2354@gmail.com"/>
        <s v="2355@gmail.com"/>
        <s v="2356@infova.es"/>
        <s v="2357@gmail.com"/>
        <s v="2358@hotmail.es"/>
        <s v="2359@hotmail.com"/>
        <s v="2360@viplaro.com"/>
        <s v="2361@gmail.com"/>
        <s v="2362@telefonica.net"/>
        <s v="2363@hotmail.com"/>
        <s v="2364@agmundet.es"/>
        <s v="2365@jazzfree.com"/>
        <s v="2366@energies.cat"/>
        <s v="2367@yahoo.es"/>
        <s v="2368@gmail.com"/>
        <s v="2369@cataliaga.com"/>
        <s v="2370@gmail.com"/>
        <s v="2371@fhiguero.es"/>
        <s v="2372@gmail.com"/>
        <s v="2373@grupoelectrostocks.com"/>
        <s v="2374@yahoo.com"/>
        <s v="2375@m4servicios.es"/>
        <s v="2376@gmail.com"/>
        <s v="2377@conmasa.cat"/>
        <s v="2378@montajesjep.com"/>
        <s v="2379@erf.cat"/>
        <s v="2380@gmail.com"/>
        <s v="2381@outlook.com"/>
        <s v="2382@hotmail.com"/>
        <s v="2383@fff.com"/>
        <s v="2384@kapsch.net"/>
        <s v="2385@gg.com"/>
        <s v="2386@agosa.es"/>
        <s v="2387@yahoo.es"/>
        <s v="2388@gmail.com"/>
        <s v="2389@gruponovelec.com"/>
        <s v="2390@gmail.com"/>
        <s v="2391@casamarquez.es"/>
        <s v="2392@gmail.com"/>
        <s v="2393@gmail.com"/>
        <s v="2394@bladis.com"/>
        <s v="2395@gruponovelec.com"/>
        <s v="2396@sonepar.es"/>
        <s v="2397@a2bingenieros.com"/>
        <s v="2398@hotmail.com"/>
        <s v="2399@teclisa.com"/>
        <s v="2400@ormazabal.com"/>
        <s v="2401@hotmail.com"/>
        <s v="2402@adtel.es"/>
        <s v="2403@gmail.com"/>
        <s v="2404@gmail.com"/>
        <s v="2405@simon.es"/>
        <s v="2406@gmail.com"/>
        <s v="2407@msn.com"/>
        <s v="2408@me.com"/>
        <s v="2409@eufon.com"/>
        <s v="2410@me.com"/>
        <s v="2411@hotmail.com"/>
        <s v="2412@conmasa.cat"/>
        <s v="2413@siemensgamesa.com"/>
        <s v="2414@saenzdesanpedro.com"/>
        <s v="2415@gmail.com"/>
        <s v="2416@veolia.com"/>
        <s v="2417@rexel.es"/>
        <s v="2418@ompsl.com"/>
        <s v="2419@aiguesdebarcelona.cat"/>
        <s v="2420@gmail.com"/>
        <s v="2421@rexel.es"/>
        <s v="2422@hotmail.com"/>
        <s v="2423@jccifuentes.com"/>
        <s v="2424@sonepar.es"/>
        <s v="2425@hotmail.com"/>
        <s v="2426@gmail.com"/>
        <s v="2427@valnu.es"/>
        <s v="2428@saltoki.es"/>
        <s v="2429@hotmail.com"/>
        <s v="2430@tenmega.pt"/>
        <s v="2431@gmail.com"/>
        <s v="2432@telefonica.net"/>
        <s v="2433@sonepar.es"/>
        <s v="2434@gmail.com"/>
        <s v="2435@indasasl.es"/>
        <s v="2436@ydrolia.com"/>
        <s v="2437@dos-atf.es"/>
        <s v="2438@gmail.com"/>
        <s v="2439@hotmail.com"/>
        <s v="2440@imanzanera.com"/>
        <s v="2441@berdin.com"/>
        <s v="2442@gmail.com"/>
        <s v="2443@gmail.com"/>
        <s v="2444@gmail.com"/>
        <s v="2445@wallbox.com"/>
        <s v="2446@hotmail.com"/>
        <s v="2447@etecnic.es"/>
        <s v="2448@uvigo.es"/>
        <s v="2449@magtel.es"/>
        <s v="2450@sonepar.es"/>
        <s v="2451@gmail.com"/>
        <s v="2452@fi-group.com"/>
        <s v="2453@insitecaingenieros.com"/>
        <s v="2454@gmail.com"/>
        <s v="2455@gmail.com"/>
        <s v="2456@serlujua.com"/>
        <s v="2457@gmail.com"/>
        <s v="2458@gmail.com"/>
        <s v="2459@grupoelectrostocks.com"/>
        <s v="2460@gmail.com"/>
        <s v="2461@yahoo.es"/>
        <s v="2462@gmail.com"/>
        <s v="2463@ise40.com"/>
        <s v="2464@pas.uned.es"/>
        <s v="2465@gmail.com"/>
        <s v="2466@hotmail.com"/>
        <s v="2467@gmail.com"/>
        <s v="2468@gmail.com"/>
        <s v="2469@yca.es"/>
        <s v="2470@gmail.com"/>
        <s v="2471@gmail.com"/>
        <s v="2472@gmail.com"/>
        <s v="2473@hotmail.com"/>
        <s v="2474@sehusol.com"/>
        <s v="2475@berdin.com"/>
        <s v="2476@dimces.com"/>
        <s v="2477@moralesyartigasabogados.com"/>
        <s v="2478@gmail.com"/>
        <s v="2479@hotmail.es"/>
        <s v="2480@simon.es"/>
        <s v="2481@apogeaconsulting.com"/>
        <s v="2482@etelnoga.com"/>
        <s v="2483@gmail.com"/>
        <s v="2484@grupo-jarama.com"/>
        <s v="2485@saergy.com"/>
        <s v="2486@hotmail.com"/>
        <s v="2487@telefonica.net"/>
        <s v="2488@gmail.com"/>
        <s v="2489@proytecenergia.com"/>
        <s v="2490@mantenencies.com"/>
        <s v="2491@saltoki.es"/>
        <s v="2492@gmail.com"/>
        <s v="2493@gmail.com"/>
        <s v="2494@gmail.com"/>
        <s v="2495@gmail.com"/>
        <s v="2496@grupoelectrostocks.com"/>
        <s v="2497@gmail.com"/>
        <s v="2498@adtelcom.es"/>
        <s v="2499@hotmail.com"/>
        <s v="2500@sonepar.es"/>
        <s v="2501@gmail.com"/>
        <s v="2502@yahoo.es"/>
        <s v="2503@grupoiicsa.com"/>
        <s v="2504@gmail.com"/>
        <s v="2505@gmail.com"/>
        <s v="2506@es.issworld.com"/>
        <s v="2507@victorperezsl.com"/>
        <s v="2508@solardelvalle.es"/>
        <s v="2509@elecnor.es"/>
        <s v="2510@sermicro.com"/>
        <s v="2511@gmail.com"/>
        <s v="2512@hotmail.com"/>
        <s v="2513@gmail.com"/>
        <s v="2514@coitialicante.com"/>
        <s v="2515@simon.es"/>
        <s v="2516@isega.es"/>
        <s v="2517@ineleeg.es"/>
        <s v="2518@solardelvalle.es"/>
        <s v="2519@hotmail.com"/>
        <s v="2520@jspelectrotecnia.com"/>
        <s v="2521@amisur.es"/>
        <s v="2522@gmail.com"/>
        <s v="2523@ipae.es"/>
        <s v="2524@me.com"/>
        <s v="2525@gmail.com"/>
        <s v="2526@reparacioneslsanchez.es"/>
        <s v="2527@gmail.com"/>
        <s v="2528@leing.es"/>
        <s v="2529@upc.edu"/>
        <s v="2530@galimar.com.es"/>
        <s v="2531@arquitecturaygestion.com"/>
        <s v="2532@gmail.com"/>
        <s v="2533@hotmail.com"/>
        <s v="2534@gmail.com"/>
        <s v="2535@hotmail.com"/>
        <s v="2536@telefonica.net"/>
        <s v="2537@electram.es"/>
        <s v="2538@elcorteingles.es"/>
        <s v="2539@gmail.com"/>
        <s v="2540@gmail.com"/>
        <s v="2541@gmail.com"/>
        <s v="2542@tecnica4.com"/>
        <s v="2543@eltec-servicios.com"/>
        <s v="2544@hotmail.com"/>
        <s v="2545@telefonica.net"/>
        <s v="2546@tecnovap.es"/>
        <s v="2547@gmail.com"/>
        <s v="2548@gmail.com"/>
        <s v="2549@gmail.com"/>
        <s v="2550@energema.com"/>
        <s v="2551@inelsa.com"/>
        <s v="2552@gmail.com"/>
        <s v="2553@telefonica.net"/>
        <s v="2554@telefonica.net"/>
        <s v="2555@gmail.com"/>
        <s v="2556@hotmail.com"/>
        <s v="2557@hotmail.com"/>
        <s v="2558@gmail.com"/>
        <s v="2559@simon.es"/>
        <s v="2560@gmail.com"/>
        <s v="2561@gmail.com"/>
        <s v="2562@artesolar.com"/>
        <s v="2563@hotmail.com"/>
        <s v="2564@ctv.masaveu.com"/>
        <s v="2565@hotmail.com"/>
        <s v="2566@casadoguia.com"/>
        <s v="2567@hotmail.com"/>
        <s v="2568@email.com"/>
        <s v="2569@gmail.com"/>
        <s v="2570@telefonica.net"/>
        <s v="2571@dival.es"/>
        <s v="2572@sesaelec.com"/>
        <s v="2573@edetcotecnics.com"/>
        <s v="2574@telefonica.net"/>
        <s v="2575@gruposti.com"/>
        <s v="2576@construciainstalaciones.com"/>
        <s v="2577@gmail.com"/>
        <s v="2578@hotmail.com"/>
        <s v="2579@fgc.cat"/>
        <s v="2580@imagenyarquitectura.com.mx"/>
        <s v="2581@yahoo.com"/>
        <s v="2582@ccaait.cat"/>
        <s v="2583@grupcarol.com"/>
        <s v="2584@sistemasdeenergia.es"/>
        <s v="2585@grupoelectrostocks.com"/>
        <s v="2586@saltoki.es"/>
        <s v="2587@picocompany.es"/>
        <s v="2588@fossic.es"/>
        <s v="2589@hotmail.com"/>
        <s v="2590@gmail.com"/>
        <s v="2591@gmail.com"/>
        <s v="2592@bsmsa.cat"/>
        <s v="2593@abcgrup.com"/>
        <s v="2594@gmail.com"/>
        <s v="2595@gmail.com"/>
        <s v="2596@simonelectrica.com"/>
        <s v="2597@3xakoenergi.com"/>
        <s v="2598@tecoel.es"/>
        <s v="2599@sazepi.com"/>
        <s v="2600@electrimega.es"/>
        <s v="2601@seituria.com"/>
        <s v="2602@saherlux.com"/>
        <s v="2603@guillenmotor.com"/>
        <s v="2604@hotelnelva.es"/>
        <s v="2605@gmail.com"/>
        <s v="2606@gmail.com"/>
        <s v="2607@hotmail.com"/>
        <s v="2608@zambongroup.com"/>
        <s v="2609@construccioicontrol.com"/>
        <s v="2610@orangecorreo.es"/>
        <s v="2611@gocsa.es"/>
        <s v="2612@ingenieriaconforma.com"/>
        <s v="2613@gmail.com"/>
        <s v="2614@rexel.es"/>
        <s v="2615@orbiumsolar.es"/>
        <s v="2616@prysmiangroup.com"/>
        <s v="2617@hotmail.com"/>
        <s v="2618@viegasefilhos.pt"/>
        <s v="2619@gmail.com"/>
        <s v="2620@icloud.com"/>
        <s v="2621@integralplm.com"/>
        <s v="2622@instavi.es"/>
        <s v="2623@mansel.es"/>
        <s v="2624@hotmail.com"/>
        <s v="2625@gmail.com"/>
        <s v="2626@proycoga.es"/>
        <s v="2627@aemsys.com"/>
        <s v="2628@telefonica.net"/>
        <s v="2629@hotmail.com"/>
        <s v="2630@gmail.com"/>
        <s v="2631@gmail.com"/>
        <s v="2632@felices.agency"/>
        <s v="2633@araelec.com"/>
        <s v="2634@hotmail.es"/>
        <s v="2635@ambginy.com"/>
        <s v="2636@sonepar.es"/>
        <s v="2637@metromadrid.es"/>
        <s v="2638@ativalles.com"/>
        <s v="2639@sanitariosbosco.es"/>
        <s v="2640@magserveis.com"/>
        <s v="2641@gmail.com"/>
        <s v="2642@mipelsa.es"/>
        <s v="2643@sansiga.com"/>
        <s v="2644@gmail.com"/>
        <s v="2645@hotmail.com"/>
        <s v="2646@gmail.com"/>
        <s v="2647@rexel.es"/>
        <s v="2648@electracaldense.com"/>
        <s v="2649@grupocuerva.com"/>
        <s v="2650@coac.net"/>
        <s v="2651@yntegraservicios.es"/>
        <s v="2652@tessai.es"/>
        <s v="2653@idiada.com"/>
        <s v="2654@edmcadiz.es"/>
        <s v="2655@getsa.es"/>
        <s v="2656@sonepar.es"/>
        <s v="2657@a4ingenieria.es"/>
        <s v="2658@gmail.com"/>
        <s v="2659@gmail.com"/>
        <s v="2660@gmail.com"/>
        <s v="2661@gmail.com"/>
        <s v="2662@gmail.com"/>
        <s v="2663@bitjerez.com"/>
        <s v="2664@gmail.com"/>
        <s v="2665@electroaldis.com"/>
        <s v="2666@gmail.com"/>
        <s v="2667@iselektric.com"/>
        <s v="2668@gmail.com"/>
        <s v="2669@electroidella.com"/>
        <s v="2670@gmail.com"/>
        <s v="2671@gmail.com"/>
        <s v="2672@gmail.com"/>
        <s v="2673@gamil.com"/>
        <s v="2674@coar.es"/>
        <s v="2675@grupoelectrostocks.com"/>
        <s v="2676@gmail.com"/>
        <s v="2677@gmail.com"/>
        <s v="2678@impact-al.com"/>
        <s v="2679@hotmail.com"/>
        <s v="2680@copitima.com"/>
        <s v="2681@sueprat.es"/>
        <s v="2682@dipucuenca.es"/>
        <s v="2683@live.fr"/>
        <s v="2684@hotmail.com"/>
        <s v="2685@orgaus.com"/>
        <s v="2686@kbingenieria.com"/>
        <s v="2687@serium.es"/>
        <s v="2688@hotmail.com"/>
        <s v="2689@edp-sl.com"/>
        <s v="2690@gmail.com"/>
        <s v="2691@magserveis.com"/>
        <s v="2692@gmail.com"/>
        <s v="2693@bextron.es"/>
        <s v="2694@gmail.com"/>
        <s v="2695@inelt.es"/>
        <s v="2696@1aingenieros.com"/>
        <s v="2697@digamel.com"/>
        <s v="2698@gmail.com"/>
        <s v="2699@gmail.com"/>
        <s v="2700@hotmail.com"/>
        <s v="2701@gmail.com"/>
        <s v="2702@digamel.com"/>
        <s v="2703@hotmail.com"/>
        <s v="2704@construciainstalaciones.com"/>
        <s v="2705@tmb.cat"/>
        <s v="2706@opportunity-one.com"/>
        <s v="2707@gmail.com"/>
        <s v="2708@meta-sidecar.com"/>
        <s v="2709@construciainstalaciones.com"/>
        <s v="2710@arbonapiza.com"/>
        <s v="2711@infinitypv.com"/>
        <s v="2712@gmail.com"/>
        <s v="2713@gmail.com"/>
        <s v="2714@gma.es"/>
        <s v="2715@gmail.com"/>
        <s v="2716@gmail.com"/>
        <s v="2717@gmail.com"/>
        <s v="2718@none.com"/>
        <s v="2719@saltoki.es"/>
        <s v="2720@grupoelectrostocks.com"/>
        <s v="2721@anpasa.es"/>
        <s v="2722@instalacionesyobrasdelrio.com"/>
        <s v="2723@hotmail.com"/>
        <s v="2724@gmeil.com"/>
        <s v="2725@hotmail.com"/>
        <s v="2726@sonepar.es"/>
        <s v="2727@gruponovelec.com"/>
        <s v="2728@gmail.com"/>
        <s v="2729@hotmail.com"/>
        <s v="2730@enzazaden.es"/>
        <s v="2731@gmail.com"/>
        <s v="2732@gmail.com"/>
        <s v="2733@sigmaenginyers.es"/>
        <s v="2734@gmail.com"/>
        <s v="2735@gmail.com"/>
        <s v="2736@gmail.com"/>
        <s v="2737@gmail.com"/>
        <s v="2738@conalepmex.edu.mx"/>
        <s v="2739@constructorasanjose.com"/>
        <s v="2740@gmail.com"/>
        <s v="2741@cruzroja.es"/>
        <s v="2742@mindual.com"/>
        <s v="2743@itaipu.gov.py"/>
        <s v="2744@simon.es"/>
        <s v="2745@urbanresilience.eu"/>
        <s v="2746@proinelec.com"/>
        <s v="2747@gmail.com"/>
        <s v="2748@nitlux.es"/>
        <s v="2749@gmail.com"/>
        <s v="2750@exavoltio.es"/>
        <s v="2751@gruponovelec.com"/>
        <s v="2752@ingener.net"/>
        <s v="2753@aurialux.com"/>
        <s v="2754@emgvlasrozas.org"/>
        <s v="2755@gmail.com"/>
        <s v="2756@gmail.com"/>
        <s v="2757@irradiaenergia.com"/>
        <s v="2758@gmail.com"/>
        <s v="2759@gmail.com"/>
        <s v="2760@yahoo.es"/>
        <s v="2761@stratum22.com"/>
        <s v="2762@gmail.com"/>
        <s v="2763@gmail.com"/>
        <s v="2764@gmail.com"/>
        <s v="2765@gmail.com"/>
        <s v="2766@telefonica.net"/>
        <s v="2767@gmail.com"/>
        <s v="2768@gmail.com"/>
        <s v="2769@gmail.com"/>
        <s v="2770@gmail.com"/>
        <s v="2771@gmail.com"/>
        <s v="2772@saltoki.es"/>
        <s v="2773@energiaactiva.es"/>
        <s v="2774@trensfm.com"/>
        <s v="2775@gmail.com"/>
        <s v="2776@pgiengineering.com"/>
        <s v="2777@huelva.es"/>
        <s v="2778@empretelco.es"/>
        <s v="2779@gmail.com"/>
        <s v="2780@abcgrup.com"/>
        <s v="2781@ahabana.co.cu"/>
        <s v="2782@gmail.com"/>
        <s v="2783@gmail.com"/>
        <s v="2784@coac.net"/>
        <s v="2785@climarubi.com"/>
        <s v="2786@metromadrid.es"/>
        <s v="2787@grupocematel.com"/>
        <s v="2788@eurocabos.es"/>
        <s v="2789@telefonica.net"/>
        <s v="2790@gmail.com"/>
        <s v="2791@pickdata.net"/>
        <s v="2792@ajcampos.org"/>
        <s v="2793@gmail.com"/>
        <s v="2794@efinetika.com"/>
        <s v="2795@gmail.com"/>
        <s v="2796@gmail.com"/>
        <s v="2797@gmail.com"/>
        <s v="2798@yahoo.es"/>
        <s v="2799@oceanim.es"/>
        <s v="2800@gmail.com"/>
        <s v="2801@eei-ingenieria.com"/>
        <s v="2802@gonzalezsme.com"/>
        <s v="2803@rodriguezromeu.com"/>
        <s v="2804@vtisl.com"/>
        <s v="2805@gmail.com"/>
        <s v="2806@jdingenieria.com"/>
        <s v="2807@jhfsystemcrane.com"/>
        <s v="2808@gmail.com"/>
        <s v="2809@solerteselen.cat"/>
        <s v="2810@sensorstecnics.net"/>
        <s v="2811@gmail.com"/>
        <s v="2812@martipala.com"/>
        <s v="2813@gmail.com"/>
        <s v="2814@vitrosep.com"/>
        <s v="2815@gmail.com"/>
        <s v="2816@hotmail.com"/>
        <s v="2817@hotmail.com"/>
        <s v="2818@gmail.com"/>
        <s v="2819@satydal.es"/>
        <s v="2820@sanitariosbosco.es"/>
        <s v="2821@gmail.com"/>
        <s v="2822@gmail.com"/>
        <s v="2823@mindual.com"/>
        <s v="2824@gmail.com"/>
        <s v="2825@gmail.com"/>
        <s v="2826@educacion.gob.es"/>
        <s v="2827@soltecgrupo.es"/>
        <s v="2828@coaatz.org"/>
        <s v="2829@sindel.es"/>
        <s v="2830@mequintana.com"/>
        <s v="2831@lantec.es"/>
        <s v="2832@energia.eiffage.es"/>
        <s v="2833@inelsa.com"/>
        <s v="2834@idom.com"/>
        <s v="2835@idom.com"/>
        <s v="2836@pgigrup.com"/>
        <s v="2837@gmail.com"/>
        <s v="2838@gmail.com"/>
        <s v="2839@esprosa.es"/>
        <s v="2840@onemons.es"/>
        <s v="2841@blaudrive.com"/>
        <s v="2842@yahoo.es"/>
        <s v="2843@gmail.com"/>
        <s v="2844@alamos.es"/>
        <s v="2845@araiz.es"/>
        <s v="2846@kubicat.com"/>
        <s v="2847@gmail.com"/>
        <s v="2848@telefonica.net"/>
        <s v="2849@gmail.com"/>
        <s v="2850@hotmail.com"/>
        <s v="2851@yahoo.es"/>
        <s v="2852@gmail.com"/>
        <s v="2853@gmail.com"/>
        <s v="2854@voltplus.es"/>
        <s v="2855@trc.es"/>
        <s v="2856@eurocabos.es"/>
        <s v="2857@gmail.com"/>
        <s v="2858@gmail.com"/>
        <s v="2859@hotmail.com"/>
        <s v="2860@soltecingenieros.com"/>
        <s v="2861@live.com"/>
        <s v="2862@gmail.com"/>
        <s v="2863@hibrielectric.com"/>
        <s v="2864@gmail.com"/>
        <s v="2865@gadisel.com"/>
        <s v="2866@hotmail.com"/>
        <s v="2867@jqadvisors.com"/>
        <s v="2868@cipfplacostera.com"/>
        <s v="2869@montajes-medyp.com"/>
        <s v="2870@yahoo.com"/>
        <s v="2871@assinsta.com"/>
        <s v="2872@hotmail.com"/>
        <s v="2873@gmail.com"/>
        <s v="2874@broa.net"/>
        <s v="2875@ulper.es"/>
        <s v="2876@gmail.com"/>
        <s v="2877@gammasg.com"/>
        <s v="2878@grupojab.es"/>
        <s v="2879@hbalcells.com"/>
        <s v="2880@alfasel.es"/>
        <s v="2881@hotmail.com"/>
        <s v="2882@secorsa.com"/>
        <s v="2883@acciona.com"/>
        <s v="2884@gmail.com"/>
        <s v="2885@instalacionessegura.es"/>
        <s v="2886@construroura.es"/>
        <s v="2887@indasasl.es"/>
        <s v="2888@proalingenieros.com"/>
        <s v="2889@eurocabos.es"/>
        <s v="2890@edu.xunta.es"/>
        <s v="2891@ingenibo.com"/>
        <s v="2892@gmail.com"/>
        <s v="2893@yahoo.com"/>
        <s v="2894@me.com"/>
        <s v="2895@mundoled.net"/>
        <s v="2896@energia.eiffage.es"/>
        <s v="2897@radytel.com"/>
        <s v="2898@simon.es"/>
        <s v="2899@gmail.com"/>
        <s v="2900@hotmail.com"/>
        <s v="2901@eneroptim.es"/>
        <s v="2902@gmail.com"/>
        <s v="2903@estudioelan.com"/>
        <s v="2904@gmail.com"/>
        <s v="2905@atoms.cat"/>
        <s v="2906@comb.cat"/>
        <s v="2907@generaeficiencia.com"/>
        <s v="2908@esplugues.cat"/>
        <s v="2909@ekoleds.com"/>
        <s v="2910@syocsa-inarsa.es"/>
        <s v="2911@grupocobra.com"/>
        <s v="2912@essatel.es"/>
        <s v="2913@gmail.com"/>
        <s v="2914@aldaproyectos.es"/>
        <s v="2915@crescencioperez.com"/>
        <s v="2916@diazrojo.com"/>
        <s v="2917@mastercentella.com"/>
        <s v="2918@gmail.com"/>
        <s v="2919@gmail.com"/>
        <s v="2920@prodelectric.es"/>
        <s v="2921@hotmail.com"/>
        <s v="2922@tecnicanorte.com"/>
        <s v="2923@gmail.com"/>
        <s v="2924@gmail.com"/>
        <s v="2925@gmail.com"/>
        <s v="2926@elherco.com"/>
        <s v="2927@interflex.es"/>
        <s v="2928@simon.es"/>
        <s v="2929@baurenginyers.cat"/>
        <s v="3292@movistar.es"/>
        <s v="3297@hotmail.com"/>
        <s v="2930@hotmail.com"/>
        <s v="2931@telefonica.net"/>
        <s v="2932@soldeser.com"/>
        <s v="2933@agenex.org"/>
        <s v="2934@gruponovelec.com"/>
        <s v="2935@hotellosllanos.es"/>
        <s v="2936@gmail.com"/>
        <s v="2937@gmail.com"/>
        <s v="2938@inemesa.com"/>
        <s v="2939@oscarcaselles.com"/>
        <s v="2940@xtec.cat"/>
        <s v="2941@gmail.com"/>
        <s v="2942@ragaluz.com"/>
        <s v="2943@agaeng.es"/>
        <s v="2944@prysmiangroup.com"/>
        <s v="2945@gmail.com"/>
        <s v="2946@gmail.com"/>
        <s v="2947@gmail.com"/>
        <s v="2948@gmail.com"/>
        <s v="2949@ignasiconillas.com"/>
        <s v="2950@telematel.com"/>
        <s v="2951@telman.es"/>
        <s v="2952@catrisse.net"/>
        <s v="2953@sinophosgroup.com"/>
        <s v="2954@gmail.com"/>
        <s v="2955@imamagnets.com"/>
        <s v="2956@engie.com"/>
        <s v="2957@doladoingenieria.es"/>
        <s v="2958@gmail.com"/>
        <s v="2959@instalacionesfb.com"/>
        <s v="2960@gmail.com"/>
        <s v="2961@mqrenovables.com"/>
        <s v="2962@gmail.com"/>
        <s v="2963@gmail.com"/>
        <s v="2964@duoarquitectura.es"/>
        <s v="2965@hotmail.com"/>
        <s v="2966@gmail.com"/>
        <s v="2967@gmail.com"/>
        <s v="2968@sueprat.es"/>
        <s v="2969@gmail.com"/>
        <s v="2970@sonepar.es"/>
        <s v="2971@gmail.com"/>
        <s v="2972@us.es"/>
        <s v="2973@rt105.es"/>
        <s v="2974@outlook.com"/>
        <s v="2975@gmail.com"/>
        <s v="2976@gmail.com"/>
        <s v="2977@gmail.com"/>
        <s v="2978@electroredes.com"/>
        <s v="2979@gmail.com"/>
        <s v="2980@live.com"/>
        <s v="2981@gmail.com"/>
        <s v="2982@hotmail.es"/>
        <s v="2983@hotmail.com"/>
        <s v="2984@hotmail.com"/>
        <s v="2985@gmail.com"/>
        <s v="2986@signum.cat"/>
        <s v="2987@comercialsis.com"/>
        <s v="2988@lopezona.com"/>
        <s v="2989@9chip.com"/>
        <s v="2990@gilten.es"/>
        <s v="2991@yahoo.es"/>
        <s v="2992@socidesel.es"/>
        <s v="2993@gmail.com"/>
        <s v="2994@hotmail.com"/>
        <s v="2995@suris.es"/>
        <s v="2996@hotmail.com"/>
        <s v="2997@bgm.pt"/>
        <s v="2998@dosreisinstalaciones.es"/>
        <s v="2999@gmail.com"/>
        <s v="3000@strongpoint.com"/>
        <s v="3001@gmail.com"/>
        <s v="3002@energiaactiva.es"/>
        <s v="3003@ingenieriabenimamet.com"/>
        <s v="3004@yahoo.es"/>
        <s v="3005@electroizas.es"/>
        <s v="3006@ingenieriajorpa.es"/>
        <s v="3007@gmail.com"/>
        <s v="3008@codime.es"/>
        <s v="3009@acciona.com"/>
        <s v="3010@eleko.es"/>
        <s v="3011@gmail.com"/>
        <m/>
      </sharedItems>
    </cacheField>
    <cacheField name="Email - optim" numFmtId="165">
      <sharedItems containsBlank="1">
        <s v="1@gmail.com"/>
        <s v="2@yahoo.es"/>
        <s v="3@gmail.com"/>
        <s v="4@gmail.com"/>
        <s v="5@infortel.es"/>
        <s v="6@yahoo.es"/>
        <s v="7@unizar.es"/>
        <s v="8@gomezmoreno.com"/>
        <s v="9@chacontch.com"/>
        <s v="10@hotmail.com"/>
        <s v="11@gmail.com"/>
        <s v="12@gmail.com"/>
        <s v="13@inel.es"/>
        <s v="14@enerparking.com"/>
        <s v="15@apba.es"/>
        <s v="16@cambrabcn.org"/>
        <s v="17@gmail.com"/>
        <s v="18@urv.cat"/>
        <s v="19@grupoespacioindustrial.com"/>
        <s v="20@gmail.com"/>
        <s v="21@iteser.com"/>
        <s v="22@gmail.com"/>
        <s v="23@gmail.com"/>
        <s v="24@gmail.com"/>
        <s v="25@gmail.com"/>
        <s v="26@mktg.com"/>
        <s v="27@hotmail.com"/>
        <s v="28@gmail.com"/>
        <s v="29@gmail.com"/>
        <s v="30@gmail.com"/>
        <s v="31@gmail.com"/>
        <s v="32@gmail.com"/>
        <s v="33@gmail.com"/>
        <s v="34@gmail.com"/>
        <s v="35@gmail.com"/>
        <s v="36@visaonomada.pt"/>
        <s v="37@intienergia.com"/>
        <s v="38@telefonica.net"/>
        <s v="39@idom.com"/>
        <s v="40@hotmail.com"/>
        <s v="41@gmail.com"/>
        <s v="42@gmail.com"/>
        <s v="43@electricidadjoselucas.com"/>
        <s v="44@gmail.com"/>
        <s v="45@acotech.es"/>
        <s v="46@hotmail.com"/>
        <s v="47@marpemac.com"/>
        <s v="48@legebiltzarra.eus"/>
        <s v="49@grupocaeiro.es"/>
        <s v="50@gmail.com"/>
        <s v="51@yahoo.es"/>
        <s v="52@tdi-sistemas.com"/>
        <s v="53@dicara.es"/>
        <s v="54@abengoa.com"/>
        <s v="55@hotmail.com"/>
        <s v="56@iesmurgi.org"/>
        <s v="57@gmail.com"/>
        <s v="58@gabyl.com"/>
        <s v="59@gmail.com"/>
        <s v="60@rocketmail.com"/>
        <s v="61@elektra-sa.es"/>
        <s v="62@hotmail.com"/>
        <s v="63@semael.com"/>
        <s v="64@gmail.com"/>
        <s v="65@copitima.com"/>
        <s v="66@dgingenieros.es"/>
        <s v="67@becibiza.es"/>
        <s v="68@ingeosolar.com"/>
        <s v="69@gmail.com"/>
        <s v="70@gmail.com"/>
        <s v="71@hotmail.com"/>
        <s v="72@grupoelectrostocks.com"/>
        <s v="73@hotmail.com"/>
        <s v="74@electricidadguerra.com"/>
        <s v="75@telefonica.net"/>
        <s v="76@gmail.com"/>
        <s v="77@comsa.com"/>
        <s v="78@gmail.com"/>
        <s v="79@sonepar.es"/>
        <s v="80@enginyerstarragona.cat"/>
        <s v="81@gmail.com"/>
        <s v="82@sedes.es"/>
        <s v="83@eduardoaleman.es"/>
        <s v="84@electromontajesroldan.com"/>
        <s v="85@gmail.com"/>
        <s v="86@ingbuero-group.de"/>
        <s v="87@comsa.com"/>
        <s v="88@ingenierosvigo.com"/>
        <s v="89@ipsumindustrial.com"/>
        <s v="90@telefonica.net"/>
        <s v="91@valmet.com"/>
        <s v="92@gmail.com"/>
        <s v="93@gmail.com"/>
        <s v="94@grupocobra.com"/>
        <s v="95@gmail.com"/>
        <s v="96@hotmail.com"/>
        <s v="97@igpingenieria.com"/>
        <s v="98@davidjdiaz.es"/>
        <s v="99@coitir.com"/>
        <s v="100@hotmail.com"/>
        <s v="101@coiirm.es"/>
        <s v="102@telefonica.net"/>
        <s v="103@ciccp.es"/>
        <s v="104@spiningenieros.com"/>
        <s v="105@gmail.com"/>
        <s v="106@ucm.es"/>
        <s v="107@dipucr.es"/>
        <s v="108@salesianos.edu"/>
        <s v="109@gmail.com"/>
        <s v="110@3epsilonsolutions.com"/>
        <s v="111@murciaeduca.es"/>
        <s v="112@gmail.com"/>
        <s v="113@gmail.com"/>
        <s v="114@hotmail.com"/>
        <s v="115@yahoo.es"/>
        <s v="116@sgs.com"/>
        <s v="117@telefonica.net"/>
        <s v="118@legebiltzarra.eus"/>
        <s v="119@ideaingenieria.es"/>
        <s v="120@yahoo.com"/>
        <s v="121@gmail.com"/>
        <s v="122@tecnimed.net"/>
        <s v="123@grupocuerva.com"/>
        <s v="124@betenergia.es"/>
        <s v="125@gmail.com"/>
        <s v="126@gmail.com"/>
        <s v="127@prevae.com"/>
        <s v="128@gmail.com"/>
        <s v="129@inypro.com"/>
        <s v="130@gmail.com"/>
        <s v="131@hotmail.com"/>
        <s v="132@gmail.com"/>
        <s v="133@fasfas.com"/>
        <s v="134@gmail.com"/>
        <s v="135@telefonica.net"/>
        <s v="136@gmail.com"/>
        <s v="137@alcar2000.com"/>
        <s v="138@grupocobra.com"/>
        <s v="139@yahoo.es"/>
        <s v="140@yahoo.es"/>
        <s v="141@gmail.com"/>
        <s v="142@gmail.com"/>
        <s v="143@gmail.com"/>
        <s v="144@gmail.com"/>
        <s v="145@coitihuelva.com"/>
        <s v="146@instalacionsigualada.com"/>
        <s v="147@hotmail.es"/>
        <s v="148@gmail.com"/>
        <s v="149@gmail.com"/>
        <s v="150@atla.es"/>
        <s v="151@gmail.com"/>
        <s v="152@gmail.com"/>
        <s v="153@telefonica.net"/>
        <s v="154@jorditamayo.com"/>
        <s v="155@arcbcn.cat"/>
        <s v="156@riosrenovables.com"/>
        <s v="157@hotmail.com"/>
        <s v="158@acollconsulting.es"/>
        <s v="159@gmail.com"/>
        <s v="160@hotmail.com"/>
        <s v="161@gmail.com"/>
        <s v="162@gmail.com"/>
        <s v="163@gmail.com"/>
        <s v="164@telefonica.net"/>
        <s v="165@dobontech.com"/>
        <s v="166@napols.net"/>
        <s v="167@me.com"/>
        <s v="168@hc-ingenieros.com"/>
        <s v="169@gmail.com"/>
        <s v="170@ciudaddelosmuchachos.com"/>
        <s v="171@gmail.com"/>
        <s v="172@ardisenginyeria.com"/>
        <s v="173@gmail.com"/>
        <s v="174@hotmail.com"/>
        <s v="175@gobesa.com"/>
        <s v="176@aia.cat"/>
        <s v="177@mobcn.org"/>
        <s v="178@tec-engineering.es"/>
        <s v="179@mundo-r.com"/>
        <s v="180@aquambiente.es"/>
        <s v="181@juntaex.es"/>
        <s v="182@usal.es"/>
        <s v="183@arquired.es"/>
        <s v="184@telefonica.net"/>
        <s v="185@asintec.info"/>
        <s v="186@msn.com"/>
        <s v="187@castelyfernandez.es"/>
        <s v="188@gmail.com"/>
        <s v="189@gmail.com"/>
        <s v="190@idom.com"/>
        <s v="191@gruposinelec.com"/>
        <s v="192@gmail.com"/>
        <s v="193@triangulo.com.es"/>
        <s v="194@hotmail.com"/>
        <s v="195@electricidadmadruga.com"/>
        <s v="196@gmail.com"/>
        <s v="197@enginyerstarragona.cat"/>
        <s v="198@hotmail.es"/>
        <s v="199@elektra-sa.es"/>
        <s v="200@smassa.eu"/>
        <s v="201@gmail.com"/>
        <s v="202@gmail.com"/>
        <s v="203@outlook.com"/>
        <s v="204@ebcn.cat"/>
        <s v="205@es.tuv.com"/>
        <s v="206@jgingenieros.es"/>
        <s v="207@tecnicasyrecursos.com"/>
        <s v="208@acortaenergia.com"/>
        <s v="209@azingenieria.es"/>
        <s v="null"/>
        <s v="211@elgremi.cat"/>
        <s v="212@gmail.com"/>
        <s v="213@guidogroup.com"/>
        <s v="214@gmail.com"/>
        <s v="215@enel.com"/>
        <s v="216@gmail.com"/>
        <s v="217@esypro.net"/>
        <s v="218@erasmil.com"/>
        <s v="219@gmail.com"/>
        <s v="220@istem.es"/>
        <s v="221@maganrenovables.com"/>
        <s v="222@jcgracia.es"/>
        <s v="223@gmail.com"/>
        <s v="224@hotmail.com"/>
        <s v="225@gmail.com"/>
        <s v="226@hotmail.com"/>
        <s v="227@gmail.com"/>
        <s v="228@erasmil.com"/>
        <s v="229@gmail.com"/>
        <s v="230@solsureste.com"/>
        <s v="231@gmail.com"/>
        <s v="232@mersa.es"/>
        <s v="233@gmail.com"/>
        <s v="234@pgiengineering.com"/>
        <s v="235@gmail.com"/>
        <s v="236@elecnor.com"/>
        <s v="237@idsa.es"/>
        <s v="238@engie.com"/>
        <s v="239@alfadesarrollo.com"/>
        <s v="240@hotmail.com"/>
        <s v="241@gmail.com"/>
        <s v="242@outlook.es"/>
        <s v="243@homcrea.fr"/>
        <s v="244@as.com"/>
        <s v="245@gmail.com"/>
        <s v="247@gmail.com"/>
        <s v="248@llachsoillum.cat"/>
        <s v="249@herreroingenieros.com"/>
        <s v="250@inacces.com"/>
        <s v="251@gmail.com"/>
        <s v="252@hotmail.com"/>
        <s v="253@putzmeister.com"/>
        <s v="254@hotmail.com"/>
        <s v="255@hotmail.com"/>
        <s v="256@mail.com"/>
        <s v="257@telefonica.net"/>
        <s v="258@jesnar2011.es"/>
        <s v="259@electricosaragon2000.com"/>
        <s v="260@hotmail.com"/>
        <s v="261@gmail.com"/>
        <s v="262@gmail.com"/>
        <s v="263@sueprat.es"/>
        <s v="264@edaie.com"/>
        <s v="265@gmail.com"/>
        <s v="266@hotmail.es"/>
        <s v="267@fiberlec.com"/>
        <s v="268@gmail.com"/>
        <s v="269@hotmail.com"/>
        <s v="270@gmail.com"/>
        <s v="271@pkcgroup.com"/>
        <s v="272@gmail.com"/>
        <s v="273@gmail.com"/>
        <s v="274@movistar.es"/>
        <s v="275@aransa.com"/>
        <s v="276@gmail.com"/>
        <s v="277@fcc.es"/>
        <s v="278@urbaser.com"/>
        <s v="279@vazquezconsuegra.com"/>
        <s v="280@susaeta.net"/>
        <s v="281@montajescastellon.com"/>
        <s v="282@comsa.com"/>
        <s v="283@occidentalhotels.com"/>
        <s v="284@telman.es"/>
        <s v="285@hotmail.com"/>
        <s v="286@icaluz.com"/>
        <s v="287@parcdesalutmar.cat"/>
        <s v="288@fcc.es"/>
        <s v="289@gmail.com"/>
        <s v="290@msn.com"/>
        <s v="291@yahoo.es"/>
        <s v="292@espe.edu.ec"/>
        <s v="293@hotmail.com"/>
        <s v="294@lumial.es"/>
        <s v="295@gmail.com"/>
        <s v="296@gmail.com"/>
        <s v="297@hotmail.com"/>
        <s v="298@ibielectric.com"/>
        <s v="299@vimasol.es"/>
        <s v="300@vimasol.es"/>
        <s v="301@vimasol.es"/>
        <s v="302@loalnet.com"/>
        <s v="305@wanadoo.es"/>
        <s v="306@gmail.com"/>
        <s v="307@yahoo.es"/>
        <s v="308@rexel.es"/>
        <s v="309@hotmail.com"/>
        <s v="310@outlook.com"/>
        <s v="311@tresa.volkswagen.es"/>
        <s v="312@telefonica.net"/>
        <s v="313@inelbo.eiffage.es"/>
        <s v="314@bitrir.es"/>
        <s v="315@bongrup.es"/>
        <s v="316@aymesa.com"/>
        <s v="317@portsdebalears.com"/>
        <s v="318@gmail.com"/>
        <s v="319@gmail.com"/>
        <s v="320@gmail.com"/>
        <s v="321@gmail.com"/>
        <s v="322@rutronik.com"/>
        <s v="323@hotmail.com"/>
        <s v="324@onsaze.es"/>
        <s v="325@sonepar.es"/>
        <s v="326@gmail.com"/>
        <s v="327@romovi.com"/>
        <s v="328@siemens.com"/>
        <s v="329@covama.es"/>
        <s v="330@hotmail.com"/>
        <s v="331@gmail.com"/>
        <s v="332@gmail.com"/>
        <s v="333@jbizcocho.es"/>
        <s v="334@mixmail.com"/>
        <s v="335@faepac.org"/>
        <s v="336@gmail.com"/>
        <s v="337@gmail.com"/>
        <s v="338@u220.es"/>
        <s v="339@emiliocueto.com"/>
        <s v="340@bizkaia.eu"/>
        <s v="341@enchufesolar.com"/>
        <s v="342@idesa.pro"/>
        <s v="343@gmail.com"/>
        <s v="344@hotmail.com"/>
        <s v="345@enerwatt.es"/>
        <s v="346@gmail.com"/>
        <s v="347@engie.com"/>
        <s v="348@telefonica.net"/>
        <s v="349@dipualba.es"/>
        <s v="350@talleresloam.com"/>
        <s v="351@cochele.com"/>
        <s v="352@live.com.mx"/>
        <s v="353@industrialgines.com"/>
        <s v="354@gmail.com"/>
        <s v="355@gmail.com"/>
        <s v="356@hotmail.com"/>
        <s v="357@cesvimap.com"/>
        <s v="358@suris.es"/>
        <s v="359@movistar.es"/>
        <s v="360@gmail.com"/>
        <s v="361@trabajosadomicilio.es"/>
        <s v="362@hotmail.com"/>
        <s v="363@gmail.com"/>
        <s v="364@telefonica.net"/>
        <s v="365@edu.xunta.es"/>
        <s v="366@gmail.com"/>
        <s v="367@yahoo.es"/>
        <s v="368@gmail.com"/>
        <s v="369@upc.edu"/>
        <s v="370@coac.es"/>
        <s v="371@hotmail.com"/>
        <s v="372@ub.edu"/>
        <s v="373@eling.es"/>
        <s v="374@copitima.com"/>
        <s v="375@gmail.com"/>
        <s v="376@gmail.com"/>
        <s v="377@nouges.es"/>
        <s v="378@mcrdielec.com"/>
        <s v="379@gmail.com"/>
        <s v="380@acp-level.es"/>
        <s v="381@mtcholding.ro"/>
        <s v="382@gmail.com"/>
        <s v="383@llamas.com.es"/>
        <s v="384@comsa.com"/>
        <s v="385@upc.edu"/>
        <s v="386@xtec.cat"/>
        <s v="387@gmail.com"/>
        <s v="388@gmail.com"/>
        <s v="389@yahoo.es"/>
        <s v="390@hotmail.com"/>
        <s v="391@gmail.com"/>
        <s v="392@gmail.com"/>
        <s v="393@gmail.com"/>
        <s v="394@yahoo.es"/>
        <s v="395@ajinstal.cat"/>
        <s v="396@gmail.com"/>
        <s v="397@orange.es"/>
        <s v="398@ciudaddelosmuchachos.com"/>
        <s v="399@gmail.com"/>
        <s v="400@arquired.es"/>
        <s v="401@hotmail.es"/>
        <s v="402@gmail.com"/>
        <s v="403@hotmail.com"/>
        <s v="404@hotmail.com"/>
        <s v="405@yahoo.es"/>
        <s v="406@gmail.com"/>
        <s v="407@romher.es"/>
        <s v="408@ic3sl.com"/>
        <s v="409@gruposinelec.com"/>
        <s v="410@gmail.com"/>
        <s v="411@proyectosdelhogar.com"/>
        <s v="412@seelectroled.com"/>
        <s v="413@emancha.com"/>
        <s v="414@gruptba.com"/>
        <s v="415@gmail.com"/>
        <s v="416@dominguezelectricidad.es"/>
        <s v="417@gmail.com"/>
        <s v="418@proyectosict.net"/>
        <s v="419@miscelec.com"/>
        <s v="420@covama.es"/>
        <s v="421@maelse.com"/>
        <s v="422@amena.com"/>
        <s v="423@me.com"/>
        <s v="424@ulmahandling.com"/>
        <s v="425@telefonica.net"/>
        <s v="426@gmail.com"/>
        <s v="427@gmail.com"/>
        <s v="428@hotmail.com"/>
        <s v="429@yahoo.es"/>
        <s v="430@urgon.es"/>
        <s v="431@hotmail.com"/>
        <s v="432@acacea.es"/>
        <s v="433@gmail.com"/>
        <s v="434@gmail.com"/>
        <s v="435@solucionesms.es"/>
        <s v="436@electrosoler.com"/>
        <s v="437@alrolasistemas.es"/>
        <s v="438@epla.es"/>
        <s v="439@edu.xunta.es"/>
        <s v="440@fedirbra.com"/>
        <s v="441@arquiem.es"/>
        <s v="442@hotmail.com"/>
        <s v="443@ingenia.es"/>
        <s v="444@dymiel.es"/>
        <s v="445@sueprat.es"/>
        <s v="446@atega.net"/>
        <s v="447@iescotesbaixes.org"/>
        <s v="448@gmail.com"/>
        <s v="449@urgon.es"/>
        <s v="450@gmail.com"/>
        <s v="451@ingelux.com"/>
        <s v="452@urgon.es"/>
        <s v="453@edelafuente.com"/>
        <s v="454@gmail.com"/>
        <s v="455@gmail.com"/>
        <s v="456@electricidadvilela.com"/>
        <s v="457@outlook.com"/>
        <s v="458@imel.es"/>
        <s v="459@sesetec.com"/>
        <s v="460@gmail.com"/>
        <s v="461@msn.com"/>
        <s v="462@gmail.com"/>
        <s v="463@gmail.com"/>
        <s v="464@hotmail.es"/>
        <s v="465@hotmail.com"/>
        <s v="466@gmail.com"/>
        <s v="467@gmail.com"/>
        <s v="468@yahoo.es"/>
        <s v="469@somorrostro.com"/>
        <s v="470@gmail.com"/>
        <s v="471@abengoa.com"/>
        <s v="472@ebcn.cat"/>
        <s v="473@inexo.es"/>
        <s v="474@tectram.com"/>
        <s v="475@hotmail.es"/>
        <s v="476@hotmail.com"/>
        <s v="477@gmail.com"/>
        <s v="478@gmail.com"/>
        <s v="479@gmail.com"/>
        <s v="480@gmail.com"/>
        <s v="481@gmail.com"/>
        <s v="482@pentamatik.com"/>
        <s v="483@arval.es"/>
        <s v="484@macegroup.com"/>
        <s v="485@hotmail.com"/>
        <s v="486@gmail.com"/>
        <s v="487@gmail.com"/>
        <s v="488@gmail.com"/>
        <s v="489@carbonellfigueras.com"/>
        <s v="490@idom.com"/>
        <s v="491@gmail.com"/>
        <s v="492@hotmail.com"/>
        <s v="493@gmail.com"/>
        <s v="494@protelec.es"/>
        <s v="495@boslan.com"/>
        <s v="496@gmail.com"/>
        <s v="497@6d-ingenieros.com"/>
        <s v="498@gmail.com"/>
        <s v="499@netcabo.pt"/>
        <s v="500@gmail.com"/>
        <s v="501@gmail.com"/>
        <s v="502@hotmail.com"/>
        <s v="503@ofp.cat"/>
        <s v="504@avilayhevia.com"/>
        <s v="505@mavipas.com"/>
        <s v="506@pina-ingenieria.com"/>
        <s v="507@eco-voltaica.com"/>
        <s v="508@gmail.com"/>
        <s v="509@hotmail.com"/>
        <s v="510@gmail.com"/>
        <s v="511@yahoo.es"/>
        <s v="512@hotmail.com"/>
        <s v="513@osmos.es"/>
        <s v="514@hotmail.com"/>
        <s v="515@torrepacheco.es"/>
        <s v="516@hotmail.es"/>
        <s v="517@palmersebastian.com"/>
        <s v="518@gmail.com"/>
        <s v="519@outlook.com"/>
        <s v="520@ecf-electricidad.com"/>
        <s v="521@gmail.com"/>
        <s v="522@siemens.com"/>
        <s v="523@gmail.com"/>
        <s v="524@gmail.com"/>
        <s v="525@comsa.com"/>
        <s v="526@gmail.com"/>
        <s v="527@yahoo.com.mx"/>
        <s v="528@gmail.com"/>
        <s v="529@gmail.com"/>
        <s v="530@trilegend.com"/>
        <s v="531@csisuministros.com"/>
        <s v="532@gmail.com"/>
        <s v="533@emconsulting.es"/>
        <s v="534@gmail.com"/>
        <s v="535@bgp.es"/>
        <s v="536@adymus.es"/>
        <s v="537@sonneingenieria.com"/>
        <s v="538@herquesa.com"/>
        <s v="539@cablenergia.com"/>
        <s v="540@hotmail.com"/>
        <s v="541@gmail.com"/>
        <s v="542@yahoo.es"/>
        <s v="543@andreumanteniment.com"/>
        <s v="544@telnor.es"/>
        <s v="545@serviciosenergeticoslp.es"/>
        <s v="546@gmail.com"/>
        <s v="547@grupocuerva.com"/>
        <s v="548@hotmail.com"/>
        <s v="549@gmail.com"/>
        <s v="550@activate2.com"/>
        <s v="551@mdvproyectos.es"/>
        <s v="552@engie.com"/>
        <s v="553@aenor.com"/>
        <s v="554@gngrup.com"/>
        <s v="555@yahoo.es"/>
        <s v="556@gmail.com"/>
        <s v="557@dip-badajoz.es"/>
        <s v="558@gmail.com"/>
        <s v="559@sygsa.com"/>
        <s v="560@gmail.com"/>
        <s v="561@aialmeingenieros.com"/>
        <s v="562@gmail.com"/>
        <s v="563@salesianospamplona.net"/>
        <s v="564@gmail.com"/>
        <s v="565@gmail.com"/>
        <s v="566@gmail.com"/>
        <s v="567@sonovatec.com"/>
        <s v="568@hotmail.com"/>
        <s v="569@hotmail.com"/>
        <s v="570@hotmail.com"/>
        <s v="571@outlook.com"/>
        <s v="572@gmail.com"/>
        <s v="573@gmail.com"/>
        <s v="574@tecuni.com"/>
        <s v="575@hotmail.com"/>
        <s v="576@gmail.com"/>
        <s v="577@electroalbors.com"/>
        <s v="578@gmail.com"/>
        <s v="579@gmail.com"/>
        <s v="580@gmail.com"/>
        <s v="581@gmail.com"/>
        <s v="582@gmail.com"/>
        <s v="583@iesmontsia.org"/>
        <s v="584@petronet24.net"/>
        <s v="585@hotmail.com"/>
        <s v="586@hotmail.com"/>
        <s v="587@gescogestio.com"/>
        <s v="588@gmail.com"/>
        <s v="589@freelight.es"/>
        <s v="590@hotmail.com"/>
        <s v="591@alterenergy.com.ar"/>
        <s v="592@garciacomas.com"/>
        <s v="593@sorigue.com"/>
        <s v="594@hotmail.com"/>
        <s v="595@centroasturianobarcelona.com"/>
        <s v="596@gmail.com"/>
        <s v="597@svingenieria.com.co"/>
        <s v="599@gmail.com"/>
        <s v="600@saltoki.es"/>
        <s v="601@gmail.com"/>
        <s v="602@gmail.com"/>
        <s v="603@tenmega.pt"/>
        <s v="604@goliathspain.es"/>
        <s v="605@hotmail.com"/>
        <s v="606@gmail.com"/>
        <s v="607@eficiona.com"/>
        <s v="608@sgingenieros.es"/>
        <s v="609@ritelecenergia.es"/>
        <s v="610@electricharger.com"/>
        <s v="611@santacruzdetenerife.es"/>
        <s v="612@gmail.com"/>
        <s v="613@proingo.es"/>
        <s v="614@valledeleste.es"/>
        <s v="615@iealcazar.com"/>
        <s v="616@a6ingenieria.es"/>
        <s v="617@energia.eiffage.es"/>
        <s v="618@ibil.es"/>
        <s v="619@movistar.es"/>
        <s v="620@loop-cn.com"/>
        <s v="621@gmail.com"/>
        <s v="622@icingenieros.es"/>
        <s v="623@gmail.com"/>
        <s v="624@inserty.net"/>
        <s v="625@hotmail.com"/>
        <s v="626@yahoo.es"/>
        <s v="627@gmail.com"/>
        <s v="628@inquo.es"/>
        <s v="629@gmail.com"/>
        <s v="630@melia.com"/>
        <s v="631@engie.com"/>
        <s v="632@gmail.com"/>
        <s v="633@outlook.com"/>
        <s v="634@easycharger.es"/>
        <s v="635@coneq.es"/>
        <s v="636@csisuministros.com"/>
        <s v="638@me.com"/>
        <s v="639@rolearmais.pt"/>
        <s v="641@bodai.es"/>
        <s v="642@ecoviv.eu"/>
        <s v="643@gmail.com"/>
        <s v="644@ebconsultores.com"/>
        <s v="645@confiplano.com"/>
        <s v="646@gmail.com"/>
        <s v="647@apis-ing.es"/>
        <s v="648@bcnovatecnics.com"/>
        <s v="649@yahoo.es"/>
        <s v="650@hotmail.com"/>
        <s v="651@coitim.es"/>
        <s v="652@miesasa.com"/>
        <s v="653@hotmail.com"/>
        <s v="654@staperpetua.cat"/>
        <s v="655@seproi.com"/>
        <s v="656@gmail.com"/>
        <s v="657@enaire.es"/>
        <s v="658@gmail.com"/>
        <s v="659@gleeds.es"/>
        <s v="660@unex.net"/>
        <s v="661@horus.es"/>
        <s v="662@3cid.es"/>
        <s v="663@hotmail.com"/>
        <s v="664@hotmail.es"/>
        <s v="665@gmail.com"/>
        <s v="666@ighmallorca.com"/>
        <s v="667@ces2010.es"/>
        <s v="668@dipucordoba.es"/>
        <s v="669@hotmail.com"/>
        <s v="670@nogawatio.es"/>
        <s v="671@csisuministros.com"/>
        <s v="672@gmail.com"/>
        <s v="673@gmail.com"/>
        <s v="674@coitt.es"/>
        <s v="675@aclingenieria.com"/>
        <s v="676@promec.es"/>
        <s v="677@gmail.com"/>
        <s v="678@nh-hotels.com"/>
        <s v="679@hotmail.com"/>
        <s v="680@chargeguru.com"/>
        <s v="681@electricidadbalaguer.es"/>
        <s v="682@gmail.com"/>
        <s v="683@hagergroup.com"/>
        <s v="684@gmail.com"/>
        <s v="685@climava.com"/>
        <s v="686@electro-h.es"/>
        <s v="687@outlook.es"/>
        <s v="688@legrandgroup.es"/>
        <s v="689@arbonapiza.com"/>
        <s v="690@dllgroup.com"/>
        <s v="691@cbre.com"/>
        <s v="692@gmail.com"/>
        <s v="693@yahoo.com.mx"/>
        <s v="694@gmail.com"/>
        <s v="695@gmail.com"/>
        <s v="696@rlinstalacioneselectricas.com"/>
        <s v="697@ingedomsl.com"/>
        <s v="698@gmail.com"/>
        <s v="699@unisystems.es"/>
        <s v="700@gmail.com"/>
        <s v="701@gmail.com"/>
        <s v="702@hotmail.com"/>
        <s v="703@gmail.com"/>
        <s v="704@gmail.com"/>
        <s v="705@gmail.com"/>
        <s v="706@juntaex.es"/>
        <s v="707@ufd.es"/>
        <s v="708@zaker.com"/>
        <s v="709@gmail.com"/>
        <s v="710@hotmail.com"/>
        <s v="711@hotmail.com"/>
        <s v="712@gjautomotive.com"/>
        <s v="713@gmail.com"/>
        <s v="714@hotmail.com"/>
        <s v="715@gmail.com"/>
        <s v="716@gmail.com"/>
        <s v="717@rtve.es"/>
        <s v="718@poweringcar.com"/>
        <s v="719@gmail.com"/>
        <s v="720@pgiengineering.com"/>
        <s v="721@gmail.com"/>
        <s v="722@gmail.com"/>
        <s v="723@gmail.com"/>
        <s v="724@gmail.com"/>
        <s v="725@gmail.com"/>
        <s v="726@gmail.com"/>
        <s v="727@membrives.es"/>
        <s v="728@calambre.net"/>
        <s v="729@gmail.com"/>
        <s v="730@hotmail.com"/>
        <s v="731@bonoboenergy.com"/>
        <s v="732@vcejudo.es"/>
        <s v="733@gmail.com"/>
        <s v="734@gmail.com"/>
        <s v="735@serveiskronier55.com"/>
        <s v="736@yahoo.com"/>
        <s v="737@lagingenieros.es"/>
        <s v="738@caatvalencia.es"/>
        <s v="739@isf-esp.com"/>
        <s v="740@cee.com.es"/>
        <s v="741@dieselsanchez.com"/>
        <s v="742@acoeman.com"/>
        <s v="743@bahiguell.com"/>
        <s v="744@gmail.com"/>
        <s v="745@geinstal.com"/>
        <s v="746@msn.com"/>
        <s v="747@tecnicas.es"/>
        <s v="748@gmail.com"/>
        <s v="749@gmail.com"/>
        <s v="750@germaniaweb.com"/>
        <s v="751@ecium.es"/>
        <s v="752@hotmail.com"/>
        <s v="753@arquinur.es"/>
        <s v="754@gmail.com"/>
        <s v="755@coitt.es"/>
        <s v="756@gsima.es"/>
        <s v="757@integra-sti.com"/>
        <s v="758@ingenieros.com"/>
        <s v="759@hotmail.com"/>
        <s v="760@hotmail.com"/>
        <s v="761@insfuert.es"/>
        <s v="762@hotmail.com"/>
        <s v="763@gmail.com"/>
        <s v="764@nova-electrica.com"/>
        <s v="765@gmail.com"/>
        <s v="766@hotmail.com"/>
        <s v="767@rexel.es"/>
        <s v="768@gmail.com"/>
        <s v="769@gmail.com"/>
        <s v="770@inmotiza.com"/>
        <s v="771@solutions30.com"/>
        <s v="772@faen.es"/>
        <s v="773@perequart.com"/>
        <s v="774@urgon.es"/>
        <s v="775@yahoo.es"/>
        <s v="776@entepi.com"/>
        <s v="777@onofflife.es"/>
        <s v="778@gmail.com"/>
        <s v="779@gmail.com"/>
        <s v="780@hotmail.com"/>
        <s v="781@gmail.com"/>
        <s v="782@gmail.com"/>
        <s v="783@diexfe.com"/>
        <s v="784@live.com"/>
        <s v="785@gabrielcorchero.org"/>
        <s v="786@grupoelectrostocks.com"/>
        <s v="787@electricidadoriagomez.com"/>
        <s v="788@casvicuatro.es"/>
        <s v="789@simsabdn.cat"/>
        <s v="790@yahoo.com.ar"/>
        <s v="791@hotmail.com"/>
        <s v="792@gva.es"/>
        <s v="793@gmail.com"/>
        <s v="794@somoselectricistas.com"/>
        <s v="795@lomosamovilidad.com"/>
        <s v="796@gmail.com"/>
        <s v="797@gmail.com"/>
        <s v="798@gmail.com"/>
        <s v="799@yahoo.es"/>
        <s v="800@taubertek.com"/>
        <s v="801@hotmail.es"/>
        <s v="802@hotmail.com"/>
        <s v="803@outlook.com"/>
        <s v="804@monrabal.net"/>
        <s v="805@gmail.com"/>
        <s v="806@gmail.com"/>
        <s v="807@gmail.com"/>
        <s v="808@ale.es"/>
        <s v="809@naturgy.com"/>
        <s v="810@arquired.es"/>
        <s v="811@proinsermant.com"/>
        <s v="812@invgrupo.com"/>
        <s v="813@kilovatiogalicia.com"/>
        <s v="814@interingenieria.com"/>
        <s v="815@uach.mx"/>
        <s v="816@energia.eiffage.es"/>
        <s v="817@gmail.com"/>
        <s v="818@galektra.es"/>
        <s v="819@hotmail.com"/>
        <s v="820@ebcn.cat"/>
        <s v="821@gmail.com"/>
        <s v="822@yahoo.fr"/>
        <s v="823@gmail.com"/>
        <s v="824@gmail.com"/>
        <s v="825@hotmail.com"/>
        <s v="826@gmail.com"/>
        <s v="827@coitiar.es"/>
        <s v="828@zf.com"/>
        <s v="829@gmail.com"/>
        <s v="830@gmail.com"/>
        <s v="831@gmail.com"/>
        <s v="832@suministradora.com"/>
        <s v="833@ofitecbp.com"/>
        <s v="834@gmail.com"/>
        <s v="835@gmail.com"/>
        <s v="837@gmail.com"/>
        <s v="838@sdin.es"/>
        <s v="839@fluidsa.com"/>
        <s v="840@gmail.com"/>
        <s v="841@gmail.com"/>
        <s v="842@fibramur.com"/>
        <s v="843@instalacionescueto.com"/>
        <s v="844@certis.cat"/>
        <s v="845@hotmail.com"/>
        <s v="846@hotmail.com"/>
        <s v="847@lodeal.es"/>
        <s v="848@sesaelec.com"/>
        <s v="849@gmail.com"/>
        <s v="850@gmail.com"/>
        <s v="851@arquitecto.com"/>
        <s v="852@grupviu.com"/>
        <s v="853@gmail.com"/>
        <s v="854@msn.com"/>
        <s v="855@msn.com"/>
        <s v="856@gmail.com"/>
        <s v="857@gmail.com"/>
        <s v="858@gmail.com"/>
        <s v="859@hotmail.com"/>
        <s v="860@gmail.com"/>
        <s v="861@outlook.com"/>
        <s v="862@fpcm.es"/>
        <s v="863@outlook.com"/>
        <s v="864@es.uazuay.edu.ec"/>
        <s v="865@asmoaingenieria.com"/>
        <s v="866@typsa.es"/>
        <s v="867@proyectosjamaras.es"/>
        <s v="868@gmail.com"/>
        <s v="869@yahoo.es"/>
        <s v="870@gmail.com"/>
        <s v="871@cefiner.com"/>
        <s v="872@gmail.com"/>
        <s v="873@eutikes.com"/>
        <s v="874@coac.net"/>
        <s v="875@orange.es"/>
        <s v="876@arquitectonica.cat"/>
        <s v="877@gmail.com"/>
        <s v="878@masteringenieria.com"/>
        <s v="879@sicoris.com"/>
        <s v="880@miquelnieto.com"/>
        <s v="881@hotmail.com"/>
        <s v="882@domotelelectric.com"/>
        <s v="883@hotmail.com"/>
        <s v="884@enersos.es"/>
        <s v="885@gmail.com"/>
        <s v="886@gmail.com"/>
        <s v="887@gmail.com"/>
        <s v="888@zivautomation.com"/>
        <s v="889@hotmail.com"/>
        <s v="890@hotmail.com"/>
        <s v="891@gmail.com"/>
        <s v="892@hotmail.com"/>
        <s v="893@krean.com"/>
        <s v="894@gmail.com"/>
        <s v="895@volumetric.eu"/>
        <s v="896@gmail.com"/>
        <s v="897@rtve.es"/>
        <s v="898@gmail.com"/>
        <s v="899@gmail.com"/>
        <s v="900@hirurok.eu"/>
        <s v="901@gmail.com"/>
        <s v="902@gmail.com"/>
        <s v="903@edirocsa.com"/>
        <s v="904@inboundcycle.com"/>
        <s v="905@yahoo.es"/>
        <s v="906@europrojectes.es"/>
        <s v="907@gmail.com"/>
        <s v="908@hotmail.com"/>
        <s v="909@gmail.com"/>
        <s v="910@sogesa.es"/>
        <s v="911@lusorede.pt"/>
        <s v="912@gmail.com"/>
        <s v="913@quorania.com"/>
        <s v="914@gmail.com"/>
        <s v="915@gmail.com"/>
        <s v="916@gcaarq.com"/>
        <s v="917@gmail.com"/>
        <s v="918@gmail.com"/>
        <s v="919@hotmail.com"/>
        <s v="920@meval.eu"/>
        <s v="921@gmail.com"/>
        <s v="922@ingenierosvigo.com"/>
        <s v="923@gmail.com"/>
        <s v="924@msn.com"/>
        <s v="925@eco-voltaica.com"/>
        <s v="926@electricidadyserviciosmontero.com"/>
        <s v="927@argionelectric.es"/>
        <s v="928@gmail.com"/>
        <s v="929@acciona.com"/>
        <s v="930@acciona.com"/>
        <s v="931@acciona.com"/>
        <s v="932@bellmasenginyers.cat"/>
        <s v="933@orsei.es"/>
        <s v="934@outlook.com"/>
        <s v="935@gmail.com"/>
        <s v="936@gmail.com"/>
        <s v="937@gmail.com"/>
        <s v="938@montegar.es"/>
        <s v="939@gmail.com"/>
        <s v="940@masojuando.com"/>
        <s v="941@gmail.com"/>
        <s v="942@r11arquitectos.com"/>
        <s v="943@gabyl.com"/>
        <s v="944@gmail.com"/>
        <s v="945@red.renault.es"/>
        <s v="946@gmail.com"/>
        <s v="947@clysema.com"/>
        <s v="948@gmail.com"/>
        <s v="949@cadielsa.com"/>
        <s v="950@grupocobra.com"/>
        <s v="951@tenerasa.es"/>
        <s v="953@mosancar.com"/>
        <s v="954@aiguesmanresa.cat"/>
        <s v="955@conras.es"/>
        <s v="956@mebaluz.es"/>
        <s v="957@germaniaweb.com"/>
        <s v="958@hotmail.es"/>
        <s v="959@mlopezarquitectos.com"/>
        <s v="960@aqelectric.es"/>
        <s v="961@gmail.com"/>
        <s v="962@electropla.cat"/>
        <s v="963@gmail.com"/>
        <s v="964@hotmail.com"/>
        <s v="965@gmail.com"/>
        <s v="966@miguelmoralesingenieros.com"/>
        <s v="967@lacsl.es"/>
        <s v="968@gmail.com"/>
        <s v="969@comercialsis.com"/>
        <s v="970@acelecsal.com"/>
        <s v="971@imagogestion.com"/>
        <s v="972@acelecsal.com"/>
        <s v="973@live.com"/>
        <s v="974@yahoo.es"/>
        <s v="975@yahoo.com"/>
        <s v="977@tarragona.cat"/>
        <s v="978@gmail.com"/>
        <s v="979@gmail.com"/>
        <s v="980@coiiar.org"/>
        <s v="981@gmail.com"/>
        <s v="982@gmail.com"/>
        <s v="983@elektracat.com"/>
        <s v="984@gmail.com"/>
        <s v="985@jesnar2011.es"/>
        <s v="986@hotmail.com"/>
        <s v="987@ginsa.cat"/>
        <s v="988@electromercantil.es"/>
        <s v="989@electricasllop.com"/>
        <s v="990@gmail.com"/>
        <s v="991@yahoo.es"/>
        <s v="992@yahoo.es"/>
        <s v="993@electricidadguerra.com"/>
        <s v="994@gruponovelec.com"/>
        <s v="995@telefonica.net"/>
        <s v="996@comb.cat"/>
        <s v="997@yahoo.es"/>
        <s v="998@damuvi.com"/>
        <s v="999@aeperez.es"/>
        <s v="1000@hotmail.com"/>
        <s v="1001@hotmail.com"/>
        <s v="1002@hotmail.com"/>
        <s v="1003@gmail.com"/>
        <s v="1004@telefonica.net"/>
        <s v="1005@allendearquitectos.com"/>
        <s v="1006@gmail.com"/>
        <s v="1007@yahoo.es"/>
        <s v="1008@olleo.es"/>
        <s v="1009@ccatlantico.com"/>
        <s v="1011@gmail.com"/>
        <s v="1012@formasymateriales.com"/>
        <s v="1013@hotmail.com"/>
        <s v="1014@gmail.com"/>
        <s v="1015@aziraelectricidad.com"/>
        <s v="1016@coitt.es"/>
        <s v="1017@tesnetwork.net"/>
        <s v="1018@esmassmart.com"/>
        <s v="1019@ingeralbaida.es"/>
        <s v="1020@deinrresa.es"/>
        <s v="1021@proturhotels.com"/>
        <s v="1022@uhu.es"/>
        <s v="1023@hotmail.com"/>
        <s v="1024@elecnor.com"/>
        <s v="1025@gmail.com"/>
        <s v="1026@aia.cat"/>
        <s v="1027@leanteam.es"/>
        <s v="1028@ingenierosvalladolid.es"/>
        <s v="1029@gmail.com"/>
        <s v="1030@inmaser-integral.es"/>
        <s v="1031@grupoitesa.com"/>
        <s v="1032@zioenginy.com"/>
        <s v="1033@gmail.com"/>
        <s v="1034@gmail.com"/>
        <s v="1035@gmail.com"/>
        <s v="1036@grupoelectrostocks.com"/>
        <s v="1037@gmail.com"/>
        <s v="1038@gmail.com"/>
        <s v="1039@yahoo.es"/>
        <s v="1040@gmail.com"/>
        <s v="1041@jordimoran.es"/>
        <s v="1042@alvae.es"/>
        <s v="1043@gmail.com"/>
        <s v="1044@hotmail.com"/>
        <s v="1045@coac.net"/>
        <s v="1046@gmail.com"/>
        <s v="1047@coag.es"/>
        <s v="1048@usc.es"/>
        <s v="1049@gmail.com"/>
        <s v="1050@hotmail.es"/>
        <s v="1051@gmail.com"/>
        <s v="1052@yahoo.es"/>
        <s v="1053@gmail.com"/>
        <s v="1054@isd-ingenieria.es"/>
        <s v="1055@gmail.com"/>
        <s v="1056@gmail.com"/>
        <s v="1057@gmsil.com"/>
        <s v="1058@gmail.com"/>
        <s v="1059@yahoo.es"/>
        <s v="1060@hotmail.com"/>
        <s v="1061@perezescribano.es"/>
        <s v="1062@hotmail.com"/>
        <s v="1063@gmail.com"/>
        <s v="1064@abxat.com"/>
        <s v="1065@movistar.es"/>
        <s v="1066@gmail.com"/>
        <s v="1067@gmail.com"/>
        <s v="1068@dominion.es"/>
        <s v="1069@agoitziru.es"/>
        <s v="1070@vamostelecom.es"/>
        <s v="1071@industrialgines.com"/>
        <s v="1072@gmail.com"/>
        <s v="1073@grupolasser.com"/>
        <s v="1074@hotmail.com"/>
        <s v="1075@gmail.com"/>
        <s v="1076@gmail.com"/>
        <s v="1077@hotmail.com"/>
        <s v="1078@gmail.com"/>
        <s v="1079@outlook.es"/>
        <s v="1080@levitec.es"/>
        <s v="1081@teideingenieros.com"/>
        <s v="1082@gmail.com"/>
        <s v="1083@hotmail.com"/>
        <s v="1084@gmail.com"/>
        <s v="1085@gmail.com"/>
        <s v="1086@gmail.com"/>
        <s v="1087@hotmail.com"/>
        <s v="1088@citemaing.com"/>
        <s v="1089@gmail.com"/>
        <s v="1090@hotmail.com"/>
        <s v="1092@cipfpcanastell.com"/>
        <s v="1093@edu.xunta.es"/>
        <s v="1094@hotmail.com"/>
        <s v="1095@gmail.com"/>
        <s v="1096@mpf-ingenieria.es"/>
        <s v="1097@santaeulalia.cat"/>
        <s v="1099@hotmail.com"/>
        <s v="1100@boffor.com"/>
        <s v="1101@hotmail.com"/>
        <s v="1102@gmail.com"/>
        <s v="1103@montajeselectricosfase.com"/>
        <s v="1104@gmail.com"/>
        <s v="1105@gmail.com"/>
        <s v="1106@gruponoria.com"/>
        <s v="1107@ryaingenieros.com"/>
        <s v="1108@enginyerstarragona.cat"/>
        <s v="1109@gmail.com"/>
        <s v="1110@gmail.com"/>
        <s v="1111@hotmail.com"/>
        <s v="1112@covama.es"/>
        <s v="1113@aurialux.com"/>
        <s v="1114@teclisa.com"/>
        <s v="1115@muntanerelectro.com"/>
        <s v="1116@suelba.com"/>
        <s v="1117@hotmail.com"/>
        <s v="1118@coitiar.es"/>
        <s v="1119@gmail.com"/>
        <s v="1120@sonepar.es"/>
        <s v="1121@gmail.com"/>
        <s v="1122@hotmail.es"/>
        <s v="1123@gmail.com"/>
        <s v="1124@energonrenovables.es"/>
        <s v="1125@rocaingenieros.com"/>
        <s v="1126@viveme.es"/>
        <s v="1127@telefonica.net"/>
        <s v="1128@fgingenieria.com"/>
        <s v="1129@eselfri.com"/>
        <s v="1130@kairsa.com"/>
        <s v="1131@gmail.com"/>
        <s v="1132@yahoo.es"/>
        <s v="1133@hotmail.com"/>
        <s v="1134@integratoledo.com"/>
        <s v="1135@gmail.com"/>
        <s v="1136@metalux.es"/>
        <s v="1137@eiasein.es"/>
        <s v="1138@arquired.es"/>
        <s v="1139@gmail.com"/>
        <s v="1140@fer.es"/>
        <s v="1141@coitim.es"/>
        <s v="1142@asmesl.es"/>
        <s v="1143@gmail.com"/>
        <s v="1144@idponline.net"/>
        <s v="1145@miretelectricidad.com"/>
        <s v="1146@hotmail.com"/>
        <s v="1147@magalux.es"/>
        <s v="1148@dipusevilla.es"/>
        <s v="1149@fillsdelluissureda.cat"/>
        <s v="1150@gmail.com"/>
        <s v="1151@telefonica.net"/>
        <s v="1152@lahidro.net"/>
        <s v="1153@hotmail.com"/>
        <s v="1154@gmail.com"/>
        <s v="1155@mapelsl.com"/>
        <s v="1156@berrilanbim.com"/>
        <s v="1157@himalayaclimatizacionycontrol.es"/>
        <s v="1158@hotmail.com"/>
        <s v="1159@birtes.com.tr"/>
        <s v="1160@copcisa.com"/>
        <s v="1161@sygsa.com"/>
        <s v="1162@gmail.com"/>
        <s v="1163@instalmasa.com"/>
        <s v="1164@projecat.com"/>
        <s v="1165@gmail.com"/>
        <s v="1166@hotmail.com"/>
        <s v="1167@tselsur.es"/>
        <s v="1168@renaultpineda.com"/>
        <s v="1169@gmail.com"/>
        <s v="1170@lahidro.net"/>
        <s v="1171@albaida.es"/>
        <s v="1172@sunkatel.com"/>
        <s v="1173@vifrisan.com"/>
        <s v="1174@alem.es"/>
        <s v="1175@gmail.com"/>
        <s v="1176@gmail.com"/>
        <s v="1177@imte.cat"/>
        <s v="1178@hotmail.com"/>
        <s v="1179@hotmail.com"/>
        <s v="1180@sonepar.es"/>
        <s v="1181@mapfre.com"/>
        <s v="1182@damm.es"/>
        <s v="1183@ddisl.com"/>
        <s v="1184@tecmotica.net"/>
        <s v="1185@lmretavi.es"/>
        <s v="1186@gmail.com"/>
        <s v="1187@gmail.com"/>
        <s v="1188@gmail.com"/>
        <s v="1189@gmail.com"/>
        <s v="1190@telecable.es"/>
        <s v="1191@tinet.fut.es"/>
        <s v="1192@toyota-canarias.es"/>
        <s v="1193@grupoelectrostocks.com"/>
        <s v="1194@hotmail.com"/>
        <s v="1195@gmail.com"/>
        <s v="1196@hotmail.com"/>
        <s v="1197@electricidadcelec.com"/>
        <s v="1198@hotmail.com"/>
        <s v="1199@qwerty.es"/>
        <s v="1200@gg.com"/>
        <s v="1201@yahoo.es"/>
        <s v="1202@gmail.com"/>
        <s v="1203@smarthaus.studio"/>
        <s v="1204@me.com"/>
        <s v="1205@telefonica.net"/>
        <s v="1206@gmail.com"/>
        <s v="1207@gmail.com"/>
        <s v="1208@gmail.com"/>
        <s v="1209@hotmail.es"/>
        <s v="1210@pepepower.es"/>
        <s v="1211@outlook.es"/>
        <s v="1212@hotmail.com"/>
        <s v="1213@hotmail.com"/>
        <s v="1214@gmail.com"/>
        <s v="1215@subis.cat"/>
        <s v="1216@gmail.com"/>
        <s v="1217@gmail.com"/>
        <s v="1218@gmail.com"/>
        <s v="1219@actluz.com"/>
        <s v="1220@sanitariosbosco.es"/>
        <s v="1221@gencat.cat"/>
        <s v="1222@hotmail.com"/>
        <s v="1223@proyecta79.com"/>
        <s v="1224@ipertec.es"/>
        <s v="1225@yahoo.es"/>
        <s v="1226@agiceringenieros.es"/>
        <s v="1227@telefonica.net"/>
        <s v="1228@entax.es"/>
        <s v="1229@yahoo.es"/>
        <s v="1230@gmail.com"/>
        <s v="1231@gmail.com"/>
        <s v="1232@planocaceres.com"/>
        <s v="1233@hotmail.com"/>
        <s v="1234@gmail.com"/>
        <s v="1235@gmail.com"/>
        <s v="1236@hotmail.com"/>
        <s v="1237@gmail.com"/>
        <s v="1238@gmail.com"/>
        <s v="1239@telefonica.net"/>
        <s v="1240@hotmail.com"/>
        <s v="1241@gmail.com"/>
        <s v="1242@hotmail.com"/>
        <s v="1243@educa.jcyl.es"/>
        <s v="1244@gmail.com"/>
        <s v="1245@hotmail.com"/>
        <s v="1246@ecoltan.org"/>
        <s v="1247@gmail.com"/>
        <s v="1248@gmail.com"/>
        <s v="1249@gmail.com"/>
        <s v="1250@telefonica.net"/>
        <s v="1251@gomurmya.com"/>
        <s v="1252@desarrollotecnico.com"/>
        <s v="1253@gmail.com"/>
        <s v="1254@gmail.com"/>
        <s v="1255@hotmail.com"/>
        <s v="1256@gmail.com"/>
        <s v="1257@carsbarcelona.es"/>
        <s v="1258@gmail.com"/>
        <s v="1259@radresa.com"/>
        <s v="1260@gdr.es"/>
        <s v="1261@e-copitile.es"/>
        <s v="1262@hotmail.com"/>
        <s v="1263@hotmail.com"/>
        <s v="1264@gmail.com"/>
        <s v="1265@hotmail.com"/>
        <s v="1266@gmail.com"/>
        <s v="1267@motor2000.net"/>
        <s v="1268@gamai.com"/>
        <s v="1269@kuartafase.com"/>
        <s v="1270@solcansl.com"/>
        <s v="1271@yahoo.es"/>
        <s v="1272@gmail.com"/>
        <s v="1273@telefonica.net"/>
        <s v="1274@gmail.com"/>
        <s v="1275@sonepar.es"/>
        <s v="1276@protomar.es"/>
        <s v="1277@sonepar.es"/>
        <s v="1278@gmail.com"/>
        <s v="1279@fccco.com"/>
        <s v="1280@coitiar.es"/>
        <s v="1281@albillos.com"/>
        <s v="1282@hotmail.com"/>
        <s v="1283@gmail.com"/>
        <s v="1284@gmail.com"/>
        <s v="1285@e3ingenieria.com"/>
        <s v="1286@instalacionespiru.es"/>
        <s v="1287@aytosalamanca.es"/>
        <s v="1288@serpel.es"/>
        <s v="1289@gmail.com"/>
        <s v="1290@tesma.es"/>
        <s v="1291@macegroup.com"/>
        <s v="1292@gmail.com"/>
        <s v="1293@gmail.com"/>
        <s v="1294@gmail.com"/>
        <s v="1295@hotmail.es"/>
        <s v="1296@gmail.com"/>
        <s v="1297@silmarinstalacions.com"/>
        <s v="1298@gmail.com"/>
        <s v="1299@sonepar.es"/>
        <s v="1300@movistar.es"/>
        <s v="1301@electricidadaldama.com"/>
        <s v="1302@alem.es"/>
        <s v="1303@hotmail.com"/>
        <s v="1304@ingenibo.com"/>
        <s v="1305@checa67.es"/>
        <s v="1306@instalacionesyobrasdelrio.com"/>
        <s v="1307@gmail.com"/>
        <s v="1308@tdgi.pt"/>
        <s v="1309@gmail.com"/>
        <s v="1310@hotmail.com"/>
        <s v="1311@gmail.com"/>
        <s v="1312@gmail.com"/>
        <s v="1313@adober.es"/>
        <s v="1314@jtelectricperu.com"/>
        <s v="1315@riello-tdl.com"/>
        <s v="1316@proyndust.es"/>
        <s v="1317@gmail.com"/>
        <s v="1318@inteleclamancha.com"/>
        <s v="1319@masfarne.info"/>
        <s v="1320@gmail.com"/>
        <s v="1321@gmail.com"/>
        <s v="1322@gmail.com"/>
        <s v="1323@gmail.com"/>
        <s v="1324@hotmail.com"/>
        <s v="1325@gmail.com"/>
        <s v="1326@saltoki.es"/>
        <s v="1327@tinet.org"/>
        <s v="1328@gmail.com"/>
        <s v="1329@gmail.com"/>
        <s v="1330@comb.cat"/>
        <s v="1331@gmail.com"/>
        <s v="1332@novarquia.es"/>
        <s v="1333@lantec.es"/>
        <s v="1334@hotmail.es"/>
        <s v="1335@santalucia.es"/>
        <s v="1336@yahoo.es"/>
        <s v="1337@grupoelectrostocks.com"/>
        <s v="1338@gmail.com"/>
        <s v="1339@electrogalmar.es"/>
        <s v="1340@silezgrup.com"/>
        <s v="1341@electricidadinstalvi.com"/>
        <s v="1342@ic3sl.com"/>
        <s v="1343@hotmail.com"/>
        <s v="1344@gmail.com"/>
        <s v="1345@telefonica.net"/>
        <s v="1346@boslan.com"/>
        <s v="1347@ormazabal.com"/>
        <s v="1348@gmail.com"/>
        <s v="1349@gmail.com"/>
        <s v="1350@gmail.com"/>
        <s v="1351@conselldemallorca.net"/>
        <s v="1352@autelec.net"/>
        <s v="1353@cairo.ad"/>
        <s v="1354@hotmail.com"/>
        <s v="1355@gmail.com"/>
        <s v="1356@hotmail.com"/>
        <s v="1357@gmail.com"/>
        <s v="1358@gmail.com"/>
        <s v="1359@grupotandal.com"/>
        <s v="1360@hotmail.com"/>
        <s v="1361@gmail.com"/>
        <s v="1362@gmail.com"/>
        <s v="1363@hotmail.com"/>
        <s v="1364@eirazola.com"/>
        <s v="1365@hotmail.com"/>
        <s v="1366@electroalco.es"/>
        <s v="1367@telecable.es"/>
        <s v="1368@baselec.es"/>
        <s v="1369@atribal.es"/>
        <s v="1370@hotmail.com"/>
        <s v="1371@gmail.com"/>
        <s v="1372@telefonica.net"/>
        <s v="1373@electrolucman.com"/>
        <s v="1374@autelec.net"/>
        <s v="1375@gmail.com"/>
        <s v="1376@telefonica.net"/>
        <s v="1377@hotmail.com"/>
        <s v="1378@electromat.com"/>
        <s v="1379@hotmail.com"/>
        <s v="1380@gmail.com"/>
        <s v="1381@msn.com"/>
        <s v="1382@gmail.com"/>
        <s v="1383@grupoazmont.com"/>
        <s v="1384@eringenieria.com"/>
        <s v="1385@telefonica.net"/>
        <s v="1386@grupoevc.es"/>
        <s v="1387@yahoo.com.mx"/>
        <s v="1388@covama.es"/>
        <s v="1389@hotmail.com"/>
        <s v="1390@gmail.com"/>
        <s v="1391@grupojab.es"/>
        <s v="1392@msn.com"/>
        <s v="1393@electricidadguerra.com"/>
        <s v="1394@gmail.com"/>
        <s v="1395@cenorma.com"/>
        <s v="1396@telefonica.net"/>
        <s v="1397@olibayas.net"/>
        <s v="1398@teclisa.com"/>
        <s v="1399@gmail.com"/>
        <s v="1400@apeh.org"/>
        <s v="1401@auditenergia.com"/>
        <s v="1402@gmail.com"/>
        <s v="1403@grupoelectrostocks.com"/>
        <s v="1404@eurocabos.es"/>
        <s v="1405@arreglosoluciones.com"/>
        <s v="1406@gmail.com"/>
        <s v="1407@gmail.com"/>
        <s v="1408@cepsa.com"/>
        <s v="1410@elecnor.es"/>
        <s v="1411@ujaen.es"/>
        <s v="1412@electryser.com"/>
        <s v="1413@gmail.com"/>
        <s v="1414@gmail.com"/>
        <s v="1415@coytesa.com"/>
        <s v="1416@edifesa.com"/>
        <s v="1417@gmail.com"/>
        <s v="1418@gmail.com"/>
        <s v="1419@gmail.com"/>
        <s v="1420@globalelectrica.com"/>
        <s v="1421@itesasl.com"/>
        <s v="1422@gmail.com"/>
        <s v="1423@telefonica.net"/>
        <s v="1424@gmail.com"/>
        <s v="1425@elezvi.com"/>
        <s v="1426@gmail.com"/>
        <s v="1427@hotmail.es"/>
        <s v="1428@gadeaingenieros.com"/>
        <s v="1429@yahoo.es"/>
        <s v="1430@outlook.es"/>
        <s v="1431@jgingenieros.es"/>
        <s v="1432@gmail.com"/>
        <s v="1433@apeme.es"/>
        <s v="1434@planamar.com"/>
        <s v="1435@serindex.es"/>
        <s v="1436@deerns.com"/>
        <s v="1437@indal-tec.com"/>
        <s v="1438@hotmail.com"/>
        <s v="1439@amingenieros.com"/>
        <s v="1440@hotmail.com"/>
        <s v="1441@gmail.com"/>
        <s v="1442@sonepar.es"/>
        <s v="1443@hotmail.com"/>
        <s v="1444@gmail.com"/>
        <s v="1445@gmail.com"/>
        <s v="1446@gmail.com"/>
        <s v="1447@galektra.es"/>
        <s v="1448@renowattandorra.com"/>
        <s v="1449@aseisa.es"/>
        <s v="1450@hotmail.com"/>
        <s v="1451@electrocuebar.com"/>
        <s v="1452@ricarsat.com"/>
        <s v="1453@ingenierosdecadiz.es"/>
        <s v="1454@yahoo.es"/>
        <s v="1455@gmail.com"/>
        <s v="1456@telefonica.net"/>
        <s v="1457@covama.es"/>
        <s v="1458@gmail.com"/>
        <s v="1459@mican.es"/>
        <s v="1460@gmail.com"/>
        <s v="1461@gmail.com"/>
        <s v="1462@cadlan.com"/>
        <s v="1463@sicarsl.es"/>
        <s v="1464@gmail.com"/>
        <s v="1465@guielec.es"/>
        <s v="1466@telegrado.es"/>
        <s v="1467@agave-broadcast.es"/>
        <s v="1468@gmail.com"/>
        <s v="1469@hotmail.com"/>
        <s v="1470@gmail.com"/>
        <s v="1471@tcasertec.com"/>
        <s v="1472@yahoo.es"/>
        <s v="1473@hotmail.com"/>
        <s v="1474@urgon.es"/>
        <s v="1475@electricidadreset.es"/>
        <s v="1476@sonepar.es"/>
        <s v="1477@sonepar.es"/>
        <s v="1478@gmail.com"/>
        <s v="1479@iespunyes.com"/>
        <s v="1480@coiim.es"/>
        <s v="1481@iesmercurio.es"/>
        <s v="1482@gmail.com"/>
        <s v="1483@gruponovelec.com"/>
        <s v="1484@r3recymed.com"/>
        <s v="1486@gmail.com"/>
        <s v="1487@gmail.com"/>
        <s v="1488@telefonica.net"/>
        <s v="1489@gmail.com"/>
        <s v="1490@hotmail.com"/>
        <s v="1491@donbany.com"/>
        <s v="1492@aurialux.com"/>
        <s v="1493@hotmail.com"/>
        <s v="1494@gmail.com"/>
        <s v="1495@grupcluster.com"/>
        <s v="1496@coitt.es"/>
        <s v="1497@covama.es"/>
        <s v="1498@gmail.com"/>
        <s v="1499@sonepar.es"/>
        <s v="1500@covama.es"/>
        <s v="1501@clientes.euskaltel.es"/>
        <s v="1502@educastur.org"/>
        <s v="1504@gmail.com"/>
        <s v="1505@gmail.com"/>
        <s v="1506@dhorma.com"/>
        <s v="1507@hotmail.com"/>
        <s v="1508@gmail.com"/>
        <s v="1509@xonxa.com"/>
        <s v="1510@adelanteenergia.es"/>
        <s v="1511@hotmail.com"/>
        <s v="1512@elecox.es"/>
        <s v="1514@hotmail.com"/>
        <s v="1515@expertline.es"/>
        <s v="1516@gmail.com"/>
        <s v="1517@hotmail.com"/>
        <s v="1518@gmail.com"/>
        <s v="1519@tadelec.com"/>
        <s v="1520@cebrinsa.es"/>
        <s v="1521@hotmail.com"/>
        <s v="1522@agad.cat"/>
        <s v="1523@ofitep.com"/>
        <s v="1524@suministrosserpis.es"/>
        <s v="1525@abcgrup.com"/>
        <s v="1526@gmail.com"/>
        <s v="1527@prodelec.es"/>
        <s v="1528@sitiaingenieria.com"/>
        <s v="1530@aller.es"/>
        <s v="1531@telefonica.net"/>
        <s v="1532@telefonica.net"/>
        <s v="1533@gmail.com"/>
        <s v="1534@gmail.com"/>
        <s v="1535@hotmail.com"/>
        <s v="1536@estudiosyproyectos.com"/>
        <s v="1537@prysmiangroup.com"/>
        <s v="1538@auditenergia.com"/>
        <s v="1539@hotmail.com"/>
        <s v="1540@heliopol.es"/>
        <s v="1541@acp-level.es"/>
        <s v="1542@meomsl.com"/>
        <s v="1543@cotpa.com"/>
        <s v="1544@hotmail.com"/>
        <s v="1545@hotmail.com"/>
        <s v="1546@gmail.com"/>
        <s v="1547@gmail.com"/>
        <s v="1548@gva.es"/>
        <s v="1549@urgon.es"/>
        <s v="1550@die.upv.es"/>
        <s v="1551@avatry.es"/>
        <s v="1552@yahoo.es"/>
        <s v="1553@arfecons.es"/>
        <s v="1555@marinstal.com"/>
        <s v="1556@electricidadguerra.com"/>
        <s v="1557@gmail.com"/>
        <s v="1558@gmail.com"/>
        <s v="1559@strong.es"/>
        <s v="1560@copitival.es"/>
        <s v="1561@elecvic.com"/>
        <s v="1562@gmail.com"/>
        <s v="1563@emtvalencia.es"/>
        <s v="1564@dimelsa.es"/>
        <s v="1566@elecparamos.com"/>
        <s v="1567@egarriga.com"/>
        <s v="1568@gmail.com"/>
        <s v="1569@ecag.es"/>
        <s v="1570@yahoo.es"/>
        <s v="1571@electrolid.es"/>
        <s v="1572@flotatsyasociados.com"/>
        <s v="1573@hotmail.com"/>
        <s v="1574@gmail.com"/>
        <s v="1575@gmail.com"/>
        <s v="1576@conrad.cat"/>
        <s v="1577@cimelsa.com"/>
        <s v="1578@covama.es"/>
        <s v="1579@inblau.es"/>
        <s v="1580@grupotesein.com"/>
        <s v="1581@arpeestudio.com"/>
        <s v="1582@edu.xunta.es"/>
        <s v="1583@hotmail.com"/>
        <s v="1584@gmail.com"/>
        <s v="1585@vialuz.es"/>
        <s v="1586@genserma.es"/>
        <s v="1587@naturgy.com"/>
        <s v="1588@jgingenieros.es"/>
        <s v="1589@gmail.com"/>
        <s v="1590@efik.cat"/>
        <s v="1591@gmail.com"/>
        <s v="1592@mesenergia.cat"/>
        <s v="1593@gmail.com"/>
        <s v="1594@jgingenieros.es"/>
        <s v="1595@gmail.com"/>
        <s v="1596@gruponovelec.com"/>
        <s v="1597@gmail.com"/>
        <s v="1598@coac.net"/>
        <s v="1599@conmasa.cat"/>
        <s v="1600@coelca.com"/>
        <s v="1601@yahoo.es"/>
        <s v="1602@gmail.com"/>
        <s v="1603@gmail.com"/>
        <s v="1604@geinstal.com"/>
        <s v="1605@recargamostucoche.com"/>
        <s v="1606@cesvimap.com"/>
        <s v="1607@talesingenieria.es"/>
        <s v="1608@grupolasser.com"/>
        <s v="1609@gmail.com"/>
        <s v="1610@gmail.com"/>
        <s v="1611@lasallesagradocorazon.es"/>
        <s v="1612@gmail.com"/>
        <s v="1613@muntanerelectro.com"/>
        <s v="1614@electronalon.es"/>
        <s v="1615@hotmail.es"/>
        <s v="1616@wct.es"/>
        <s v="1617@e-noses.com"/>
        <s v="1618@hotmail.com"/>
        <s v="1620@ciudaddelosmuchachos.com"/>
        <s v="1621@salicru.com"/>
        <s v="1622@electropla.cat"/>
        <s v="1623@gmail.com"/>
        <s v="1624@sistema1.es"/>
        <s v="1625@hotmail.com"/>
        <s v="1626@adaliaradio.com"/>
        <s v="1627@elec-matic.com"/>
        <s v="1628@solbesingenieros.com"/>
        <s v="1629@coac.net"/>
        <s v="1630@sertec.es"/>
        <s v="1631@sri.es"/>
        <s v="1632@iremael.com"/>
        <s v="1633@coam.es"/>
        <s v="1634@gmail.com"/>
        <s v="1635@arevoltapc.com"/>
        <s v="1636@yahoo.es"/>
        <s v="1637@gmail.com"/>
        <s v="1638@teclisa.com"/>
        <s v="1639@senae.es"/>
        <s v="1640@infonegocio.com"/>
        <s v="1641@gmail.com"/>
        <s v="1642@aytoguadalajara.es"/>
        <s v="1643@splitmania.net"/>
        <s v="1644@tevigrup.com"/>
        <s v="1645@gomezmoreno.com"/>
        <s v="1646@geserelectric.es"/>
        <s v="1647@telefonica.net"/>
        <s v="1648@gmail.com"/>
        <s v="1649@vamostelecom.es"/>
        <s v="1650@hotmail.com"/>
        <s v="1651@gmail.com"/>
        <s v="1652@skyclimber.es"/>
        <s v="1653@sonepar.es"/>
        <s v="1654@movinetenergia.com"/>
        <s v="1655@sonepar.es"/>
        <s v="1656@gmx.es"/>
        <s v="1657@pontosolar.com"/>
        <s v="1658@gmail.com"/>
        <s v="1659@orpoint.com"/>
        <s v="1660@relsa.es"/>
        <s v="1661@turelectric.com"/>
        <s v="1662@neinorhomes.com"/>
        <s v="1663@hotmail.com"/>
        <s v="1664@jgingenieros.es"/>
        <s v="1665@gmail.com"/>
        <s v="1666@coto.pro"/>
        <s v="1667@hotmail.com"/>
        <s v="1668@negratin.com"/>
        <s v="1669@gmail.com"/>
        <s v="1670@electricidadisla.com"/>
        <s v="1671@epc-industrial.com"/>
        <s v="1672@internoringenieros.es"/>
        <s v="1673@gailmafra.com"/>
        <s v="1674@gmail.com"/>
        <s v="1675@exinor.com"/>
        <s v="1676@unex.net"/>
        <s v="1679@levantinadecuadros.com"/>
        <s v="1680@trelec.es"/>
        <s v="1681@gmail.com"/>
        <s v="1682@hotmail.es"/>
        <s v="1683@eleccom.es"/>
        <s v="1684@climalec.com"/>
        <s v="1685@zuaznabar.com"/>
        <s v="1686@yahoo.com"/>
        <s v="1687@gestilar.com"/>
        <s v="1688@muringenieros.es"/>
        <s v="1689@jlgingenieria.com"/>
        <s v="1690@gruponovelec.com"/>
        <s v="1691@hotmail.com"/>
        <s v="1692@tecasol.net"/>
        <s v="1693@gmx.es"/>
        <s v="1694@gmail.com"/>
        <s v="1695@gruponortica.com"/>
        <s v="1696@gmail.com"/>
        <s v="1697@yahoo.es"/>
        <s v="1698@jgi.es"/>
        <s v="1699@panchofernandez.com"/>
        <s v="1700@padrao.com.pt"/>
        <s v="1701@insmarbella.com"/>
        <s v="1702@gestion-energetica.eu"/>
        <s v="1703@laelectrica.com"/>
        <s v="1704@hotmail.com"/>
        <s v="1705@sanehogar.com"/>
        <s v="1706@otp.cat"/>
        <s v="1707@lledosa.es"/>
        <s v="1708@gmail.com"/>
        <s v="1709@serium.es"/>
        <s v="1710@gmail.com"/>
        <s v="1712@gmail.com"/>
        <s v="1713@gmail.com"/>
        <s v="1714@cirima.es"/>
        <s v="1715@upv.es"/>
        <s v="1716@fuengiroluz.es"/>
        <s v="1717@soelvi.es"/>
        <s v="1718@yupcharge.com"/>
        <s v="1720@yahoo.es"/>
        <s v="1721@mafonsa.cat"/>
        <s v="1722@folgarona.com"/>
        <s v="1723@gmail.com"/>
        <s v="1724@arbonapiza.com"/>
        <s v="1725@coelbe.com"/>
        <s v="1726@quadrifoli.com"/>
        <s v="1727@grupojab.es"/>
        <s v="1728@gmail.com"/>
        <s v="1729@gmail.com"/>
        <s v="1730@armeriaeskola.eus"/>
        <s v="1731@inserty.net"/>
        <s v="1732@gmail.com"/>
        <s v="1733@ecm-partners.com"/>
        <s v="1734@ofintex.com"/>
        <s v="1735@gruponovelec.com"/>
        <s v="1736@electrovizcaya.com"/>
        <s v="1737@salesianos.edu"/>
        <s v="1738@msn.com"/>
        <s v="1739@jh-internacional.com"/>
        <s v="1740@doica.net"/>
        <s v="1741@grupoelectrostocks.com"/>
        <s v="1742@industrialgines.com"/>
        <s v="1743@ceymo.es"/>
        <s v="1744@gmail.com"/>
        <s v="1745@bod.es"/>
        <s v="1746@hotmail.es"/>
        <s v="1747@araiz.es"/>
        <s v="1748@salesianosatocha.es"/>
        <s v="1750@itecnal.com"/>
        <s v="1751@altener.es"/>
        <s v="1752@intec3.es"/>
        <s v="1753@arcadis.com"/>
        <s v="1754@gabyl.com"/>
        <s v="1755@pgiengineering.com"/>
        <s v="1756@gmail.com"/>
        <s v="1757@indair-genercasadevall.cat"/>
        <s v="1758@gmail.com"/>
        <s v="1759@galektra.es"/>
        <s v="1760@xtec.cat"/>
        <s v="1761@spiritingenieria.es"/>
        <s v="1762@adqa.com"/>
        <s v="1763@coacordoba.net"/>
        <s v="1764@gmail.com"/>
        <s v="1765@instalplus.es"/>
        <s v="1766@gmail.com"/>
        <s v="1767@gmail.com"/>
        <s v="1768@telefonica.net"/>
        <s v="1769@gmail.com"/>
        <s v="1770@hotmail.es"/>
        <s v="1771@gmail.com"/>
        <s v="1772@cosmoseguridad.com"/>
        <s v="1774@soloviov.es"/>
        <s v="1775@gmail.com"/>
        <s v="1776@incat.cat"/>
        <s v="1778@gmail.com"/>
        <s v="1779@barreu.com"/>
        <s v="1780@metromadrid.es"/>
        <s v="1781@autoradiomontijo.es"/>
        <s v="1783@telefonica.net"/>
        <s v="1784@coytesa.com"/>
        <s v="1785@arintec.com"/>
        <s v="1787@roigconstruccions.com"/>
        <s v="1788@hotmail.com"/>
        <s v="1789@electromat.com"/>
        <s v="1790@electricarius.com"/>
        <s v="1791@gmail.com"/>
        <s v="1792@incober.es"/>
        <s v="1793@gmail.com"/>
        <s v="1794@enchufing.com"/>
        <s v="1795@gmail.com"/>
        <s v="1796@sorigue.com"/>
        <s v="1797@icaingenieros.com"/>
        <s v="1798@eleccom.es"/>
        <s v="1799@wurth.es"/>
        <s v="1800@hotmail.com"/>
        <s v="1801@gmail.com"/>
        <s v="1802@hotmail.es"/>
        <s v="1803@ymcelectrica.com"/>
        <s v="1804@meguerra.com"/>
        <s v="1805@gmail.com"/>
        <s v="1806@aymesa.com"/>
        <s v="1807@saltoki.es"/>
        <s v="1808@gmail.com"/>
        <s v="1809@prodelec.es"/>
        <s v="1810@ebegroup.net"/>
        <s v="1811@ansiel.eu"/>
        <s v="1812@ext.mpsa.com"/>
        <s v="1813@gmail.com"/>
        <s v="1814@grupoetra.com"/>
        <s v="1815@grupojab.es"/>
        <s v="1816@petesan.es"/>
        <s v="1817@eurocabos.es"/>
        <s v="1818@electricidadpolop.es"/>
        <s v="1820@marveco.com"/>
        <s v="1821@construciainstalaciones.com"/>
        <s v="1822@diexfe.com"/>
        <s v="1823@saltoki.es"/>
        <s v="1824@selpri.pt"/>
        <s v="1825@digamel.com"/>
        <s v="1826@gestionservicios.com"/>
        <s v="1827@gmail.com"/>
        <s v="1828@econergia.es"/>
        <s v="1829@1aingenieros.com"/>
        <s v="1830@gmail.com"/>
        <s v="1831@monlau.com"/>
        <s v="1832@mhindustrias.com"/>
        <s v="1833@coitir.com"/>
        <s v="1834@valls.cat"/>
        <s v="1835@gmail.com"/>
        <s v="1836@biper.es"/>
        <s v="1837@cersanz.es"/>
        <s v="1838@gruponovelec.com"/>
        <s v="1839@gmail.com"/>
        <s v="1840@ingenierosvigo.com"/>
        <s v="1841@infova.es"/>
        <s v="1843@jovitel.com"/>
        <s v="1844@grupoelectrostocks.com"/>
        <s v="1845@hotmail.com"/>
        <s v="1846@gmail.com"/>
        <s v="1847@viegasefilhos.pt"/>
        <s v="1848@gmail.com"/>
        <s v="1849@minsait.com"/>
        <s v="1850@yahoo.com"/>
        <s v="1851@gmail.com"/>
        <s v="1852@gmail.com"/>
        <s v="1853@hotmail.com"/>
        <s v="1854@hotmail.com"/>
        <s v="1855@inboundcycle.com"/>
        <s v="1856@hotmail.com"/>
        <s v="1857@mantise.com"/>
        <s v="1858@yahoo.es"/>
        <s v="1859@gmail.com"/>
        <s v="1860@gmail.com"/>
        <s v="1861@gmail.com"/>
        <s v="1862@gmail.com"/>
        <s v="1863@hotmail.com"/>
        <s v="1864@gmail.com"/>
        <s v="1865@gmail.com"/>
        <s v="1866@inrobadajoz.com"/>
        <s v="1867@cbringenieria.es"/>
        <s v="1868@hotmail.com"/>
        <s v="1869@gmail.com"/>
        <s v="1870@marlexingenieria.com"/>
        <s v="1871@abc.gob.ar"/>
        <s v="1872@gmail.com"/>
        <s v="1873@rodosa.com"/>
        <s v="1874@gesel.ie.ufrj.br"/>
        <s v="1875@gmail.com"/>
        <s v="1876@gmail.com"/>
        <s v="1877@gmail.com"/>
        <s v="1878@gmail.com"/>
        <s v="1879@jafenginyeria.cat"/>
        <s v="1880@dipta.cat"/>
        <s v="1882@gmail.com"/>
        <s v="1883@adingenieros.es"/>
        <s v="1884@zuecoingenieria.com"/>
        <s v="1885@groupg4.com"/>
        <s v="1886@outlook.com"/>
        <s v="1887@gmail.com"/>
        <s v="1888@instalacionsgarmi.com"/>
        <s v="1889@cetim.cat"/>
        <s v="1890@setenergia.com"/>
        <s v="1891@ciudaddelosmuchachos.com"/>
        <s v="1892@soltecingenieros.com"/>
        <s v="1893@byguk.com"/>
        <s v="1894@arasolutions.es"/>
        <s v="1895@grupoarquitelia.com"/>
        <s v="1896@gmail.com"/>
        <s v="1897@hotmail.es"/>
        <s v="1898@navantia.es"/>
        <s v="1899@gmail.com"/>
        <s v="1900@hotmail.com"/>
        <s v="1901@gmail.com"/>
        <s v="1902@hotmail.com"/>
        <s v="1903@yahoo.es"/>
        <s v="1904@gmail.com"/>
        <s v="1905@gmail.com"/>
        <s v="1906@gmail.com"/>
        <s v="1907@yahoo.es"/>
        <s v="1908@enel.com"/>
        <s v="1909@gmail.com"/>
        <s v="1910@antelecat.com"/>
        <s v="1911@gmail.com"/>
        <s v="1912@gmail.com"/>
        <s v="1913@gmail.com"/>
        <s v="1915@zmingenieros.com"/>
        <s v="1916@gmail.com"/>
        <s v="1917@gmail.com"/>
        <s v="1918@sgx.cat"/>
        <s v="1920@gmail.com"/>
        <s v="1921@msn.com"/>
        <s v="1923@agosa.es"/>
        <s v="1924@merlosl.es"/>
        <s v="1925@elecnor.com"/>
        <s v="1926@elecam.com"/>
        <s v="1927@anbatel.com"/>
        <s v="1928@gmail.com"/>
        <s v="1929@hotmail.com"/>
        <s v="1930@gmail.com"/>
        <s v="1931@gmail.com"/>
        <s v="1932@cotelsa.com"/>
        <s v="1933@lujama.com"/>
        <s v="1934@ferrovial.com"/>
        <s v="1935@telefonica.net"/>
        <s v="1936@e2enginyeria.com"/>
        <s v="1937@gmail.com"/>
        <s v="1938@gmail.com"/>
        <s v="1940@electromercantil.es"/>
        <s v="1941@hotmail.com"/>
        <s v="1942@ciudaddelosmuchachos.com"/>
        <s v="1943@gmail.com"/>
        <s v="1944@didacticaformacion.es"/>
        <s v="1945@ip21ingenieria.com"/>
        <s v="1946@gmail.com"/>
        <s v="1947@gmail.com"/>
        <s v="1948@culmar.net"/>
        <s v="1949@suno.cat"/>
        <s v="1950@yahoo.es"/>
        <s v="1951@engimatica.com"/>
        <s v="1952@tinet.cat"/>
        <s v="1953@proyteczaragoza.com"/>
        <s v="1954@dicsl.com"/>
        <s v="1955@salesianos.edu"/>
        <s v="1956@gmail.com"/>
        <s v="1957@msn.com"/>
        <s v="1958@iebsl.com"/>
        <s v="1959@gmail.com"/>
        <s v="1960@ic3sl.com"/>
        <s v="1961@hotmail.com"/>
        <s v="1962@lliro.com"/>
        <s v="1963@atisistemas.com"/>
        <s v="1964@hotmail.com"/>
        <s v="1965@tienda-gasnatural.com"/>
        <s v="1966@gmail.com"/>
        <s v="1967@ferrovial.com"/>
        <s v="1968@gmail.com"/>
        <s v="1969@fundacionmasaveu.com"/>
        <s v="1970@electrificacionesparra.es"/>
        <s v="1971@tienda-gasnatural.com"/>
        <s v="1972@projecal.com"/>
        <s v="1973@ingekor.com"/>
        <s v="1974@proluxingenieros.com"/>
        <s v="1975@outlook.es"/>
        <s v="1976@electronavia.com"/>
        <s v="1977@gmail.com"/>
        <s v="1978@hotmail.com"/>
        <s v="1979@matcas.es"/>
        <s v="1980@hotmail.com"/>
        <s v="1981@gmail.com"/>
        <s v="1982@hotmail.com"/>
        <s v="1983@suno.cat"/>
        <s v="1984@hotmail.com"/>
        <s v="1985@tinet.org"/>
        <s v="1986@martipala.com"/>
        <s v="1988@lusorede.pt"/>
        <s v="1989@elecdomo.com"/>
        <s v="1990@gmail.com"/>
        <s v="1991@gmail.com"/>
        <s v="1992@proecoingenieria.com"/>
        <s v="1994@gmail.com"/>
        <s v="1995@gmail.com"/>
        <s v="1996@gmail.com"/>
        <s v="1997@comi-sl.com"/>
        <s v="1998@gmail.com"/>
        <s v="1999@obrelsa.com"/>
        <s v="2000@hotmail.com"/>
        <s v="2001@alainsa.com"/>
        <s v="2002@camarasaragon.com"/>
        <s v="2003@alainsa.com"/>
        <s v="2004@mcamps.es"/>
        <s v="2005@hotmail.com"/>
        <s v="2006@masteringenieria.com"/>
        <s v="2008@yahoo.es"/>
        <s v="2009@gmail.com"/>
        <s v="2010@incasl.com"/>
        <s v="2011@gmail.com"/>
        <s v="2012@gmail.com"/>
        <s v="2013@ecopimeprojects.com"/>
        <s v="2014@gmail.com"/>
        <s v="2015@hotmail.com"/>
        <s v="2017@sogesa.es"/>
        <s v="2018@mantise.com"/>
        <s v="2019@didacticaformacion.es"/>
        <s v="2020@forestaldelatlantico.com"/>
        <s v="2021@osnova.net"/>
        <s v="2022@solarinspain.com"/>
        <s v="2023@gmail.com"/>
        <s v="2024@grupooca.com"/>
        <s v="2025@gmail.com"/>
        <s v="2026@telefonica.net"/>
        <s v="2027@hotmail.com"/>
        <s v="2028@grupooca.com"/>
        <s v="2029@sonepar.es"/>
        <s v="2030@gmail.com"/>
        <s v="2031@electrofiloeste.es"/>
        <s v="2032@masalo.biz"/>
        <s v="2033@elmoelectric.com"/>
        <s v="2034@tienda-gasnatural.com"/>
        <s v="2035@yahoo.es"/>
        <s v="2036@sece.com"/>
        <s v="2037@agefred.es"/>
        <s v="2038@legomar.com"/>
        <s v="2039@antrelec.net"/>
        <s v="2040@grupsoler.com"/>
        <s v="2041@electromercantil.es"/>
        <s v="2042@gmail.com"/>
        <s v="2043@gmail.com"/>
        <s v="2044@orvi-s.es"/>
        <s v="2045@gmail.com"/>
        <s v="2046@gmail.com"/>
        <s v="2047@gmail.com"/>
        <s v="2048@visioelectric.es"/>
        <s v="2049@telefonica.net"/>
        <s v="2050@melecmor.com"/>
        <s v="2051@gmail.com"/>
        <s v="2053@sades.es"/>
        <s v="2055@gmail.com"/>
        <s v="2056@hotmail.com"/>
        <s v="2057@gmail.com"/>
        <s v="2058@sonepar.es"/>
        <s v="2059@gmail.com"/>
        <s v="2060@gmail.com"/>
        <s v="2061@hotmail.es"/>
        <s v="2062@euskalnet.net"/>
        <s v="2063@gmail.com"/>
        <s v="2064@hotmail.com"/>
        <s v="2065@gmail.com"/>
        <s v="2066@gmail.com"/>
        <s v="2067@gmail.com"/>
        <s v="2068@gencat.cat"/>
        <s v="2069@gmail.com"/>
        <s v="2070@hotmail.com"/>
        <s v="2071@gmail.com"/>
        <s v="2072@gmail.com"/>
        <s v="2073@gmail.com"/>
        <s v="2074@hotmail.com"/>
        <s v="2075@gmail.com"/>
        <s v="2076@gmail.com"/>
        <s v="2077@gmail.com"/>
        <s v="2078@gmail.com"/>
        <s v="2079@gmail.com"/>
        <s v="2080@grupoelectrostocks.com"/>
        <s v="2081@cymel.com"/>
        <s v="2082@hotmail.com"/>
        <s v="2083@gmail.com"/>
        <s v="2084@hcparquitectos.com"/>
        <s v="2085@gmail.com"/>
        <s v="2086@farelle.com"/>
        <s v="2087@hotmail.com"/>
        <s v="2088@gmail.com"/>
        <s v="2089@hotmail.com"/>
        <s v="2090@estabanell.cat"/>
        <s v="2091@gmail.com"/>
        <s v="2092@outlook.com"/>
        <s v="2093@gmail.com"/>
        <s v="2094@gmail.com"/>
        <s v="2095@hotmail.com"/>
        <s v="2096@formasymateriales.com"/>
        <s v="2097@hotmail.com"/>
        <s v="2099@grupoelectrostocks.com"/>
        <s v="2101@gmail.com"/>
        <s v="2102@gmail.com"/>
        <s v="2103@hotmail.com"/>
        <s v="2104@temarelectronica.es"/>
        <s v="2105@nauta.cu"/>
        <s v="2106@gmail.com"/>
        <s v="2107@danmur.es"/>
        <s v="2108@emvisesa.org"/>
        <s v="2109@huelvanorte.es"/>
        <s v="2110@ingeconsulting.com"/>
        <s v="2111@iraiaingenieros.com"/>
        <s v="2112@gmail.com"/>
        <s v="2113@gmail.com"/>
        <s v="2114@tecnoclimainstalaciones.com"/>
        <s v="2115@outlook.es"/>
        <s v="2116@gmail.com"/>
        <s v="2117@gmail.com"/>
        <s v="2118@hotmail.com"/>
        <s v="2119@gmail.com"/>
        <s v="2120@gmail.com"/>
        <s v="2121@gmail.com"/>
        <s v="2122@somains.com"/>
        <s v="2123@gmail.com"/>
        <s v="2124@gmail.com"/>
        <s v="2125@ctac.es"/>
        <s v="2126@gmail.com"/>
        <s v="2127@hotmail.com"/>
        <s v="2128@gmail.com"/>
        <s v="2129@gmail.com"/>
        <s v="2130@hotmail.com"/>
        <s v="2131@gmail.com"/>
        <s v="2132@hotmail.com"/>
        <s v="2133@gmail.com"/>
        <s v="2134@gmx.es"/>
        <s v="2135@gmail.com"/>
        <s v="2136@gmail.com"/>
        <s v="2137@hotmail.com"/>
        <s v="2138@gmail.com"/>
        <s v="2139@gmail.com"/>
        <s v="2140@gmail.com"/>
        <s v="2141@gmail.com"/>
        <s v="2143@gmail.com"/>
        <s v="2144@gmail.com"/>
        <s v="2145@gmail.com"/>
        <s v="2146@hotmail.es"/>
        <s v="2147@gmail.com"/>
        <s v="2148@gmail.com"/>
        <s v="2149@gmail.com"/>
        <s v="2150@yahoo.es"/>
        <s v="2151@gmail.com"/>
        <s v="2152@igkarratu.com"/>
        <s v="2153@gmail.com"/>
        <s v="2154@gmail.com"/>
        <s v="2155@gmail.com"/>
        <s v="2156@gmail.com"/>
        <s v="2157@hotmail.com"/>
        <s v="2158@gmail.com"/>
        <s v="2159@hotmail.com"/>
        <s v="2160@yahoo.es"/>
        <s v="2161@hotmail.com"/>
        <s v="2162@gienergygroup.com"/>
        <s v="2163@hotmail.com"/>
        <s v="2164@macegroup.com"/>
        <s v="2165@orangemail.es"/>
        <s v="2166@gmail.com"/>
        <s v="2167@outlook.es"/>
        <s v="2169@gmail.com"/>
        <s v="2170@reparatuequipo.es"/>
        <s v="2171@gmail.com"/>
        <s v="2172@gmail.com"/>
        <s v="2173@menendezygamonal.com"/>
        <s v="2174@wurth.es"/>
        <s v="2175@canogarcia.es"/>
        <s v="2176@hotmail.com"/>
        <s v="2177@yahoo.es"/>
        <s v="2178@altair.edu.es"/>
        <s v="2179@gmail.com"/>
        <s v="2180@hotmail.com"/>
        <s v="2181@gmail.com"/>
        <s v="2182@hotmail.com"/>
        <s v="2183@gmail.com"/>
        <s v="2184@suris.es"/>
        <s v="2185@gmail.com"/>
        <s v="2186@grupoelectrostocks.com"/>
        <s v="2187@hotmail.com"/>
        <s v="2188@gmail.com"/>
        <s v="2189@infova.es"/>
        <s v="2190@hotmail.com"/>
        <s v="2191@hotmail.es"/>
        <s v="2192@itcl.es"/>
        <s v="2193@gmail.com"/>
        <s v="2194@mesado.es"/>
        <s v="2195@yahoo.es"/>
        <s v="2196@telefonica.net"/>
        <s v="2197@outlook.es"/>
        <s v="2198@gmail.com"/>
        <s v="2199@gmail.com"/>
        <s v="2200@gmail.com"/>
        <s v="2201@4fils.es"/>
        <s v="2202@sanjosetecno.com"/>
        <s v="2203@gmail.com"/>
        <s v="2204@hotmail.es"/>
        <s v="2205@gmail.com"/>
        <s v="2206@gmail.com"/>
        <s v="2207@gmail.com"/>
        <s v="2208@wp.pl"/>
        <s v="2209@elecem.es"/>
        <s v="2210@hotmail.com"/>
        <s v="2211@hotmail.com"/>
        <s v="2212@pgiengineering.com"/>
        <s v="2213@gmail.com"/>
        <s v="2214@hotmail.com"/>
        <s v="2215@gmail.com"/>
        <s v="2216@bladis.com"/>
        <s v="2217@gmail.com"/>
        <s v="2218@gmx.es"/>
        <s v="2219@teigatmi.es"/>
        <s v="2220@hotmail.com"/>
        <s v="2221@hotmail.com"/>
        <s v="2222@gmail.com"/>
        <s v="2223@hotmail.com"/>
        <s v="2224@gmail.com"/>
        <s v="2225@evectra.es"/>
        <s v="2226@hotmail.com"/>
        <s v="2227@gmail.com"/>
        <s v="2228@gmail.com"/>
        <s v="2229@enerluz.es"/>
        <s v="2230@hotmail.com"/>
        <s v="2231@hotmail.com"/>
        <s v="2232@gmail.com"/>
        <s v="2233@gmail.com"/>
        <s v="2234@hotmail.com"/>
        <s v="2235@hotmail.com"/>
        <s v="2236@hotmail.com"/>
        <s v="2238@hotmail.es"/>
        <s v="2239@gmail.com"/>
        <s v="2240@coac.net"/>
        <s v="2241@outlook.com"/>
        <s v="2242@eurogestiones.com"/>
        <s v="2243@gmail.com"/>
        <s v="2244@outlook.com"/>
        <s v="2245@gmail.com"/>
        <s v="2246@eleko.es"/>
        <s v="2247@gmail.com"/>
        <s v="2248@telefonica.net"/>
        <s v="2249@politecnicomalaga.com"/>
        <s v="2250@gmail.com"/>
        <s v="2251@gmail.com"/>
        <s v="2252@energestic.es"/>
        <s v="2253@hotmail.com"/>
        <s v="2254@gmail.com"/>
        <s v="2255@yahoo.es"/>
        <s v="2256@gmail.com"/>
        <s v="2257@hotmail.com"/>
        <s v="2258@fercansa.es"/>
        <s v="2259@gmail.com"/>
        <s v="2260@gmail.com"/>
        <s v="2261@grupoefelec.com"/>
        <s v="2262@hotmail.com"/>
        <s v="2263@gmail.com"/>
        <s v="2264@gmail.com"/>
        <s v="2265@gmail.com"/>
        <s v="2266@gmail.com"/>
        <s v="2267@gmail.com"/>
        <s v="2268@gmail.com"/>
        <s v="2269@qq.com"/>
        <s v="2270@hotmail.com"/>
        <s v="2271@gmail.com"/>
        <s v="2272@tiempobbdo.es"/>
        <s v="2273@telefonica.net"/>
        <s v="2274@fersitec.com"/>
        <s v="2275@rccyp.com"/>
        <s v="2276@hotmail.com"/>
        <s v="2277@gmail.com"/>
        <s v="2278@gmail.com"/>
        <s v="2279@gmail.com"/>
        <s v="2280@gmail.com"/>
        <s v="2281@hotmail.com"/>
        <s v="2282@gmail.com"/>
        <s v="2283@hotmail.com"/>
        <s v="2284@gmail.com"/>
        <s v="2285@hotmail.com"/>
        <s v="2286@hotmail.com"/>
        <s v="2287@sonepar.es"/>
        <s v="2288@yahoo.es"/>
        <s v="2289@hotmail.com"/>
        <s v="2290@atmos.link"/>
        <s v="2291@fegime.es"/>
        <s v="2292@gmail.com"/>
        <s v="2293@usa.com"/>
        <s v="2294@gmail.com"/>
        <s v="2295@msn.com"/>
        <s v="2296@gmail.com"/>
        <s v="2297@sece.com"/>
        <s v="2298@sonepar.es"/>
        <s v="2299@protele.es"/>
        <s v="2300@grupoelectrostocks.com"/>
        <s v="2301@sonepar.es"/>
        <s v="2302@agosa.es"/>
        <s v="2303@industrialgines.com"/>
        <s v="2304@gmail.com"/>
        <s v="2305@hotmail.com"/>
        <s v="2306@somosemotion.es"/>
        <s v="2307@gmail.com"/>
        <s v="2308@gmail.com"/>
        <s v="2309@hotmail.com"/>
        <s v="2310@yahoo.es"/>
        <s v="2311@deluxson.com"/>
        <s v="2312@yahoo.es"/>
        <s v="2313@gmail.com"/>
        <s v="2314@gmail.com"/>
        <s v="2315@electricidadguerra.com"/>
        <s v="2316@telecable.es"/>
        <s v="2317@eimetropolitana.com"/>
        <s v="2318@grupo-jarama.com"/>
        <s v="2319@gmail.com"/>
        <s v="2320@electrovizcaya.com"/>
        <s v="2321@coto.pro"/>
        <s v="2322@hotmail.com"/>
        <s v="2323@gmail.com"/>
        <s v="2324@gmail.com"/>
        <s v="2325@ingenierosvalladolid.es"/>
        <s v="2326@gmail.com"/>
        <s v="2327@gmail.com"/>
        <s v="2328@gmail.com"/>
        <s v="2329@hotmail.com"/>
        <s v="2330@gmail.com"/>
        <s v="2331@gmail.com"/>
        <s v="2332@gmail.com"/>
        <s v="2333@gmail.com"/>
        <s v="2334@grupoelectrostocks.com"/>
        <s v="2335@gmail.com"/>
        <s v="2336@gmail.com"/>
        <s v="2337@msn.com"/>
        <s v="2338@gmail.com"/>
        <s v="2339@monlau.com"/>
        <s v="2340@yahoo.es"/>
        <s v="2341@hotmail.com"/>
        <s v="2342@inescoconstructora.es"/>
        <s v="2343@gmail.com"/>
        <s v="2344@tecmagenil.es"/>
        <s v="2345@yahoo.es"/>
        <s v="2346@grupoetra.com"/>
        <s v="2347@visaonomada.pt"/>
        <s v="2348@ya.com"/>
        <s v="2349@belsanz.com"/>
        <s v="2350@gmail.com"/>
        <s v="2351@gmail.com"/>
        <s v="2352@gmail.com"/>
        <s v="2353@conecta-sistemas.com"/>
        <s v="2354@gmail.com"/>
        <s v="2355@gmail.com"/>
        <s v="2356@infova.es"/>
        <s v="2357@gmail.com"/>
        <s v="2358@hotmail.es"/>
        <s v="2359@hotmail.com"/>
        <s v="2360@viplaro.com"/>
        <s v="2361@gmail.com"/>
        <s v="2362@telefonica.net"/>
        <s v="2363@hotmail.com"/>
        <s v="2364@agmundet.es"/>
        <s v="2365@jazzfree.com"/>
        <s v="2366@energies.cat"/>
        <s v="2367@yahoo.es"/>
        <s v="2368@gmail.com"/>
        <s v="2369@cataliaga.com"/>
        <s v="2370@gmail.com"/>
        <s v="2371@fhiguero.es"/>
        <s v="2372@gmail.com"/>
        <s v="2373@grupoelectrostocks.com"/>
        <s v="2374@yahoo.com"/>
        <s v="2375@m4servicios.es"/>
        <s v="2376@gmail.com"/>
        <s v="2377@conmasa.cat"/>
        <s v="2378@montajesjep.com"/>
        <s v="2379@erf.cat"/>
        <s v="2380@gmail.com"/>
        <s v="2381@outlook.com"/>
        <s v="2382@hotmail.com"/>
        <s v="2383@fff.com"/>
        <s v="2384@kapsch.net"/>
        <s v="2385@gg.com"/>
        <s v="2386@agosa.es"/>
        <s v="2387@yahoo.es"/>
        <s v="2388@gmail.com"/>
        <s v="2389@gruponovelec.com"/>
        <s v="2390@gmail.com"/>
        <s v="2391@casamarquez.es"/>
        <s v="2392@gmail.com"/>
        <s v="2393@gmail.com"/>
        <s v="2394@bladis.com"/>
        <s v="2395@gruponovelec.com"/>
        <s v="2396@sonepar.es"/>
        <s v="2397@a2bingenieros.com"/>
        <s v="2398@hotmail.com"/>
        <s v="2399@teclisa.com"/>
        <s v="2400@ormazabal.com"/>
        <s v="2401@hotmail.com"/>
        <s v="2402@adtel.es"/>
        <s v="2403@gmail.com"/>
        <s v="2404@gmail.com"/>
        <s v="2406@gmail.com"/>
        <s v="2407@msn.com"/>
        <s v="2408@me.com"/>
        <s v="2409@eufon.com"/>
        <s v="2410@me.com"/>
        <s v="2411@hotmail.com"/>
        <s v="2412@conmasa.cat"/>
        <s v="2413@siemensgamesa.com"/>
        <s v="2414@saenzdesanpedro.com"/>
        <s v="2415@gmail.com"/>
        <s v="2416@veolia.com"/>
        <s v="2417@rexel.es"/>
        <s v="2418@ompsl.com"/>
        <s v="2419@aiguesdebarcelona.cat"/>
        <s v="2420@gmail.com"/>
        <s v="2421@rexel.es"/>
        <s v="2422@hotmail.com"/>
        <s v="2423@jccifuentes.com"/>
        <s v="2424@sonepar.es"/>
        <s v="2425@hotmail.com"/>
        <s v="2426@gmail.com"/>
        <s v="2427@valnu.es"/>
        <s v="2428@saltoki.es"/>
        <s v="2429@hotmail.com"/>
        <s v="2430@tenmega.pt"/>
        <s v="2431@gmail.com"/>
        <s v="2432@telefonica.net"/>
        <s v="2433@sonepar.es"/>
        <s v="2434@gmail.com"/>
        <s v="2435@indasasl.es"/>
        <s v="2436@ydrolia.com"/>
        <s v="2437@dos-atf.es"/>
        <s v="2438@gmail.com"/>
        <s v="2439@hotmail.com"/>
        <s v="2440@imanzanera.com"/>
        <s v="2441@berdin.com"/>
        <s v="2442@gmail.com"/>
        <s v="2443@gmail.com"/>
        <s v="2444@gmail.com"/>
        <s v="2445@wallbox.com"/>
        <s v="2446@hotmail.com"/>
        <s v="2447@etecnic.es"/>
        <s v="2448@uvigo.es"/>
        <s v="2449@magtel.es"/>
        <s v="2450@sonepar.es"/>
        <s v="2451@gmail.com"/>
        <s v="2452@fi-group.com"/>
        <s v="2453@insitecaingenieros.com"/>
        <s v="2454@gmail.com"/>
        <s v="2455@gmail.com"/>
        <s v="2456@serlujua.com"/>
        <s v="2457@gmail.com"/>
        <s v="2458@gmail.com"/>
        <s v="2459@grupoelectrostocks.com"/>
        <s v="2460@gmail.com"/>
        <s v="2461@yahoo.es"/>
        <s v="2462@gmail.com"/>
        <s v="2463@ise40.com"/>
        <s v="2464@pas.uned.es"/>
        <s v="2465@gmail.com"/>
        <s v="2466@hotmail.com"/>
        <s v="2467@gmail.com"/>
        <s v="2468@gmail.com"/>
        <s v="2469@yca.es"/>
        <s v="2470@gmail.com"/>
        <s v="2471@gmail.com"/>
        <s v="2472@gmail.com"/>
        <s v="2473@hotmail.com"/>
        <s v="2474@sehusol.com"/>
        <s v="2475@berdin.com"/>
        <s v="2476@dimces.com"/>
        <s v="2477@moralesyartigasabogados.com"/>
        <s v="2478@gmail.com"/>
        <s v="2479@hotmail.es"/>
        <s v="2481@apogeaconsulting.com"/>
        <s v="2482@etelnoga.com"/>
        <s v="2483@gmail.com"/>
        <s v="2484@grupo-jarama.com"/>
        <s v="2485@saergy.com"/>
        <s v="2486@hotmail.com"/>
        <s v="2487@telefonica.net"/>
        <s v="2488@gmail.com"/>
        <s v="2489@proytecenergia.com"/>
        <s v="2490@mantenencies.com"/>
        <s v="2491@saltoki.es"/>
        <s v="2492@gmail.com"/>
        <s v="2493@gmail.com"/>
        <s v="2494@gmail.com"/>
        <s v="2495@gmail.com"/>
        <s v="2496@grupoelectrostocks.com"/>
        <s v="2497@gmail.com"/>
        <s v="2498@adtelcom.es"/>
        <s v="2499@hotmail.com"/>
        <s v="2500@sonepar.es"/>
        <s v="2501@gmail.com"/>
        <s v="2502@yahoo.es"/>
        <s v="2503@grupoiicsa.com"/>
        <s v="2504@gmail.com"/>
        <s v="2505@gmail.com"/>
        <s v="2506@es.issworld.com"/>
        <s v="2507@victorperezsl.com"/>
        <s v="2508@solardelvalle.es"/>
        <s v="2509@elecnor.es"/>
        <s v="2510@sermicro.com"/>
        <s v="2511@gmail.com"/>
        <s v="2512@hotmail.com"/>
        <s v="2513@gmail.com"/>
        <s v="2514@coitialicante.com"/>
        <s v="2516@isega.es"/>
        <s v="2517@ineleeg.es"/>
        <s v="2518@solardelvalle.es"/>
        <s v="2519@hotmail.com"/>
        <s v="2520@jspelectrotecnia.com"/>
        <s v="2521@amisur.es"/>
        <s v="2522@gmail.com"/>
        <s v="2523@ipae.es"/>
        <s v="2524@me.com"/>
        <s v="2525@gmail.com"/>
        <s v="2526@reparacioneslsanchez.es"/>
        <s v="2527@gmail.com"/>
        <s v="2528@leing.es"/>
        <s v="2529@upc.edu"/>
        <s v="2530@galimar.com.es"/>
        <s v="2531@arquitecturaygestion.com"/>
        <s v="2532@gmail.com"/>
        <s v="2533@hotmail.com"/>
        <s v="2534@gmail.com"/>
        <s v="2535@hotmail.com"/>
        <s v="2536@telefonica.net"/>
        <s v="2537@electram.es"/>
        <s v="2538@elcorteingles.es"/>
        <s v="2539@gmail.com"/>
        <s v="2540@gmail.com"/>
        <s v="2541@gmail.com"/>
        <s v="2542@tecnica4.com"/>
        <s v="2543@eltec-servicios.com"/>
        <s v="2544@hotmail.com"/>
        <s v="2545@telefonica.net"/>
        <s v="2546@tecnovap.es"/>
        <s v="2547@gmail.com"/>
        <s v="2548@gmail.com"/>
        <s v="2549@gmail.com"/>
        <s v="2550@energema.com"/>
        <s v="2551@inelsa.com"/>
        <s v="2552@gmail.com"/>
        <s v="2553@telefonica.net"/>
        <s v="2554@telefonica.net"/>
        <s v="2555@gmail.com"/>
        <s v="2556@hotmail.com"/>
        <s v="2557@hotmail.com"/>
        <s v="2558@gmail.com"/>
        <s v="2560@gmail.com"/>
        <s v="2561@gmail.com"/>
        <s v="2562@artesolar.com"/>
        <s v="2563@hotmail.com"/>
        <s v="2564@ctv.masaveu.com"/>
        <s v="2565@hotmail.com"/>
        <s v="2566@casadoguia.com"/>
        <s v="2567@hotmail.com"/>
        <s v="2568@email.com"/>
        <s v="2569@gmail.com"/>
        <s v="2570@telefonica.net"/>
        <s v="2571@dival.es"/>
        <s v="2572@sesaelec.com"/>
        <s v="2573@edetcotecnics.com"/>
        <s v="2574@telefonica.net"/>
        <s v="2575@gruposti.com"/>
        <s v="2576@construciainstalaciones.com"/>
        <s v="2577@gmail.com"/>
        <s v="2578@hotmail.com"/>
        <s v="2579@fgc.cat"/>
        <s v="2580@imagenyarquitectura.com.mx"/>
        <s v="2581@yahoo.com"/>
        <s v="2582@ccaait.cat"/>
        <s v="2583@grupcarol.com"/>
        <s v="2584@sistemasdeenergia.es"/>
        <s v="2585@grupoelectrostocks.com"/>
        <s v="2586@saltoki.es"/>
        <s v="2587@picocompany.es"/>
        <s v="2588@fossic.es"/>
        <s v="2589@hotmail.com"/>
        <s v="2590@gmail.com"/>
        <s v="2591@gmail.com"/>
        <s v="2592@bsmsa.cat"/>
        <s v="2593@abcgrup.com"/>
        <s v="2594@gmail.com"/>
        <s v="2595@gmail.com"/>
        <s v="2597@3xakoenergi.com"/>
        <s v="2598@tecoel.es"/>
        <s v="2599@sazepi.com"/>
        <s v="2600@electrimega.es"/>
        <s v="2601@seituria.com"/>
        <s v="2602@saherlux.com"/>
        <s v="2603@guillenmotor.com"/>
        <s v="2604@hotelnelva.es"/>
        <s v="2605@gmail.com"/>
        <s v="2606@gmail.com"/>
        <s v="2607@hotmail.com"/>
        <s v="2608@zambongroup.com"/>
        <s v="2609@construccioicontrol.com"/>
        <s v="2610@orangecorreo.es"/>
        <s v="2611@gocsa.es"/>
        <s v="2612@ingenieriaconforma.com"/>
        <s v="2613@gmail.com"/>
        <s v="2614@rexel.es"/>
        <s v="2615@orbiumsolar.es"/>
        <s v="2616@prysmiangroup.com"/>
        <s v="2617@hotmail.com"/>
        <s v="2618@viegasefilhos.pt"/>
        <s v="2619@gmail.com"/>
        <s v="2620@icloud.com"/>
        <s v="2621@integralplm.com"/>
        <s v="2622@instavi.es"/>
        <s v="2623@mansel.es"/>
        <s v="2624@hotmail.com"/>
        <s v="2625@gmail.com"/>
        <s v="2626@proycoga.es"/>
        <s v="2627@aemsys.com"/>
        <s v="2628@telefonica.net"/>
        <s v="2629@hotmail.com"/>
        <s v="2630@gmail.com"/>
        <s v="2631@gmail.com"/>
        <s v="2632@felices.agency"/>
        <s v="2633@araelec.com"/>
        <s v="2634@hotmail.es"/>
        <s v="2635@ambginy.com"/>
        <s v="2636@sonepar.es"/>
        <s v="2637@metromadrid.es"/>
        <s v="2638@ativalles.com"/>
        <s v="2639@sanitariosbosco.es"/>
        <s v="2640@magserveis.com"/>
        <s v="2641@gmail.com"/>
        <s v="2642@mipelsa.es"/>
        <s v="2643@sansiga.com"/>
        <s v="2644@gmail.com"/>
        <s v="2645@hotmail.com"/>
        <s v="2646@gmail.com"/>
        <s v="2647@rexel.es"/>
        <s v="2648@electracaldense.com"/>
        <s v="2649@grupocuerva.com"/>
        <s v="2650@coac.net"/>
        <s v="2651@yntegraservicios.es"/>
        <s v="2652@tessai.es"/>
        <s v="2653@idiada.com"/>
        <s v="2654@edmcadiz.es"/>
        <s v="2655@getsa.es"/>
        <s v="2656@sonepar.es"/>
        <s v="2657@a4ingenieria.es"/>
        <s v="2658@gmail.com"/>
        <s v="2659@gmail.com"/>
        <s v="2660@gmail.com"/>
        <s v="2661@gmail.com"/>
        <s v="2662@gmail.com"/>
        <s v="2663@bitjerez.com"/>
        <s v="2664@gmail.com"/>
        <s v="2665@electroaldis.com"/>
        <s v="2666@gmail.com"/>
        <s v="2667@iselektric.com"/>
        <s v="2668@gmail.com"/>
        <s v="2669@electroidella.com"/>
        <s v="2670@gmail.com"/>
        <s v="2671@gmail.com"/>
        <s v="2672@gmail.com"/>
        <s v="2673@gamil.com"/>
        <s v="2674@coar.es"/>
        <s v="2675@grupoelectrostocks.com"/>
        <s v="2676@gmail.com"/>
        <s v="2677@gmail.com"/>
        <s v="2678@impact-al.com"/>
        <s v="2679@hotmail.com"/>
        <s v="2680@copitima.com"/>
        <s v="2681@sueprat.es"/>
        <s v="2682@dipucuenca.es"/>
        <s v="2683@live.fr"/>
        <s v="2684@hotmail.com"/>
        <s v="2685@orgaus.com"/>
        <s v="2686@kbingenieria.com"/>
        <s v="2687@serium.es"/>
        <s v="2688@hotmail.com"/>
        <s v="2689@edp-sl.com"/>
        <s v="2690@gmail.com"/>
        <s v="2691@magserveis.com"/>
        <s v="2692@gmail.com"/>
        <s v="2693@bextron.es"/>
        <s v="2694@gmail.com"/>
        <s v="2695@inelt.es"/>
        <s v="2696@1aingenieros.com"/>
        <s v="2697@digamel.com"/>
        <s v="2698@gmail.com"/>
        <s v="2699@gmail.com"/>
        <s v="2700@hotmail.com"/>
        <s v="2701@gmail.com"/>
        <s v="2702@digamel.com"/>
        <s v="2703@hotmail.com"/>
        <s v="2704@construciainstalaciones.com"/>
        <s v="2705@tmb.cat"/>
        <s v="2706@opportunity-one.com"/>
        <s v="2707@gmail.com"/>
        <s v="2708@meta-sidecar.com"/>
        <s v="2709@construciainstalaciones.com"/>
        <s v="2710@arbonapiza.com"/>
        <s v="2711@infinitypv.com"/>
        <s v="2712@gmail.com"/>
        <s v="2713@gmail.com"/>
        <s v="2714@gma.es"/>
        <s v="2715@gmail.com"/>
        <s v="2716@gmail.com"/>
        <s v="2717@gmail.com"/>
        <s v="2718@none.com"/>
        <s v="2719@saltoki.es"/>
        <s v="2720@grupoelectrostocks.com"/>
        <s v="2721@anpasa.es"/>
        <s v="2722@instalacionesyobrasdelrio.com"/>
        <s v="2723@hotmail.com"/>
        <s v="2724@gmeil.com"/>
        <s v="2725@hotmail.com"/>
        <s v="2726@sonepar.es"/>
        <s v="2727@gruponovelec.com"/>
        <s v="2728@gmail.com"/>
        <s v="2729@hotmail.com"/>
        <s v="2730@enzazaden.es"/>
        <s v="2731@gmail.com"/>
        <s v="2732@gmail.com"/>
        <s v="2733@sigmaenginyers.es"/>
        <s v="2734@gmail.com"/>
        <s v="2735@gmail.com"/>
        <s v="2736@gmail.com"/>
        <s v="2737@gmail.com"/>
        <s v="2738@conalepmex.edu.mx"/>
        <s v="2739@constructorasanjose.com"/>
        <s v="2740@gmail.com"/>
        <s v="2741@cruzroja.es"/>
        <s v="2742@mindual.com"/>
        <s v="2743@itaipu.gov.py"/>
        <s v="2745@urbanresilience.eu"/>
        <s v="2746@proinelec.com"/>
        <s v="2747@gmail.com"/>
        <s v="2748@nitlux.es"/>
        <s v="2749@gmail.com"/>
        <s v="2750@exavoltio.es"/>
        <s v="2751@gruponovelec.com"/>
        <s v="2752@ingener.net"/>
        <s v="2753@aurialux.com"/>
        <s v="2754@emgvlasrozas.org"/>
        <s v="2755@gmail.com"/>
        <s v="2756@gmail.com"/>
        <s v="2757@irradiaenergia.com"/>
        <s v="2758@gmail.com"/>
        <s v="2759@gmail.com"/>
        <s v="2760@yahoo.es"/>
        <s v="2761@stratum22.com"/>
        <s v="2762@gmail.com"/>
        <s v="2763@gmail.com"/>
        <s v="2764@gmail.com"/>
        <s v="2765@gmail.com"/>
        <s v="2766@telefonica.net"/>
        <s v="2767@gmail.com"/>
        <s v="2768@gmail.com"/>
        <s v="2769@gmail.com"/>
        <s v="2770@gmail.com"/>
        <s v="2771@gmail.com"/>
        <s v="2772@saltoki.es"/>
        <s v="2773@energiaactiva.es"/>
        <s v="2774@trensfm.com"/>
        <s v="2775@gmail.com"/>
        <s v="2776@pgiengineering.com"/>
        <s v="2777@huelva.es"/>
        <s v="2778@empretelco.es"/>
        <s v="2779@gmail.com"/>
        <s v="2780@abcgrup.com"/>
        <s v="2781@ahabana.co.cu"/>
        <s v="2782@gmail.com"/>
        <s v="2783@gmail.com"/>
        <s v="2784@coac.net"/>
        <s v="2785@climarubi.com"/>
        <s v="2786@metromadrid.es"/>
        <s v="2787@grupocematel.com"/>
        <s v="2788@eurocabos.es"/>
        <s v="2789@telefonica.net"/>
        <s v="2790@gmail.com"/>
        <s v="2791@pickdata.net"/>
        <s v="2792@ajcampos.org"/>
        <s v="2793@gmail.com"/>
        <s v="2794@efinetika.com"/>
        <s v="2795@gmail.com"/>
        <s v="2796@gmail.com"/>
        <s v="2797@gmail.com"/>
        <s v="2798@yahoo.es"/>
        <s v="2799@oceanim.es"/>
        <s v="2800@gmail.com"/>
        <s v="2801@eei-ingenieria.com"/>
        <s v="2802@gonzalezsme.com"/>
        <s v="2803@rodriguezromeu.com"/>
        <s v="2804@vtisl.com"/>
        <s v="2805@gmail.com"/>
        <s v="2806@jdingenieria.com"/>
        <s v="2807@jhfsystemcrane.com"/>
        <s v="2808@gmail.com"/>
        <s v="2809@solerteselen.cat"/>
        <s v="2810@sensorstecnics.net"/>
        <s v="2811@gmail.com"/>
        <s v="2812@martipala.com"/>
        <s v="2813@gmail.com"/>
        <s v="2814@vitrosep.com"/>
        <s v="2815@gmail.com"/>
        <s v="2816@hotmail.com"/>
        <s v="2817@hotmail.com"/>
        <s v="2818@gmail.com"/>
        <s v="2819@satydal.es"/>
        <s v="2820@sanitariosbosco.es"/>
        <s v="2821@gmail.com"/>
        <s v="2822@gmail.com"/>
        <s v="2823@mindual.com"/>
        <s v="2824@gmail.com"/>
        <s v="2825@gmail.com"/>
        <s v="2826@educacion.gob.es"/>
        <s v="2827@soltecgrupo.es"/>
        <s v="2828@coaatz.org"/>
        <s v="2829@sindel.es"/>
        <s v="2830@mequintana.com"/>
        <s v="2831@lantec.es"/>
        <s v="2832@energia.eiffage.es"/>
        <s v="2833@inelsa.com"/>
        <s v="2834@idom.com"/>
        <s v="2835@idom.com"/>
        <s v="2836@pgigrup.com"/>
        <s v="2837@gmail.com"/>
        <s v="2838@gmail.com"/>
        <s v="2839@esprosa.es"/>
        <s v="2840@onemons.es"/>
        <s v="2841@blaudrive.com"/>
        <s v="2842@yahoo.es"/>
        <s v="2843@gmail.com"/>
        <s v="2844@alamos.es"/>
        <s v="2845@araiz.es"/>
        <s v="2846@kubicat.com"/>
        <s v="2847@gmail.com"/>
        <s v="2848@telefonica.net"/>
        <s v="2849@gmail.com"/>
        <s v="2850@hotmail.com"/>
        <s v="2851@yahoo.es"/>
        <s v="2852@gmail.com"/>
        <s v="2853@gmail.com"/>
        <s v="2854@voltplus.es"/>
        <s v="2855@trc.es"/>
        <s v="2856@eurocabos.es"/>
        <s v="2857@gmail.com"/>
        <s v="2858@gmail.com"/>
        <s v="2859@hotmail.com"/>
        <s v="2860@soltecingenieros.com"/>
        <s v="2861@live.com"/>
        <s v="2862@gmail.com"/>
        <s v="2863@hibrielectric.com"/>
        <s v="2864@gmail.com"/>
        <s v="2865@gadisel.com"/>
        <s v="2866@hotmail.com"/>
        <s v="2867@jqadvisors.com"/>
        <s v="2868@cipfplacostera.com"/>
        <s v="2869@montajes-medyp.com"/>
        <s v="2870@yahoo.com"/>
        <s v="2871@assinsta.com"/>
        <s v="2872@hotmail.com"/>
        <s v="2873@gmail.com"/>
        <s v="2874@broa.net"/>
        <s v="2875@ulper.es"/>
        <s v="2876@gmail.com"/>
        <s v="2877@gammasg.com"/>
        <s v="2878@grupojab.es"/>
        <s v="2879@hbalcells.com"/>
        <s v="2880@alfasel.es"/>
        <s v="2881@hotmail.com"/>
        <s v="2882@secorsa.com"/>
        <s v="2883@acciona.com"/>
        <s v="2884@gmail.com"/>
        <s v="2885@instalacionessegura.es"/>
        <s v="2886@construroura.es"/>
        <s v="2887@indasasl.es"/>
        <s v="2888@proalingenieros.com"/>
        <s v="2889@eurocabos.es"/>
        <s v="2890@edu.xunta.es"/>
        <s v="2891@ingenibo.com"/>
        <s v="2892@gmail.com"/>
        <s v="2893@yahoo.com"/>
        <s v="2894@me.com"/>
        <s v="2895@mundoled.net"/>
        <s v="2896@energia.eiffage.es"/>
        <s v="2897@radytel.com"/>
        <s v="2899@gmail.com"/>
        <s v="2900@hotmail.com"/>
        <s v="2901@eneroptim.es"/>
        <s v="2902@gmail.com"/>
        <s v="2903@estudioelan.com"/>
        <s v="2904@gmail.com"/>
        <s v="2905@atoms.cat"/>
        <s v="2906@comb.cat"/>
        <s v="2907@generaeficiencia.com"/>
        <s v="2908@esplugues.cat"/>
        <s v="2909@ekoleds.com"/>
        <s v="2910@syocsa-inarsa.es"/>
        <s v="2911@grupocobra.com"/>
        <s v="2912@essatel.es"/>
        <s v="2913@gmail.com"/>
        <s v="2914@aldaproyectos.es"/>
        <s v="2915@crescencioperez.com"/>
        <s v="2916@diazrojo.com"/>
        <s v="2917@mastercentella.com"/>
        <s v="2918@gmail.com"/>
        <s v="2919@gmail.com"/>
        <s v="2920@prodelectric.es"/>
        <s v="2921@hotmail.com"/>
        <s v="2922@tecnicanorte.com"/>
        <s v="2923@gmail.com"/>
        <s v="2924@gmail.com"/>
        <s v="2925@gmail.com"/>
        <s v="2926@elherco.com"/>
        <s v="2927@interflex.es"/>
        <s v="2929@baurenginyers.cat"/>
        <s v="3292@movistar.es"/>
        <s v="3297@hotmail.com"/>
        <s v="2930@hotmail.com"/>
        <s v="2931@telefonica.net"/>
        <s v="2932@soldeser.com"/>
        <s v="2933@agenex.org"/>
        <s v="2934@gruponovelec.com"/>
        <s v="2935@hotellosllanos.es"/>
        <s v="2936@gmail.com"/>
        <s v="2937@gmail.com"/>
        <s v="2938@inemesa.com"/>
        <s v="2939@oscarcaselles.com"/>
        <s v="2940@xtec.cat"/>
        <s v="2941@gmail.com"/>
        <s v="2942@ragaluz.com"/>
        <s v="2943@agaeng.es"/>
        <s v="2944@prysmiangroup.com"/>
        <s v="2945@gmail.com"/>
        <s v="2946@gmail.com"/>
        <s v="2947@gmail.com"/>
        <s v="2948@gmail.com"/>
        <s v="2949@ignasiconillas.com"/>
        <s v="2950@telematel.com"/>
        <s v="2951@telman.es"/>
        <s v="2952@catrisse.net"/>
        <s v="2953@sinophosgroup.com"/>
        <s v="2954@gmail.com"/>
        <s v="2955@imamagnets.com"/>
        <s v="2956@engie.com"/>
        <s v="2957@doladoingenieria.es"/>
        <s v="2958@gmail.com"/>
        <s v="2959@instalacionesfb.com"/>
        <s v="2960@gmail.com"/>
        <s v="2961@mqrenovables.com"/>
        <s v="2962@gmail.com"/>
        <s v="2963@gmail.com"/>
        <s v="2964@duoarquitectura.es"/>
        <s v="2965@hotmail.com"/>
        <s v="2966@gmail.com"/>
        <s v="2967@gmail.com"/>
        <s v="2968@sueprat.es"/>
        <s v="2969@gmail.com"/>
        <s v="2970@sonepar.es"/>
        <s v="2971@gmail.com"/>
        <s v="2972@us.es"/>
        <s v="2973@rt105.es"/>
        <s v="2974@outlook.com"/>
        <s v="2975@gmail.com"/>
        <s v="2976@gmail.com"/>
        <s v="2977@gmail.com"/>
        <s v="2978@electroredes.com"/>
        <s v="2979@gmail.com"/>
        <s v="2980@live.com"/>
        <s v="2981@gmail.com"/>
        <s v="2982@hotmail.es"/>
        <s v="2983@hotmail.com"/>
        <s v="2984@hotmail.com"/>
        <s v="2985@gmail.com"/>
        <s v="2986@signum.cat"/>
        <s v="2987@comercialsis.com"/>
        <s v="2988@lopezona.com"/>
        <s v="2989@9chip.com"/>
        <s v="2990@gilten.es"/>
        <s v="2991@yahoo.es"/>
        <s v="2992@socidesel.es"/>
        <s v="2993@gmail.com"/>
        <s v="2994@hotmail.com"/>
        <s v="2995@suris.es"/>
        <s v="2996@hotmail.com"/>
        <s v="2997@bgm.pt"/>
        <s v="2998@dosreisinstalaciones.es"/>
        <s v="2999@gmail.com"/>
        <s v="3000@strongpoint.com"/>
        <s v="3001@gmail.com"/>
        <s v="3002@energiaactiva.es"/>
        <s v="3003@ingenieriabenimamet.com"/>
        <s v="3004@yahoo.es"/>
        <s v="3005@electroizas.es"/>
        <s v="3006@ingenieriajorpa.es"/>
        <s v="3007@gmail.com"/>
        <s v="3008@codime.es"/>
        <s v="3009@acciona.com"/>
        <s v="3010@eleko.es"/>
        <s v="3011@gmail.com"/>
        <m/>
      </sharedItems>
    </cacheField>
    <cacheField name="Date">
      <sharedItems containsDate="1" containsBlank="1" containsMixedTypes="1">
        <d v="2020-06-30T00:00:00Z"/>
        <d v="2020-06-29T00:00:00Z"/>
        <d v="2020-06-28T00:00:00Z"/>
        <d v="2020-06-27T00:00:00Z"/>
        <d v="2020-06-26T00:00:00Z"/>
        <d v="2020-06-25T00:00:00Z"/>
        <d v="2020-06-24T00:00:00Z"/>
        <d v="2020-06-23T00:00:00Z"/>
        <d v="2020-06-22T00:00:00Z"/>
        <d v="2020-06-21T00:00:00Z"/>
        <d v="2020-06-20T00:00:00Z"/>
        <d v="2020-06-19T00:00:00Z"/>
        <d v="2020-06-18T00:00:00Z"/>
        <s v="null"/>
        <d v="2020-06-17T00:00:00Z"/>
        <d v="2020-06-16T00:00:00Z"/>
        <d v="2020-06-15T00:00:00Z"/>
        <d v="2020-06-14T00:00:00Z"/>
        <d v="2020-06-13T00:00:00Z"/>
        <d v="2020-06-12T00:00:00Z"/>
        <d v="2020-06-11T00:00:00Z"/>
        <d v="2020-06-10T00:00:00Z"/>
        <d v="2020-06-09T00:00:00Z"/>
        <d v="2020-06-08T00:00:00Z"/>
        <d v="2020-06-07T00:00:00Z"/>
        <d v="2020-06-06T00:00:00Z"/>
        <d v="2020-06-05T00:00:00Z"/>
        <d v="2020-06-04T00:00:00Z"/>
        <d v="2020-06-03T00:00:00Z"/>
        <d v="2020-06-02T00:00:00Z"/>
        <d v="2020-06-01T00:00:00Z"/>
        <d v="2020-05-31T00:00:00Z"/>
        <d v="2020-05-30T00:00:00Z"/>
        <d v="2020-05-29T00:00:00Z"/>
        <d v="2020-05-28T00:00:00Z"/>
        <d v="2020-05-27T00:00:00Z"/>
        <d v="2020-05-26T00:00:00Z"/>
        <d v="2020-05-25T00:00:00Z"/>
        <d v="2020-05-24T00:00:00Z"/>
        <d v="2020-05-23T00:00:00Z"/>
        <d v="2020-05-22T00:00:00Z"/>
        <d v="2020-05-21T00:00:00Z"/>
        <d v="2020-05-20T00:00:00Z"/>
        <d v="2020-05-19T00:00:00Z"/>
        <d v="2020-05-18T00:00:00Z"/>
        <d v="2020-05-17T00:00:00Z"/>
        <d v="2020-05-16T00:00:00Z"/>
        <d v="2020-05-15T00:00:00Z"/>
        <d v="2020-05-14T00:00:00Z"/>
        <d v="2020-05-13T00:00:00Z"/>
        <d v="2020-05-12T00:00:00Z"/>
        <d v="2020-05-11T00:00:00Z"/>
        <d v="2020-05-10T00:00:00Z"/>
        <d v="2020-05-09T00:00:00Z"/>
        <d v="2020-05-08T00:00:00Z"/>
        <d v="2020-05-07T00:00:00Z"/>
        <d v="2020-05-06T00:00:00Z"/>
        <d v="2020-05-05T00:00:00Z"/>
        <d v="2020-05-04T00:00:00Z"/>
        <d v="2020-05-03T00:00:00Z"/>
        <d v="2020-05-02T00:00:00Z"/>
        <d v="2020-05-01T00:00:00Z"/>
        <d v="2020-04-30T00:00:00Z"/>
        <d v="2020-04-29T00:00:00Z"/>
        <d v="2020-04-28T00:00:00Z"/>
        <d v="2020-04-27T00:00:00Z"/>
        <d v="2020-04-26T00:00:00Z"/>
        <d v="2020-04-25T00:00:00Z"/>
        <d v="2020-04-24T00:00:00Z"/>
        <d v="2020-04-23T00:00:00Z"/>
        <d v="2020-04-22T00:00:00Z"/>
        <d v="2020-04-21T00:00:00Z"/>
        <d v="2020-04-20T00:00:00Z"/>
        <d v="2020-04-19T00:00:00Z"/>
        <d v="2020-04-18T00:00:00Z"/>
        <d v="2020-04-17T00:00:00Z"/>
        <d v="2020-04-16T00:00:00Z"/>
        <d v="2020-04-15T00:00:00Z"/>
        <d v="2020-04-14T00:00:00Z"/>
        <d v="2020-04-13T00:00:00Z"/>
        <d v="2020-04-12T00:00:00Z"/>
        <d v="2020-04-11T00:00:00Z"/>
        <d v="2020-04-10T00:00:00Z"/>
        <d v="2020-04-09T00:00:00Z"/>
        <d v="2020-04-08T00:00:00Z"/>
        <d v="2020-04-07T00:00:00Z"/>
        <d v="2020-04-06T00:00:00Z"/>
        <d v="2020-04-05T00:00:00Z"/>
        <d v="2020-04-04T00:00:00Z"/>
        <d v="2020-04-03T00:00:00Z"/>
        <d v="2020-04-02T00:00:00Z"/>
        <d v="2020-04-01T00:00:00Z"/>
        <d v="2020-03-31T00:00:00Z"/>
        <d v="2020-03-30T00:00:00Z"/>
        <d v="2020-03-29T00:00:00Z"/>
        <d v="2020-03-28T00:00:00Z"/>
        <d v="2020-03-27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  <d v="2020-03-19T00:00:00Z"/>
        <d v="2020-03-18T00:00:00Z"/>
        <d v="2020-03-17T00:00:00Z"/>
        <d v="2020-03-16T00:00:00Z"/>
        <d v="2020-03-14T00:00:00Z"/>
        <d v="2020-03-13T00:00:00Z"/>
        <d v="2020-03-12T00:00:00Z"/>
        <d v="2020-03-11T00:00:00Z"/>
        <d v="2020-03-10T00:00:00Z"/>
        <d v="2020-03-09T00:00:00Z"/>
        <d v="2020-03-08T00:00:00Z"/>
        <d v="2020-03-07T00:00:00Z"/>
        <d v="2020-03-06T00:00:00Z"/>
        <d v="2020-03-05T00:00:00Z"/>
        <d v="2020-03-04T00:00:00Z"/>
        <d v="2020-03-03T00:00:00Z"/>
        <d v="2020-03-02T00:00:00Z"/>
        <d v="2020-03-01T00:00:00Z"/>
        <d v="2020-02-29T00:00:00Z"/>
        <d v="2020-02-28T00:00:00Z"/>
        <d v="2020-02-27T00:00:00Z"/>
        <d v="2020-02-26T00:00:00Z"/>
        <d v="2020-02-25T00:00:00Z"/>
        <d v="2020-02-24T00:00:00Z"/>
        <d v="2020-02-23T00:00:00Z"/>
        <d v="2020-02-22T00:00:00Z"/>
        <d v="2020-02-21T00:00:00Z"/>
        <d v="2020-02-20T00:00:00Z"/>
        <d v="2020-02-19T00:00:00Z"/>
        <d v="2020-02-18T00:00:00Z"/>
        <d v="2020-02-17T00:00:00Z"/>
        <d v="2020-02-16T00:00:00Z"/>
        <d v="2020-02-15T00:00:00Z"/>
        <d v="2020-02-14T00:00:00Z"/>
        <d v="2020-02-13T00:00:00Z"/>
        <d v="2020-02-12T00:00:00Z"/>
        <d v="2020-02-11T00:00:00Z"/>
        <d v="2020-02-10T00:00:00Z"/>
        <d v="2020-02-09T00:00:00Z"/>
        <d v="2020-02-08T00:00:00Z"/>
        <d v="2020-02-07T00:00:00Z"/>
        <d v="2020-02-06T00:00:00Z"/>
        <d v="2020-02-05T00:00:00Z"/>
        <d v="2020-02-04T00:00:00Z"/>
        <d v="2020-02-03T00:00:00Z"/>
        <d v="2020-02-02T00:00:00Z"/>
        <d v="2020-02-01T00:00:00Z"/>
        <d v="2020-01-31T00:00:00Z"/>
        <d v="2020-01-30T00:00:00Z"/>
        <d v="2020-01-29T00:00:00Z"/>
        <d v="2020-01-28T00:00:00Z"/>
        <d v="2020-01-27T00:00:00Z"/>
        <d v="2020-01-26T00:00:00Z"/>
        <d v="2020-01-24T00:00:00Z"/>
        <d v="2020-01-23T00:00:00Z"/>
        <d v="2020-01-22T00:00:00Z"/>
        <d v="2020-01-21T00:00:00Z"/>
        <d v="2020-01-20T00:00:00Z"/>
        <d v="2020-01-19T00:00:00Z"/>
        <d v="2020-01-18T00:00:00Z"/>
        <d v="2020-01-17T00:00:00Z"/>
        <d v="2020-01-16T00:00:00Z"/>
        <d v="2020-01-15T00:00:00Z"/>
        <d v="2020-01-14T00:00:00Z"/>
        <d v="2020-01-13T00:00:00Z"/>
        <d v="2020-01-12T00:00:00Z"/>
        <d v="2020-01-11T00:00:00Z"/>
        <d v="2020-01-10T00:00:00Z"/>
        <d v="2020-01-09T00:00:00Z"/>
        <d v="2020-01-08T00:00:00Z"/>
        <d v="2020-01-07T00:00:00Z"/>
        <d v="2020-01-06T00:00:00Z"/>
        <d v="2020-01-05T00:00:00Z"/>
        <d v="2020-01-04T00:00:00Z"/>
        <d v="2020-01-03T00:00:00Z"/>
        <d v="2020-01-02T00:00:00Z"/>
        <d v="2020-01-01T00:00:00Z"/>
        <m/>
      </sharedItems>
    </cacheField>
    <cacheField name="Conversion Page" numFmtId="0">
      <sharedItems containsBlank="1">
        <s v="https://resources.simonelectric.com/simon-ebook-vehiculo-electrico"/>
        <s v="https://resources.simonelectric.com/simon-catalogo-vehiculo-electrico"/>
        <s v="https://resources.simonelectric.com/simon-material-formativo-vehiculo-electrico"/>
        <s v="https://resources.simonelectric.com/simon-ebook-vehiculo-electrico-ppc"/>
        <s v="https://resources.simonelectric.com/simon-ebook-vehiculo-electrico-0"/>
        <s v="https://resources.simonelectric.com/simon-ebook-vehiculo-electrico-tw"/>
        <m/>
      </sharedItems>
    </cacheField>
    <cacheField name="mail optimizado - def" numFmtId="164">
      <sharedItems containsBlank="1">
        <s v="1@gmail.com"/>
        <s v="2@yahoo.es"/>
        <s v="3@gmail.com"/>
        <s v="4@gmail.com"/>
        <s v="5@infortel.es"/>
        <s v="6@yahoo.es"/>
        <s v="7@unizar.es"/>
        <s v="8@gomezmoreno.com"/>
        <s v="9@chacontch.com"/>
        <s v="10@hotmail.com"/>
        <s v="11@gmail.com"/>
        <s v="12@gmail.com"/>
        <s v="13@inel.es"/>
        <s v="14@enerparking.com"/>
        <s v="15@apba.es"/>
        <s v="16@cambrabcn.org"/>
        <s v="17@gmail.com"/>
        <s v="18@urv.cat"/>
        <s v="19@grupoespacioindustrial.com"/>
        <s v="20@gmail.com"/>
        <s v="21@iteser.com"/>
        <s v="22@gmail.com"/>
        <s v="23@gmail.com"/>
        <s v="24@gmail.com"/>
        <s v="25@gmail.com"/>
        <s v="26@mktg.com"/>
        <s v="27@hotmail.com"/>
        <s v="28@gmail.com"/>
        <s v="29@gmail.com"/>
        <s v="30@gmail.com"/>
        <s v="31@gmail.com"/>
        <s v="32@gmail.com"/>
        <s v="33@gmail.com"/>
        <s v="34@gmail.com"/>
        <s v="35@gmail.com"/>
        <s v="36@visaonomada.pt"/>
        <s v="37@intienergia.com"/>
        <s v="38@telefonica.net"/>
        <s v="39@idom.com"/>
        <s v="40@hotmail.com"/>
        <s v="41@gmail.com"/>
        <s v="42@gmail.com"/>
        <s v="43@electricidadjoselucas.com"/>
        <s v="44@gmail.com"/>
        <s v="45@acotech.es"/>
        <s v="46@hotmail.com"/>
        <s v="47@marpemac.com"/>
        <s v="48@legebiltzarra.eus"/>
        <s v="49@grupocaeiro.es"/>
        <s v="50@gmail.com"/>
        <s v="51@yahoo.es"/>
        <s v="52@tdi-sistemas.com"/>
        <s v="53@dicara.es"/>
        <s v="54@abengoa.com"/>
        <s v="55@hotmail.com"/>
        <s v="56@iesmurgi.org"/>
        <s v="57@gmail.com"/>
        <s v="58@gabyl.com"/>
        <s v="59@gmail.com"/>
        <s v="60@rocketmail.com"/>
        <s v="61@elektra-sa.es"/>
        <s v="62@hotmail.com"/>
        <s v="63@semael.com"/>
        <s v="64@gmail.com"/>
        <s v="65@copitima.com"/>
        <s v="66@dgingenieros.es"/>
        <s v="67@becibiza.es"/>
        <s v="68@ingeosolar.com"/>
        <s v="69@gmail.com"/>
        <s v="70@gmail.com"/>
        <s v="71@hotmail.com"/>
        <s v="72@grupoelectrostocks.com"/>
        <s v="73@hotmail.com"/>
        <s v="74@electricidadguerra.com"/>
        <s v="75@telefonica.net"/>
        <s v="76@gmail.com"/>
        <s v="77@comsa.com"/>
        <s v="78@gmail.com"/>
        <s v="79@sonepar.es"/>
        <s v="80@enginyerstarragona.cat"/>
        <s v="81@gmail.com"/>
        <s v="82@sedes.es"/>
        <s v="83@eduardoaleman.es"/>
        <s v="84@electromontajesroldan.com"/>
        <s v="85@gmail.com"/>
        <s v="86@ingbuero-group.de"/>
        <s v="87@comsa.com"/>
        <s v="88@ingenierosvigo.com"/>
        <s v="89@ipsumindustrial.com"/>
        <s v="90@telefonica.net"/>
        <s v="91@valmet.com"/>
        <s v="92@gmail.com"/>
        <s v="93@gmail.com"/>
        <s v="94@grupocobra.com"/>
        <s v="95@gmail.com"/>
        <s v="96@hotmail.com"/>
        <s v="97@igpingenieria.com"/>
        <s v="98@davidjdiaz.es"/>
        <s v="99@coitir.com"/>
        <s v="100@hotmail.com"/>
        <s v="101@coiirm.es"/>
        <s v="102@telefonica.net"/>
        <s v="103@ciccp.es"/>
        <s v="104@spiningenieros.com"/>
        <s v="105@gmail.com"/>
        <s v="106@ucm.es"/>
        <s v="107@dipucr.es"/>
        <s v="108@salesianos.edu"/>
        <s v="109@gmail.com"/>
        <s v="110@3epsilonsolutions.com"/>
        <s v="111@murciaeduca.es"/>
        <s v="112@gmail.com"/>
        <s v="113@gmail.com"/>
        <s v="114@hotmail.com"/>
        <s v="115@yahoo.es"/>
        <s v="116@sgs.com"/>
        <s v="117@telefonica.net"/>
        <s v="118@legebiltzarra.eus"/>
        <s v="119@ideaingenieria.es"/>
        <s v="120@yahoo.com"/>
        <s v="121@gmail.com"/>
        <s v="122@tecnimed.net"/>
        <s v="123@grupocuerva.com"/>
        <s v="124@betenergia.es"/>
        <s v="125@gmail.com"/>
        <s v="126@gmail.com"/>
        <s v="127@prevae.com"/>
        <s v="128@gmail.com"/>
        <s v="129@inypro.com"/>
        <s v="130@gmail.com"/>
        <s v="131@hotmail.com"/>
        <s v="132@gmail.com"/>
        <s v="133@fasfas.com"/>
        <s v="134@gmail.com"/>
        <s v="135@telefonica.net"/>
        <s v="136@gmail.com"/>
        <s v="137@alcar2000.com"/>
        <s v="138@grupocobra.com"/>
        <s v="139@yahoo.es"/>
        <s v="140@yahoo.es"/>
        <s v="141@gmail.com"/>
        <s v="142@gmail.com"/>
        <s v="143@gmail.com"/>
        <s v="144@gmail.com"/>
        <s v="145@coitihuelva.com"/>
        <s v="146@instalacionsigualada.com"/>
        <s v="147@hotmail.es"/>
        <s v="148@gmail.com"/>
        <s v="149@gmail.com"/>
        <s v="150@atla.es"/>
        <s v="151@gmail.com"/>
        <s v="152@gmail.com"/>
        <s v="153@telefonica.net"/>
        <s v="154@jorditamayo.com"/>
        <s v="155@arcbcn.cat"/>
        <s v="156@riosrenovables.com"/>
        <s v="157@hotmail.com"/>
        <s v="158@acollconsulting.es"/>
        <s v="159@gmail.com"/>
        <s v="160@hotmail.com"/>
        <s v="161@gmail.com"/>
        <s v="162@gmail.com"/>
        <s v="163@gmail.com"/>
        <s v="164@telefonica.net"/>
        <s v="165@dobontech.com"/>
        <s v="166@napols.net"/>
        <s v="167@me.com"/>
        <s v="168@hc-ingenieros.com"/>
        <s v="169@gmail.com"/>
        <s v="170@ciudaddelosmuchachos.com"/>
        <s v="171@gmail.com"/>
        <s v="172@ardisenginyeria.com"/>
        <s v="173@gmail.com"/>
        <s v="174@hotmail.com"/>
        <s v="175@gobesa.com"/>
        <s v="176@aia.cat"/>
        <s v="177@mobcn.org"/>
        <s v="178@tec-engineering.es"/>
        <s v="179@mundo-r.com"/>
        <s v="180@aquambiente.es"/>
        <s v="181@juntaex.es"/>
        <s v="182@usal.es"/>
        <s v="183@arquired.es"/>
        <s v="184@telefonica.net"/>
        <s v="185@asintec.info"/>
        <s v="186@msn.com"/>
        <s v="187@castelyfernandez.es"/>
        <s v="188@gmail.com"/>
        <s v="189@gmail.com"/>
        <s v="190@idom.com"/>
        <s v="191@gruposinelec.com"/>
        <s v="192@gmail.com"/>
        <s v="193@triangulo.com.es"/>
        <s v="194@hotmail.com"/>
        <s v="195@electricidadmadruga.com"/>
        <s v="196@gmail.com"/>
        <s v="197@enginyerstarragona.cat"/>
        <s v="198@hotmail.es"/>
        <s v="199@elektra-sa.es"/>
        <s v="200@smassa.eu"/>
        <s v="201@gmail.com"/>
        <s v="202@gmail.com"/>
        <s v="203@outlook.com"/>
        <s v="204@ebcn.cat"/>
        <s v="205@es.tuv.com"/>
        <s v="206@jgingenieros.es"/>
        <s v="207@tecnicasyrecursos.com"/>
        <s v="208@acortaenergia.com"/>
        <s v="209@azingenieria.es"/>
        <s v=""/>
        <s v="211@elgremi.cat"/>
        <s v="212@gmail.com"/>
        <s v="213@guidogroup.com"/>
        <s v="214@gmail.com"/>
        <s v="215@enel.com"/>
        <s v="216@gmail.com"/>
        <s v="217@esypro.net"/>
        <s v="218@erasmil.com"/>
        <s v="219@gmail.com"/>
        <s v="220@istem.es"/>
        <s v="221@maganrenovables.com"/>
        <s v="222@jcgracia.es"/>
        <s v="223@gmail.com"/>
        <s v="224@hotmail.com"/>
        <s v="225@gmail.com"/>
        <s v="226@hotmail.com"/>
        <s v="227@gmail.com"/>
        <s v="228@erasmil.com"/>
        <s v="229@gmail.com"/>
        <s v="230@solsureste.com"/>
        <s v="231@gmail.com"/>
        <s v="232@mersa.es"/>
        <s v="233@gmail.com"/>
        <s v="234@pgiengineering.com"/>
        <s v="235@gmail.com"/>
        <s v="236@elecnor.com"/>
        <s v="237@idsa.es"/>
        <s v="238@engie.com"/>
        <s v="239@alfadesarrollo.com"/>
        <s v="240@hotmail.com"/>
        <s v="241@gmail.com"/>
        <s v="242@outlook.es"/>
        <s v="243@homcrea.fr"/>
        <s v="244@as.com"/>
        <s v="245@gmail.com"/>
        <s v="247@gmail.com"/>
        <s v="248@llachsoillum.cat"/>
        <s v="249@herreroingenieros.com"/>
        <s v="250@inacces.com"/>
        <s v="251@gmail.com"/>
        <s v="252@hotmail.com"/>
        <s v="253@putzmeister.com"/>
        <s v="254@hotmail.com"/>
        <s v="255@hotmail.com"/>
        <s v="256@mail.com"/>
        <s v="257@telefonica.net"/>
        <s v="258@jesnar2011.es"/>
        <s v="259@electricosaragon2000.com"/>
        <s v="260@hotmail.com"/>
        <s v="261@gmail.com"/>
        <s v="262@gmail.com"/>
        <s v="263@sueprat.es"/>
        <s v="264@edaie.com"/>
        <s v="265@gmail.com"/>
        <s v="266@hotmail.es"/>
        <s v="267@fiberlec.com"/>
        <s v="268@gmail.com"/>
        <s v="269@hotmail.com"/>
        <s v="270@gmail.com"/>
        <s v="271@pkcgroup.com"/>
        <s v="272@gmail.com"/>
        <s v="273@gmail.com"/>
        <s v="274@movistar.es"/>
        <s v="275@aransa.com"/>
        <s v="276@gmail.com"/>
        <s v="277@fcc.es"/>
        <s v="278@urbaser.com"/>
        <s v="279@vazquezconsuegra.com"/>
        <s v="280@susaeta.net"/>
        <s v="281@montajescastellon.com"/>
        <s v="282@comsa.com"/>
        <s v="283@occidentalhotels.com"/>
        <s v="284@telman.es"/>
        <s v="285@hotmail.com"/>
        <s v="286@icaluz.com"/>
        <s v="287@parcdesalutmar.cat"/>
        <s v="288@fcc.es"/>
        <s v="289@gmail.com"/>
        <s v="290@msn.com"/>
        <s v="291@yahoo.es"/>
        <s v="292@espe.edu.ec"/>
        <s v="293@hotmail.com"/>
        <s v="294@lumial.es"/>
        <s v="295@gmail.com"/>
        <s v="296@gmail.com"/>
        <s v="297@hotmail.com"/>
        <s v="298@ibielectric.com"/>
        <s v="299@vimasol.es"/>
        <s v="300@vimasol.es"/>
        <s v="301@vimasol.es"/>
        <s v="302@loalnet.com"/>
        <s v="305@wanadoo.es"/>
        <s v="306@gmail.com"/>
        <s v="307@yahoo.es"/>
        <s v="308@rexel.es"/>
        <s v="309@hotmail.com"/>
        <s v="310@outlook.com"/>
        <s v="311@tresa.volkswagen.es"/>
        <s v="312@telefonica.net"/>
        <s v="313@inelbo.eiffage.es"/>
        <s v="314@bitrir.es"/>
        <s v="315@bongrup.es"/>
        <s v="316@aymesa.com"/>
        <s v="317@portsdebalears.com"/>
        <s v="318@gmail.com"/>
        <s v="319@gmail.com"/>
        <s v="320@gmail.com"/>
        <s v="321@gmail.com"/>
        <s v="322@rutronik.com"/>
        <s v="323@hotmail.com"/>
        <s v="324@onsaze.es"/>
        <s v="325@sonepar.es"/>
        <s v="326@gmail.com"/>
        <s v="327@romovi.com"/>
        <s v="328@siemens.com"/>
        <s v="329@covama.es"/>
        <s v="330@hotmail.com"/>
        <s v="331@gmail.com"/>
        <s v="332@gmail.com"/>
        <s v="333@jbizcocho.es"/>
        <s v="334@mixmail.com"/>
        <s v="335@faepac.org"/>
        <s v="336@gmail.com"/>
        <s v="337@gmail.com"/>
        <s v="338@u220.es"/>
        <s v="339@emiliocueto.com"/>
        <s v="340@bizkaia.eu"/>
        <s v="341@enchufesolar.com"/>
        <s v="342@idesa.pro"/>
        <s v="343@gmail.com"/>
        <s v="344@hotmail.com"/>
        <s v="345@enerwatt.es"/>
        <s v="346@gmail.com"/>
        <s v="347@engie.com"/>
        <s v="348@telefonica.net"/>
        <s v="349@dipualba.es"/>
        <s v="350@talleresloam.com"/>
        <s v="351@cochele.com"/>
        <s v="352@live.com.mx"/>
        <s v="353@industrialgines.com"/>
        <s v="354@gmail.com"/>
        <s v="355@gmail.com"/>
        <s v="356@hotmail.com"/>
        <s v="357@cesvimap.com"/>
        <s v="358@suris.es"/>
        <s v="359@movistar.es"/>
        <s v="360@gmail.com"/>
        <s v="361@trabajosadomicilio.es"/>
        <s v="362@hotmail.com"/>
        <s v="363@gmail.com"/>
        <s v="364@telefonica.net"/>
        <s v="365@edu.xunta.es"/>
        <s v="366@gmail.com"/>
        <s v="367@yahoo.es"/>
        <s v="368@gmail.com"/>
        <s v="369@upc.edu"/>
        <s v="370@coac.es"/>
        <s v="371@hotmail.com"/>
        <s v="372@ub.edu"/>
        <s v="373@eling.es"/>
        <s v="374@copitima.com"/>
        <s v="375@gmail.com"/>
        <s v="376@gmail.com"/>
        <s v="377@nouges.es"/>
        <s v="378@mcrdielec.com"/>
        <s v="379@gmail.com"/>
        <s v="380@acp-level.es"/>
        <s v="381@mtcholding.ro"/>
        <s v="382@gmail.com"/>
        <s v="383@llamas.com.es"/>
        <s v="384@comsa.com"/>
        <s v="385@upc.edu"/>
        <s v="386@xtec.cat"/>
        <s v="387@gmail.com"/>
        <s v="388@gmail.com"/>
        <s v="389@yahoo.es"/>
        <s v="390@hotmail.com"/>
        <s v="391@gmail.com"/>
        <s v="392@gmail.com"/>
        <s v="393@gmail.com"/>
        <s v="394@yahoo.es"/>
        <s v="395@ajinstal.cat"/>
        <s v="396@gmail.com"/>
        <s v="397@orange.es"/>
        <s v="398@ciudaddelosmuchachos.com"/>
        <s v="399@gmail.com"/>
        <s v="400@arquired.es"/>
        <s v="401@hotmail.es"/>
        <s v="402@gmail.com"/>
        <s v="403@hotmail.com"/>
        <s v="404@hotmail.com"/>
        <s v="405@yahoo.es"/>
        <s v="406@gmail.com"/>
        <s v="407@romher.es"/>
        <s v="408@ic3sl.com"/>
        <s v="409@gruposinelec.com"/>
        <s v="410@gmail.com"/>
        <s v="411@proyectosdelhogar.com"/>
        <s v="412@seelectroled.com"/>
        <s v="413@emancha.com"/>
        <s v="414@gruptba.com"/>
        <s v="415@gmail.com"/>
        <s v="416@dominguezelectricidad.es"/>
        <s v="417@gmail.com"/>
        <s v="418@proyectosict.net"/>
        <s v="419@miscelec.com"/>
        <s v="420@covama.es"/>
        <s v="421@maelse.com"/>
        <s v="422@amena.com"/>
        <s v="423@me.com"/>
        <s v="424@ulmahandling.com"/>
        <s v="425@telefonica.net"/>
        <s v="426@gmail.com"/>
        <s v="427@gmail.com"/>
        <s v="428@hotmail.com"/>
        <s v="429@yahoo.es"/>
        <s v="430@urgon.es"/>
        <s v="431@hotmail.com"/>
        <s v="432@acacea.es"/>
        <s v="433@gmail.com"/>
        <s v="434@gmail.com"/>
        <s v="435@solucionesms.es"/>
        <s v="436@electrosoler.com"/>
        <s v="437@alrolasistemas.es"/>
        <s v="438@epla.es"/>
        <s v="439@edu.xunta.es"/>
        <s v="440@fedirbra.com"/>
        <s v="441@arquiem.es"/>
        <s v="442@hotmail.com"/>
        <s v="443@ingenia.es"/>
        <s v="444@dymiel.es"/>
        <s v="445@sueprat.es"/>
        <s v="446@atega.net"/>
        <s v="447@iescotesbaixes.org"/>
        <s v="448@gmail.com"/>
        <s v="449@urgon.es"/>
        <s v="450@gmail.com"/>
        <s v="451@ingelux.com"/>
        <s v="452@urgon.es"/>
        <s v="453@edelafuente.com"/>
        <s v="454@gmail.com"/>
        <s v="455@gmail.com"/>
        <s v="456@electricidadvilela.com"/>
        <s v="457@outlook.com"/>
        <s v="458@imel.es"/>
        <s v="459@sesetec.com"/>
        <s v="460@gmail.com"/>
        <s v="461@msn.com"/>
        <s v="462@gmail.com"/>
        <s v="463@gmail.com"/>
        <s v="464@hotmail.es"/>
        <s v="465@hotmail.com"/>
        <s v="466@gmail.com"/>
        <s v="467@gmail.com"/>
        <s v="468@yahoo.es"/>
        <s v="469@somorrostro.com"/>
        <s v="470@gmail.com"/>
        <s v="471@abengoa.com"/>
        <s v="472@ebcn.cat"/>
        <s v="473@inexo.es"/>
        <s v="474@tectram.com"/>
        <s v="475@hotmail.es"/>
        <s v="476@hotmail.com"/>
        <s v="477@gmail.com"/>
        <s v="478@gmail.com"/>
        <s v="479@gmail.com"/>
        <s v="480@gmail.com"/>
        <s v="481@gmail.com"/>
        <s v="482@pentamatik.com"/>
        <s v="483@arval.es"/>
        <s v="484@macegroup.com"/>
        <s v="485@hotmail.com"/>
        <s v="486@gmail.com"/>
        <s v="487@gmail.com"/>
        <s v="488@gmail.com"/>
        <s v="489@carbonellfigueras.com"/>
        <s v="490@idom.com"/>
        <s v="491@gmail.com"/>
        <s v="492@hotmail.com"/>
        <s v="493@gmail.com"/>
        <s v="494@protelec.es"/>
        <s v="495@boslan.com"/>
        <s v="496@gmail.com"/>
        <s v="497@6d-ingenieros.com"/>
        <s v="498@gmail.com"/>
        <s v="499@netcabo.pt"/>
        <s v="500@gmail.com"/>
        <s v="501@gmail.com"/>
        <s v="502@hotmail.com"/>
        <s v="503@ofp.cat"/>
        <s v="504@avilayhevia.com"/>
        <s v="505@mavipas.com"/>
        <s v="506@pina-ingenieria.com"/>
        <s v="507@eco-voltaica.com"/>
        <s v="508@gmail.com"/>
        <s v="509@hotmail.com"/>
        <s v="510@gmail.com"/>
        <s v="511@yahoo.es"/>
        <s v="512@hotmail.com"/>
        <s v="513@osmos.es"/>
        <s v="514@hotmail.com"/>
        <s v="515@torrepacheco.es"/>
        <s v="516@hotmail.es"/>
        <s v="517@palmersebastian.com"/>
        <s v="518@gmail.com"/>
        <s v="519@outlook.com"/>
        <s v="520@ecf-electricidad.com"/>
        <s v="521@gmail.com"/>
        <s v="522@siemens.com"/>
        <s v="523@gmail.com"/>
        <s v="524@gmail.com"/>
        <s v="525@comsa.com"/>
        <s v="526@gmail.com"/>
        <s v="527@yahoo.com.mx"/>
        <s v="528@gmail.com"/>
        <s v="529@gmail.com"/>
        <s v="530@trilegend.com"/>
        <s v="531@csisuministros.com"/>
        <s v="532@gmail.com"/>
        <s v="533@emconsulting.es"/>
        <s v="534@gmail.com"/>
        <s v="535@bgp.es"/>
        <s v="536@adymus.es"/>
        <s v="537@sonneingenieria.com"/>
        <s v="538@herquesa.com"/>
        <s v="539@cablenergia.com"/>
        <s v="540@hotmail.com"/>
        <s v="541@gmail.com"/>
        <s v="542@yahoo.es"/>
        <s v="543@andreumanteniment.com"/>
        <s v="544@telnor.es"/>
        <s v="545@serviciosenergeticoslp.es"/>
        <s v="546@gmail.com"/>
        <s v="547@grupocuerva.com"/>
        <s v="548@hotmail.com"/>
        <s v="549@gmail.com"/>
        <s v="550@activate2.com"/>
        <s v="551@mdvproyectos.es"/>
        <s v="552@engie.com"/>
        <s v="553@aenor.com"/>
        <s v="554@gngrup.com"/>
        <s v="555@yahoo.es"/>
        <s v="556@gmail.com"/>
        <s v="557@dip-badajoz.es"/>
        <s v="558@gmail.com"/>
        <s v="559@sygsa.com"/>
        <s v="560@gmail.com"/>
        <s v="561@aialmeingenieros.com"/>
        <s v="562@gmail.com"/>
        <s v="563@salesianospamplona.net"/>
        <s v="564@gmail.com"/>
        <s v="565@gmail.com"/>
        <s v="566@gmail.com"/>
        <s v="567@sonovatec.com"/>
        <s v="568@hotmail.com"/>
        <s v="569@hotmail.com"/>
        <s v="570@hotmail.com"/>
        <s v="571@outlook.com"/>
        <s v="572@gmail.com"/>
        <s v="573@gmail.com"/>
        <s v="574@tecuni.com"/>
        <s v="575@hotmail.com"/>
        <s v="576@gmail.com"/>
        <s v="577@electroalbors.com"/>
        <s v="578@gmail.com"/>
        <s v="579@gmail.com"/>
        <s v="580@gmail.com"/>
        <s v="581@gmail.com"/>
        <s v="582@gmail.com"/>
        <s v="583@iesmontsia.org"/>
        <s v="584@petronet24.net"/>
        <s v="585@hotmail.com"/>
        <s v="586@hotmail.com"/>
        <s v="587@gescogestio.com"/>
        <s v="588@gmail.com"/>
        <s v="589@freelight.es"/>
        <s v="590@hotmail.com"/>
        <s v="591@alterenergy.com.ar"/>
        <s v="592@garciacomas.com"/>
        <s v="593@sorigue.com"/>
        <s v="594@hotmail.com"/>
        <s v="595@centroasturianobarcelona.com"/>
        <s v="596@gmail.com"/>
        <s v="597@svingenieria.com.co"/>
        <s v="599@gmail.com"/>
        <s v="600@saltoki.es"/>
        <s v="601@gmail.com"/>
        <s v="602@gmail.com"/>
        <s v="603@tenmega.pt"/>
        <s v="604@goliathspain.es"/>
        <s v="605@hotmail.com"/>
        <s v="606@gmail.com"/>
        <s v="607@eficiona.com"/>
        <s v="608@sgingenieros.es"/>
        <s v="609@ritelecenergia.es"/>
        <s v="610@electricharger.com"/>
        <s v="611@santacruzdetenerife.es"/>
        <s v="612@gmail.com"/>
        <s v="613@proingo.es"/>
        <s v="614@valledeleste.es"/>
        <s v="615@iealcazar.com"/>
        <s v="616@a6ingenieria.es"/>
        <s v="617@energia.eiffage.es"/>
        <s v="618@ibil.es"/>
        <s v="619@movistar.es"/>
        <s v="620@loop-cn.com"/>
        <s v="621@gmail.com"/>
        <s v="622@icingenieros.es"/>
        <s v="623@gmail.com"/>
        <s v="624@inserty.net"/>
        <s v="625@hotmail.com"/>
        <s v="626@yahoo.es"/>
        <s v="627@gmail.com"/>
        <s v="628@inquo.es"/>
        <s v="629@gmail.com"/>
        <s v="630@melia.com"/>
        <s v="631@engie.com"/>
        <s v="632@gmail.com"/>
        <s v="633@outlook.com"/>
        <s v="634@easycharger.es"/>
        <s v="635@coneq.es"/>
        <s v="636@csisuministros.com"/>
        <s v="638@me.com"/>
        <s v="639@rolearmais.pt"/>
        <s v="641@bodai.es"/>
        <s v="642@ecoviv.eu"/>
        <s v="643@gmail.com"/>
        <s v="644@ebconsultores.com"/>
        <s v="645@confiplano.com"/>
        <s v="646@gmail.com"/>
        <s v="647@apis-ing.es"/>
        <s v="648@bcnovatecnics.com"/>
        <s v="649@yahoo.es"/>
        <s v="650@hotmail.com"/>
        <s v="651@coitim.es"/>
        <s v="652@miesasa.com"/>
        <s v="653@hotmail.com"/>
        <s v="654@staperpetua.cat"/>
        <s v="655@seproi.com"/>
        <s v="656@gmail.com"/>
        <s v="657@enaire.es"/>
        <s v="658@gmail.com"/>
        <s v="659@gleeds.es"/>
        <s v="660@unex.net"/>
        <s v="661@horus.es"/>
        <s v="662@3cid.es"/>
        <s v="663@hotmail.com"/>
        <s v="664@hotmail.es"/>
        <s v="665@gmail.com"/>
        <s v="666@ighmallorca.com"/>
        <s v="667@ces2010.es"/>
        <s v="668@dipucordoba.es"/>
        <s v="669@hotmail.com"/>
        <s v="670@nogawatio.es"/>
        <s v="671@csisuministros.com"/>
        <s v="672@gmail.com"/>
        <s v="673@gmail.com"/>
        <s v="674@coitt.es"/>
        <s v="675@aclingenieria.com"/>
        <s v="676@promec.es"/>
        <s v="677@gmail.com"/>
        <s v="678@nh-hotels.com"/>
        <s v="679@hotmail.com"/>
        <s v="680@chargeguru.com"/>
        <s v="681@electricidadbalaguer.es"/>
        <s v="682@gmail.com"/>
        <s v="683@hagergroup.com"/>
        <s v="684@gmail.com"/>
        <s v="685@climava.com"/>
        <s v="686@electro-h.es"/>
        <s v="687@outlook.es"/>
        <s v="688@legrandgroup.es"/>
        <s v="689@arbonapiza.com"/>
        <s v="690@dllgroup.com"/>
        <s v="691@cbre.com"/>
        <s v="692@gmail.com"/>
        <s v="693@yahoo.com.mx"/>
        <s v="694@gmail.com"/>
        <s v="695@gmail.com"/>
        <s v="696@rlinstalacioneselectricas.com"/>
        <s v="697@ingedomsl.com"/>
        <s v="698@gmail.com"/>
        <s v="699@unisystems.es"/>
        <s v="700@gmail.com"/>
        <s v="701@gmail.com"/>
        <s v="702@hotmail.com"/>
        <s v="703@gmail.com"/>
        <s v="704@gmail.com"/>
        <s v="705@gmail.com"/>
        <s v="706@juntaex.es"/>
        <s v="707@ufd.es"/>
        <s v="708@zaker.com"/>
        <s v="709@gmail.com"/>
        <s v="710@hotmail.com"/>
        <s v="711@hotmail.com"/>
        <s v="712@gjautomotive.com"/>
        <s v="713@gmail.com"/>
        <s v="714@hotmail.com"/>
        <s v="715@gmail.com"/>
        <s v="716@gmail.com"/>
        <s v="717@rtve.es"/>
        <s v="718@poweringcar.com"/>
        <s v="719@gmail.com"/>
        <s v="720@pgiengineering.com"/>
        <s v="721@gmail.com"/>
        <s v="722@gmail.com"/>
        <s v="723@gmail.com"/>
        <s v="724@gmail.com"/>
        <s v="725@gmail.com"/>
        <s v="726@gmail.com"/>
        <s v="727@membrives.es"/>
        <s v="728@calambre.net"/>
        <s v="729@gmail.com"/>
        <s v="730@hotmail.com"/>
        <s v="731@bonoboenergy.com"/>
        <s v="732@vcejudo.es"/>
        <s v="733@gmail.com"/>
        <s v="734@gmail.com"/>
        <s v="735@serveiskronier55.com"/>
        <s v="736@yahoo.com"/>
        <s v="737@lagingenieros.es"/>
        <s v="738@caatvalencia.es"/>
        <s v="739@isf-esp.com"/>
        <s v="740@cee.com.es"/>
        <s v="741@dieselsanchez.com"/>
        <s v="742@acoeman.com"/>
        <s v="743@bahiguell.com"/>
        <s v="744@gmail.com"/>
        <s v="745@geinstal.com"/>
        <s v="746@msn.com"/>
        <s v="747@tecnicas.es"/>
        <s v="748@gmail.com"/>
        <s v="749@gmail.com"/>
        <s v="750@germaniaweb.com"/>
        <s v="751@ecium.es"/>
        <s v="752@hotmail.com"/>
        <s v="753@arquinur.es"/>
        <s v="754@gmail.com"/>
        <s v="755@coitt.es"/>
        <s v="756@gsima.es"/>
        <s v="757@integra-sti.com"/>
        <s v="758@ingenieros.com"/>
        <s v="759@hotmail.com"/>
        <s v="760@hotmail.com"/>
        <s v="761@insfuert.es"/>
        <s v="762@hotmail.com"/>
        <s v="763@gmail.com"/>
        <s v="764@nova-electrica.com"/>
        <s v="765@gmail.com"/>
        <s v="766@hotmail.com"/>
        <s v="767@rexel.es"/>
        <s v="768@gmail.com"/>
        <s v="769@gmail.com"/>
        <s v="770@inmotiza.com"/>
        <s v="771@solutions30.com"/>
        <s v="772@faen.es"/>
        <s v="773@perequart.com"/>
        <s v="774@urgon.es"/>
        <s v="775@yahoo.es"/>
        <s v="776@entepi.com"/>
        <s v="777@onofflife.es"/>
        <s v="778@gmail.com"/>
        <s v="779@gmail.com"/>
        <s v="780@hotmail.com"/>
        <s v="781@gmail.com"/>
        <s v="782@gmail.com"/>
        <s v="783@diexfe.com"/>
        <s v="784@live.com"/>
        <s v="785@gabrielcorchero.org"/>
        <s v="786@grupoelectrostocks.com"/>
        <s v="787@electricidadoriagomez.com"/>
        <s v="788@casvicuatro.es"/>
        <s v="789@simsabdn.cat"/>
        <s v="790@yahoo.com.ar"/>
        <s v="791@hotmail.com"/>
        <s v="792@gva.es"/>
        <s v="793@gmail.com"/>
        <s v="794@somoselectricistas.com"/>
        <s v="795@lomosamovilidad.com"/>
        <s v="796@gmail.com"/>
        <s v="797@gmail.com"/>
        <s v="798@gmail.com"/>
        <s v="799@yahoo.es"/>
        <s v="800@taubertek.com"/>
        <s v="801@hotmail.es"/>
        <s v="802@hotmail.com"/>
        <s v="803@outlook.com"/>
        <s v="804@monrabal.net"/>
        <s v="805@gmail.com"/>
        <s v="806@gmail.com"/>
        <s v="807@gmail.com"/>
        <s v="808@ale.es"/>
        <s v="809@naturgy.com"/>
        <s v="810@arquired.es"/>
        <s v="811@proinsermant.com"/>
        <s v="812@invgrupo.com"/>
        <s v="813@kilovatiogalicia.com"/>
        <s v="814@interingenieria.com"/>
        <s v="815@uach.mx"/>
        <s v="816@energia.eiffage.es"/>
        <s v="817@gmail.com"/>
        <s v="818@galektra.es"/>
        <s v="819@hotmail.com"/>
        <s v="820@ebcn.cat"/>
        <s v="821@gmail.com"/>
        <s v="822@yahoo.fr"/>
        <s v="823@gmail.com"/>
        <s v="824@gmail.com"/>
        <s v="825@hotmail.com"/>
        <s v="826@gmail.com"/>
        <s v="827@coitiar.es"/>
        <s v="828@zf.com"/>
        <s v="829@gmail.com"/>
        <s v="830@gmail.com"/>
        <s v="831@gmail.com"/>
        <s v="832@suministradora.com"/>
        <s v="833@ofitecbp.com"/>
        <s v="834@gmail.com"/>
        <s v="835@gmail.com"/>
        <s v="837@gmail.com"/>
        <s v="838@sdin.es"/>
        <s v="839@fluidsa.com"/>
        <s v="840@gmail.com"/>
        <s v="841@gmail.com"/>
        <s v="842@fibramur.com"/>
        <s v="843@instalacionescueto.com"/>
        <s v="844@certis.cat"/>
        <s v="845@hotmail.com"/>
        <s v="846@hotmail.com"/>
        <s v="847@lodeal.es"/>
        <s v="848@sesaelec.com"/>
        <s v="849@gmail.com"/>
        <s v="850@gmail.com"/>
        <s v="851@arquitecto.com"/>
        <s v="852@grupviu.com"/>
        <s v="853@gmail.com"/>
        <s v="854@msn.com"/>
        <s v="855@msn.com"/>
        <s v="856@gmail.com"/>
        <s v="857@gmail.com"/>
        <s v="858@gmail.com"/>
        <s v="859@hotmail.com"/>
        <s v="860@gmail.com"/>
        <s v="861@outlook.com"/>
        <s v="862@fpcm.es"/>
        <s v="863@outlook.com"/>
        <s v="864@es.uazuay.edu.ec"/>
        <s v="865@asmoaingenieria.com"/>
        <s v="866@typsa.es"/>
        <s v="867@proyectosjamaras.es"/>
        <s v="868@gmail.com"/>
        <s v="869@yahoo.es"/>
        <s v="870@gmail.com"/>
        <s v="871@cefiner.com"/>
        <s v="872@gmail.com"/>
        <s v="873@eutikes.com"/>
        <s v="874@coac.net"/>
        <s v="875@orange.es"/>
        <s v="876@arquitectonica.cat"/>
        <s v="877@gmail.com"/>
        <s v="878@masteringenieria.com"/>
        <s v="879@sicoris.com"/>
        <s v="880@miquelnieto.com"/>
        <s v="881@hotmail.com"/>
        <s v="882@domotelelectric.com"/>
        <s v="883@hotmail.com"/>
        <s v="884@enersos.es"/>
        <s v="885@gmail.com"/>
        <s v="886@gmail.com"/>
        <s v="887@gmail.com"/>
        <s v="888@zivautomation.com"/>
        <s v="889@hotmail.com"/>
        <s v="890@hotmail.com"/>
        <s v="891@gmail.com"/>
        <s v="892@hotmail.com"/>
        <s v="893@krean.com"/>
        <s v="894@gmail.com"/>
        <s v="895@volumetric.eu"/>
        <s v="896@gmail.com"/>
        <s v="897@rtve.es"/>
        <s v="898@gmail.com"/>
        <s v="899@gmail.com"/>
        <s v="900@hirurok.eu"/>
        <s v="901@gmail.com"/>
        <s v="902@gmail.com"/>
        <s v="903@edirocsa.com"/>
        <s v="904@inboundcycle.com"/>
        <s v="905@yahoo.es"/>
        <s v="906@europrojectes.es"/>
        <s v="907@gmail.com"/>
        <s v="908@hotmail.com"/>
        <s v="909@gmail.com"/>
        <s v="910@sogesa.es"/>
        <s v="911@lusorede.pt"/>
        <s v="912@gmail.com"/>
        <s v="913@quorania.com"/>
        <s v="914@gmail.com"/>
        <s v="915@gmail.com"/>
        <s v="916@gcaarq.com"/>
        <s v="917@gmail.com"/>
        <s v="918@gmail.com"/>
        <s v="919@hotmail.com"/>
        <s v="920@meval.eu"/>
        <s v="921@gmail.com"/>
        <s v="922@ingenierosvigo.com"/>
        <s v="923@gmail.com"/>
        <s v="924@msn.com"/>
        <s v="925@eco-voltaica.com"/>
        <s v="926@electricidadyserviciosmontero.com"/>
        <s v="927@argionelectric.es"/>
        <s v="928@gmail.com"/>
        <s v="929@acciona.com"/>
        <s v="930@acciona.com"/>
        <s v="931@acciona.com"/>
        <s v="932@bellmasenginyers.cat"/>
        <s v="933@orsei.es"/>
        <s v="934@outlook.com"/>
        <s v="935@gmail.com"/>
        <s v="936@gmail.com"/>
        <s v="937@gmail.com"/>
        <s v="938@montegar.es"/>
        <s v="939@gmail.com"/>
        <s v="940@masojuando.com"/>
        <s v="941@gmail.com"/>
        <s v="942@r11arquitectos.com"/>
        <s v="943@gabyl.com"/>
        <s v="944@gmail.com"/>
        <s v="945@red.renault.es"/>
        <s v="946@gmail.com"/>
        <s v="947@clysema.com"/>
        <s v="948@gmail.com"/>
        <s v="949@cadielsa.com"/>
        <s v="950@grupocobra.com"/>
        <s v="951@tenerasa.es"/>
        <s v="953@mosancar.com"/>
        <s v="954@aiguesmanresa.cat"/>
        <s v="955@conras.es"/>
        <s v="956@mebaluz.es"/>
        <s v="957@germaniaweb.com"/>
        <s v="958@hotmail.es"/>
        <s v="959@mlopezarquitectos.com"/>
        <s v="960@aqelectric.es"/>
        <s v="961@gmail.com"/>
        <s v="962@electropla.cat"/>
        <s v="963@gmail.com"/>
        <s v="964@hotmail.com"/>
        <s v="965@gmail.com"/>
        <s v="966@miguelmoralesingenieros.com"/>
        <s v="967@lacsl.es"/>
        <s v="968@gmail.com"/>
        <s v="969@comercialsis.com"/>
        <s v="970@acelecsal.com"/>
        <s v="971@imagogestion.com"/>
        <s v="972@acelecsal.com"/>
        <s v="973@live.com"/>
        <s v="974@yahoo.es"/>
        <s v="975@yahoo.com"/>
        <s v="977@tarragona.cat"/>
        <s v="978@gmail.com"/>
        <s v="979@gmail.com"/>
        <s v="980@coiiar.org"/>
        <s v="981@gmail.com"/>
        <s v="982@gmail.com"/>
        <s v="983@elektracat.com"/>
        <s v="984@gmail.com"/>
        <s v="985@jesnar2011.es"/>
        <s v="986@hotmail.com"/>
        <s v="987@ginsa.cat"/>
        <s v="988@electromercantil.es"/>
        <s v="989@electricasllop.com"/>
        <s v="990@gmail.com"/>
        <s v="991@yahoo.es"/>
        <s v="992@yahoo.es"/>
        <s v="993@electricidadguerra.com"/>
        <s v="994@gruponovelec.com"/>
        <s v="995@telefonica.net"/>
        <s v="996@comb.cat"/>
        <s v="997@yahoo.es"/>
        <s v="998@damuvi.com"/>
        <s v="999@aeperez.es"/>
        <s v="1000@hotmail.com"/>
        <s v="1001@hotmail.com"/>
        <s v="1002@hotmail.com"/>
        <s v="1003@gmail.com"/>
        <s v="1004@telefonica.net"/>
        <s v="1005@allendearquitectos.com"/>
        <s v="1006@gmail.com"/>
        <s v="1007@yahoo.es"/>
        <s v="1008@olleo.es"/>
        <s v="1009@ccatlantico.com"/>
        <s v="1011@gmail.com"/>
        <s v="1012@formasymateriales.com"/>
        <s v="1013@hotmail.com"/>
        <s v="1014@gmail.com"/>
        <s v="1015@aziraelectricidad.com"/>
        <s v="1016@coitt.es"/>
        <s v="1017@tesnetwork.net"/>
        <s v="1018@esmassmart.com"/>
        <s v="1019@ingeralbaida.es"/>
        <s v="1020@deinrresa.es"/>
        <s v="1021@proturhotels.com"/>
        <s v="1022@uhu.es"/>
        <s v="1023@hotmail.com"/>
        <s v="1024@elecnor.com"/>
        <s v="1025@gmail.com"/>
        <s v="1026@aia.cat"/>
        <s v="1027@leanteam.es"/>
        <s v="1028@ingenierosvalladolid.es"/>
        <s v="1029@gmail.com"/>
        <s v="1030@inmaser-integral.es"/>
        <s v="1031@grupoitesa.com"/>
        <s v="1032@zioenginy.com"/>
        <s v="1033@gmail.com"/>
        <s v="1034@gmail.com"/>
        <s v="1035@gmail.com"/>
        <s v="1036@grupoelectrostocks.com"/>
        <s v="1037@gmail.com"/>
        <s v="1038@gmail.com"/>
        <s v="1039@yahoo.es"/>
        <s v="1040@gmail.com"/>
        <s v="1041@jordimoran.es"/>
        <s v="1042@alvae.es"/>
        <s v="1043@gmail.com"/>
        <s v="1044@hotmail.com"/>
        <s v="1045@coac.net"/>
        <s v="1046@gmail.com"/>
        <s v="1047@coag.es"/>
        <s v="1048@usc.es"/>
        <s v="1049@gmail.com"/>
        <s v="1050@hotmail.es"/>
        <s v="1051@gmail.com"/>
        <s v="1052@yahoo.es"/>
        <s v="1053@gmail.com"/>
        <s v="1054@isd-ingenieria.es"/>
        <s v="1055@gmail.com"/>
        <s v="1056@gmail.com"/>
        <s v="1057@gmsil.com"/>
        <s v="1058@gmail.com"/>
        <s v="1059@yahoo.es"/>
        <s v="1060@hotmail.com"/>
        <s v="1061@perezescribano.es"/>
        <s v="1062@hotmail.com"/>
        <s v="1063@gmail.com"/>
        <s v="1064@abxat.com"/>
        <s v="1065@movistar.es"/>
        <s v="1066@gmail.com"/>
        <s v="1067@gmail.com"/>
        <s v="1068@dominion.es"/>
        <s v="1069@agoitziru.es"/>
        <s v="1070@vamostelecom.es"/>
        <s v="1071@industrialgines.com"/>
        <s v="1072@gmail.com"/>
        <s v="1073@grupolasser.com"/>
        <s v="1074@hotmail.com"/>
        <s v="1075@gmail.com"/>
        <s v="1076@gmail.com"/>
        <s v="1077@hotmail.com"/>
        <s v="1078@gmail.com"/>
        <s v="1079@outlook.es"/>
        <s v="1080@levitec.es"/>
        <s v="1081@teideingenieros.com"/>
        <s v="1082@gmail.com"/>
        <s v="1083@hotmail.com"/>
        <s v="1084@gmail.com"/>
        <s v="1085@gmail.com"/>
        <s v="1086@gmail.com"/>
        <s v="1087@hotmail.com"/>
        <s v="1088@citemaing.com"/>
        <s v="1089@gmail.com"/>
        <s v="1090@hotmail.com"/>
        <s v="1092@cipfpcanastell.com"/>
        <s v="1093@edu.xunta.es"/>
        <s v="1094@hotmail.com"/>
        <s v="1095@gmail.com"/>
        <s v="1096@mpf-ingenieria.es"/>
        <s v="1097@santaeulalia.cat"/>
        <s v="1099@hotmail.com"/>
        <s v="1100@boffor.com"/>
        <s v="1101@hotmail.com"/>
        <s v="1102@gmail.com"/>
        <s v="1103@montajeselectricosfase.com"/>
        <s v="1104@gmail.com"/>
        <s v="1105@gmail.com"/>
        <s v="1106@gruponoria.com"/>
        <s v="1107@ryaingenieros.com"/>
        <s v="1108@enginyerstarragona.cat"/>
        <s v="1109@gmail.com"/>
        <s v="1110@gmail.com"/>
        <s v="1111@hotmail.com"/>
        <s v="1112@covama.es"/>
        <s v="1113@aurialux.com"/>
        <s v="1114@teclisa.com"/>
        <s v="1115@muntanerelectro.com"/>
        <s v="1116@suelba.com"/>
        <s v="1117@hotmail.com"/>
        <s v="1118@coitiar.es"/>
        <s v="1119@gmail.com"/>
        <s v="1120@sonepar.es"/>
        <s v="1121@gmail.com"/>
        <s v="1122@hotmail.es"/>
        <s v="1123@gmail.com"/>
        <s v="1124@energonrenovables.es"/>
        <s v="1125@rocaingenieros.com"/>
        <s v="1126@viveme.es"/>
        <s v="1127@telefonica.net"/>
        <s v="1128@fgingenieria.com"/>
        <s v="1129@eselfri.com"/>
        <s v="1130@kairsa.com"/>
        <s v="1131@gmail.com"/>
        <s v="1132@yahoo.es"/>
        <s v="1133@hotmail.com"/>
        <s v="1134@integratoledo.com"/>
        <s v="1135@gmail.com"/>
        <s v="1136@metalux.es"/>
        <s v="1137@eiasein.es"/>
        <s v="1138@arquired.es"/>
        <s v="1139@gmail.com"/>
        <s v="1140@fer.es"/>
        <s v="1141@coitim.es"/>
        <s v="1142@asmesl.es"/>
        <s v="1143@gmail.com"/>
        <s v="1144@idponline.net"/>
        <s v="1145@miretelectricidad.com"/>
        <s v="1146@hotmail.com"/>
        <s v="1147@magalux.es"/>
        <s v="1148@dipusevilla.es"/>
        <s v="1149@fillsdelluissureda.cat"/>
        <s v="1150@gmail.com"/>
        <s v="1151@telefonica.net"/>
        <s v="1152@lahidro.net"/>
        <s v="1153@hotmail.com"/>
        <s v="1154@gmail.com"/>
        <s v="1155@mapelsl.com"/>
        <s v="1156@berrilanbim.com"/>
        <s v="1157@himalayaclimatizacionycontrol.es"/>
        <s v="1158@hotmail.com"/>
        <s v="1159@birtes.com.tr"/>
        <s v="1160@copcisa.com"/>
        <s v="1161@sygsa.com"/>
        <s v="1162@gmail.com"/>
        <s v="1163@instalmasa.com"/>
        <s v="1164@projecat.com"/>
        <s v="1165@gmail.com"/>
        <s v="1166@hotmail.com"/>
        <s v="1167@tselsur.es"/>
        <s v="1168@renaultpineda.com"/>
        <s v="1169@gmail.com"/>
        <s v="1170@lahidro.net"/>
        <s v="1171@albaida.es"/>
        <s v="1172@sunkatel.com"/>
        <s v="1173@vifrisan.com"/>
        <s v="1174@alem.es"/>
        <s v="1175@gmail.com"/>
        <s v="1176@gmail.com"/>
        <s v="1177@imte.cat"/>
        <s v="1178@hotmail.com"/>
        <s v="1179@hotmail.com"/>
        <s v="1180@sonepar.es"/>
        <s v="1181@mapfre.com"/>
        <s v="1182@damm.es"/>
        <s v="1183@ddisl.com"/>
        <s v="1184@tecmotica.net"/>
        <s v="1185@lmretavi.es"/>
        <s v="1186@gmail.com"/>
        <s v="1187@gmail.com"/>
        <s v="1188@gmail.com"/>
        <s v="1189@gmail.com"/>
        <s v="1190@telecable.es"/>
        <s v="1191@tinet.fut.es"/>
        <s v="1192@toyota-canarias.es"/>
        <s v="1193@grupoelectrostocks.com"/>
        <s v="1194@hotmail.com"/>
        <s v="1195@gmail.com"/>
        <s v="1196@hotmail.com"/>
        <s v="1197@electricidadcelec.com"/>
        <s v="1198@hotmail.com"/>
        <s v="1199@qwerty.es"/>
        <s v="1200@gg.com"/>
        <s v="1201@yahoo.es"/>
        <s v="1202@gmail.com"/>
        <s v="1203@smarthaus.studio"/>
        <s v="1204@me.com"/>
        <s v="1205@telefonica.net"/>
        <s v="1206@gmail.com"/>
        <s v="1207@gmail.com"/>
        <s v="1208@gmail.com"/>
        <s v="1209@hotmail.es"/>
        <s v="1210@pepepower.es"/>
        <s v="1211@outlook.es"/>
        <s v="1212@hotmail.com"/>
        <s v="1213@hotmail.com"/>
        <s v="1214@gmail.com"/>
        <s v="1215@subis.cat"/>
        <s v="1216@gmail.com"/>
        <s v="1217@gmail.com"/>
        <s v="1218@gmail.com"/>
        <s v="1219@actluz.com"/>
        <s v="1220@sanitariosbosco.es"/>
        <s v="1221@gencat.cat"/>
        <s v="1222@hotmail.com"/>
        <s v="1223@proyecta79.com"/>
        <s v="1224@ipertec.es"/>
        <s v="1225@yahoo.es"/>
        <s v="1226@agiceringenieros.es"/>
        <s v="1227@telefonica.net"/>
        <s v="1228@entax.es"/>
        <s v="1229@yahoo.es"/>
        <s v="1230@gmail.com"/>
        <s v="1231@gmail.com"/>
        <s v="1232@planocaceres.com"/>
        <s v="1233@hotmail.com"/>
        <s v="1234@gmail.com"/>
        <s v="1235@gmail.com"/>
        <s v="1236@hotmail.com"/>
        <s v="1237@gmail.com"/>
        <s v="1238@gmail.com"/>
        <s v="1239@telefonica.net"/>
        <s v="1240@hotmail.com"/>
        <s v="1241@gmail.com"/>
        <s v="1242@hotmail.com"/>
        <s v="1243@educa.jcyl.es"/>
        <s v="1244@gmail.com"/>
        <s v="1245@hotmail.com"/>
        <s v="1246@ecoltan.org"/>
        <s v="1247@gmail.com"/>
        <s v="1248@gmail.com"/>
        <s v="1249@gmail.com"/>
        <s v="1250@telefonica.net"/>
        <s v="1251@gomurmya.com"/>
        <s v="1252@desarrollotecnico.com"/>
        <s v="1253@gmail.com"/>
        <s v="1254@gmail.com"/>
        <s v="1255@hotmail.com"/>
        <s v="1256@gmail.com"/>
        <s v="1257@carsbarcelona.es"/>
        <s v="1258@gmail.com"/>
        <s v="1259@radresa.com"/>
        <s v="1260@gdr.es"/>
        <s v="1261@e-copitile.es"/>
        <s v="1262@hotmail.com"/>
        <s v="1263@hotmail.com"/>
        <s v="1264@gmail.com"/>
        <s v="1265@hotmail.com"/>
        <s v="1266@gmail.com"/>
        <s v="1267@motor2000.net"/>
        <s v="1268@gamai.com"/>
        <s v="1269@kuartafase.com"/>
        <s v="1270@solcansl.com"/>
        <s v="1271@yahoo.es"/>
        <s v="1272@gmail.com"/>
        <s v="1273@telefonica.net"/>
        <s v="1274@gmail.com"/>
        <s v="1275@sonepar.es"/>
        <s v="1276@protomar.es"/>
        <s v="1277@sonepar.es"/>
        <s v="1278@gmail.com"/>
        <s v="1279@fccco.com"/>
        <s v="1280@coitiar.es"/>
        <s v="1281@albillos.com"/>
        <s v="1282@hotmail.com"/>
        <s v="1283@gmail.com"/>
        <s v="1284@gmail.com"/>
        <s v="1285@e3ingenieria.com"/>
        <s v="1286@instalacionespiru.es"/>
        <s v="1287@aytosalamanca.es"/>
        <s v="1288@serpel.es"/>
        <s v="1289@gmail.com"/>
        <s v="1290@tesma.es"/>
        <s v="1291@macegroup.com"/>
        <s v="1292@gmail.com"/>
        <s v="1293@gmail.com"/>
        <s v="1294@gmail.com"/>
        <s v="1295@hotmail.es"/>
        <s v="1296@gmail.com"/>
        <s v="1297@silmarinstalacions.com"/>
        <s v="1298@gmail.com"/>
        <s v="1299@sonepar.es"/>
        <s v="1300@movistar.es"/>
        <s v="1301@electricidadaldama.com"/>
        <s v="1302@alem.es"/>
        <s v="1303@hotmail.com"/>
        <s v="1304@ingenibo.com"/>
        <s v="1305@checa67.es"/>
        <s v="1306@instalacionesyobrasdelrio.com"/>
        <s v="1307@gmail.com"/>
        <s v="1308@tdgi.pt"/>
        <s v="1309@gmail.com"/>
        <s v="1310@hotmail.com"/>
        <s v="1311@gmail.com"/>
        <s v="1312@gmail.com"/>
        <s v="1313@adober.es"/>
        <s v="1314@jtelectricperu.com"/>
        <s v="1315@riello-tdl.com"/>
        <s v="1316@proyndust.es"/>
        <s v="1317@gmail.com"/>
        <s v="1318@inteleclamancha.com"/>
        <s v="1319@masfarne.info"/>
        <s v="1320@gmail.com"/>
        <s v="1321@gmail.com"/>
        <s v="1322@gmail.com"/>
        <s v="1323@gmail.com"/>
        <s v="1324@hotmail.com"/>
        <s v="1325@gmail.com"/>
        <s v="1326@saltoki.es"/>
        <s v="1327@tinet.org"/>
        <s v="1328@gmail.com"/>
        <s v="1329@gmail.com"/>
        <s v="1330@comb.cat"/>
        <s v="1331@gmail.com"/>
        <s v="1332@novarquia.es"/>
        <s v="1333@lantec.es"/>
        <s v="1334@hotmail.es"/>
        <s v="1335@santalucia.es"/>
        <s v="1336@yahoo.es"/>
        <s v="1337@grupoelectrostocks.com"/>
        <s v="1338@gmail.com"/>
        <s v="1339@electrogalmar.es"/>
        <s v="1340@silezgrup.com"/>
        <s v="1341@electricidadinstalvi.com"/>
        <s v="1342@ic3sl.com"/>
        <s v="1343@hotmail.com"/>
        <s v="1344@gmail.com"/>
        <s v="1345@telefonica.net"/>
        <s v="1346@boslan.com"/>
        <s v="1347@ormazabal.com"/>
        <s v="1348@gmail.com"/>
        <s v="1349@gmail.com"/>
        <s v="1350@gmail.com"/>
        <s v="1351@conselldemallorca.net"/>
        <s v="1352@autelec.net"/>
        <s v="1353@cairo.ad"/>
        <s v="1354@hotmail.com"/>
        <s v="1355@gmail.com"/>
        <s v="1356@hotmail.com"/>
        <s v="1357@gmail.com"/>
        <s v="1358@gmail.com"/>
        <s v="1359@grupotandal.com"/>
        <s v="1360@hotmail.com"/>
        <s v="1361@gmail.com"/>
        <s v="1362@gmail.com"/>
        <s v="1363@hotmail.com"/>
        <s v="1364@eirazola.com"/>
        <s v="1365@hotmail.com"/>
        <s v="1366@electroalco.es"/>
        <s v="1367@telecable.es"/>
        <s v="1368@baselec.es"/>
        <s v="1369@atribal.es"/>
        <s v="1370@hotmail.com"/>
        <s v="1371@gmail.com"/>
        <s v="1372@telefonica.net"/>
        <s v="1373@electrolucman.com"/>
        <s v="1374@autelec.net"/>
        <s v="1375@gmail.com"/>
        <s v="1376@telefonica.net"/>
        <s v="1377@hotmail.com"/>
        <s v="1378@electromat.com"/>
        <s v="1379@hotmail.com"/>
        <s v="1380@gmail.com"/>
        <s v="1381@msn.com"/>
        <s v="1382@gmail.com"/>
        <s v="1383@grupoazmont.com"/>
        <s v="1384@eringenieria.com"/>
        <s v="1385@telefonica.net"/>
        <s v="1386@grupoevc.es"/>
        <s v="1387@yahoo.com.mx"/>
        <s v="1388@covama.es"/>
        <s v="1389@hotmail.com"/>
        <s v="1390@gmail.com"/>
        <s v="1391@grupojab.es"/>
        <s v="1392@msn.com"/>
        <s v="1393@electricidadguerra.com"/>
        <s v="1394@gmail.com"/>
        <s v="1395@cenorma.com"/>
        <s v="1396@telefonica.net"/>
        <s v="1397@olibayas.net"/>
        <s v="1398@teclisa.com"/>
        <s v="1399@gmail.com"/>
        <s v="1400@apeh.org"/>
        <s v="1401@auditenergia.com"/>
        <s v="1402@gmail.com"/>
        <s v="1403@grupoelectrostocks.com"/>
        <s v="1404@eurocabos.es"/>
        <s v="1405@arreglosoluciones.com"/>
        <s v="1406@gmail.com"/>
        <s v="1407@gmail.com"/>
        <s v="1408@cepsa.com"/>
        <s v="1410@elecnor.es"/>
        <s v="1411@ujaen.es"/>
        <s v="1412@electryser.com"/>
        <s v="1413@gmail.com"/>
        <s v="1414@gmail.com"/>
        <s v="1415@coytesa.com"/>
        <s v="1416@edifesa.com"/>
        <s v="1417@gmail.com"/>
        <s v="1418@gmail.com"/>
        <s v="1419@gmail.com"/>
        <s v="1420@globalelectrica.com"/>
        <s v="1421@itesasl.com"/>
        <s v="1422@gmail.com"/>
        <s v="1423@telefonica.net"/>
        <s v="1424@gmail.com"/>
        <s v="1425@elezvi.com"/>
        <s v="1426@gmail.com"/>
        <s v="1427@hotmail.es"/>
        <s v="1428@gadeaingenieros.com"/>
        <s v="1429@yahoo.es"/>
        <s v="1430@outlook.es"/>
        <s v="1431@jgingenieros.es"/>
        <s v="1432@gmail.com"/>
        <s v="1433@apeme.es"/>
        <s v="1434@planamar.com"/>
        <s v="1435@serindex.es"/>
        <s v="1436@deerns.com"/>
        <s v="1437@indal-tec.com"/>
        <s v="1438@hotmail.com"/>
        <s v="1439@amingenieros.com"/>
        <s v="1440@hotmail.com"/>
        <s v="1441@gmail.com"/>
        <s v="1442@sonepar.es"/>
        <s v="1443@hotmail.com"/>
        <s v="1444@gmail.com"/>
        <s v="1445@gmail.com"/>
        <s v="1446@gmail.com"/>
        <s v="1447@galektra.es"/>
        <s v="1448@renowattandorra.com"/>
        <s v="1449@aseisa.es"/>
        <s v="1450@hotmail.com"/>
        <s v="1451@electrocuebar.com"/>
        <s v="1452@ricarsat.com"/>
        <s v="1453@ingenierosdecadiz.es"/>
        <s v="1454@yahoo.es"/>
        <s v="1455@gmail.com"/>
        <s v="1456@telefonica.net"/>
        <s v="1457@covama.es"/>
        <s v="1458@gmail.com"/>
        <s v="1459@mican.es"/>
        <s v="1460@gmail.com"/>
        <s v="1461@gmail.com"/>
        <s v="1462@cadlan.com"/>
        <s v="1463@sicarsl.es"/>
        <s v="1464@gmail.com"/>
        <s v="1465@guielec.es"/>
        <s v="1466@telegrado.es"/>
        <s v="1467@agave-broadcast.es"/>
        <s v="1468@gmail.com"/>
        <s v="1469@hotmail.com"/>
        <s v="1470@gmail.com"/>
        <s v="1471@tcasertec.com"/>
        <s v="1472@yahoo.es"/>
        <s v="1473@hotmail.com"/>
        <s v="1474@urgon.es"/>
        <s v="1475@electricidadreset.es"/>
        <s v="1476@sonepar.es"/>
        <s v="1477@sonepar.es"/>
        <s v="1478@gmail.com"/>
        <s v="1479@iespunyes.com"/>
        <s v="1480@coiim.es"/>
        <s v="1481@iesmercurio.es"/>
        <s v="1482@gmail.com"/>
        <s v="1483@gruponovelec.com"/>
        <s v="1484@r3recymed.com"/>
        <s v="1486@gmail.com"/>
        <s v="1487@gmail.com"/>
        <s v="1488@telefonica.net"/>
        <s v="1489@gmail.com"/>
        <s v="1490@hotmail.com"/>
        <s v="1491@donbany.com"/>
        <s v="1492@aurialux.com"/>
        <s v="1493@hotmail.com"/>
        <s v="1494@gmail.com"/>
        <s v="1495@grupcluster.com"/>
        <s v="1496@coitt.es"/>
        <s v="1497@covama.es"/>
        <s v="1498@gmail.com"/>
        <s v="1499@sonepar.es"/>
        <s v="1500@covama.es"/>
        <s v="1501@clientes.euskaltel.es"/>
        <s v="1502@educastur.org"/>
        <s v="1504@gmail.com"/>
        <s v="1505@gmail.com"/>
        <s v="1506@dhorma.com"/>
        <s v="1507@hotmail.com"/>
        <s v="1508@gmail.com"/>
        <s v="1509@xonxa.com"/>
        <s v="1510@adelanteenergia.es"/>
        <s v="1511@hotmail.com"/>
        <s v="1512@elecox.es"/>
        <s v="1514@hotmail.com"/>
        <s v="1515@expertline.es"/>
        <s v="1516@gmail.com"/>
        <s v="1517@hotmail.com"/>
        <s v="1518@gmail.com"/>
        <s v="1519@tadelec.com"/>
        <s v="1520@cebrinsa.es"/>
        <s v="1521@hotmail.com"/>
        <s v="1522@agad.cat"/>
        <s v="1523@ofitep.com"/>
        <s v="1524@suministrosserpis.es"/>
        <s v="1525@abcgrup.com"/>
        <s v="1526@gmail.com"/>
        <s v="1527@prodelec.es"/>
        <s v="1528@sitiaingenieria.com"/>
        <s v="1530@aller.es"/>
        <s v="1531@telefonica.net"/>
        <s v="1532@telefonica.net"/>
        <s v="1533@gmail.com"/>
        <s v="1534@gmail.com"/>
        <s v="1535@hotmail.com"/>
        <s v="1536@estudiosyproyectos.com"/>
        <s v="1537@prysmiangroup.com"/>
        <s v="1538@auditenergia.com"/>
        <s v="1539@hotmail.com"/>
        <s v="1540@heliopol.es"/>
        <s v="1541@acp-level.es"/>
        <s v="1542@meomsl.com"/>
        <s v="1543@cotpa.com"/>
        <s v="1544@hotmail.com"/>
        <s v="1545@hotmail.com"/>
        <s v="1546@gmail.com"/>
        <s v="1547@gmail.com"/>
        <s v="1548@gva.es"/>
        <s v="1549@urgon.es"/>
        <s v="1550@die.upv.es"/>
        <s v="1551@avatry.es"/>
        <s v="1552@yahoo.es"/>
        <s v="1553@arfecons.es"/>
        <s v="1555@marinstal.com"/>
        <s v="1556@electricidadguerra.com"/>
        <s v="1557@gmail.com"/>
        <s v="1558@gmail.com"/>
        <s v="1559@strong.es"/>
        <s v="1560@copitival.es"/>
        <s v="1561@elecvic.com"/>
        <s v="1562@gmail.com"/>
        <s v="1563@emtvalencia.es"/>
        <s v="1564@dimelsa.es"/>
        <s v="1566@elecparamos.com"/>
        <s v="1567@egarriga.com"/>
        <s v="1568@gmail.com"/>
        <s v="1569@ecag.es"/>
        <s v="1570@yahoo.es"/>
        <s v="1571@electrolid.es"/>
        <s v="1572@flotatsyasociados.com"/>
        <s v="1573@hotmail.com"/>
        <s v="1574@gmail.com"/>
        <s v="1575@gmail.com"/>
        <s v="1576@conrad.cat"/>
        <s v="1577@cimelsa.com"/>
        <s v="1578@covama.es"/>
        <s v="1579@inblau.es"/>
        <s v="1580@grupotesein.com"/>
        <s v="1581@arpeestudio.com"/>
        <s v="1582@edu.xunta.es"/>
        <s v="1583@hotmail.com"/>
        <s v="1584@gmail.com"/>
        <s v="1585@vialuz.es"/>
        <s v="1586@genserma.es"/>
        <s v="1587@naturgy.com"/>
        <s v="1588@jgingenieros.es"/>
        <s v="1589@gmail.com"/>
        <s v="1590@efik.cat"/>
        <s v="1591@gmail.com"/>
        <s v="1592@mesenergia.cat"/>
        <s v="1593@gmail.com"/>
        <s v="1594@jgingenieros.es"/>
        <s v="1595@gmail.com"/>
        <s v="1596@gruponovelec.com"/>
        <s v="1597@gmail.com"/>
        <s v="1598@coac.net"/>
        <s v="1599@conmasa.cat"/>
        <s v="1600@coelca.com"/>
        <s v="1601@yahoo.es"/>
        <s v="1602@gmail.com"/>
        <s v="1603@gmail.com"/>
        <s v="1604@geinstal.com"/>
        <s v="1605@recargamostucoche.com"/>
        <s v="1606@cesvimap.com"/>
        <s v="1607@talesingenieria.es"/>
        <s v="1608@grupolasser.com"/>
        <s v="1609@gmail.com"/>
        <s v="1610@gmail.com"/>
        <s v="1611@lasallesagradocorazon.es"/>
        <s v="1612@gmail.com"/>
        <s v="1613@muntanerelectro.com"/>
        <s v="1614@electronalon.es"/>
        <s v="1615@hotmail.es"/>
        <s v="1616@wct.es"/>
        <s v="1617@e-noses.com"/>
        <s v="1618@hotmail.com"/>
        <s v="1620@ciudaddelosmuchachos.com"/>
        <s v="1621@salicru.com"/>
        <s v="1622@electropla.cat"/>
        <s v="1623@gmail.com"/>
        <s v="1624@sistema1.es"/>
        <s v="1625@hotmail.com"/>
        <s v="1626@adaliaradio.com"/>
        <s v="1627@elec-matic.com"/>
        <s v="1628@solbesingenieros.com"/>
        <s v="1629@coac.net"/>
        <s v="1630@sertec.es"/>
        <s v="1631@sri.es"/>
        <s v="1632@iremael.com"/>
        <s v="1633@coam.es"/>
        <s v="1634@gmail.com"/>
        <s v="1635@arevoltapc.com"/>
        <s v="1636@yahoo.es"/>
        <s v="1637@gmail.com"/>
        <s v="1638@teclisa.com"/>
        <s v="1639@senae.es"/>
        <s v="1640@infonegocio.com"/>
        <s v="1641@gmail.com"/>
        <s v="1642@aytoguadalajara.es"/>
        <s v="1643@splitmania.net"/>
        <s v="1644@tevigrup.com"/>
        <s v="1645@gomezmoreno.com"/>
        <s v="1646@geserelectric.es"/>
        <s v="1647@telefonica.net"/>
        <s v="1648@gmail.com"/>
        <s v="1649@vamostelecom.es"/>
        <s v="1650@hotmail.com"/>
        <s v="1651@gmail.com"/>
        <s v="1652@skyclimber.es"/>
        <s v="1653@sonepar.es"/>
        <s v="1654@movinetenergia.com"/>
        <s v="1655@sonepar.es"/>
        <s v="1656@gmx.es"/>
        <s v="1657@pontosolar.com"/>
        <s v="1658@gmail.com"/>
        <s v="1659@orpoint.com"/>
        <s v="1660@relsa.es"/>
        <s v="1661@turelectric.com"/>
        <s v="1662@neinorhomes.com"/>
        <s v="1663@hotmail.com"/>
        <s v="1664@jgingenieros.es"/>
        <s v="1665@gmail.com"/>
        <s v="1666@coto.pro"/>
        <s v="1667@hotmail.com"/>
        <s v="1668@negratin.com"/>
        <s v="1669@gmail.com"/>
        <s v="1670@electricidadisla.com"/>
        <s v="1671@epc-industrial.com"/>
        <s v="1672@internoringenieros.es"/>
        <s v="1673@gailmafra.com"/>
        <s v="1674@gmail.com"/>
        <s v="1675@exinor.com"/>
        <s v="1676@unex.net"/>
        <s v="1679@levantinadecuadros.com"/>
        <s v="1680@trelec.es"/>
        <s v="1681@gmail.com"/>
        <s v="1682@hotmail.es"/>
        <s v="1683@eleccom.es"/>
        <s v="1684@climalec.com"/>
        <s v="1685@zuaznabar.com"/>
        <s v="1686@yahoo.com"/>
        <s v="1687@gestilar.com"/>
        <s v="1688@muringenieros.es"/>
        <s v="1689@jlgingenieria.com"/>
        <s v="1690@gruponovelec.com"/>
        <s v="1691@hotmail.com"/>
        <s v="1692@tecasol.net"/>
        <s v="1693@gmx.es"/>
        <s v="1694@gmail.com"/>
        <s v="1695@gruponortica.com"/>
        <s v="1696@gmail.com"/>
        <s v="1697@yahoo.es"/>
        <s v="1698@jgi.es"/>
        <s v="1699@panchofernandez.com"/>
        <s v="1700@padrao.com.pt"/>
        <s v="1701@insmarbella.com"/>
        <s v="1702@gestion-energetica.eu"/>
        <s v="1703@laelectrica.com"/>
        <s v="1704@hotmail.com"/>
        <s v="1705@sanehogar.com"/>
        <s v="1706@otp.cat"/>
        <s v="1707@lledosa.es"/>
        <s v="1708@gmail.com"/>
        <s v="1709@serium.es"/>
        <s v="1710@gmail.com"/>
        <s v="1712@gmail.com"/>
        <s v="1713@gmail.com"/>
        <s v="1714@cirima.es"/>
        <s v="1715@upv.es"/>
        <s v="1716@fuengiroluz.es"/>
        <s v="1717@soelvi.es"/>
        <s v="1718@yupcharge.com"/>
        <s v="1720@yahoo.es"/>
        <s v="1721@mafonsa.cat"/>
        <s v="1722@folgarona.com"/>
        <s v="1723@gmail.com"/>
        <s v="1724@arbonapiza.com"/>
        <s v="1725@coelbe.com"/>
        <s v="1726@quadrifoli.com"/>
        <s v="1727@grupojab.es"/>
        <s v="1728@gmail.com"/>
        <s v="1729@gmail.com"/>
        <s v="1730@armeriaeskola.eus"/>
        <s v="1731@inserty.net"/>
        <s v="1732@gmail.com"/>
        <s v="1733@ecm-partners.com"/>
        <s v="1734@ofintex.com"/>
        <s v="1735@gruponovelec.com"/>
        <s v="1736@electrovizcaya.com"/>
        <s v="1737@salesianos.edu"/>
        <s v="1738@msn.com"/>
        <s v="1739@jh-internacional.com"/>
        <s v="1740@doica.net"/>
        <s v="1741@grupoelectrostocks.com"/>
        <s v="1742@industrialgines.com"/>
        <s v="1743@ceymo.es"/>
        <s v="1744@gmail.com"/>
        <s v="1745@bod.es"/>
        <s v="1746@hotmail.es"/>
        <s v="1747@araiz.es"/>
        <s v="1748@salesianosatocha.es"/>
        <s v="1750@itecnal.com"/>
        <s v="1751@altener.es"/>
        <s v="1752@intec3.es"/>
        <s v="1753@arcadis.com"/>
        <s v="1754@gabyl.com"/>
        <s v="1755@pgiengineering.com"/>
        <s v="1756@gmail.com"/>
        <s v="1757@indair-genercasadevall.cat"/>
        <s v="1758@gmail.com"/>
        <s v="1759@galektra.es"/>
        <s v="1760@xtec.cat"/>
        <s v="1761@spiritingenieria.es"/>
        <s v="1762@adqa.com"/>
        <s v="1763@coacordoba.net"/>
        <s v="1764@gmail.com"/>
        <s v="1765@instalplus.es"/>
        <s v="1766@gmail.com"/>
        <s v="1767@gmail.com"/>
        <s v="1768@telefonica.net"/>
        <s v="1769@gmail.com"/>
        <s v="1770@hotmail.es"/>
        <s v="1771@gmail.com"/>
        <s v="1772@cosmoseguridad.com"/>
        <s v="1774@soloviov.es"/>
        <s v="1775@gmail.com"/>
        <s v="1776@incat.cat"/>
        <s v="1778@gmail.com"/>
        <s v="1779@barreu.com"/>
        <s v="1780@metromadrid.es"/>
        <s v="1781@autoradiomontijo.es"/>
        <s v="1783@telefonica.net"/>
        <s v="1784@coytesa.com"/>
        <s v="1785@arintec.com"/>
        <s v="1787@roigconstruccions.com"/>
        <s v="1788@hotmail.com"/>
        <s v="1789@electromat.com"/>
        <s v="1790@electricarius.com"/>
        <s v="1791@gmail.com"/>
        <s v="1792@incober.es"/>
        <s v="1793@gmail.com"/>
        <s v="1794@enchufing.com"/>
        <s v="1795@gmail.com"/>
        <s v="1796@sorigue.com"/>
        <s v="1797@icaingenieros.com"/>
        <s v="1798@eleccom.es"/>
        <s v="1799@wurth.es"/>
        <s v="1800@hotmail.com"/>
        <s v="1801@gmail.com"/>
        <s v="1802@hotmail.es"/>
        <s v="1803@ymcelectrica.com"/>
        <s v="1804@meguerra.com"/>
        <s v="1805@gmail.com"/>
        <s v="1806@aymesa.com"/>
        <s v="1807@saltoki.es"/>
        <s v="1808@gmail.com"/>
        <s v="1809@prodelec.es"/>
        <s v="1810@ebegroup.net"/>
        <s v="1811@ansiel.eu"/>
        <s v="1812@ext.mpsa.com"/>
        <s v="1813@gmail.com"/>
        <s v="1814@grupoetra.com"/>
        <s v="1815@grupojab.es"/>
        <s v="1816@petesan.es"/>
        <s v="1817@eurocabos.es"/>
        <s v="1818@electricidadpolop.es"/>
        <s v="1820@marveco.com"/>
        <s v="1821@construciainstalaciones.com"/>
        <s v="1822@diexfe.com"/>
        <s v="1823@saltoki.es"/>
        <s v="1824@selpri.pt"/>
        <s v="1825@digamel.com"/>
        <s v="1826@gestionservicios.com"/>
        <s v="1827@gmail.com"/>
        <s v="1828@econergia.es"/>
        <s v="1829@1aingenieros.com"/>
        <s v="1830@gmail.com"/>
        <s v="1831@monlau.com"/>
        <s v="1832@mhindustrias.com"/>
        <s v="1833@coitir.com"/>
        <s v="1834@valls.cat"/>
        <s v="1835@gmail.com"/>
        <s v="1836@biper.es"/>
        <s v="1837@cersanz.es"/>
        <s v="1838@gruponovelec.com"/>
        <s v="1839@gmail.com"/>
        <s v="1840@ingenierosvigo.com"/>
        <s v="1841@infova.es"/>
        <s v="1843@jovitel.com"/>
        <s v="1844@grupoelectrostocks.com"/>
        <s v="1845@hotmail.com"/>
        <s v="1846@gmail.com"/>
        <s v="1847@viegasefilhos.pt"/>
        <s v="1848@gmail.com"/>
        <s v="1849@minsait.com"/>
        <s v="1850@yahoo.com"/>
        <s v="1851@gmail.com"/>
        <s v="1852@gmail.com"/>
        <s v="1853@hotmail.com"/>
        <s v="1854@hotmail.com"/>
        <s v="1855@inboundcycle.com"/>
        <s v="1856@hotmail.com"/>
        <s v="1857@mantise.com"/>
        <s v="1858@yahoo.es"/>
        <s v="1859@gmail.com"/>
        <s v="1860@gmail.com"/>
        <s v="1861@gmail.com"/>
        <s v="1862@gmail.com"/>
        <s v="1863@hotmail.com"/>
        <s v="1864@gmail.com"/>
        <s v="1865@gmail.com"/>
        <s v="1866@inrobadajoz.com"/>
        <s v="1867@cbringenieria.es"/>
        <s v="1868@hotmail.com"/>
        <s v="1869@gmail.com"/>
        <s v="1870@marlexingenieria.com"/>
        <s v="1871@abc.gob.ar"/>
        <s v="1872@gmail.com"/>
        <s v="1873@rodosa.com"/>
        <s v="1874@gesel.ie.ufrj.br"/>
        <s v="1875@gmail.com"/>
        <s v="1876@gmail.com"/>
        <s v="1877@gmail.com"/>
        <s v="1878@gmail.com"/>
        <s v="1879@jafenginyeria.cat"/>
        <s v="1880@dipta.cat"/>
        <s v="1882@gmail.com"/>
        <s v="1883@adingenieros.es"/>
        <s v="1884@zuecoingenieria.com"/>
        <s v="1885@groupg4.com"/>
        <s v="1886@outlook.com"/>
        <s v="1887@gmail.com"/>
        <s v="1888@instalacionsgarmi.com"/>
        <s v="1889@cetim.cat"/>
        <s v="1890@setenergia.com"/>
        <s v="1891@ciudaddelosmuchachos.com"/>
        <s v="1892@soltecingenieros.com"/>
        <s v="1893@byguk.com"/>
        <s v="1894@arasolutions.es"/>
        <s v="1895@grupoarquitelia.com"/>
        <s v="1896@gmail.com"/>
        <s v="1897@hotmail.es"/>
        <s v="1898@navantia.es"/>
        <s v="1899@gmail.com"/>
        <s v="1900@hotmail.com"/>
        <s v="1901@gmail.com"/>
        <s v="1902@hotmail.com"/>
        <s v="1903@yahoo.es"/>
        <s v="1904@gmail.com"/>
        <s v="1905@gmail.com"/>
        <s v="1906@gmail.com"/>
        <s v="1907@yahoo.es"/>
        <s v="1908@enel.com"/>
        <s v="1909@gmail.com"/>
        <s v="1910@antelecat.com"/>
        <s v="1911@gmail.com"/>
        <s v="1912@gmail.com"/>
        <s v="1913@gmail.com"/>
        <s v="1915@zmingenieros.com"/>
        <s v="1916@gmail.com"/>
        <s v="1917@gmail.com"/>
        <s v="1918@sgx.cat"/>
        <s v="1920@gmail.com"/>
        <s v="1921@msn.com"/>
        <s v="1923@agosa.es"/>
        <s v="1924@merlosl.es"/>
        <s v="1925@elecnor.com"/>
        <s v="1926@elecam.com"/>
        <s v="1927@anbatel.com"/>
        <s v="1928@gmail.com"/>
        <s v="1929@hotmail.com"/>
        <s v="1930@gmail.com"/>
        <s v="1931@gmail.com"/>
        <s v="1932@cotelsa.com"/>
        <s v="1933@lujama.com"/>
        <s v="1934@ferrovial.com"/>
        <s v="1935@telefonica.net"/>
        <s v="1936@e2enginyeria.com"/>
        <s v="1937@gmail.com"/>
        <s v="1938@gmail.com"/>
        <s v="1940@electromercantil.es"/>
        <s v="1941@hotmail.com"/>
        <s v="1942@ciudaddelosmuchachos.com"/>
        <s v="1943@gmail.com"/>
        <s v="1944@didacticaformacion.es"/>
        <s v="1945@ip21ingenieria.com"/>
        <s v="1946@gmail.com"/>
        <s v="1947@gmail.com"/>
        <s v="1948@culmar.net"/>
        <s v="1949@suno.cat"/>
        <s v="1950@yahoo.es"/>
        <s v="1951@engimatica.com"/>
        <s v="1952@tinet.cat"/>
        <s v="1953@proyteczaragoza.com"/>
        <s v="1954@dicsl.com"/>
        <s v="1955@salesianos.edu"/>
        <s v="1956@gmail.com"/>
        <s v="1957@msn.com"/>
        <s v="1958@iebsl.com"/>
        <s v="1959@gmail.com"/>
        <s v="1960@ic3sl.com"/>
        <s v="1961@hotmail.com"/>
        <s v="1962@lliro.com"/>
        <s v="1963@atisistemas.com"/>
        <s v="1964@hotmail.com"/>
        <s v="1965@tienda-gasnatural.com"/>
        <s v="1966@gmail.com"/>
        <s v="1967@ferrovial.com"/>
        <s v="1968@gmail.com"/>
        <s v="1969@fundacionmasaveu.com"/>
        <s v="1970@electrificacionesparra.es"/>
        <s v="1971@tienda-gasnatural.com"/>
        <s v="1972@projecal.com"/>
        <s v="1973@ingekor.com"/>
        <s v="1974@proluxingenieros.com"/>
        <s v="1975@outlook.es"/>
        <s v="1976@electronavia.com"/>
        <s v="1977@gmail.com"/>
        <s v="1978@hotmail.com"/>
        <s v="1979@matcas.es"/>
        <s v="1980@hotmail.com"/>
        <s v="1981@gmail.com"/>
        <s v="1982@hotmail.com"/>
        <s v="1983@suno.cat"/>
        <s v="1984@hotmail.com"/>
        <s v="1985@tinet.org"/>
        <s v="1986@martipala.com"/>
        <s v="1988@lusorede.pt"/>
        <s v="1989@elecdomo.com"/>
        <s v="1990@gmail.com"/>
        <s v="1991@gmail.com"/>
        <s v="1992@proecoingenieria.com"/>
        <s v="1994@gmail.com"/>
        <s v="1995@gmail.com"/>
        <s v="1996@gmail.com"/>
        <s v="1997@comi-sl.com"/>
        <s v="1998@gmail.com"/>
        <s v="1999@obrelsa.com"/>
        <s v="2000@hotmail.com"/>
        <s v="2001@alainsa.com"/>
        <s v="2002@camarasaragon.com"/>
        <s v="2003@alainsa.com"/>
        <s v="2004@mcamps.es"/>
        <s v="2005@hotmail.com"/>
        <s v="2006@masteringenieria.com"/>
        <s v="2008@yahoo.es"/>
        <s v="2009@gmail.com"/>
        <s v="2010@incasl.com"/>
        <s v="2011@gmail.com"/>
        <s v="2012@gmail.com"/>
        <s v="2013@ecopimeprojects.com"/>
        <s v="2014@gmail.com"/>
        <s v="2015@hotmail.com"/>
        <s v="2017@sogesa.es"/>
        <s v="2018@mantise.com"/>
        <s v="2019@didacticaformacion.es"/>
        <s v="2020@forestaldelatlantico.com"/>
        <s v="2021@osnova.net"/>
        <s v="2022@solarinspain.com"/>
        <s v="2023@gmail.com"/>
        <s v="2024@grupooca.com"/>
        <s v="2025@gmail.com"/>
        <s v="2026@telefonica.net"/>
        <s v="2027@hotmail.com"/>
        <s v="2028@grupooca.com"/>
        <s v="2029@sonepar.es"/>
        <s v="2030@gmail.com"/>
        <s v="2031@electrofiloeste.es"/>
        <s v="2032@masalo.biz"/>
        <s v="2033@elmoelectric.com"/>
        <s v="2034@tienda-gasnatural.com"/>
        <s v="2035@yahoo.es"/>
        <s v="2036@sece.com"/>
        <s v="2037@agefred.es"/>
        <s v="2038@legomar.com"/>
        <s v="2039@antrelec.net"/>
        <s v="2040@grupsoler.com"/>
        <s v="2041@electromercantil.es"/>
        <s v="2042@gmail.com"/>
        <s v="2043@gmail.com"/>
        <s v="2044@orvi-s.es"/>
        <s v="2045@gmail.com"/>
        <s v="2046@gmail.com"/>
        <s v="2047@gmail.com"/>
        <s v="2048@visioelectric.es"/>
        <s v="2049@telefonica.net"/>
        <s v="2050@melecmor.com"/>
        <s v="2051@gmail.com"/>
        <s v="2053@sades.es"/>
        <s v="2055@gmail.com"/>
        <s v="2056@hotmail.com"/>
        <s v="2057@gmail.com"/>
        <s v="2058@sonepar.es"/>
        <s v="2059@gmail.com"/>
        <s v="2060@gmail.com"/>
        <s v="2061@hotmail.es"/>
        <s v="2062@euskalnet.net"/>
        <s v="2063@gmail.com"/>
        <s v="2064@hotmail.com"/>
        <s v="2065@gmail.com"/>
        <s v="2066@gmail.com"/>
        <s v="2067@gmail.com"/>
        <s v="2068@gencat.cat"/>
        <s v="2069@gmail.com"/>
        <s v="2070@hotmail.com"/>
        <s v="2071@gmail.com"/>
        <s v="2072@gmail.com"/>
        <s v="2073@gmail.com"/>
        <s v="2074@hotmail.com"/>
        <s v="2075@gmail.com"/>
        <s v="2076@gmail.com"/>
        <s v="2077@gmail.com"/>
        <s v="2078@gmail.com"/>
        <s v="2079@gmail.com"/>
        <s v="2080@grupoelectrostocks.com"/>
        <s v="2081@cymel.com"/>
        <s v="2082@hotmail.com"/>
        <s v="2083@gmail.com"/>
        <s v="2084@hcparquitectos.com"/>
        <s v="2085@gmail.com"/>
        <s v="2086@farelle.com"/>
        <s v="2087@hotmail.com"/>
        <s v="2088@gmail.com"/>
        <s v="2089@hotmail.com"/>
        <s v="2090@estabanell.cat"/>
        <s v="2091@gmail.com"/>
        <s v="2092@outlook.com"/>
        <s v="2093@gmail.com"/>
        <s v="2094@gmail.com"/>
        <s v="2095@hotmail.com"/>
        <s v="2096@formasymateriales.com"/>
        <s v="2097@hotmail.com"/>
        <s v="2099@grupoelectrostocks.com"/>
        <s v="2101@gmail.com"/>
        <s v="2102@gmail.com"/>
        <s v="2103@hotmail.com"/>
        <s v="2104@temarelectronica.es"/>
        <s v="2105@nauta.cu"/>
        <s v="2106@gmail.com"/>
        <s v="2107@danmur.es"/>
        <s v="2108@emvisesa.org"/>
        <s v="2109@huelvanorte.es"/>
        <s v="2110@ingeconsulting.com"/>
        <s v="2111@iraiaingenieros.com"/>
        <s v="2112@gmail.com"/>
        <s v="2113@gmail.com"/>
        <s v="2114@tecnoclimainstalaciones.com"/>
        <s v="2115@outlook.es"/>
        <s v="2116@gmail.com"/>
        <s v="2117@gmail.com"/>
        <s v="2118@hotmail.com"/>
        <s v="2119@gmail.com"/>
        <s v="2120@gmail.com"/>
        <s v="2121@gmail.com"/>
        <s v="2122@somains.com"/>
        <s v="2123@gmail.com"/>
        <s v="2124@gmail.com"/>
        <s v="2125@ctac.es"/>
        <s v="2126@gmail.com"/>
        <s v="2127@hotmail.com"/>
        <s v="2128@gmail.com"/>
        <s v="2129@gmail.com"/>
        <s v="2130@hotmail.com"/>
        <s v="2131@gmail.com"/>
        <s v="2132@hotmail.com"/>
        <s v="2133@gmail.com"/>
        <s v="2134@gmx.es"/>
        <s v="2135@gmail.com"/>
        <s v="2136@gmail.com"/>
        <s v="2137@hotmail.com"/>
        <s v="2138@gmail.com"/>
        <s v="2139@gmail.com"/>
        <s v="2140@gmail.com"/>
        <s v="2141@gmail.com"/>
        <s v="2143@gmail.com"/>
        <s v="2144@gmail.com"/>
        <s v="2145@gmail.com"/>
        <s v="2146@hotmail.es"/>
        <s v="2147@gmail.com"/>
        <s v="2148@gmail.com"/>
        <s v="2149@gmail.com"/>
        <s v="2150@yahoo.es"/>
        <s v="2151@gmail.com"/>
        <s v="2152@igkarratu.com"/>
        <s v="2153@gmail.com"/>
        <s v="2154@gmail.com"/>
        <s v="2155@gmail.com"/>
        <s v="2156@gmail.com"/>
        <s v="2157@hotmail.com"/>
        <s v="2158@gmail.com"/>
        <s v="2159@hotmail.com"/>
        <s v="2160@yahoo.es"/>
        <s v="2161@hotmail.com"/>
        <s v="2162@gienergygroup.com"/>
        <s v="2163@hotmail.com"/>
        <s v="2164@macegroup.com"/>
        <s v="2165@orangemail.es"/>
        <s v="2166@gmail.com"/>
        <s v="2167@outlook.es"/>
        <s v="2169@gmail.com"/>
        <s v="2170@reparatuequipo.es"/>
        <s v="2171@gmail.com"/>
        <s v="2172@gmail.com"/>
        <s v="2173@menendezygamonal.com"/>
        <s v="2174@wurth.es"/>
        <s v="2175@canogarcia.es"/>
        <s v="2176@hotmail.com"/>
        <s v="2177@yahoo.es"/>
        <s v="2178@altair.edu.es"/>
        <s v="2179@gmail.com"/>
        <s v="2180@hotmail.com"/>
        <s v="2181@gmail.com"/>
        <s v="2182@hotmail.com"/>
        <s v="2183@gmail.com"/>
        <s v="2184@suris.es"/>
        <s v="2185@gmail.com"/>
        <s v="2186@grupoelectrostocks.com"/>
        <s v="2187@hotmail.com"/>
        <s v="2188@gmail.com"/>
        <s v="2189@infova.es"/>
        <s v="2190@hotmail.com"/>
        <s v="2191@hotmail.es"/>
        <s v="2192@itcl.es"/>
        <s v="2193@gmail.com"/>
        <s v="2194@mesado.es"/>
        <s v="2195@yahoo.es"/>
        <s v="2196@telefonica.net"/>
        <s v="2197@outlook.es"/>
        <s v="2198@gmail.com"/>
        <s v="2199@gmail.com"/>
        <s v="2200@gmail.com"/>
        <s v="2201@4fils.es"/>
        <s v="2202@sanjosetecno.com"/>
        <s v="2203@gmail.com"/>
        <s v="2204@hotmail.es"/>
        <s v="2205@gmail.com"/>
        <s v="2206@gmail.com"/>
        <s v="2207@gmail.com"/>
        <s v="2208@wp.pl"/>
        <s v="2209@elecem.es"/>
        <s v="2210@hotmail.com"/>
        <s v="2211@hotmail.com"/>
        <s v="2212@pgiengineering.com"/>
        <s v="2213@gmail.com"/>
        <s v="2214@hotmail.com"/>
        <s v="2215@gmail.com"/>
        <s v="2216@bladis.com"/>
        <s v="2217@gmail.com"/>
        <s v="2218@gmx.es"/>
        <s v="2219@teigatmi.es"/>
        <s v="2220@hotmail.com"/>
        <s v="2221@hotmail.com"/>
        <s v="2222@gmail.com"/>
        <s v="2223@hotmail.com"/>
        <s v="2224@gmail.com"/>
        <s v="2225@evectra.es"/>
        <s v="2226@hotmail.com"/>
        <s v="2227@gmail.com"/>
        <s v="2228@gmail.com"/>
        <s v="2229@enerluz.es"/>
        <s v="2230@hotmail.com"/>
        <s v="2231@hotmail.com"/>
        <s v="2232@gmail.com"/>
        <s v="2233@gmail.com"/>
        <s v="2234@hotmail.com"/>
        <s v="2235@hotmail.com"/>
        <s v="2236@hotmail.com"/>
        <s v="2238@hotmail.es"/>
        <s v="2239@gmail.com"/>
        <s v="2240@coac.net"/>
        <s v="2241@outlook.com"/>
        <s v="2242@eurogestiones.com"/>
        <s v="2243@gmail.com"/>
        <s v="2244@outlook.com"/>
        <s v="2245@gmail.com"/>
        <s v="2246@eleko.es"/>
        <s v="2247@gmail.com"/>
        <s v="2248@telefonica.net"/>
        <s v="2249@politecnicomalaga.com"/>
        <s v="2250@gmail.com"/>
        <s v="2251@gmail.com"/>
        <s v="2252@energestic.es"/>
        <s v="2253@hotmail.com"/>
        <s v="2254@gmail.com"/>
        <s v="2255@yahoo.es"/>
        <s v="2256@gmail.com"/>
        <s v="2257@hotmail.com"/>
        <s v="2258@fercansa.es"/>
        <s v="2259@gmail.com"/>
        <s v="2260@gmail.com"/>
        <s v="2261@grupoefelec.com"/>
        <s v="2262@hotmail.com"/>
        <s v="2263@gmail.com"/>
        <s v="2264@gmail.com"/>
        <s v="2265@gmail.com"/>
        <s v="2266@gmail.com"/>
        <s v="2267@gmail.com"/>
        <s v="2268@gmail.com"/>
        <s v="2269@qq.com"/>
        <s v="2270@hotmail.com"/>
        <s v="2271@gmail.com"/>
        <s v="2272@tiempobbdo.es"/>
        <s v="2273@telefonica.net"/>
        <s v="2274@fersitec.com"/>
        <s v="2275@rccyp.com"/>
        <s v="2276@hotmail.com"/>
        <s v="2277@gmail.com"/>
        <s v="2278@gmail.com"/>
        <s v="2279@gmail.com"/>
        <s v="2280@gmail.com"/>
        <s v="2281@hotmail.com"/>
        <s v="2282@gmail.com"/>
        <s v="2283@hotmail.com"/>
        <s v="2284@gmail.com"/>
        <s v="2285@hotmail.com"/>
        <s v="2286@hotmail.com"/>
        <s v="2287@sonepar.es"/>
        <s v="2288@yahoo.es"/>
        <s v="2289@hotmail.com"/>
        <s v="2290@atmos.link"/>
        <s v="2291@fegime.es"/>
        <s v="2292@gmail.com"/>
        <s v="2293@usa.com"/>
        <s v="2294@gmail.com"/>
        <s v="2295@msn.com"/>
        <s v="2296@gmail.com"/>
        <s v="2297@sece.com"/>
        <s v="2298@sonepar.es"/>
        <s v="2299@protele.es"/>
        <s v="2300@grupoelectrostocks.com"/>
        <s v="2301@sonepar.es"/>
        <s v="2302@agosa.es"/>
        <s v="2303@industrialgines.com"/>
        <s v="2304@gmail.com"/>
        <s v="2305@hotmail.com"/>
        <s v="2306@somosemotion.es"/>
        <s v="2307@gmail.com"/>
        <s v="2308@gmail.com"/>
        <s v="2309@hotmail.com"/>
        <s v="2310@yahoo.es"/>
        <s v="2311@deluxson.com"/>
        <s v="2312@yahoo.es"/>
        <s v="2313@gmail.com"/>
        <s v="2314@gmail.com"/>
        <s v="2315@electricidadguerra.com"/>
        <s v="2316@telecable.es"/>
        <s v="2317@eimetropolitana.com"/>
        <s v="2318@grupo-jarama.com"/>
        <s v="2319@gmail.com"/>
        <s v="2320@electrovizcaya.com"/>
        <s v="2321@coto.pro"/>
        <s v="2322@hotmail.com"/>
        <s v="2323@gmail.com"/>
        <s v="2324@gmail.com"/>
        <s v="2325@ingenierosvalladolid.es"/>
        <s v="2326@gmail.com"/>
        <s v="2327@gmail.com"/>
        <s v="2328@gmail.com"/>
        <s v="2329@hotmail.com"/>
        <s v="2330@gmail.com"/>
        <s v="2331@gmail.com"/>
        <s v="2332@gmail.com"/>
        <s v="2333@gmail.com"/>
        <s v="2334@grupoelectrostocks.com"/>
        <s v="2335@gmail.com"/>
        <s v="2336@gmail.com"/>
        <s v="2337@msn.com"/>
        <s v="2338@gmail.com"/>
        <s v="2339@monlau.com"/>
        <s v="2340@yahoo.es"/>
        <s v="2341@hotmail.com"/>
        <s v="2342@inescoconstructora.es"/>
        <s v="2343@gmail.com"/>
        <s v="2344@tecmagenil.es"/>
        <s v="2345@yahoo.es"/>
        <s v="2346@grupoetra.com"/>
        <s v="2347@visaonomada.pt"/>
        <s v="2348@ya.com"/>
        <s v="2349@belsanz.com"/>
        <s v="2350@gmail.com"/>
        <s v="2351@gmail.com"/>
        <s v="2352@gmail.com"/>
        <s v="2353@conecta-sistemas.com"/>
        <s v="2354@gmail.com"/>
        <s v="2355@gmail.com"/>
        <s v="2356@infova.es"/>
        <s v="2357@gmail.com"/>
        <s v="2358@hotmail.es"/>
        <s v="2359@hotmail.com"/>
        <s v="2360@viplaro.com"/>
        <s v="2361@gmail.com"/>
        <s v="2362@telefonica.net"/>
        <s v="2363@hotmail.com"/>
        <s v="2364@agmundet.es"/>
        <s v="2365@jazzfree.com"/>
        <s v="2366@energies.cat"/>
        <s v="2367@yahoo.es"/>
        <s v="2368@gmail.com"/>
        <s v="2369@cataliaga.com"/>
        <s v="2370@gmail.com"/>
        <s v="2371@fhiguero.es"/>
        <s v="2372@gmail.com"/>
        <s v="2373@grupoelectrostocks.com"/>
        <s v="2374@yahoo.com"/>
        <s v="2375@m4servicios.es"/>
        <s v="2376@gmail.com"/>
        <s v="2377@conmasa.cat"/>
        <s v="2378@montajesjep.com"/>
        <s v="2379@erf.cat"/>
        <s v="2380@gmail.com"/>
        <s v="2381@outlook.com"/>
        <s v="2382@hotmail.com"/>
        <s v="2383@fff.com"/>
        <s v="2384@kapsch.net"/>
        <s v="2385@gg.com"/>
        <s v="2386@agosa.es"/>
        <s v="2387@yahoo.es"/>
        <s v="2388@gmail.com"/>
        <s v="2389@gruponovelec.com"/>
        <s v="2390@gmail.com"/>
        <s v="2391@casamarquez.es"/>
        <s v="2392@gmail.com"/>
        <s v="2393@gmail.com"/>
        <s v="2394@bladis.com"/>
        <s v="2395@gruponovelec.com"/>
        <s v="2396@sonepar.es"/>
        <s v="2397@a2bingenieros.com"/>
        <s v="2398@hotmail.com"/>
        <s v="2399@teclisa.com"/>
        <s v="2400@ormazabal.com"/>
        <s v="2401@hotmail.com"/>
        <s v="2402@adtel.es"/>
        <s v="2403@gmail.com"/>
        <s v="2404@gmail.com"/>
        <s v="2406@gmail.com"/>
        <s v="2407@msn.com"/>
        <s v="2408@me.com"/>
        <s v="2409@eufon.com"/>
        <s v="2410@me.com"/>
        <s v="2411@hotmail.com"/>
        <s v="2412@conmasa.cat"/>
        <s v="2413@siemensgamesa.com"/>
        <s v="2414@saenzdesanpedro.com"/>
        <s v="2415@gmail.com"/>
        <s v="2416@veolia.com"/>
        <s v="2417@rexel.es"/>
        <s v="2418@ompsl.com"/>
        <s v="2419@aiguesdebarcelona.cat"/>
        <s v="2420@gmail.com"/>
        <s v="2421@rexel.es"/>
        <s v="2422@hotmail.com"/>
        <s v="2423@jccifuentes.com"/>
        <s v="2424@sonepar.es"/>
        <s v="2425@hotmail.com"/>
        <s v="2426@gmail.com"/>
        <s v="2427@valnu.es"/>
        <s v="2428@saltoki.es"/>
        <s v="2429@hotmail.com"/>
        <s v="2430@tenmega.pt"/>
        <s v="2431@gmail.com"/>
        <s v="2432@telefonica.net"/>
        <s v="2433@sonepar.es"/>
        <s v="2434@gmail.com"/>
        <s v="2435@indasasl.es"/>
        <s v="2436@ydrolia.com"/>
        <s v="2437@dos-atf.es"/>
        <s v="2438@gmail.com"/>
        <s v="2439@hotmail.com"/>
        <s v="2440@imanzanera.com"/>
        <s v="2441@berdin.com"/>
        <s v="2442@gmail.com"/>
        <s v="2443@gmail.com"/>
        <s v="2444@gmail.com"/>
        <s v="2445@wallbox.com"/>
        <s v="2446@hotmail.com"/>
        <s v="2447@etecnic.es"/>
        <s v="2448@uvigo.es"/>
        <s v="2449@magtel.es"/>
        <s v="2450@sonepar.es"/>
        <s v="2451@gmail.com"/>
        <s v="2452@fi-group.com"/>
        <s v="2453@insitecaingenieros.com"/>
        <s v="2454@gmail.com"/>
        <s v="2455@gmail.com"/>
        <s v="2456@serlujua.com"/>
        <s v="2457@gmail.com"/>
        <s v="2458@gmail.com"/>
        <s v="2459@grupoelectrostocks.com"/>
        <s v="2460@gmail.com"/>
        <s v="2461@yahoo.es"/>
        <s v="2462@gmail.com"/>
        <s v="2463@ise40.com"/>
        <s v="2464@pas.uned.es"/>
        <s v="2465@gmail.com"/>
        <s v="2466@hotmail.com"/>
        <s v="2467@gmail.com"/>
        <s v="2468@gmail.com"/>
        <s v="2469@yca.es"/>
        <s v="2470@gmail.com"/>
        <s v="2471@gmail.com"/>
        <s v="2472@gmail.com"/>
        <s v="2473@hotmail.com"/>
        <s v="2474@sehusol.com"/>
        <s v="2475@berdin.com"/>
        <s v="2476@dimces.com"/>
        <s v="2477@moralesyartigasabogados.com"/>
        <s v="2478@gmail.com"/>
        <s v="2479@hotmail.es"/>
        <s v="2481@apogeaconsulting.com"/>
        <s v="2482@etelnoga.com"/>
        <s v="2483@gmail.com"/>
        <s v="2484@grupo-jarama.com"/>
        <s v="2485@saergy.com"/>
        <s v="2486@hotmail.com"/>
        <s v="2487@telefonica.net"/>
        <s v="2488@gmail.com"/>
        <s v="2489@proytecenergia.com"/>
        <s v="2490@mantenencies.com"/>
        <s v="2491@saltoki.es"/>
        <s v="2492@gmail.com"/>
        <s v="2493@gmail.com"/>
        <s v="2494@gmail.com"/>
        <s v="2495@gmail.com"/>
        <s v="2496@grupoelectrostocks.com"/>
        <s v="2497@gmail.com"/>
        <s v="2498@adtelcom.es"/>
        <s v="2499@hotmail.com"/>
        <s v="2500@sonepar.es"/>
        <s v="2501@gmail.com"/>
        <s v="2502@yahoo.es"/>
        <s v="2503@grupoiicsa.com"/>
        <s v="2504@gmail.com"/>
        <s v="2505@gmail.com"/>
        <s v="2506@es.issworld.com"/>
        <s v="2507@victorperezsl.com"/>
        <s v="2508@solardelvalle.es"/>
        <s v="2509@elecnor.es"/>
        <s v="2510@sermicro.com"/>
        <s v="2511@gmail.com"/>
        <s v="2512@hotmail.com"/>
        <s v="2513@gmail.com"/>
        <s v="2514@coitialicante.com"/>
        <s v="2516@isega.es"/>
        <s v="2517@ineleeg.es"/>
        <s v="2518@solardelvalle.es"/>
        <s v="2519@hotmail.com"/>
        <s v="2520@jspelectrotecnia.com"/>
        <s v="2521@amisur.es"/>
        <s v="2522@gmail.com"/>
        <s v="2523@ipae.es"/>
        <s v="2524@me.com"/>
        <s v="2525@gmail.com"/>
        <s v="2526@reparacioneslsanchez.es"/>
        <s v="2527@gmail.com"/>
        <s v="2528@leing.es"/>
        <s v="2529@upc.edu"/>
        <s v="2530@galimar.com.es"/>
        <s v="2531@arquitecturaygestion.com"/>
        <s v="2532@gmail.com"/>
        <s v="2533@hotmail.com"/>
        <s v="2534@gmail.com"/>
        <s v="2535@hotmail.com"/>
        <s v="2536@telefonica.net"/>
        <s v="2537@electram.es"/>
        <s v="2538@elcorteingles.es"/>
        <s v="2539@gmail.com"/>
        <s v="2540@gmail.com"/>
        <s v="2541@gmail.com"/>
        <s v="2542@tecnica4.com"/>
        <s v="2543@eltec-servicios.com"/>
        <s v="2544@hotmail.com"/>
        <s v="2545@telefonica.net"/>
        <s v="2546@tecnovap.es"/>
        <s v="2547@gmail.com"/>
        <s v="2548@gmail.com"/>
        <s v="2549@gmail.com"/>
        <s v="2550@energema.com"/>
        <s v="2551@inelsa.com"/>
        <s v="2552@gmail.com"/>
        <s v="2553@telefonica.net"/>
        <s v="2554@telefonica.net"/>
        <s v="2555@gmail.com"/>
        <s v="2556@hotmail.com"/>
        <s v="2557@hotmail.com"/>
        <s v="2558@gmail.com"/>
        <s v="2560@gmail.com"/>
        <s v="2561@gmail.com"/>
        <s v="2562@artesolar.com"/>
        <s v="2563@hotmail.com"/>
        <s v="2564@ctv.masaveu.com"/>
        <s v="2565@hotmail.com"/>
        <s v="2566@casadoguia.com"/>
        <s v="2567@hotmail.com"/>
        <s v="2568@email.com"/>
        <s v="2569@gmail.com"/>
        <s v="2570@telefonica.net"/>
        <s v="2571@dival.es"/>
        <s v="2572@sesaelec.com"/>
        <s v="2573@edetcotecnics.com"/>
        <s v="2574@telefonica.net"/>
        <s v="2575@gruposti.com"/>
        <s v="2576@construciainstalaciones.com"/>
        <s v="2577@gmail.com"/>
        <s v="2578@hotmail.com"/>
        <s v="2579@fgc.cat"/>
        <s v="2580@imagenyarquitectura.com.mx"/>
        <s v="2581@yahoo.com"/>
        <s v="2582@ccaait.cat"/>
        <s v="2583@grupcarol.com"/>
        <s v="2584@sistemasdeenergia.es"/>
        <s v="2585@grupoelectrostocks.com"/>
        <s v="2586@saltoki.es"/>
        <s v="2587@picocompany.es"/>
        <s v="2588@fossic.es"/>
        <s v="2589@hotmail.com"/>
        <s v="2590@gmail.com"/>
        <s v="2591@gmail.com"/>
        <s v="2592@bsmsa.cat"/>
        <s v="2593@abcgrup.com"/>
        <s v="2594@gmail.com"/>
        <s v="2595@gmail.com"/>
        <s v="2597@3xakoenergi.com"/>
        <s v="2598@tecoel.es"/>
        <s v="2599@sazepi.com"/>
        <s v="2600@electrimega.es"/>
        <s v="2601@seituria.com"/>
        <s v="2602@saherlux.com"/>
        <s v="2603@guillenmotor.com"/>
        <s v="2604@hotelnelva.es"/>
        <s v="2605@gmail.com"/>
        <s v="2606@gmail.com"/>
        <s v="2607@hotmail.com"/>
        <s v="2608@zambongroup.com"/>
        <s v="2609@construccioicontrol.com"/>
        <s v="2610@orangecorreo.es"/>
        <s v="2611@gocsa.es"/>
        <s v="2612@ingenieriaconforma.com"/>
        <s v="2613@gmail.com"/>
        <s v="2614@rexel.es"/>
        <s v="2615@orbiumsolar.es"/>
        <s v="2616@prysmiangroup.com"/>
        <s v="2617@hotmail.com"/>
        <s v="2618@viegasefilhos.pt"/>
        <s v="2619@gmail.com"/>
        <s v="2620@icloud.com"/>
        <s v="2621@integralplm.com"/>
        <s v="2622@instavi.es"/>
        <s v="2623@mansel.es"/>
        <s v="2624@hotmail.com"/>
        <s v="2625@gmail.com"/>
        <s v="2626@proycoga.es"/>
        <s v="2627@aemsys.com"/>
        <s v="2628@telefonica.net"/>
        <s v="2629@hotmail.com"/>
        <s v="2630@gmail.com"/>
        <s v="2631@gmail.com"/>
        <s v="2632@felices.agency"/>
        <s v="2633@araelec.com"/>
        <s v="2634@hotmail.es"/>
        <s v="2635@ambginy.com"/>
        <s v="2636@sonepar.es"/>
        <s v="2637@metromadrid.es"/>
        <s v="2638@ativalles.com"/>
        <s v="2639@sanitariosbosco.es"/>
        <s v="2640@magserveis.com"/>
        <s v="2641@gmail.com"/>
        <s v="2642@mipelsa.es"/>
        <s v="2643@sansiga.com"/>
        <s v="2644@gmail.com"/>
        <s v="2645@hotmail.com"/>
        <s v="2646@gmail.com"/>
        <s v="2647@rexel.es"/>
        <s v="2648@electracaldense.com"/>
        <s v="2649@grupocuerva.com"/>
        <s v="2650@coac.net"/>
        <s v="2651@yntegraservicios.es"/>
        <s v="2652@tessai.es"/>
        <s v="2653@idiada.com"/>
        <s v="2654@edmcadiz.es"/>
        <s v="2655@getsa.es"/>
        <s v="2656@sonepar.es"/>
        <s v="2657@a4ingenieria.es"/>
        <s v="2658@gmail.com"/>
        <s v="2659@gmail.com"/>
        <s v="2660@gmail.com"/>
        <s v="2661@gmail.com"/>
        <s v="2662@gmail.com"/>
        <s v="2663@bitjerez.com"/>
        <s v="2664@gmail.com"/>
        <s v="2665@electroaldis.com"/>
        <s v="2666@gmail.com"/>
        <s v="2667@iselektric.com"/>
        <s v="2668@gmail.com"/>
        <s v="2669@electroidella.com"/>
        <s v="2670@gmail.com"/>
        <s v="2671@gmail.com"/>
        <s v="2672@gmail.com"/>
        <s v="2673@gamil.com"/>
        <s v="2674@coar.es"/>
        <s v="2675@grupoelectrostocks.com"/>
        <s v="2676@gmail.com"/>
        <s v="2677@gmail.com"/>
        <s v="2678@impact-al.com"/>
        <s v="2679@hotmail.com"/>
        <s v="2680@copitima.com"/>
        <s v="2681@sueprat.es"/>
        <s v="2682@dipucuenca.es"/>
        <s v="2683@live.fr"/>
        <s v="2684@hotmail.com"/>
        <s v="2685@orgaus.com"/>
        <s v="2686@kbingenieria.com"/>
        <s v="2687@serium.es"/>
        <s v="2688@hotmail.com"/>
        <s v="2689@edp-sl.com"/>
        <s v="2690@gmail.com"/>
        <s v="2691@magserveis.com"/>
        <s v="2692@gmail.com"/>
        <s v="2693@bextron.es"/>
        <s v="2694@gmail.com"/>
        <s v="2695@inelt.es"/>
        <s v="2696@1aingenieros.com"/>
        <s v="2697@digamel.com"/>
        <s v="2698@gmail.com"/>
        <s v="2699@gmail.com"/>
        <s v="2700@hotmail.com"/>
        <s v="2701@gmail.com"/>
        <s v="2702@digamel.com"/>
        <s v="2703@hotmail.com"/>
        <s v="2704@construciainstalaciones.com"/>
        <s v="2705@tmb.cat"/>
        <s v="2706@opportunity-one.com"/>
        <s v="2707@gmail.com"/>
        <s v="2708@meta-sidecar.com"/>
        <s v="2709@construciainstalaciones.com"/>
        <s v="2710@arbonapiza.com"/>
        <s v="2711@infinitypv.com"/>
        <s v="2712@gmail.com"/>
        <s v="2713@gmail.com"/>
        <s v="2714@gma.es"/>
        <s v="2715@gmail.com"/>
        <s v="2716@gmail.com"/>
        <s v="2717@gmail.com"/>
        <s v="2718@none.com"/>
        <s v="2719@saltoki.es"/>
        <s v="2720@grupoelectrostocks.com"/>
        <s v="2721@anpasa.es"/>
        <s v="2722@instalacionesyobrasdelrio.com"/>
        <s v="2723@hotmail.com"/>
        <s v="2724@gmeil.com"/>
        <s v="2725@hotmail.com"/>
        <s v="2726@sonepar.es"/>
        <s v="2727@gruponovelec.com"/>
        <s v="2728@gmail.com"/>
        <s v="2729@hotmail.com"/>
        <s v="2730@enzazaden.es"/>
        <s v="2731@gmail.com"/>
        <s v="2732@gmail.com"/>
        <s v="2733@sigmaenginyers.es"/>
        <s v="2734@gmail.com"/>
        <s v="2735@gmail.com"/>
        <s v="2736@gmail.com"/>
        <s v="2737@gmail.com"/>
        <s v="2738@conalepmex.edu.mx"/>
        <s v="2739@constructorasanjose.com"/>
        <s v="2740@gmail.com"/>
        <s v="2741@cruzroja.es"/>
        <s v="2742@mindual.com"/>
        <s v="2743@itaipu.gov.py"/>
        <s v="2745@urbanresilience.eu"/>
        <s v="2746@proinelec.com"/>
        <s v="2747@gmail.com"/>
        <s v="2748@nitlux.es"/>
        <s v="2749@gmail.com"/>
        <s v="2750@exavoltio.es"/>
        <s v="2751@gruponovelec.com"/>
        <s v="2752@ingener.net"/>
        <s v="2753@aurialux.com"/>
        <s v="2754@emgvlasrozas.org"/>
        <s v="2755@gmail.com"/>
        <s v="2756@gmail.com"/>
        <s v="2757@irradiaenergia.com"/>
        <s v="2758@gmail.com"/>
        <s v="2759@gmail.com"/>
        <s v="2760@yahoo.es"/>
        <s v="2761@stratum22.com"/>
        <s v="2762@gmail.com"/>
        <s v="2763@gmail.com"/>
        <s v="2764@gmail.com"/>
        <s v="2765@gmail.com"/>
        <s v="2766@telefonica.net"/>
        <s v="2767@gmail.com"/>
        <s v="2768@gmail.com"/>
        <s v="2769@gmail.com"/>
        <s v="2770@gmail.com"/>
        <s v="2771@gmail.com"/>
        <s v="2772@saltoki.es"/>
        <s v="2773@energiaactiva.es"/>
        <s v="2774@trensfm.com"/>
        <s v="2775@gmail.com"/>
        <s v="2776@pgiengineering.com"/>
        <s v="2777@huelva.es"/>
        <s v="2778@empretelco.es"/>
        <s v="2779@gmail.com"/>
        <s v="2780@abcgrup.com"/>
        <s v="2781@ahabana.co.cu"/>
        <s v="2782@gmail.com"/>
        <s v="2783@gmail.com"/>
        <s v="2784@coac.net"/>
        <s v="2785@climarubi.com"/>
        <s v="2786@metromadrid.es"/>
        <s v="2787@grupocematel.com"/>
        <s v="2788@eurocabos.es"/>
        <s v="2789@telefonica.net"/>
        <s v="2790@gmail.com"/>
        <s v="2791@pickdata.net"/>
        <s v="2792@ajcampos.org"/>
        <s v="2793@gmail.com"/>
        <s v="2794@efinetika.com"/>
        <s v="2795@gmail.com"/>
        <s v="2796@gmail.com"/>
        <s v="2797@gmail.com"/>
        <s v="2798@yahoo.es"/>
        <s v="2799@oceanim.es"/>
        <s v="2800@gmail.com"/>
        <s v="2801@eei-ingenieria.com"/>
        <s v="2802@gonzalezsme.com"/>
        <s v="2803@rodriguezromeu.com"/>
        <s v="2804@vtisl.com"/>
        <s v="2805@gmail.com"/>
        <s v="2806@jdingenieria.com"/>
        <s v="2807@jhfsystemcrane.com"/>
        <s v="2808@gmail.com"/>
        <s v="2809@solerteselen.cat"/>
        <s v="2810@sensorstecnics.net"/>
        <s v="2811@gmail.com"/>
        <s v="2812@martipala.com"/>
        <s v="2813@gmail.com"/>
        <s v="2814@vitrosep.com"/>
        <s v="2815@gmail.com"/>
        <s v="2816@hotmail.com"/>
        <s v="2817@hotmail.com"/>
        <s v="2818@gmail.com"/>
        <s v="2819@satydal.es"/>
        <s v="2820@sanitariosbosco.es"/>
        <s v="2821@gmail.com"/>
        <s v="2822@gmail.com"/>
        <s v="2823@mindual.com"/>
        <s v="2824@gmail.com"/>
        <s v="2825@gmail.com"/>
        <s v="2826@educacion.gob.es"/>
        <s v="2827@soltecgrupo.es"/>
        <s v="2828@coaatz.org"/>
        <s v="2829@sindel.es"/>
        <s v="2830@mequintana.com"/>
        <s v="2831@lantec.es"/>
        <s v="2832@energia.eiffage.es"/>
        <s v="2833@inelsa.com"/>
        <s v="2834@idom.com"/>
        <s v="2835@idom.com"/>
        <s v="2836@pgigrup.com"/>
        <s v="2837@gmail.com"/>
        <s v="2838@gmail.com"/>
        <s v="2839@esprosa.es"/>
        <s v="2840@onemons.es"/>
        <s v="2841@blaudrive.com"/>
        <s v="2842@yahoo.es"/>
        <s v="2843@gmail.com"/>
        <s v="2844@alamos.es"/>
        <s v="2845@araiz.es"/>
        <s v="2846@kubicat.com"/>
        <s v="2847@gmail.com"/>
        <s v="2848@telefonica.net"/>
        <s v="2849@gmail.com"/>
        <s v="2850@hotmail.com"/>
        <s v="2851@yahoo.es"/>
        <s v="2852@gmail.com"/>
        <s v="2853@gmail.com"/>
        <s v="2854@voltplus.es"/>
        <s v="2855@trc.es"/>
        <s v="2856@eurocabos.es"/>
        <s v="2857@gmail.com"/>
        <s v="2858@gmail.com"/>
        <s v="2859@hotmail.com"/>
        <s v="2860@soltecingenieros.com"/>
        <s v="2861@live.com"/>
        <s v="2862@gmail.com"/>
        <s v="2863@hibrielectric.com"/>
        <s v="2864@gmail.com"/>
        <s v="2865@gadisel.com"/>
        <s v="2866@hotmail.com"/>
        <s v="2867@jqadvisors.com"/>
        <s v="2868@cipfplacostera.com"/>
        <s v="2869@montajes-medyp.com"/>
        <s v="2870@yahoo.com"/>
        <s v="2871@assinsta.com"/>
        <s v="2872@hotmail.com"/>
        <s v="2873@gmail.com"/>
        <s v="2874@broa.net"/>
        <s v="2875@ulper.es"/>
        <s v="2876@gmail.com"/>
        <s v="2877@gammasg.com"/>
        <s v="2878@grupojab.es"/>
        <s v="2879@hbalcells.com"/>
        <s v="2880@alfasel.es"/>
        <s v="2881@hotmail.com"/>
        <s v="2882@secorsa.com"/>
        <s v="2883@acciona.com"/>
        <s v="2884@gmail.com"/>
        <s v="2885@instalacionessegura.es"/>
        <s v="2886@construroura.es"/>
        <s v="2887@indasasl.es"/>
        <s v="2888@proalingenieros.com"/>
        <s v="2889@eurocabos.es"/>
        <s v="2890@edu.xunta.es"/>
        <s v="2891@ingenibo.com"/>
        <s v="2892@gmail.com"/>
        <s v="2893@yahoo.com"/>
        <s v="2894@me.com"/>
        <s v="2895@mundoled.net"/>
        <s v="2896@energia.eiffage.es"/>
        <s v="2897@radytel.com"/>
        <s v="2899@gmail.com"/>
        <s v="2900@hotmail.com"/>
        <s v="2901@eneroptim.es"/>
        <s v="2902@gmail.com"/>
        <s v="2903@estudioelan.com"/>
        <s v="2904@gmail.com"/>
        <s v="2905@atoms.cat"/>
        <s v="2906@comb.cat"/>
        <s v="2907@generaeficiencia.com"/>
        <s v="2908@esplugues.cat"/>
        <s v="2909@ekoleds.com"/>
        <s v="2910@syocsa-inarsa.es"/>
        <s v="2911@grupocobra.com"/>
        <s v="2912@essatel.es"/>
        <s v="2913@gmail.com"/>
        <s v="2914@aldaproyectos.es"/>
        <s v="2915@crescencioperez.com"/>
        <s v="2916@diazrojo.com"/>
        <s v="2917@mastercentella.com"/>
        <s v="2918@gmail.com"/>
        <s v="2919@gmail.com"/>
        <s v="2920@prodelectric.es"/>
        <s v="2921@hotmail.com"/>
        <s v="2922@tecnicanorte.com"/>
        <s v="2923@gmail.com"/>
        <s v="2924@gmail.com"/>
        <s v="2925@gmail.com"/>
        <s v="2926@elherco.com"/>
        <s v="2927@interflex.es"/>
        <s v="2929@baurenginyers.cat"/>
        <s v="3292@movistar.es"/>
        <s v="3297@hotmail.com"/>
        <s v="2930@hotmail.com"/>
        <s v="2931@telefonica.net"/>
        <s v="2932@soldeser.com"/>
        <s v="2933@agenex.org"/>
        <s v="2934@gruponovelec.com"/>
        <s v="2935@hotellosllanos.es"/>
        <s v="2936@gmail.com"/>
        <s v="2937@gmail.com"/>
        <s v="2938@inemesa.com"/>
        <s v="2939@oscarcaselles.com"/>
        <s v="2940@xtec.cat"/>
        <s v="2941@gmail.com"/>
        <s v="2942@ragaluz.com"/>
        <s v="2943@agaeng.es"/>
        <s v="2944@prysmiangroup.com"/>
        <s v="2945@gmail.com"/>
        <s v="2946@gmail.com"/>
        <s v="2947@gmail.com"/>
        <s v="2948@gmail.com"/>
        <s v="2949@ignasiconillas.com"/>
        <s v="2950@telematel.com"/>
        <s v="2951@telman.es"/>
        <s v="2952@catrisse.net"/>
        <s v="2953@sinophosgroup.com"/>
        <s v="2954@gmail.com"/>
        <s v="2955@imamagnets.com"/>
        <s v="2956@engie.com"/>
        <s v="2957@doladoingenieria.es"/>
        <s v="2958@gmail.com"/>
        <s v="2959@instalacionesfb.com"/>
        <s v="2960@gmail.com"/>
        <s v="2961@mqrenovables.com"/>
        <s v="2962@gmail.com"/>
        <s v="2963@gmail.com"/>
        <s v="2964@duoarquitectura.es"/>
        <s v="2965@hotmail.com"/>
        <s v="2966@gmail.com"/>
        <s v="2967@gmail.com"/>
        <s v="2968@sueprat.es"/>
        <s v="2969@gmail.com"/>
        <s v="2970@sonepar.es"/>
        <s v="2971@gmail.com"/>
        <s v="2972@us.es"/>
        <s v="2973@rt105.es"/>
        <s v="2974@outlook.com"/>
        <s v="2975@gmail.com"/>
        <s v="2976@gmail.com"/>
        <s v="2977@gmail.com"/>
        <s v="2978@electroredes.com"/>
        <s v="2979@gmail.com"/>
        <s v="2980@live.com"/>
        <s v="2981@gmail.com"/>
        <s v="2982@hotmail.es"/>
        <s v="2983@hotmail.com"/>
        <s v="2984@hotmail.com"/>
        <s v="2985@gmail.com"/>
        <s v="2986@signum.cat"/>
        <s v="2987@comercialsis.com"/>
        <s v="2988@lopezona.com"/>
        <s v="2989@9chip.com"/>
        <s v="2990@gilten.es"/>
        <s v="2991@yahoo.es"/>
        <s v="2992@socidesel.es"/>
        <s v="2993@gmail.com"/>
        <s v="2994@hotmail.com"/>
        <s v="2995@suris.es"/>
        <s v="2996@hotmail.com"/>
        <s v="2997@bgm.pt"/>
        <s v="2998@dosreisinstalaciones.es"/>
        <s v="2999@gmail.com"/>
        <s v="3000@strongpoint.com"/>
        <s v="3001@gmail.com"/>
        <s v="3002@energiaactiva.es"/>
        <s v="3003@ingenieriabenimamet.com"/>
        <s v="3004@yahoo.es"/>
        <s v="3005@electroizas.es"/>
        <s v="3006@ingenieriajorpa.es"/>
        <s v="3007@gmail.com"/>
        <s v="3008@codime.es"/>
        <s v="3009@acciona.com"/>
        <s v="3010@eleko.es"/>
        <s v="3011@gmail.com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4087" sheet="Descargas - Preprocessing"/>
  </cacheSource>
  <cacheFields>
    <cacheField name="Email_pseudo" numFmtId="164">
      <sharedItems containsBlank="1">
        <s v="1@gmail.com"/>
        <s v="2@yahoo.es"/>
        <s v="3@gmail.com"/>
        <s v="4@gmail.com"/>
        <s v="5@infortel.es"/>
        <s v="6@yahoo.es"/>
        <s v="7@unizar.es"/>
        <s v="8@gomezmoreno.com"/>
        <s v="9@chacontch.com"/>
        <s v="10@hotmail.com"/>
        <s v="11@gmail.com"/>
        <s v="12@gmail.com"/>
        <s v="13@inel.es"/>
        <s v="14@enerparking.com"/>
        <s v="15@apba.es"/>
        <s v="16@cambrabcn.org"/>
        <s v="17@gmail.com"/>
        <s v="18@urv.cat"/>
        <s v="19@grupoespacioindustrial.com"/>
        <s v="20@gmail.com"/>
        <s v="21@iteser.com"/>
        <s v="22@gmail.com"/>
        <s v="23@gmail.com"/>
        <s v="24@gmail.com"/>
        <s v="25@gmail.com"/>
        <s v="26@mktg.com"/>
        <s v="27@hotmail.com"/>
        <s v="28@gmail.com"/>
        <s v="29@gmail.com"/>
        <s v="30@gmail.com"/>
        <s v="31@gmail.com"/>
        <s v="32@gmail.com"/>
        <s v="33@gmail.com"/>
        <s v="34@gmail.com"/>
        <s v="35@gmail.com"/>
        <s v="36@visaonomada.pt"/>
        <s v="37@intienergia.com"/>
        <s v="38@telefonica.net"/>
        <s v="39@idom.com"/>
        <s v="40@hotmail.com"/>
        <s v="41@gmail.com"/>
        <s v="42@gmail.com"/>
        <s v="43@electricidadjoselucas.com"/>
        <s v="44@gmail.com"/>
        <s v="45@acotech.es"/>
        <s v="46@hotmail.com"/>
        <s v="47@marpemac.com"/>
        <s v="48@legebiltzarra.eus"/>
        <s v="49@grupocaeiro.es"/>
        <s v="50@gmail.com"/>
        <s v="51@yahoo.es"/>
        <s v="52@tdi-sistemas.com"/>
        <s v="53@dicara.es"/>
        <s v="54@abengoa.com"/>
        <s v="55@hotmail.com"/>
        <s v="56@iesmurgi.org"/>
        <s v="57@gmail.com"/>
        <s v="58@gabyl.com"/>
        <s v="59@gmail.com"/>
        <s v="60@rocketmail.com"/>
        <s v="61@elektra-sa.es"/>
        <s v="62@hotmail.com"/>
        <s v="63@semael.com"/>
        <s v="64@gmail.com"/>
        <s v="65@copitima.com"/>
        <s v="66@dgingenieros.es"/>
        <s v="67@becibiza.es"/>
        <s v="68@ingeosolar.com"/>
        <s v="69@gmail.com"/>
        <s v="70@gmail.com"/>
        <s v="71@hotmail.com"/>
        <s v="72@grupoelectrostocks.com"/>
        <s v="73@hotmail.com"/>
        <s v="74@electricidadguerra.com"/>
        <s v="75@telefonica.net"/>
        <s v="76@gmail.com"/>
        <s v="77@comsa.com"/>
        <s v="78@gmail.com"/>
        <s v="79@sonepar.es"/>
        <s v="80@enginyerstarragona.cat"/>
        <s v="81@gmail.com"/>
        <s v="82@sedes.es"/>
        <s v="83@eduardoaleman.es"/>
        <s v="84@electromontajesroldan.com"/>
        <s v="85@gmail.com"/>
        <s v="86@ingbuero-group.de"/>
        <s v="87@comsa.com"/>
        <s v="88@ingenierosvigo.com"/>
        <s v="89@ipsumindustrial.com"/>
        <s v="90@telefonica.net"/>
        <s v="91@valmet.com"/>
        <s v="92@gmail.com"/>
        <s v="93@gmail.com"/>
        <s v="94@grupocobra.com"/>
        <s v="95@gmail.com"/>
        <s v="96@hotmail.com"/>
        <s v="97@igpingenieria.com"/>
        <s v="98@davidjdiaz.es"/>
        <s v="99@coitir.com"/>
        <s v="100@hotmail.com"/>
        <s v="101@coiirm.es"/>
        <s v="102@telefonica.net"/>
        <s v="103@ciccp.es"/>
        <s v="104@spiningenieros.com"/>
        <s v="105@gmail.com"/>
        <s v="106@ucm.es"/>
        <s v="107@dipucr.es"/>
        <s v="108@salesianos.edu"/>
        <s v="109@gmail.com"/>
        <s v="110@3epsilonsolutions.com"/>
        <s v="111@murciaeduca.es"/>
        <s v="112@gmail.com"/>
        <s v="113@gmail.com"/>
        <s v="114@hotmail.com"/>
        <s v="115@yahoo.es"/>
        <s v="116@sgs.com"/>
        <s v="117@telefonica.net"/>
        <s v="118@legebiltzarra.eus"/>
        <s v="119@ideaingenieria.es"/>
        <s v="120@yahoo.com"/>
        <s v="121@gmail.com"/>
        <s v="122@tecnimed.net"/>
        <s v="123@grupocuerva.com"/>
        <s v="124@betenergia.es"/>
        <s v="125@gmail.com"/>
        <s v="126@gmail.com"/>
        <s v="127@prevae.com"/>
        <s v="128@gmail.com"/>
        <s v="129@inypro.com"/>
        <s v="130@gmail.com"/>
        <s v="131@hotmail.com"/>
        <s v="132@gmail.com"/>
        <s v="133@fasfas.com"/>
        <s v="134@gmail.com"/>
        <s v="135@telefonica.net"/>
        <s v="136@gmail.com"/>
        <s v="137@alcar2000.com"/>
        <s v="138@grupocobra.com"/>
        <s v="139@yahoo.es"/>
        <s v="140@yahoo.es"/>
        <s v="141@gmail.com"/>
        <s v="142@gmail.com"/>
        <s v="143@gmail.com"/>
        <s v="144@gmail.com"/>
        <s v="145@coitihuelva.com"/>
        <s v="146@instalacionsigualada.com"/>
        <s v="147@hotmail.es"/>
        <s v="148@gmail.com"/>
        <s v="149@gmail.com"/>
        <s v="150@atla.es"/>
        <s v="151@gmail.com"/>
        <s v="152@gmail.com"/>
        <s v="153@telefonica.net"/>
        <s v="154@jorditamayo.com"/>
        <s v="155@arcbcn.cat"/>
        <s v="156@riosrenovables.com"/>
        <s v="157@hotmail.com"/>
        <s v="158@acollconsulting.es"/>
        <s v="159@gmail.com"/>
        <s v="160@hotmail.com"/>
        <s v="161@gmail.com"/>
        <s v="162@gmail.com"/>
        <s v="163@gmail.com"/>
        <s v="164@telefonica.net"/>
        <s v="165@dobontech.com"/>
        <s v="166@napols.net"/>
        <s v="167@me.com"/>
        <s v="168@hc-ingenieros.com"/>
        <s v="169@gmail.com"/>
        <s v="170@ciudaddelosmuchachos.com"/>
        <s v="171@gmail.com"/>
        <s v="172@ardisenginyeria.com"/>
        <s v="173@gmail.com"/>
        <s v="174@hotmail.com"/>
        <s v="175@gobesa.com"/>
        <s v="176@aia.cat"/>
        <s v="177@mobcn.org"/>
        <s v="178@tec-engineering.es"/>
        <s v="179@mundo-r.com"/>
        <s v="180@aquambiente.es"/>
        <s v="181@juntaex.es"/>
        <s v="182@usal.es"/>
        <s v="183@arquired.es"/>
        <s v="184@telefonica.net"/>
        <s v="185@asintec.info"/>
        <s v="186@msn.com"/>
        <s v="187@castelyfernandez.es"/>
        <s v="188@gmail.com"/>
        <s v="189@gmail.com"/>
        <s v="190@idom.com"/>
        <s v="191@gruposinelec.com"/>
        <s v="192@gmail.com"/>
        <s v="193@triangulo.com.es"/>
        <s v="194@hotmail.com"/>
        <s v="195@electricidadmadruga.com"/>
        <s v="196@gmail.com"/>
        <s v="197@enginyerstarragona.cat"/>
        <s v="198@hotmail.es"/>
        <s v="199@elektra-sa.es"/>
        <s v="200@smassa.eu"/>
        <s v="201@gmail.com"/>
        <s v="202@gmail.com"/>
        <s v="203@outlook.com"/>
        <s v="204@ebcn.cat"/>
        <s v="205@es.tuv.com"/>
        <s v="206@jgingenieros.es"/>
        <s v="207@tecnicasyrecursos.com"/>
        <s v="208@acortaenergia.com"/>
        <s v="209@azingenieria.es"/>
        <s v="210@simon.pt"/>
        <s v="211@elgremi.cat"/>
        <s v="212@gmail.com"/>
        <s v="213@guidogroup.com"/>
        <s v="214@gmail.com"/>
        <s v="215@enel.com"/>
        <s v="216@gmail.com"/>
        <s v="217@esypro.net"/>
        <s v="218@erasmil.com"/>
        <s v="219@gmail.com"/>
        <s v="220@istem.es"/>
        <s v="221@maganrenovables.com"/>
        <s v="222@jcgracia.es"/>
        <s v="223@gmail.com"/>
        <s v="224@hotmail.com"/>
        <s v="225@gmail.com"/>
        <s v="226@hotmail.com"/>
        <s v="227@gmail.com"/>
        <s v="228@erasmil.com"/>
        <s v="229@gmail.com"/>
        <s v="230@solsureste.com"/>
        <s v="231@gmail.com"/>
        <s v="232@mersa.es"/>
        <s v="233@gmail.com"/>
        <s v="234@pgiengineering.com"/>
        <s v="235@gmail.com"/>
        <s v="236@elecnor.com"/>
        <s v="237@idsa.es"/>
        <s v="238@engie.com"/>
        <s v="239@alfadesarrollo.com"/>
        <s v="240@hotmail.com"/>
        <s v="241@gmail.com"/>
        <s v="242@outlook.es"/>
        <s v="243@homcrea.fr"/>
        <s v="244@as.com"/>
        <s v="245@gmail.com"/>
        <s v="246@simon.es"/>
        <s v="247@gmail.com"/>
        <s v="248@llachsoillum.cat"/>
        <s v="249@herreroingenieros.com"/>
        <s v="250@inacces.com"/>
        <s v="251@gmail.com"/>
        <s v="252@hotmail.com"/>
        <s v="253@putzmeister.com"/>
        <s v="254@hotmail.com"/>
        <s v="255@hotmail.com"/>
        <s v="256@mail.com"/>
        <s v="257@telefonica.net"/>
        <s v="258@jesnar2011.es"/>
        <s v="259@electricosaragon2000.com"/>
        <s v="260@hotmail.com"/>
        <s v="261@gmail.com"/>
        <s v="262@gmail.com"/>
        <s v="263@sueprat.es"/>
        <s v="264@edaie.com"/>
        <s v="265@gmail.com"/>
        <s v="266@hotmail.es"/>
        <s v="267@fiberlec.com"/>
        <s v="268@gmail.com"/>
        <s v="269@hotmail.com"/>
        <s v="270@gmail.com"/>
        <s v="271@pkcgroup.com"/>
        <s v="272@gmail.com"/>
        <s v="273@gmail.com"/>
        <s v="274@movistar.es"/>
        <s v="275@aransa.com"/>
        <s v="276@gmail.com"/>
        <s v="277@fcc.es"/>
        <s v="278@urbaser.com"/>
        <s v="279@vazquezconsuegra.com"/>
        <s v="280@susaeta.net"/>
        <s v="281@montajescastellon.com"/>
        <s v="282@comsa.com"/>
        <s v="283@occidentalhotels.com"/>
        <s v="284@telman.es"/>
        <s v="285@hotmail.com"/>
        <s v="286@icaluz.com"/>
        <s v="287@parcdesalutmar.cat"/>
        <s v="288@fcc.es"/>
        <s v="289@gmail.com"/>
        <s v="290@msn.com"/>
        <s v="291@yahoo.es"/>
        <s v="292@espe.edu.ec"/>
        <s v="293@hotmail.com"/>
        <s v="294@lumial.es"/>
        <s v="295@gmail.com"/>
        <s v="296@gmail.com"/>
        <s v="297@hotmail.com"/>
        <s v="298@ibielectric.com"/>
        <s v="299@vimasol.es"/>
        <s v="300@vimasol.es"/>
        <s v="301@vimasol.es"/>
        <s v="302@loalnet.com"/>
        <s v="303@simon.es"/>
        <s v="304@simon.es"/>
        <s v="305@wanadoo.es"/>
        <s v="306@gmail.com"/>
        <s v="307@yahoo.es"/>
        <s v="308@rexel.es"/>
        <s v="309@hotmail.com"/>
        <s v="310@outlook.com"/>
        <s v="311@tresa.volkswagen.es"/>
        <s v="312@telefonica.net"/>
        <s v="313@inelbo.eiffage.es"/>
        <s v="314@bitrir.es"/>
        <s v="315@bongrup.es"/>
        <s v="316@aymesa.com"/>
        <s v="317@portsdebalears.com"/>
        <s v="318@gmail.com"/>
        <s v="319@gmail.com"/>
        <s v="320@gmail.com"/>
        <s v="321@gmail.com"/>
        <s v="322@rutronik.com"/>
        <s v="323@hotmail.com"/>
        <s v="324@onsaze.es"/>
        <s v="325@sonepar.es"/>
        <s v="326@gmail.com"/>
        <s v="327@romovi.com"/>
        <s v="328@siemens.com"/>
        <s v="329@covama.es"/>
        <s v="330@hotmail.com"/>
        <s v="331@gmail.com"/>
        <s v="332@gmail.com"/>
        <s v="333@jbizcocho.es"/>
        <s v="334@mixmail.com"/>
        <s v="335@faepac.org"/>
        <s v="336@gmail.com"/>
        <s v="337@gmail.com"/>
        <s v="338@u220.es"/>
        <s v="339@emiliocueto.com"/>
        <s v="340@bizkaia.eu"/>
        <s v="341@enchufesolar.com"/>
        <s v="342@idesa.pro"/>
        <s v="343@gmail.com"/>
        <s v="344@hotmail.com"/>
        <s v="345@enerwatt.es"/>
        <s v="346@gmail.com"/>
        <s v="347@engie.com"/>
        <s v="348@telefonica.net"/>
        <s v="349@dipualba.es"/>
        <s v="350@talleresloam.com"/>
        <s v="351@cochele.com"/>
        <s v="352@live.com.mx"/>
        <s v="353@industrialgines.com"/>
        <s v="354@gmail.com"/>
        <s v="355@gmail.com"/>
        <s v="356@hotmail.com"/>
        <s v="357@cesvimap.com"/>
        <s v="358@suris.es"/>
        <s v="359@movistar.es"/>
        <s v="360@gmail.com"/>
        <s v="361@trabajosadomicilio.es"/>
        <s v="362@hotmail.com"/>
        <s v="363@gmail.com"/>
        <s v="364@telefonica.net"/>
        <s v="365@edu.xunta.es"/>
        <s v="366@gmail.com"/>
        <s v="367@yahoo.es"/>
        <s v="368@gmail.com"/>
        <s v="369@upc.edu"/>
        <s v="370@coac.es"/>
        <s v="371@hotmail.com"/>
        <s v="372@ub.edu"/>
        <s v="373@eling.es"/>
        <s v="374@copitima.com"/>
        <s v="375@gmail.com"/>
        <s v="376@gmail.com"/>
        <s v="377@nouges.es"/>
        <s v="378@mcrdielec.com"/>
        <s v="379@gmail.com"/>
        <s v="380@acp-level.es"/>
        <s v="381@mtcholding.ro"/>
        <s v="382@gmail.com"/>
        <s v="383@llamas.com.es"/>
        <s v="384@comsa.com"/>
        <s v="385@upc.edu"/>
        <s v="386@xtec.cat"/>
        <s v="387@gmail.com"/>
        <s v="388@gmail.com"/>
        <s v="389@yahoo.es"/>
        <s v="390@hotmail.com"/>
        <s v="391@gmail.com"/>
        <s v="392@gmail.com"/>
        <s v="393@gmail.com"/>
        <s v="394@yahoo.es"/>
        <s v="395@ajinstal.cat"/>
        <s v="396@gmail.com"/>
        <s v="397@orange.es"/>
        <s v="398@ciudaddelosmuchachos.com"/>
        <s v="399@gmail.com"/>
        <s v="400@arquired.es"/>
        <s v="401@hotmail.es"/>
        <s v="402@gmail.com"/>
        <s v="403@hotmail.com"/>
        <s v="404@hotmail.com"/>
        <s v="405@yahoo.es"/>
        <s v="406@gmail.com"/>
        <s v="407@romher.es"/>
        <s v="408@ic3sl.com"/>
        <s v="409@gruposinelec.com"/>
        <s v="410@gmail.com"/>
        <s v="411@proyectosdelhogar.com"/>
        <s v="412@seelectroled.com"/>
        <s v="413@emancha.com"/>
        <s v="414@gruptba.com"/>
        <s v="415@gmail.com"/>
        <s v="416@dominguezelectricidad.es"/>
        <s v="417@gmail.com"/>
        <s v="418@proyectosict.net"/>
        <s v="419@miscelec.com"/>
        <s v="420@covama.es"/>
        <s v="421@maelse.com"/>
        <s v="422@amena.com"/>
        <s v="423@me.com"/>
        <s v="424@ulmahandling.com"/>
        <s v="425@telefonica.net"/>
        <s v="426@gmail.com"/>
        <s v="427@gmail.com"/>
        <s v="428@hotmail.com"/>
        <s v="429@yahoo.es"/>
        <s v="430@urgon.es"/>
        <s v="431@hotmail.com"/>
        <s v="432@acacea.es"/>
        <s v="433@gmail.com"/>
        <s v="434@gmail.com"/>
        <s v="435@solucionesms.es"/>
        <s v="436@electrosoler.com"/>
        <s v="437@alrolasistemas.es"/>
        <s v="438@epla.es"/>
        <s v="439@edu.xunta.es"/>
        <s v="440@fedirbra.com"/>
        <s v="441@arquiem.es"/>
        <s v="442@hotmail.com"/>
        <s v="443@ingenia.es"/>
        <s v="444@dymiel.es"/>
        <s v="445@sueprat.es"/>
        <s v="446@atega.net"/>
        <s v="447@iescotesbaixes.org"/>
        <s v="448@gmail.com"/>
        <s v="449@urgon.es"/>
        <s v="450@gmail.com"/>
        <s v="451@ingelux.com"/>
        <s v="452@urgon.es"/>
        <s v="453@edelafuente.com"/>
        <s v="454@gmail.com"/>
        <s v="455@gmail.com"/>
        <s v="456@electricidadvilela.com"/>
        <s v="457@outlook.com"/>
        <s v="458@imel.es"/>
        <s v="459@sesetec.com"/>
        <s v="460@gmail.com"/>
        <s v="461@msn.com"/>
        <s v="462@gmail.com"/>
        <s v="463@gmail.com"/>
        <s v="464@hotmail.es"/>
        <s v="465@hotmail.com"/>
        <s v="466@gmail.com"/>
        <s v="467@gmail.com"/>
        <s v="468@yahoo.es"/>
        <s v="469@somorrostro.com"/>
        <s v="470@gmail.com"/>
        <s v="471@abengoa.com"/>
        <s v="472@ebcn.cat"/>
        <s v="473@inexo.es"/>
        <s v="474@tectram.com"/>
        <s v="475@hotmail.es"/>
        <s v="476@hotmail.com"/>
        <s v="477@gmail.com"/>
        <s v="478@gmail.com"/>
        <s v="479@gmail.com"/>
        <s v="480@gmail.com"/>
        <s v="481@gmail.com"/>
        <s v="482@pentamatik.com"/>
        <s v="483@arval.es"/>
        <s v="484@macegroup.com"/>
        <s v="485@hotmail.com"/>
        <s v="486@gmail.com"/>
        <s v="487@gmail.com"/>
        <s v="488@gmail.com"/>
        <s v="489@carbonellfigueras.com"/>
        <s v="490@idom.com"/>
        <s v="491@gmail.com"/>
        <s v="492@hotmail.com"/>
        <s v="493@gmail.com"/>
        <s v="494@protelec.es"/>
        <s v="495@boslan.com"/>
        <s v="496@gmail.com"/>
        <s v="497@6d-ingenieros.com"/>
        <s v="498@gmail.com"/>
        <s v="499@netcabo.pt"/>
        <s v="500@gmail.com"/>
        <s v="501@gmail.com"/>
        <s v="502@hotmail.com"/>
        <s v="503@ofp.cat"/>
        <s v="504@avilayhevia.com"/>
        <s v="505@mavipas.com"/>
        <s v="506@pina-ingenieria.com"/>
        <s v="507@eco-voltaica.com"/>
        <s v="508@gmail.com"/>
        <s v="509@hotmail.com"/>
        <s v="510@gmail.com"/>
        <s v="511@yahoo.es"/>
        <s v="512@hotmail.com"/>
        <s v="513@osmos.es"/>
        <s v="514@hotmail.com"/>
        <s v="515@torrepacheco.es"/>
        <s v="516@hotmail.es"/>
        <s v="517@palmersebastian.com"/>
        <s v="518@gmail.com"/>
        <s v="519@outlook.com"/>
        <s v="520@ecf-electricidad.com"/>
        <s v="521@gmail.com"/>
        <s v="522@siemens.com"/>
        <s v="523@gmail.com"/>
        <s v="524@gmail.com"/>
        <s v="525@comsa.com"/>
        <s v="526@gmail.com"/>
        <s v="527@yahoo.com.mx"/>
        <s v="528@gmail.com"/>
        <s v="529@gmail.com"/>
        <s v="530@trilegend.com"/>
        <s v="531@csisuministros.com"/>
        <s v="532@gmail.com"/>
        <s v="533@emconsulting.es"/>
        <s v="534@gmail.com"/>
        <s v="535@bgp.es"/>
        <s v="536@adymus.es"/>
        <s v="537@sonneingenieria.com"/>
        <s v="538@herquesa.com"/>
        <s v="539@cablenergia.com"/>
        <s v="540@hotmail.com"/>
        <s v="541@gmail.com"/>
        <s v="542@yahoo.es"/>
        <s v="543@andreumanteniment.com"/>
        <s v="544@telnor.es"/>
        <s v="545@serviciosenergeticoslp.es"/>
        <s v="546@gmail.com"/>
        <s v="547@grupocuerva.com"/>
        <s v="548@hotmail.com"/>
        <s v="549@gmail.com"/>
        <s v="550@activate2.com"/>
        <s v="551@mdvproyectos.es"/>
        <s v="552@engie.com"/>
        <s v="553@aenor.com"/>
        <s v="554@gngrup.com"/>
        <s v="555@yahoo.es"/>
        <s v="556@gmail.com"/>
        <s v="557@dip-badajoz.es"/>
        <s v="558@gmail.com"/>
        <s v="559@sygsa.com"/>
        <s v="560@gmail.com"/>
        <s v="561@aialmeingenieros.com"/>
        <s v="562@gmail.com"/>
        <s v="563@salesianospamplona.net"/>
        <s v="564@gmail.com"/>
        <s v="565@gmail.com"/>
        <s v="566@gmail.com"/>
        <s v="567@sonovatec.com"/>
        <s v="568@hotmail.com"/>
        <s v="569@hotmail.com"/>
        <s v="570@hotmail.com"/>
        <s v="571@outlook.com"/>
        <s v="572@gmail.com"/>
        <s v="573@gmail.com"/>
        <s v="574@tecuni.com"/>
        <s v="575@hotmail.com"/>
        <s v="576@gmail.com"/>
        <s v="577@electroalbors.com"/>
        <s v="578@gmail.com"/>
        <s v="579@gmail.com"/>
        <s v="580@gmail.com"/>
        <s v="581@gmail.com"/>
        <s v="582@gmail.com"/>
        <s v="583@iesmontsia.org"/>
        <s v="584@petronet24.net"/>
        <s v="585@hotmail.com"/>
        <s v="586@hotmail.com"/>
        <s v="587@gescogestio.com"/>
        <s v="588@gmail.com"/>
        <s v="589@freelight.es"/>
        <s v="590@hotmail.com"/>
        <s v="591@alterenergy.com.ar"/>
        <s v="592@garciacomas.com"/>
        <s v="593@sorigue.com"/>
        <s v="594@hotmail.com"/>
        <s v="595@centroasturianobarcelona.com"/>
        <s v="596@gmail.com"/>
        <s v="597@svingenieria.com.co"/>
        <s v="598@simon.es"/>
        <s v="599@gmail.com"/>
        <s v="600@saltoki.es"/>
        <s v="601@gmail.com"/>
        <s v="602@gmail.com"/>
        <s v="603@tenmega.pt"/>
        <s v="604@goliathspain.es"/>
        <s v="605@hotmail.com"/>
        <s v="606@gmail.com"/>
        <s v="607@eficiona.com"/>
        <s v="608@sgingenieros.es"/>
        <s v="609@ritelecenergia.es"/>
        <s v="610@electricharger.com"/>
        <s v="611@santacruzdetenerife.es"/>
        <s v="612@gmail.com"/>
        <s v="613@proingo.es"/>
        <s v="614@valledeleste.es"/>
        <s v="615@iealcazar.com"/>
        <s v="616@a6ingenieria.es"/>
        <s v="617@energia.eiffage.es"/>
        <s v="618@ibil.es"/>
        <s v="619@movistar.es"/>
        <s v="620@loop-cn.com"/>
        <s v="621@gmail.com"/>
        <s v="622@icingenieros.es"/>
        <s v="623@gmail.com"/>
        <s v="624@inserty.net"/>
        <s v="625@hotmail.com"/>
        <s v="626@yahoo.es"/>
        <s v="627@gmail.com"/>
        <s v="628@inquo.es"/>
        <s v="629@gmail.com"/>
        <s v="630@melia.com"/>
        <s v="631@engie.com"/>
        <s v="632@gmail.com"/>
        <s v="633@outlook.com"/>
        <s v="634@easycharger.es"/>
        <s v="635@coneq.es"/>
        <s v="636@csisuministros.com"/>
        <s v="637@simon.es"/>
        <s v="638@me.com"/>
        <s v="639@rolearmais.pt"/>
        <s v="640@simon.es"/>
        <s v="641@bodai.es"/>
        <s v="642@ecoviv.eu"/>
        <s v="643@gmail.com"/>
        <s v="644@ebconsultores.com"/>
        <s v="645@confiplano.com"/>
        <s v="646@gmail.com"/>
        <s v="647@apis-ing.es"/>
        <s v="648@bcnovatecnics.com"/>
        <s v="649@yahoo.es"/>
        <s v="650@hotmail.com"/>
        <s v="651@coitim.es"/>
        <s v="652@miesasa.com"/>
        <s v="653@hotmail.com"/>
        <s v="654@staperpetua.cat"/>
        <s v="655@seproi.com"/>
        <s v="656@gmail.com"/>
        <s v="657@enaire.es"/>
        <s v="658@gmail.com"/>
        <s v="659@gleeds.es"/>
        <s v="660@unex.net"/>
        <s v="661@horus.es"/>
        <s v="662@3cid.es"/>
        <s v="663@hotmail.com"/>
        <s v="664@hotmail.es"/>
        <s v="665@gmail.com"/>
        <s v="666@ighmallorca.com"/>
        <s v="667@ces2010.es"/>
        <s v="668@dipucordoba.es"/>
        <s v="669@hotmail.com"/>
        <s v="670@nogawatio.es"/>
        <s v="671@csisuministros.com"/>
        <s v="672@gmail.com"/>
        <s v="673@gmail.com"/>
        <s v="674@coitt.es"/>
        <s v="675@aclingenieria.com"/>
        <s v="676@promec.es"/>
        <s v="677@gmail.com"/>
        <s v="678@nh-hotels.com"/>
        <s v="679@hotmail.com"/>
        <s v="680@chargeguru.com"/>
        <s v="681@electricidadbalaguer.es"/>
        <s v="682@gmail.com"/>
        <s v="683@hagergroup.com"/>
        <s v="684@gmail.com"/>
        <s v="685@climava.com"/>
        <s v="686@electro-h.es"/>
        <s v="687@outlook.es"/>
        <s v="688@legrandgroup.es"/>
        <s v="689@arbonapiza.com"/>
        <s v="690@dllgroup.com"/>
        <s v="691@cbre.com"/>
        <s v="692@gmail.com"/>
        <s v="693@yahoo.com.mx"/>
        <s v="694@gmail.com"/>
        <s v="695@gmail.com"/>
        <s v="696@rlinstalacioneselectricas.com"/>
        <s v="697@ingedomsl.com"/>
        <s v="698@gmail.com"/>
        <s v="699@unisystems.es"/>
        <s v="700@gmail.com"/>
        <s v="701@gmail.com"/>
        <s v="702@hotmail.com"/>
        <s v="703@gmail.com"/>
        <s v="704@gmail.com"/>
        <s v="705@gmail.com"/>
        <s v="706@juntaex.es"/>
        <s v="707@ufd.es"/>
        <s v="708@zaker.com"/>
        <s v="709@gmail.com"/>
        <s v="710@hotmail.com"/>
        <s v="711@hotmail.com"/>
        <s v="712@gjautomotive.com"/>
        <s v="713@gmail.com"/>
        <s v="714@hotmail.com"/>
        <s v="715@gmail.com"/>
        <s v="716@gmail.com"/>
        <s v="717@rtve.es"/>
        <s v="718@poweringcar.com"/>
        <s v="719@gmail.com"/>
        <s v="720@pgiengineering.com"/>
        <s v="721@gmail.com"/>
        <s v="722@gmail.com"/>
        <s v="723@gmail.com"/>
        <s v="724@gmail.com"/>
        <s v="725@gmail.com"/>
        <s v="726@gmail.com"/>
        <s v="727@membrives.es"/>
        <s v="728@calambre.net"/>
        <s v="729@gmail.com"/>
        <s v="730@hotmail.com"/>
        <s v="731@bonoboenergy.com"/>
        <s v="732@vcejudo.es"/>
        <s v="733@gmail.com"/>
        <s v="734@gmail.com"/>
        <s v="735@serveiskronier55.com"/>
        <s v="736@yahoo.com"/>
        <s v="737@lagingenieros.es"/>
        <s v="738@caatvalencia.es"/>
        <s v="739@isf-esp.com"/>
        <s v="740@cee.com.es"/>
        <s v="741@dieselsanchez.com"/>
        <s v="742@acoeman.com"/>
        <s v="743@bahiguell.com"/>
        <s v="744@gmail.com"/>
        <s v="745@geinstal.com"/>
        <s v="746@msn.com"/>
        <s v="747@tecnicas.es"/>
        <s v="748@gmail.com"/>
        <s v="749@gmail.com"/>
        <s v="750@germaniaweb.com"/>
        <s v="751@ecium.es"/>
        <s v="752@hotmail.com"/>
        <s v="753@arquinur.es"/>
        <s v="754@gmail.com"/>
        <s v="755@coitt.es"/>
        <s v="756@gsima.es"/>
        <s v="757@integra-sti.com"/>
        <s v="758@ingenieros.com"/>
        <s v="759@hotmail.com"/>
        <s v="760@hotmail.com"/>
        <s v="761@insfuert.es"/>
        <s v="762@hotmail.com"/>
        <s v="763@gmail.com"/>
        <s v="764@nova-electrica.com"/>
        <s v="765@gmail.com"/>
        <s v="766@hotmail.com"/>
        <s v="767@rexel.es"/>
        <s v="768@gmail.com"/>
        <s v="769@gmail.com"/>
        <s v="770@inmotiza.com"/>
        <s v="771@solutions30.com"/>
        <s v="772@faen.es"/>
        <s v="773@perequart.com"/>
        <s v="774@urgon.es"/>
        <s v="775@yahoo.es"/>
        <s v="776@entepi.com"/>
        <s v="777@onofflife.es"/>
        <s v="778@gmail.com"/>
        <s v="779@gmail.com"/>
        <s v="780@hotmail.com"/>
        <s v="781@gmail.com"/>
        <s v="782@gmail.com"/>
        <s v="783@diexfe.com"/>
        <s v="784@live.com"/>
        <s v="785@gabrielcorchero.org"/>
        <s v="786@grupoelectrostocks.com"/>
        <s v="787@electricidadoriagomez.com"/>
        <s v="788@casvicuatro.es"/>
        <s v="789@simsabdn.cat"/>
        <s v="790@yahoo.com.ar"/>
        <s v="791@hotmail.com"/>
        <s v="792@gva.es"/>
        <s v="793@gmail.com"/>
        <s v="794@somoselectricistas.com"/>
        <s v="795@lomosamovilidad.com"/>
        <s v="796@gmail.com"/>
        <s v="797@gmail.com"/>
        <s v="798@gmail.com"/>
        <s v="799@yahoo.es"/>
        <s v="800@taubertek.com"/>
        <s v="801@hotmail.es"/>
        <s v="802@hotmail.com"/>
        <s v="803@outlook.com"/>
        <s v="804@monrabal.net"/>
        <s v="805@gmail.com"/>
        <s v="806@gmail.com"/>
        <s v="807@gmail.com"/>
        <s v="808@ale.es"/>
        <s v="809@naturgy.com"/>
        <s v="810@arquired.es"/>
        <s v="811@proinsermant.com"/>
        <s v="812@invgrupo.com"/>
        <s v="813@kilovatiogalicia.com"/>
        <s v="814@interingenieria.com"/>
        <s v="815@uach.mx"/>
        <s v="816@energia.eiffage.es"/>
        <s v="817@gmail.com"/>
        <s v="818@galektra.es"/>
        <s v="819@hotmail.com"/>
        <s v="820@ebcn.cat"/>
        <s v="821@gmail.com"/>
        <s v="822@yahoo.fr"/>
        <s v="823@gmail.com"/>
        <s v="824@gmail.com"/>
        <s v="825@hotmail.com"/>
        <s v="826@gmail.com"/>
        <s v="827@coitiar.es"/>
        <s v="828@zf.com"/>
        <s v="829@gmail.com"/>
        <s v="830@gmail.com"/>
        <s v="831@gmail.com"/>
        <s v="832@suministradora.com"/>
        <s v="833@ofitecbp.com"/>
        <s v="834@gmail.com"/>
        <s v="835@gmail.com"/>
        <s v="836@simon.es"/>
        <s v="837@gmail.com"/>
        <s v="838@sdin.es"/>
        <s v="839@fluidsa.com"/>
        <s v="840@gmail.com"/>
        <s v="841@gmail.com"/>
        <s v="842@fibramur.com"/>
        <s v="843@instalacionescueto.com"/>
        <s v="844@certis.cat"/>
        <s v="845@hotmail.com"/>
        <s v="846@hotmail.com"/>
        <s v="847@lodeal.es"/>
        <s v="848@sesaelec.com"/>
        <s v="849@gmail.com"/>
        <s v="850@gmail.com"/>
        <s v="851@arquitecto.com"/>
        <s v="852@grupviu.com"/>
        <s v="853@gmail.com"/>
        <s v="854@msn.com"/>
        <s v="855@msn.com"/>
        <s v="856@gmail.com"/>
        <s v="857@gmail.com"/>
        <s v="858@gmail.com"/>
        <s v="859@hotmail.com"/>
        <s v="860@gmail.com"/>
        <s v="861@outlook.com"/>
        <s v="862@fpcm.es"/>
        <s v="863@outlook.com"/>
        <s v="864@es.uazuay.edu.ec"/>
        <s v="865@asmoaingenieria.com"/>
        <s v="866@typsa.es"/>
        <s v="867@proyectosjamaras.es"/>
        <s v="868@gmail.com"/>
        <s v="869@yahoo.es"/>
        <s v="870@gmail.com"/>
        <s v="871@cefiner.com"/>
        <s v="872@gmail.com"/>
        <s v="873@eutikes.com"/>
        <s v="874@coac.net"/>
        <s v="875@orange.es"/>
        <s v="876@arquitectonica.cat"/>
        <s v="877@gmail.com"/>
        <s v="878@masteringenieria.com"/>
        <s v="879@sicoris.com"/>
        <s v="880@miquelnieto.com"/>
        <s v="881@hotmail.com"/>
        <s v="882@domotelelectric.com"/>
        <s v="883@hotmail.com"/>
        <s v="884@enersos.es"/>
        <s v="885@gmail.com"/>
        <s v="886@gmail.com"/>
        <s v="887@gmail.com"/>
        <s v="888@zivautomation.com"/>
        <s v="889@hotmail.com"/>
        <s v="890@hotmail.com"/>
        <s v="891@gmail.com"/>
        <s v="892@hotmail.com"/>
        <s v="893@krean.com"/>
        <s v="894@gmail.com"/>
        <s v="895@volumetric.eu"/>
        <s v="896@gmail.com"/>
        <s v="897@rtve.es"/>
        <s v="898@gmail.com"/>
        <s v="899@gmail.com"/>
        <s v="900@hirurok.eu"/>
        <s v="901@gmail.com"/>
        <s v="902@gmail.com"/>
        <s v="903@edirocsa.com"/>
        <s v="904@inboundcycle.com"/>
        <s v="905@yahoo.es"/>
        <s v="906@europrojectes.es"/>
        <s v="907@gmail.com"/>
        <s v="908@hotmail.com"/>
        <s v="909@gmail.com"/>
        <s v="910@sogesa.es"/>
        <s v="911@lusorede.pt"/>
        <s v="912@gmail.com"/>
        <s v="913@quorania.com"/>
        <s v="914@gmail.com"/>
        <s v="915@gmail.com"/>
        <s v="916@gcaarq.com"/>
        <s v="917@gmail.com"/>
        <s v="918@gmail.com"/>
        <s v="919@hotmail.com"/>
        <s v="920@meval.eu"/>
        <s v="921@gmail.com"/>
        <s v="922@ingenierosvigo.com"/>
        <s v="923@gmail.com"/>
        <s v="924@msn.com"/>
        <s v="925@eco-voltaica.com"/>
        <s v="926@electricidadyserviciosmontero.com"/>
        <s v="927@argionelectric.es"/>
        <s v="928@gmail.com"/>
        <s v="929@acciona.com"/>
        <s v="930@acciona.com"/>
        <s v="931@acciona.com"/>
        <s v="932@bellmasenginyers.cat"/>
        <s v="933@orsei.es"/>
        <s v="934@outlook.com"/>
        <s v="935@gmail.com"/>
        <s v="936@gmail.com"/>
        <s v="937@gmail.com"/>
        <s v="938@montegar.es"/>
        <s v="939@gmail.com"/>
        <s v="940@masojuando.com"/>
        <s v="941@gmail.com"/>
        <s v="942@r11arquitectos.com"/>
        <s v="943@gabyl.com"/>
        <s v="944@gmail.com"/>
        <s v="945@red.renault.es"/>
        <s v="946@gmail.com"/>
        <s v="947@clysema.com"/>
        <s v="948@gmail.com"/>
        <s v="949@cadielsa.com"/>
        <s v="950@grupocobra.com"/>
        <s v="951@tenerasa.es"/>
        <s v="952@simon.es"/>
        <s v="953@mosancar.com"/>
        <s v="954@aiguesmanresa.cat"/>
        <s v="955@conras.es"/>
        <s v="956@mebaluz.es"/>
        <s v="957@germaniaweb.com"/>
        <s v="958@hotmail.es"/>
        <s v="959@mlopezarquitectos.com"/>
        <s v="960@aqelectric.es"/>
        <s v="961@gmail.com"/>
        <s v="962@electropla.cat"/>
        <s v="963@gmail.com"/>
        <s v="964@hotmail.com"/>
        <s v="965@gmail.com"/>
        <s v="966@miguelmoralesingenieros.com"/>
        <s v="967@lacsl.es"/>
        <s v="968@gmail.com"/>
        <s v="969@comercialsis.com"/>
        <s v="970@acelecsal.com"/>
        <s v="971@imagogestion.com"/>
        <s v="972@acelecsal.com"/>
        <s v="973@live.com"/>
        <s v="974@yahoo.es"/>
        <s v="975@yahoo.com"/>
        <s v="976@simonelectrica.com"/>
        <s v="977@tarragona.cat"/>
        <s v="978@gmail.com"/>
        <s v="979@gmail.com"/>
        <s v="980@coiiar.org"/>
        <s v="981@gmail.com"/>
        <s v="982@gmail.com"/>
        <s v="983@elektracat.com"/>
        <s v="984@gmail.com"/>
        <s v="985@jesnar2011.es"/>
        <s v="986@hotmail.com"/>
        <s v="987@ginsa.cat"/>
        <s v="988@electromercantil.es"/>
        <s v="989@electricasllop.com"/>
        <s v="990@gmail.com"/>
        <s v="991@yahoo.es"/>
        <s v="992@yahoo.es"/>
        <s v="993@electricidadguerra.com"/>
        <s v="994@gruponovelec.com"/>
        <s v="995@telefonica.net"/>
        <s v="996@comb.cat"/>
        <s v="997@yahoo.es"/>
        <s v="998@damuvi.com"/>
        <s v="999@aeperez.es"/>
        <s v="1000@hotmail.com"/>
        <s v="1001@hotmail.com"/>
        <s v="1002@hotmail.com"/>
        <s v="1003@gmail.com"/>
        <s v="1004@telefonica.net"/>
        <s v="1005@allendearquitectos.com"/>
        <s v="1006@gmail.com"/>
        <s v="1007@yahoo.es"/>
        <s v="1008@olleo.es"/>
        <s v="1009@ccatlantico.com"/>
        <s v="1010@simon.es"/>
        <s v="1011@gmail.com"/>
        <s v="1012@formasymateriales.com"/>
        <s v="1013@hotmail.com"/>
        <s v="1014@gmail.com"/>
        <s v="1015@aziraelectricidad.com"/>
        <s v="1016@coitt.es"/>
        <s v="1017@tesnetwork.net"/>
        <s v="1018@esmassmart.com"/>
        <s v="1019@ingeralbaida.es"/>
        <s v="1020@deinrresa.es"/>
        <s v="1021@proturhotels.com"/>
        <s v="1022@uhu.es"/>
        <s v="1023@hotmail.com"/>
        <s v="1024@elecnor.com"/>
        <s v="1025@gmail.com"/>
        <s v="1026@aia.cat"/>
        <s v="1027@leanteam.es"/>
        <s v="1028@ingenierosvalladolid.es"/>
        <s v="1029@gmail.com"/>
        <s v="1030@inmaser-integral.es"/>
        <s v="1031@grupoitesa.com"/>
        <s v="1032@zioenginy.com"/>
        <s v="1033@gmail.com"/>
        <s v="1034@gmail.com"/>
        <s v="1035@gmail.com"/>
        <s v="1036@grupoelectrostocks.com"/>
        <s v="1037@gmail.com"/>
        <s v="1038@gmail.com"/>
        <s v="1039@yahoo.es"/>
        <s v="1040@gmail.com"/>
        <s v="1041@jordimoran.es"/>
        <s v="1042@alvae.es"/>
        <s v="1043@gmail.com"/>
        <s v="1044@hotmail.com"/>
        <s v="1045@coac.net"/>
        <s v="1046@gmail.com"/>
        <s v="1047@coag.es"/>
        <s v="1048@usc.es"/>
        <s v="1049@gmail.com"/>
        <s v="1050@hotmail.es"/>
        <s v="1051@gmail.com"/>
        <s v="1052@yahoo.es"/>
        <s v="1053@gmail.com"/>
        <s v="1054@isd-ingenieria.es"/>
        <s v="1055@gmail.com"/>
        <s v="1056@gmail.com"/>
        <s v="1057@gmsil.com"/>
        <s v="1058@gmail.com"/>
        <s v="1059@yahoo.es"/>
        <s v="1060@hotmail.com"/>
        <s v="1061@perezescribano.es"/>
        <s v="1062@hotmail.com"/>
        <s v="1063@gmail.com"/>
        <s v="1064@abxat.com"/>
        <s v="1065@movistar.es"/>
        <s v="1066@gmail.com"/>
        <s v="1067@gmail.com"/>
        <s v="1068@dominion.es"/>
        <s v="1069@agoitziru.es"/>
        <s v="1070@vamostelecom.es"/>
        <s v="1071@industrialgines.com"/>
        <s v="1072@gmail.com"/>
        <s v="1073@grupolasser.com"/>
        <s v="1074@hotmail.com"/>
        <s v="1075@gmail.com"/>
        <s v="1076@gmail.com"/>
        <s v="1077@hotmail.com"/>
        <s v="1078@gmail.com"/>
        <s v="1079@outlook.es"/>
        <s v="1080@levitec.es"/>
        <s v="1081@teideingenieros.com"/>
        <s v="1082@gmail.com"/>
        <s v="1083@hotmail.com"/>
        <s v="1084@gmail.com"/>
        <s v="1085@gmail.com"/>
        <s v="1086@gmail.com"/>
        <s v="1087@hotmail.com"/>
        <s v="1088@citemaing.com"/>
        <s v="1089@gmail.com"/>
        <s v="1090@hotmail.com"/>
        <s v="1091@simon.es"/>
        <s v="1092@cipfpcanastell.com"/>
        <s v="1093@edu.xunta.es"/>
        <s v="1094@hotmail.com"/>
        <s v="1095@gmail.com"/>
        <s v="1096@mpf-ingenieria.es"/>
        <s v="1097@santaeulalia.cat"/>
        <s v="1098@simonelectrica.com"/>
        <s v="1099@hotmail.com"/>
        <s v="1100@boffor.com"/>
        <s v="1101@hotmail.com"/>
        <s v="1102@gmail.com"/>
        <s v="1103@montajeselectricosfase.com"/>
        <s v="1104@gmail.com"/>
        <s v="1105@gmail.com"/>
        <s v="1106@gruponoria.com"/>
        <s v="1107@ryaingenieros.com"/>
        <s v="1108@enginyerstarragona.cat"/>
        <s v="1109@gmail.com"/>
        <s v="1110@gmail.com"/>
        <s v="1111@hotmail.com"/>
        <s v="1112@covama.es"/>
        <s v="1113@aurialux.com"/>
        <s v="1114@teclisa.com"/>
        <s v="1115@muntanerelectro.com"/>
        <s v="1116@suelba.com"/>
        <s v="1117@hotmail.com"/>
        <s v="1118@coitiar.es"/>
        <s v="1119@gmail.com"/>
        <s v="1120@sonepar.es"/>
        <s v="1121@gmail.com"/>
        <s v="1122@hotmail.es"/>
        <s v="1123@gmail.com"/>
        <s v="1124@energonrenovables.es"/>
        <s v="1125@rocaingenieros.com"/>
        <s v="1126@viveme.es"/>
        <s v="1127@telefonica.net"/>
        <s v="1128@fgingenieria.com"/>
        <s v="1129@eselfri.com"/>
        <s v="1130@kairsa.com"/>
        <s v="1131@gmail.com"/>
        <s v="1132@yahoo.es"/>
        <s v="1133@hotmail.com"/>
        <s v="1134@integratoledo.com"/>
        <s v="1135@gmail.com"/>
        <s v="1136@metalux.es"/>
        <s v="1137@eiasein.es"/>
        <s v="1138@arquired.es"/>
        <s v="1139@gmail.com"/>
        <s v="1140@fer.es"/>
        <s v="1141@coitim.es"/>
        <s v="1142@asmesl.es"/>
        <s v="1143@gmail.com"/>
        <s v="1144@idponline.net"/>
        <s v="1145@miretelectricidad.com"/>
        <s v="1146@hotmail.com"/>
        <s v="1147@magalux.es"/>
        <s v="1148@dipusevilla.es"/>
        <s v="1149@fillsdelluissureda.cat"/>
        <s v="1150@gmail.com"/>
        <s v="1151@telefonica.net"/>
        <s v="1152@lahidro.net"/>
        <s v="1153@hotmail.com"/>
        <s v="1154@gmail.com"/>
        <s v="1155@mapelsl.com"/>
        <s v="1156@berrilanbim.com"/>
        <s v="1157@himalayaclimatizacionycontrol.es"/>
        <s v="1158@hotmail.com"/>
        <s v="1159@birtes.com.tr"/>
        <s v="1160@copcisa.com"/>
        <s v="1161@sygsa.com"/>
        <s v="1162@gmail.com"/>
        <s v="1163@instalmasa.com"/>
        <s v="1164@projecat.com"/>
        <s v="1165@gmail.com"/>
        <s v="1166@hotmail.com"/>
        <s v="1167@tselsur.es"/>
        <s v="1168@renaultpineda.com"/>
        <s v="1169@gmail.com"/>
        <s v="1170@lahidro.net"/>
        <s v="1171@albaida.es"/>
        <s v="1172@sunkatel.com"/>
        <s v="1173@vifrisan.com"/>
        <s v="1174@alem.es"/>
        <s v="1175@gmail.com"/>
        <s v="1176@gmail.com"/>
        <s v="1177@imte.cat"/>
        <s v="1178@hotmail.com"/>
        <s v="1179@hotmail.com"/>
        <s v="1180@sonepar.es"/>
        <s v="1181@mapfre.com"/>
        <s v="1182@damm.es"/>
        <s v="1183@ddisl.com"/>
        <s v="1184@tecmotica.net"/>
        <s v="1185@lmretavi.es"/>
        <s v="1186@gmail.com"/>
        <s v="1187@gmail.com"/>
        <s v="1188@gmail.com"/>
        <s v="1189@gmail.com"/>
        <s v="1190@telecable.es"/>
        <s v="1191@tinet.fut.es"/>
        <s v="1192@toyota-canarias.es"/>
        <s v="1193@grupoelectrostocks.com"/>
        <s v="1194@hotmail.com"/>
        <s v="1195@gmail.com"/>
        <s v="1196@hotmail.com"/>
        <s v="1197@electricidadcelec.com"/>
        <s v="1198@hotmail.com"/>
        <s v="1199@qwerty.es"/>
        <s v="1200@gg.com"/>
        <s v="1201@yahoo.es"/>
        <s v="1202@gmail.com"/>
        <s v="1203@smarthaus.studio"/>
        <s v="1204@me.com"/>
        <s v="1205@telefonica.net"/>
        <s v="1206@gmail.com"/>
        <s v="1207@gmail.com"/>
        <s v="1208@gmail.com"/>
        <s v="1209@hotmail.es"/>
        <s v="1210@pepepower.es"/>
        <s v="1211@outlook.es"/>
        <s v="1212@hotmail.com"/>
        <s v="1213@hotmail.com"/>
        <s v="1214@gmail.com"/>
        <s v="1215@subis.cat"/>
        <s v="1216@gmail.com"/>
        <s v="1217@gmail.com"/>
        <s v="1218@gmail.com"/>
        <s v="1219@actluz.com"/>
        <s v="1220@sanitariosbosco.es"/>
        <s v="1221@gencat.cat"/>
        <s v="1222@hotmail.com"/>
        <s v="1223@proyecta79.com"/>
        <s v="1224@ipertec.es"/>
        <s v="1225@yahoo.es"/>
        <s v="1226@agiceringenieros.es"/>
        <s v="1227@telefonica.net"/>
        <s v="1228@entax.es"/>
        <s v="1229@yahoo.es"/>
        <s v="1230@gmail.com"/>
        <s v="1231@gmail.com"/>
        <s v="1232@planocaceres.com"/>
        <s v="1233@hotmail.com"/>
        <s v="1234@gmail.com"/>
        <s v="1235@gmail.com"/>
        <s v="1236@hotmail.com"/>
        <s v="1237@gmail.com"/>
        <s v="1238@gmail.com"/>
        <s v="1239@telefonica.net"/>
        <s v="1240@hotmail.com"/>
        <s v="1241@gmail.com"/>
        <s v="1242@hotmail.com"/>
        <s v="1243@educa.jcyl.es"/>
        <s v="1244@gmail.com"/>
        <s v="1245@hotmail.com"/>
        <s v="1246@ecoltan.org"/>
        <s v="1247@gmail.com"/>
        <s v="1248@gmail.com"/>
        <s v="1249@gmail.com"/>
        <s v="1250@telefonica.net"/>
        <s v="1251@gomurmya.com"/>
        <s v="1252@desarrollotecnico.com"/>
        <s v="1253@gmail.com"/>
        <s v="1254@gmail.com"/>
        <s v="1255@hotmail.com"/>
        <s v="1256@gmail.com"/>
        <s v="1257@carsbarcelona.es"/>
        <s v="1258@gmail.com"/>
        <s v="1259@radresa.com"/>
        <s v="1260@gdr.es"/>
        <s v="1261@e-copitile.es"/>
        <s v="1262@hotmail.com"/>
        <s v="1263@hotmail.com"/>
        <s v="1264@gmail.com"/>
        <s v="1265@hotmail.com"/>
        <s v="1266@gmail.com"/>
        <s v="1267@motor2000.net"/>
        <s v="1268@gamai.com"/>
        <s v="1269@kuartafase.com"/>
        <s v="1270@solcansl.com"/>
        <s v="1271@yahoo.es"/>
        <s v="1272@gmail.com"/>
        <s v="1273@telefonica.net"/>
        <s v="1274@gmail.com"/>
        <s v="1275@sonepar.es"/>
        <s v="1276@protomar.es"/>
        <s v="1277@sonepar.es"/>
        <s v="1278@gmail.com"/>
        <s v="1279@fccco.com"/>
        <s v="1280@coitiar.es"/>
        <s v="1281@albillos.com"/>
        <s v="1282@hotmail.com"/>
        <s v="1283@gmail.com"/>
        <s v="1284@gmail.com"/>
        <s v="1285@e3ingenieria.com"/>
        <s v="1286@instalacionespiru.es"/>
        <s v="1287@aytosalamanca.es"/>
        <s v="1288@serpel.es"/>
        <s v="1289@gmail.com"/>
        <s v="1290@tesma.es"/>
        <s v="1291@macegroup.com"/>
        <s v="1292@gmail.com"/>
        <s v="1293@gmail.com"/>
        <s v="1294@gmail.com"/>
        <s v="1295@hotmail.es"/>
        <s v="1296@gmail.com"/>
        <s v="1297@silmarinstalacions.com"/>
        <s v="1298@gmail.com"/>
        <s v="1299@sonepar.es"/>
        <s v="1300@movistar.es"/>
        <s v="1301@electricidadaldama.com"/>
        <s v="1302@alem.es"/>
        <s v="1303@hotmail.com"/>
        <s v="1304@ingenibo.com"/>
        <s v="1305@checa67.es"/>
        <s v="1306@instalacionesyobrasdelrio.com"/>
        <s v="1307@gmail.com"/>
        <s v="1308@tdgi.pt"/>
        <s v="1309@gmail.com"/>
        <s v="1310@hotmail.com"/>
        <s v="1311@gmail.com"/>
        <s v="1312@gmail.com"/>
        <s v="1313@adober.es"/>
        <s v="1314@jtelectricperu.com"/>
        <s v="1315@riello-tdl.com"/>
        <s v="1316@proyndust.es"/>
        <s v="1317@gmail.com"/>
        <s v="1318@inteleclamancha.com"/>
        <s v="1319@masfarne.info"/>
        <s v="1320@gmail.com"/>
        <s v="1321@gmail.com"/>
        <s v="1322@gmail.com"/>
        <s v="1323@gmail.com"/>
        <s v="1324@hotmail.com"/>
        <s v="1325@gmail.com"/>
        <s v="1326@saltoki.es"/>
        <s v="1327@tinet.org"/>
        <s v="1328@gmail.com"/>
        <s v="1329@gmail.com"/>
        <s v="1330@comb.cat"/>
        <s v="1331@gmail.com"/>
        <s v="1332@novarquia.es"/>
        <s v="1333@lantec.es"/>
        <s v="1334@hotmail.es"/>
        <s v="1335@santalucia.es"/>
        <s v="1336@yahoo.es"/>
        <s v="1337@grupoelectrostocks.com"/>
        <s v="1338@gmail.com"/>
        <s v="1339@electrogalmar.es"/>
        <s v="1340@silezgrup.com"/>
        <s v="1341@electricidadinstalvi.com"/>
        <s v="1342@ic3sl.com"/>
        <s v="1343@hotmail.com"/>
        <s v="1344@gmail.com"/>
        <s v="1345@telefonica.net"/>
        <s v="1346@boslan.com"/>
        <s v="1347@ormazabal.com"/>
        <s v="1348@gmail.com"/>
        <s v="1349@gmail.com"/>
        <s v="1350@gmail.com"/>
        <s v="1351@conselldemallorca.net"/>
        <s v="1352@autelec.net"/>
        <s v="1353@cairo.ad"/>
        <s v="1354@hotmail.com"/>
        <s v="1355@gmail.com"/>
        <s v="1356@hotmail.com"/>
        <s v="1357@gmail.com"/>
        <s v="1358@gmail.com"/>
        <s v="1359@grupotandal.com"/>
        <s v="1360@hotmail.com"/>
        <s v="1361@gmail.com"/>
        <s v="1362@gmail.com"/>
        <s v="1363@hotmail.com"/>
        <s v="1364@eirazola.com"/>
        <s v="1365@hotmail.com"/>
        <s v="1366@electroalco.es"/>
        <s v="1367@telecable.es"/>
        <s v="1368@baselec.es"/>
        <s v="1369@atribal.es"/>
        <s v="1370@hotmail.com"/>
        <s v="1371@gmail.com"/>
        <s v="1372@telefonica.net"/>
        <s v="1373@electrolucman.com"/>
        <s v="1374@autelec.net"/>
        <s v="1375@gmail.com"/>
        <s v="1376@telefonica.net"/>
        <s v="1377@hotmail.com"/>
        <s v="1378@electromat.com"/>
        <s v="1379@hotmail.com"/>
        <s v="1380@gmail.com"/>
        <s v="1381@msn.com"/>
        <s v="1382@gmail.com"/>
        <s v="1383@grupoazmont.com"/>
        <s v="1384@eringenieria.com"/>
        <s v="1385@telefonica.net"/>
        <s v="1386@grupoevc.es"/>
        <s v="1387@yahoo.com.mx"/>
        <s v="1388@covama.es"/>
        <s v="1389@hotmail.com"/>
        <s v="1390@gmail.com"/>
        <s v="1391@grupojab.es"/>
        <s v="1392@msn.com"/>
        <s v="1393@electricidadguerra.com"/>
        <s v="1394@gmail.com"/>
        <s v="1395@cenorma.com"/>
        <s v="1396@telefonica.net"/>
        <s v="1397@olibayas.net"/>
        <s v="1398@teclisa.com"/>
        <s v="1399@gmail.com"/>
        <s v="1400@apeh.org"/>
        <s v="1401@auditenergia.com"/>
        <s v="1402@gmail.com"/>
        <s v="1403@grupoelectrostocks.com"/>
        <s v="1404@eurocabos.es"/>
        <s v="1405@arreglosoluciones.com"/>
        <s v="1406@gmail.com"/>
        <s v="1407@gmail.com"/>
        <s v="1408@cepsa.com"/>
        <s v="1409@simon.es"/>
        <s v="1410@elecnor.es"/>
        <s v="1411@ujaen.es"/>
        <s v="1412@electryser.com"/>
        <s v="1413@gmail.com"/>
        <s v="1414@gmail.com"/>
        <s v="1415@coytesa.com"/>
        <s v="1416@edifesa.com"/>
        <s v="1417@gmail.com"/>
        <s v="1418@gmail.com"/>
        <s v="1419@gmail.com"/>
        <s v="1420@globalelectrica.com"/>
        <s v="1421@itesasl.com"/>
        <s v="1422@gmail.com"/>
        <s v="1423@telefonica.net"/>
        <s v="1424@gmail.com"/>
        <s v="1425@elezvi.com"/>
        <s v="1426@gmail.com"/>
        <s v="1427@hotmail.es"/>
        <s v="1428@gadeaingenieros.com"/>
        <s v="1429@yahoo.es"/>
        <s v="1430@outlook.es"/>
        <s v="1431@jgingenieros.es"/>
        <s v="1432@gmail.com"/>
        <s v="1433@apeme.es"/>
        <s v="1434@planamar.com"/>
        <s v="1435@serindex.es"/>
        <s v="1436@deerns.com"/>
        <s v="1437@indal-tec.com"/>
        <s v="1438@hotmail.com"/>
        <s v="1439@amingenieros.com"/>
        <s v="1440@hotmail.com"/>
        <s v="1441@gmail.com"/>
        <s v="1442@sonepar.es"/>
        <s v="1443@hotmail.com"/>
        <s v="1444@gmail.com"/>
        <s v="1445@gmail.com"/>
        <s v="1446@gmail.com"/>
        <s v="1447@galektra.es"/>
        <s v="1448@renowattandorra.com"/>
        <s v="1449@aseisa.es"/>
        <s v="1450@hotmail.com"/>
        <s v="1451@electrocuebar.com"/>
        <s v="1452@ricarsat.com"/>
        <s v="1453@ingenierosdecadiz.es"/>
        <s v="1454@yahoo.es"/>
        <s v="1455@gmail.com"/>
        <s v="1456@telefonica.net"/>
        <s v="1457@covama.es"/>
        <s v="1458@gmail.com"/>
        <s v="1459@mican.es"/>
        <s v="1460@gmail.com"/>
        <s v="1461@gmail.com"/>
        <s v="1462@cadlan.com"/>
        <s v="1463@sicarsl.es"/>
        <s v="1464@gmail.com"/>
        <s v="1465@guielec.es"/>
        <s v="1466@telegrado.es"/>
        <s v="1467@agave-broadcast.es"/>
        <s v="1468@gmail.com"/>
        <s v="1469@hotmail.com"/>
        <s v="1470@gmail.com"/>
        <s v="1471@tcasertec.com"/>
        <s v="1472@yahoo.es"/>
        <s v="1473@hotmail.com"/>
        <s v="1474@urgon.es"/>
        <s v="1475@electricidadreset.es"/>
        <s v="1476@sonepar.es"/>
        <s v="1477@sonepar.es"/>
        <s v="1478@gmail.com"/>
        <s v="1479@iespunyes.com"/>
        <s v="1480@coiim.es"/>
        <s v="1481@iesmercurio.es"/>
        <s v="1482@gmail.com"/>
        <s v="1483@gruponovelec.com"/>
        <s v="1484@r3recymed.com"/>
        <s v="1485@simon.es"/>
        <s v="1486@gmail.com"/>
        <s v="1487@gmail.com"/>
        <s v="1488@telefonica.net"/>
        <s v="1489@gmail.com"/>
        <s v="1490@hotmail.com"/>
        <s v="1491@donbany.com"/>
        <s v="1492@aurialux.com"/>
        <s v="1493@hotmail.com"/>
        <s v="1494@gmail.com"/>
        <s v="1495@grupcluster.com"/>
        <s v="1496@coitt.es"/>
        <s v="1497@covama.es"/>
        <s v="1498@gmail.com"/>
        <s v="1499@sonepar.es"/>
        <s v="1500@covama.es"/>
        <s v="1501@clientes.euskaltel.es"/>
        <s v="1502@educastur.org"/>
        <s v="1503@simon.es"/>
        <s v="1504@gmail.com"/>
        <s v="1505@gmail.com"/>
        <s v="1506@dhorma.com"/>
        <s v="1507@hotmail.com"/>
        <s v="1508@gmail.com"/>
        <s v="1509@xonxa.com"/>
        <s v="1510@adelanteenergia.es"/>
        <s v="1511@hotmail.com"/>
        <s v="1512@elecox.es"/>
        <s v="1513@simon.es"/>
        <s v="1514@hotmail.com"/>
        <s v="1515@expertline.es"/>
        <s v="1516@gmail.com"/>
        <s v="1517@hotmail.com"/>
        <s v="1518@gmail.com"/>
        <s v="1519@tadelec.com"/>
        <s v="1520@cebrinsa.es"/>
        <s v="1521@hotmail.com"/>
        <s v="1522@agad.cat"/>
        <s v="1523@ofitep.com"/>
        <s v="1524@suministrosserpis.es"/>
        <s v="1525@abcgrup.com"/>
        <s v="1526@gmail.com"/>
        <s v="1527@prodelec.es"/>
        <s v="1528@sitiaingenieria.com"/>
        <s v="1529@simon.es"/>
        <s v="1530@aller.es"/>
        <s v="1531@telefonica.net"/>
        <s v="1532@telefonica.net"/>
        <s v="1533@gmail.com"/>
        <s v="1534@gmail.com"/>
        <s v="1535@hotmail.com"/>
        <s v="1536@estudiosyproyectos.com"/>
        <s v="1537@prysmiangroup.com"/>
        <s v="1538@auditenergia.com"/>
        <s v="1539@hotmail.com"/>
        <s v="1540@heliopol.es"/>
        <s v="1541@acp-level.es"/>
        <s v="1542@meomsl.com"/>
        <s v="1543@cotpa.com"/>
        <s v="1544@hotmail.com"/>
        <s v="1545@hotmail.com"/>
        <s v="1546@gmail.com"/>
        <s v="1547@gmail.com"/>
        <s v="1548@gva.es"/>
        <s v="1549@urgon.es"/>
        <s v="1550@die.upv.es"/>
        <s v="1551@avatry.es"/>
        <s v="1552@yahoo.es"/>
        <s v="1553@arfecons.es"/>
        <s v="1554@simon.es"/>
        <s v="1555@marinstal.com"/>
        <s v="1556@electricidadguerra.com"/>
        <s v="1557@gmail.com"/>
        <s v="1558@gmail.com"/>
        <s v="1559@strong.es"/>
        <s v="1560@copitival.es"/>
        <s v="1561@elecvic.com"/>
        <s v="1562@gmail.com"/>
        <s v="1563@emtvalencia.es"/>
        <s v="1564@dimelsa.es"/>
        <s v="1565@simon.es"/>
        <s v="1566@elecparamos.com"/>
        <s v="1567@egarriga.com"/>
        <s v="1568@gmail.com"/>
        <s v="1569@ecag.es"/>
        <s v="1570@yahoo.es"/>
        <s v="1571@electrolid.es"/>
        <s v="1572@flotatsyasociados.com"/>
        <s v="1573@hotmail.com"/>
        <s v="1574@gmail.com"/>
        <s v="1575@gmail.com"/>
        <s v="1576@conrad.cat"/>
        <s v="1577@cimelsa.com"/>
        <s v="1578@covama.es"/>
        <s v="1579@inblau.es"/>
        <s v="1580@grupotesein.com"/>
        <s v="1581@arpeestudio.com"/>
        <s v="1582@edu.xunta.es"/>
        <s v="1583@hotmail.com"/>
        <s v="1584@gmail.com"/>
        <s v="1585@vialuz.es"/>
        <s v="1586@genserma.es"/>
        <s v="1587@naturgy.com"/>
        <s v="1588@jgingenieros.es"/>
        <s v="1589@gmail.com"/>
        <s v="1590@efik.cat"/>
        <s v="1591@gmail.com"/>
        <s v="1592@mesenergia.cat"/>
        <s v="1593@gmail.com"/>
        <s v="1594@jgingenieros.es"/>
        <s v="1595@gmail.com"/>
        <s v="1596@gruponovelec.com"/>
        <s v="1597@gmail.com"/>
        <s v="1598@coac.net"/>
        <s v="1599@conmasa.cat"/>
        <s v="1600@coelca.com"/>
        <s v="1601@yahoo.es"/>
        <s v="1602@gmail.com"/>
        <s v="1603@gmail.com"/>
        <s v="1604@geinstal.com"/>
        <s v="1605@recargamostucoche.com"/>
        <s v="1606@cesvimap.com"/>
        <s v="1607@talesingenieria.es"/>
        <s v="1608@grupolasser.com"/>
        <s v="1609@gmail.com"/>
        <s v="1610@gmail.com"/>
        <s v="1611@lasallesagradocorazon.es"/>
        <s v="1612@gmail.com"/>
        <s v="1613@muntanerelectro.com"/>
        <s v="1614@electronalon.es"/>
        <s v="1615@hotmail.es"/>
        <s v="1616@wct.es"/>
        <s v="1617@e-noses.com"/>
        <s v="1618@hotmail.com"/>
        <s v="1619@simon.es"/>
        <s v="1620@ciudaddelosmuchachos.com"/>
        <s v="1621@salicru.com"/>
        <s v="1622@electropla.cat"/>
        <s v="1623@gmail.com"/>
        <s v="1624@sistema1.es"/>
        <s v="1625@hotmail.com"/>
        <s v="1626@adaliaradio.com"/>
        <s v="1627@elec-matic.com"/>
        <s v="1628@solbesingenieros.com"/>
        <s v="1629@coac.net"/>
        <s v="1630@sertec.es"/>
        <s v="1631@sri.es"/>
        <s v="1632@iremael.com"/>
        <s v="1633@coam.es"/>
        <s v="1634@gmail.com"/>
        <s v="1635@arevoltapc.com"/>
        <s v="1636@yahoo.es"/>
        <s v="1637@gmail.com"/>
        <s v="1638@teclisa.com"/>
        <s v="1639@senae.es"/>
        <s v="1640@infonegocio.com"/>
        <s v="1641@gmail.com"/>
        <s v="1642@aytoguadalajara.es"/>
        <s v="1643@splitmania.net"/>
        <s v="1644@tevigrup.com"/>
        <s v="1645@gomezmoreno.com"/>
        <s v="1646@geserelectric.es"/>
        <s v="1647@telefonica.net"/>
        <s v="1648@gmail.com"/>
        <s v="1649@vamostelecom.es"/>
        <s v="1650@hotmail.com"/>
        <s v="1651@gmail.com"/>
        <s v="1652@skyclimber.es"/>
        <s v="1653@sonepar.es"/>
        <s v="1654@movinetenergia.com"/>
        <s v="1655@sonepar.es"/>
        <s v="1656@gmx.es"/>
        <s v="1657@pontosolar.com"/>
        <s v="1658@gmail.com"/>
        <s v="1659@orpoint.com"/>
        <s v="1660@relsa.es"/>
        <s v="1661@turelectric.com"/>
        <s v="1662@neinorhomes.com"/>
        <s v="1663@hotmail.com"/>
        <s v="1664@jgingenieros.es"/>
        <s v="1665@gmail.com"/>
        <s v="1666@coto.pro"/>
        <s v="1667@hotmail.com"/>
        <s v="1668@negratin.com"/>
        <s v="1669@gmail.com"/>
        <s v="1670@electricidadisla.com"/>
        <s v="1671@epc-industrial.com"/>
        <s v="1672@internoringenieros.es"/>
        <s v="1673@gailmafra.com"/>
        <s v="1674@gmail.com"/>
        <s v="1675@exinor.com"/>
        <s v="1676@unex.net"/>
        <s v="1677@simon.es"/>
        <s v="1678@simon.es"/>
        <s v="1679@levantinadecuadros.com"/>
        <s v="1680@trelec.es"/>
        <s v="1681@gmail.com"/>
        <s v="1682@hotmail.es"/>
        <s v="1683@eleccom.es"/>
        <s v="1684@climalec.com"/>
        <s v="1685@zuaznabar.com"/>
        <s v="1686@yahoo.com"/>
        <s v="1687@gestilar.com"/>
        <s v="1688@muringenieros.es"/>
        <s v="1689@jlgingenieria.com"/>
        <s v="1690@gruponovelec.com"/>
        <s v="1691@hotmail.com"/>
        <s v="1692@tecasol.net"/>
        <s v="1693@gmx.es"/>
        <s v="1694@gmail.com"/>
        <s v="1695@gruponortica.com"/>
        <s v="1696@gmail.com"/>
        <s v="1697@yahoo.es"/>
        <s v="1698@jgi.es"/>
        <s v="1699@panchofernandez.com"/>
        <s v="1700@padrao.com.pt"/>
        <s v="1701@insmarbella.com"/>
        <s v="1702@gestion-energetica.eu"/>
        <s v="1703@laelectrica.com"/>
        <s v="1704@hotmail.com"/>
        <s v="1705@sanehogar.com"/>
        <s v="1706@otp.cat"/>
        <s v="1707@lledosa.es"/>
        <s v="1708@gmail.com"/>
        <s v="1709@serium.es"/>
        <s v="1710@gmail.com"/>
        <s v="1711@simon.es"/>
        <s v="1712@gmail.com"/>
        <s v="1713@gmail.com"/>
        <s v="1714@cirima.es"/>
        <s v="1715@upv.es"/>
        <s v="1716@fuengiroluz.es"/>
        <s v="1717@soelvi.es"/>
        <s v="1718@yupcharge.com"/>
        <s v="1719@simon.pt"/>
        <s v="1720@yahoo.es"/>
        <s v="1721@mafonsa.cat"/>
        <s v="1722@folgarona.com"/>
        <s v="1723@gmail.com"/>
        <s v="1724@arbonapiza.com"/>
        <s v="1725@coelbe.com"/>
        <s v="1726@quadrifoli.com"/>
        <s v="1727@grupojab.es"/>
        <s v="1728@gmail.com"/>
        <s v="1729@gmail.com"/>
        <s v="1730@armeriaeskola.eus"/>
        <s v="1731@inserty.net"/>
        <s v="1732@gmail.com"/>
        <s v="1733@ecm-partners.com"/>
        <s v="1734@ofintex.com"/>
        <s v="1735@gruponovelec.com"/>
        <s v="1736@electrovizcaya.com"/>
        <s v="1737@salesianos.edu"/>
        <s v="1738@msn.com"/>
        <s v="1739@jh-internacional.com"/>
        <s v="1740@doica.net"/>
        <s v="1741@grupoelectrostocks.com"/>
        <s v="1742@industrialgines.com"/>
        <s v="1743@ceymo.es"/>
        <s v="1744@gmail.com"/>
        <s v="1745@bod.es"/>
        <s v="1746@hotmail.es"/>
        <s v="1747@araiz.es"/>
        <s v="1748@salesianosatocha.es"/>
        <s v="1749@simon.es"/>
        <s v="1750@itecnal.com"/>
        <s v="1751@altener.es"/>
        <s v="1752@intec3.es"/>
        <s v="1753@arcadis.com"/>
        <s v="1754@gabyl.com"/>
        <s v="1755@pgiengineering.com"/>
        <s v="1756@gmail.com"/>
        <s v="1757@indair-genercasadevall.cat"/>
        <s v="1758@gmail.com"/>
        <s v="1759@galektra.es"/>
        <s v="1760@xtec.cat"/>
        <s v="1761@spiritingenieria.es"/>
        <s v="1762@adqa.com"/>
        <s v="1763@coacordoba.net"/>
        <s v="1764@gmail.com"/>
        <s v="1765@instalplus.es"/>
        <s v="1766@gmail.com"/>
        <s v="1767@gmail.com"/>
        <s v="1768@telefonica.net"/>
        <s v="1769@gmail.com"/>
        <s v="1770@hotmail.es"/>
        <s v="1771@gmail.com"/>
        <s v="1772@cosmoseguridad.com"/>
        <s v="1773@simon.es"/>
        <s v="1774@soloviov.es"/>
        <s v="1775@gmail.com"/>
        <s v="1776@incat.cat"/>
        <s v="1777@simon.pt"/>
        <s v="1778@gmail.com"/>
        <s v="1779@barreu.com"/>
        <s v="1780@metromadrid.es"/>
        <s v="1781@autoradiomontijo.es"/>
        <s v="1782@simon.es"/>
        <s v="1783@telefonica.net"/>
        <s v="1784@coytesa.com"/>
        <s v="1785@arintec.com"/>
        <s v="1786@simon.es"/>
        <s v="1787@roigconstruccions.com"/>
        <s v="1788@hotmail.com"/>
        <s v="1789@electromat.com"/>
        <s v="1790@electricarius.com"/>
        <s v="1791@gmail.com"/>
        <s v="1792@incober.es"/>
        <s v="1793@gmail.com"/>
        <s v="1794@enchufing.com"/>
        <s v="1795@gmail.com"/>
        <s v="1796@sorigue.com"/>
        <s v="1797@icaingenieros.com"/>
        <s v="1798@eleccom.es"/>
        <s v="1799@wurth.es"/>
        <s v="1800@hotmail.com"/>
        <s v="1801@gmail.com"/>
        <s v="1802@hotmail.es"/>
        <s v="1803@ymcelectrica.com"/>
        <s v="1804@meguerra.com"/>
        <s v="1805@gmail.com"/>
        <s v="1806@aymesa.com"/>
        <s v="1807@saltoki.es"/>
        <s v="1808@gmail.com"/>
        <s v="1809@prodelec.es"/>
        <s v="1810@ebegroup.net"/>
        <s v="1811@ansiel.eu"/>
        <s v="1812@ext.mpsa.com"/>
        <s v="1813@gmail.com"/>
        <s v="1814@grupoetra.com"/>
        <s v="1815@grupojab.es"/>
        <s v="1816@petesan.es"/>
        <s v="1817@eurocabos.es"/>
        <s v="1818@electricidadpolop.es"/>
        <s v="1819@simon.es"/>
        <s v="1820@marveco.com"/>
        <s v="1821@construciainstalaciones.com"/>
        <s v="1822@diexfe.com"/>
        <s v="1823@saltoki.es"/>
        <s v="1824@selpri.pt"/>
        <s v="1825@digamel.com"/>
        <s v="1826@gestionservicios.com"/>
        <s v="1827@gmail.com"/>
        <s v="1828@econergia.es"/>
        <s v="1829@1aingenieros.com"/>
        <s v="1830@gmail.com"/>
        <s v="1831@monlau.com"/>
        <s v="1832@mhindustrias.com"/>
        <s v="1833@coitir.com"/>
        <s v="1834@valls.cat"/>
        <s v="1835@gmail.com"/>
        <s v="1836@biper.es"/>
        <s v="1837@cersanz.es"/>
        <s v="1838@gruponovelec.com"/>
        <s v="1839@gmail.com"/>
        <s v="1840@ingenierosvigo.com"/>
        <s v="1841@infova.es"/>
        <s v="1842@simon.es"/>
        <s v="1843@jovitel.com"/>
        <s v="1844@grupoelectrostocks.com"/>
        <s v="1845@hotmail.com"/>
        <s v="1846@gmail.com"/>
        <s v="1847@viegasefilhos.pt"/>
        <s v="1848@gmail.com"/>
        <s v="1849@minsait.com"/>
        <s v="1850@yahoo.com"/>
        <s v="1851@gmail.com"/>
        <s v="1852@gmail.com"/>
        <s v="1853@hotmail.com"/>
        <s v="1854@hotmail.com"/>
        <s v="1855@inboundcycle.com"/>
        <s v="1856@hotmail.com"/>
        <s v="1857@mantise.com"/>
        <s v="1858@yahoo.es"/>
        <s v="1859@gmail.com"/>
        <s v="1860@gmail.com"/>
        <s v="1861@gmail.com"/>
        <s v="1862@gmail.com"/>
        <s v="1863@hotmail.com"/>
        <s v="1864@gmail.com"/>
        <s v="1865@gmail.com"/>
        <s v="1866@inrobadajoz.com"/>
        <s v="1867@cbringenieria.es"/>
        <s v="1868@hotmail.com"/>
        <s v="1869@gmail.com"/>
        <s v="1870@marlexingenieria.com"/>
        <s v="1871@abc.gob.ar"/>
        <s v="1872@gmail.com"/>
        <s v="1873@rodosa.com"/>
        <s v="1874@gesel.ie.ufrj.br"/>
        <s v="1875@gmail.com"/>
        <s v="1876@gmail.com"/>
        <s v="1877@gmail.com"/>
        <s v="1878@gmail.com"/>
        <s v="1879@jafenginyeria.cat"/>
        <s v="1880@dipta.cat"/>
        <s v="1881@simon.es"/>
        <s v="1882@gmail.com"/>
        <s v="1883@adingenieros.es"/>
        <s v="1884@zuecoingenieria.com"/>
        <s v="1885@groupg4.com"/>
        <s v="1886@outlook.com"/>
        <s v="1887@gmail.com"/>
        <s v="1888@instalacionsgarmi.com"/>
        <s v="1889@cetim.cat"/>
        <s v="1890@setenergia.com"/>
        <s v="1891@ciudaddelosmuchachos.com"/>
        <s v="1892@soltecingenieros.com"/>
        <s v="1893@byguk.com"/>
        <s v="1894@arasolutions.es"/>
        <s v="1895@grupoarquitelia.com"/>
        <s v="1896@gmail.com"/>
        <s v="1897@hotmail.es"/>
        <s v="1898@navantia.es"/>
        <s v="1899@gmail.com"/>
        <s v="1900@hotmail.com"/>
        <s v="1901@gmail.com"/>
        <s v="1902@hotmail.com"/>
        <s v="1903@yahoo.es"/>
        <s v="1904@gmail.com"/>
        <s v="1905@gmail.com"/>
        <s v="1906@gmail.com"/>
        <s v="1907@yahoo.es"/>
        <s v="1908@enel.com"/>
        <s v="1909@gmail.com"/>
        <s v="1910@antelecat.com"/>
        <s v="1911@gmail.com"/>
        <s v="1912@gmail.com"/>
        <s v="1913@gmail.com"/>
        <s v="1914@simon.es"/>
        <s v="1915@zmingenieros.com"/>
        <s v="1916@gmail.com"/>
        <s v="1917@gmail.com"/>
        <s v="1918@sgx.cat"/>
        <s v="1919@simon.pt"/>
        <s v="1920@gmail.com"/>
        <s v="1921@msn.com"/>
        <s v="1922@simon.es"/>
        <s v="1923@agosa.es"/>
        <s v="1924@merlosl.es"/>
        <s v="1925@elecnor.com"/>
        <s v="1926@elecam.com"/>
        <s v="1927@anbatel.com"/>
        <s v="1928@gmail.com"/>
        <s v="1929@hotmail.com"/>
        <s v="1930@gmail.com"/>
        <s v="1931@gmail.com"/>
        <s v="1932@cotelsa.com"/>
        <s v="1933@lujama.com"/>
        <s v="1934@ferrovial.com"/>
        <s v="1935@telefonica.net"/>
        <s v="1936@e2enginyeria.com"/>
        <s v="1937@gmail.com"/>
        <s v="1938@gmail.com"/>
        <s v="1939@simon.es"/>
        <s v="1940@electromercantil.es"/>
        <s v="1941@hotmail.com"/>
        <s v="1942@ciudaddelosmuchachos.com"/>
        <s v="1943@gmail.com"/>
        <s v="1944@didacticaformacion.es"/>
        <s v="1945@ip21ingenieria.com"/>
        <s v="1946@gmail.com"/>
        <s v="1947@gmail.com"/>
        <s v="1948@culmar.net"/>
        <s v="1949@suno.cat"/>
        <s v="1950@yahoo.es"/>
        <s v="1951@engimatica.com"/>
        <s v="1952@tinet.cat"/>
        <s v="1953@proyteczaragoza.com"/>
        <s v="1954@dicsl.com"/>
        <s v="1955@salesianos.edu"/>
        <s v="1956@gmail.com"/>
        <s v="1957@msn.com"/>
        <s v="1958@iebsl.com"/>
        <s v="1959@gmail.com"/>
        <s v="1960@ic3sl.com"/>
        <s v="1961@hotmail.com"/>
        <s v="1962@lliro.com"/>
        <s v="1963@atisistemas.com"/>
        <s v="1964@hotmail.com"/>
        <s v="1965@tienda-gasnatural.com"/>
        <s v="1966@gmail.com"/>
        <s v="1967@ferrovial.com"/>
        <s v="1968@gmail.com"/>
        <s v="1969@fundacionmasaveu.com"/>
        <s v="1970@electrificacionesparra.es"/>
        <s v="1971@tienda-gasnatural.com"/>
        <s v="1972@projecal.com"/>
        <s v="1973@ingekor.com"/>
        <s v="1974@proluxingenieros.com"/>
        <s v="1975@outlook.es"/>
        <s v="1976@electronavia.com"/>
        <s v="1977@gmail.com"/>
        <s v="1978@hotmail.com"/>
        <s v="1979@matcas.es"/>
        <s v="1980@hotmail.com"/>
        <s v="1981@gmail.com"/>
        <s v="1982@hotmail.com"/>
        <s v="1983@suno.cat"/>
        <s v="1984@hotmail.com"/>
        <s v="1985@tinet.org"/>
        <s v="1986@martipala.com"/>
        <s v="1987@simon.es"/>
        <s v="1988@lusorede.pt"/>
        <s v="1989@elecdomo.com"/>
        <s v="1990@gmail.com"/>
        <s v="1991@gmail.com"/>
        <s v="1992@proecoingenieria.com"/>
        <s v="1993@simon.es"/>
        <s v="1994@gmail.com"/>
        <s v="1995@gmail.com"/>
        <s v="1996@gmail.com"/>
        <s v="1997@comi-sl.com"/>
        <s v="1998@gmail.com"/>
        <s v="1999@obrelsa.com"/>
        <s v="2000@hotmail.com"/>
        <s v="2001@alainsa.com"/>
        <s v="2002@camarasaragon.com"/>
        <s v="2003@alainsa.com"/>
        <s v="2004@mcamps.es"/>
        <s v="2005@hotmail.com"/>
        <s v="2006@masteringenieria.com"/>
        <s v="2007@simon.es"/>
        <s v="2008@yahoo.es"/>
        <s v="2009@gmail.com"/>
        <s v="2010@incasl.com"/>
        <s v="2011@gmail.com"/>
        <s v="2012@gmail.com"/>
        <s v="2013@ecopimeprojects.com"/>
        <s v="2014@gmail.com"/>
        <s v="2015@hotmail.com"/>
        <s v="2016@simon.es"/>
        <s v="2017@sogesa.es"/>
        <s v="2018@mantise.com"/>
        <s v="2019@didacticaformacion.es"/>
        <s v="2020@forestaldelatlantico.com"/>
        <s v="2021@osnova.net"/>
        <s v="2022@solarinspain.com"/>
        <s v="2023@gmail.com"/>
        <s v="2024@grupooca.com"/>
        <s v="2025@gmail.com"/>
        <s v="2026@telefonica.net"/>
        <s v="2027@hotmail.com"/>
        <s v="2028@grupooca.com"/>
        <s v="2029@sonepar.es"/>
        <s v="2030@gmail.com"/>
        <s v="2031@electrofiloeste.es"/>
        <s v="2032@masalo.biz"/>
        <s v="2033@elmoelectric.com"/>
        <s v="2034@tienda-gasnatural.com"/>
        <s v="2035@yahoo.es"/>
        <s v="2036@sece.com"/>
        <s v="2037@agefred.es"/>
        <s v="2038@legomar.com"/>
        <s v="2039@antrelec.net"/>
        <s v="2040@grupsoler.com"/>
        <s v="2041@electromercantil.es"/>
        <s v="2042@gmail.com"/>
        <s v="2043@gmail.com"/>
        <s v="2044@orvi-s.es"/>
        <s v="2045@gmail.com"/>
        <s v="2046@gmail.com"/>
        <s v="2047@gmail.com"/>
        <s v="2048@visioelectric.es"/>
        <s v="2049@telefonica.net"/>
        <s v="2050@melecmor.com"/>
        <s v="2051@gmail.com"/>
        <s v="2052@simon.es"/>
        <s v="2053@sades.es"/>
        <s v="2054@simon.es"/>
        <s v="2055@gmail.com"/>
        <s v="2056@hotmail.com"/>
        <s v="2057@gmail.com"/>
        <s v="2058@sonepar.es"/>
        <s v="2059@gmail.com"/>
        <s v="2060@gmail.com"/>
        <s v="2061@hotmail.es"/>
        <s v="2062@euskalnet.net"/>
        <s v="2063@gmail.com"/>
        <s v="2064@hotmail.com"/>
        <s v="2065@gmail.com"/>
        <s v="2066@gmail.com"/>
        <s v="2067@gmail.com"/>
        <s v="2068@gencat.cat"/>
        <s v="2069@gmail.com"/>
        <s v="2070@hotmail.com"/>
        <s v="2071@gmail.com"/>
        <s v="2072@gmail.com"/>
        <s v="2073@gmail.com"/>
        <s v="2074@hotmail.com"/>
        <s v="2075@gmail.com"/>
        <s v="2076@gmail.com"/>
        <s v="2077@gmail.com"/>
        <s v="2078@gmail.com"/>
        <s v="2079@gmail.com"/>
        <s v="2080@grupoelectrostocks.com"/>
        <s v="2081@cymel.com"/>
        <s v="2082@hotmail.com"/>
        <s v="2083@gmail.com"/>
        <s v="2084@hcparquitectos.com"/>
        <s v="2085@gmail.com"/>
        <s v="2086@farelle.com"/>
        <s v="2087@hotmail.com"/>
        <s v="2088@gmail.com"/>
        <s v="2089@hotmail.com"/>
        <s v="2090@estabanell.cat"/>
        <s v="2091@gmail.com"/>
        <s v="2092@outlook.com"/>
        <s v="2093@gmail.com"/>
        <s v="2094@gmail.com"/>
        <s v="2095@hotmail.com"/>
        <s v="2096@formasymateriales.com"/>
        <s v="2097@hotmail.com"/>
        <s v="2098@simon.es"/>
        <s v="2099@grupoelectrostocks.com"/>
        <s v="2100@simon.es"/>
        <s v="2101@gmail.com"/>
        <s v="2102@gmail.com"/>
        <s v="2103@hotmail.com"/>
        <s v="2104@temarelectronica.es"/>
        <s v="2105@nauta.cu"/>
        <s v="2106@gmail.com"/>
        <s v="2107@danmur.es"/>
        <s v="2108@emvisesa.org"/>
        <s v="2109@huelvanorte.es"/>
        <s v="2110@ingeconsulting.com"/>
        <s v="2111@iraiaingenieros.com"/>
        <s v="2112@gmail.com"/>
        <s v="2113@gmail.com"/>
        <s v="2114@tecnoclimainstalaciones.com"/>
        <s v="2115@outlook.es"/>
        <s v="2116@gmail.com"/>
        <s v="2117@gmail.com"/>
        <s v="2118@hotmail.com"/>
        <s v="2119@gmail.com"/>
        <s v="2120@gmail.com"/>
        <s v="2121@gmail.com"/>
        <s v="2122@somains.com"/>
        <s v="2123@gmail.com"/>
        <s v="2124@gmail.com"/>
        <s v="2125@ctac.es"/>
        <s v="2126@gmail.com"/>
        <s v="2127@hotmail.com"/>
        <s v="2128@gmail.com"/>
        <s v="2129@gmail.com"/>
        <s v="2130@hotmail.com"/>
        <s v="2131@gmail.com"/>
        <s v="2132@hotmail.com"/>
        <s v="2133@gmail.com"/>
        <s v="2134@gmx.es"/>
        <s v="2135@gmail.com"/>
        <s v="2136@gmail.com"/>
        <s v="2137@hotmail.com"/>
        <s v="2138@gmail.com"/>
        <s v="2139@gmail.com"/>
        <s v="2140@gmail.com"/>
        <s v="2141@gmail.com"/>
        <s v="2142@simon.es"/>
        <s v="2143@gmail.com"/>
        <s v="2144@gmail.com"/>
        <s v="2145@gmail.com"/>
        <s v="2146@hotmail.es"/>
        <s v="2147@gmail.com"/>
        <s v="2148@gmail.com"/>
        <s v="2149@gmail.com"/>
        <s v="2150@yahoo.es"/>
        <s v="2151@gmail.com"/>
        <s v="2152@igkarratu.com"/>
        <s v="2153@gmail.com"/>
        <s v="2154@gmail.com"/>
        <s v="2155@gmail.com"/>
        <s v="2156@gmail.com"/>
        <s v="2157@hotmail.com"/>
        <s v="2158@gmail.com"/>
        <s v="2159@hotmail.com"/>
        <s v="2160@yahoo.es"/>
        <s v="2161@hotmail.com"/>
        <s v="2162@gienergygroup.com"/>
        <s v="2163@hotmail.com"/>
        <s v="2164@macegroup.com"/>
        <s v="2165@orangemail.es"/>
        <s v="2166@gmail.com"/>
        <s v="2167@outlook.es"/>
        <s v="2168@simon.es"/>
        <s v="2169@gmail.com"/>
        <s v="2170@reparatuequipo.es"/>
        <s v="2171@gmail.com"/>
        <s v="2172@gmail.com"/>
        <s v="2173@menendezygamonal.com"/>
        <s v="2174@wurth.es"/>
        <s v="2175@canogarcia.es"/>
        <s v="2176@hotmail.com"/>
        <s v="2177@yahoo.es"/>
        <s v="2178@altair.edu.es"/>
        <s v="2179@gmail.com"/>
        <s v="2180@hotmail.com"/>
        <s v="2181@gmail.com"/>
        <s v="2182@hotmail.com"/>
        <s v="2183@gmail.com"/>
        <s v="2184@suris.es"/>
        <s v="2185@gmail.com"/>
        <s v="2186@grupoelectrostocks.com"/>
        <s v="2187@hotmail.com"/>
        <s v="2188@gmail.com"/>
        <s v="2189@infova.es"/>
        <s v="2190@hotmail.com"/>
        <s v="2191@hotmail.es"/>
        <s v="2192@itcl.es"/>
        <s v="2193@gmail.com"/>
        <s v="2194@mesado.es"/>
        <s v="2195@yahoo.es"/>
        <s v="2196@telefonica.net"/>
        <s v="2197@outlook.es"/>
        <s v="2198@gmail.com"/>
        <s v="2199@gmail.com"/>
        <s v="2200@gmail.com"/>
        <s v="2201@4fils.es"/>
        <s v="2202@sanjosetecno.com"/>
        <s v="2203@gmail.com"/>
        <s v="2204@hotmail.es"/>
        <s v="2205@gmail.com"/>
        <s v="2206@gmail.com"/>
        <s v="2207@gmail.com"/>
        <s v="2208@wp.pl"/>
        <s v="2209@elecem.es"/>
        <s v="2210@hotmail.com"/>
        <s v="2211@hotmail.com"/>
        <s v="2212@pgiengineering.com"/>
        <s v="2213@gmail.com"/>
        <s v="2214@hotmail.com"/>
        <s v="2215@gmail.com"/>
        <s v="2216@bladis.com"/>
        <s v="2217@gmail.com"/>
        <s v="2218@gmx.es"/>
        <s v="2219@teigatmi.es"/>
        <s v="2220@hotmail.com"/>
        <s v="2221@hotmail.com"/>
        <s v="2222@gmail.com"/>
        <s v="2223@hotmail.com"/>
        <s v="2224@gmail.com"/>
        <s v="2225@evectra.es"/>
        <s v="2226@hotmail.com"/>
        <s v="2227@gmail.com"/>
        <s v="2228@gmail.com"/>
        <s v="2229@enerluz.es"/>
        <s v="2230@hotmail.com"/>
        <s v="2231@hotmail.com"/>
        <s v="2232@gmail.com"/>
        <s v="2233@gmail.com"/>
        <s v="2234@hotmail.com"/>
        <s v="2235@hotmail.com"/>
        <s v="2236@hotmail.com"/>
        <s v="2237@simon.es"/>
        <s v="2238@hotmail.es"/>
        <s v="2239@gmail.com"/>
        <s v="2240@coac.net"/>
        <s v="2241@outlook.com"/>
        <s v="2242@eurogestiones.com"/>
        <s v="2243@gmail.com"/>
        <s v="2244@outlook.com"/>
        <s v="2245@gmail.com"/>
        <s v="2246@eleko.es"/>
        <s v="2247@gmail.com"/>
        <s v="2248@telefonica.net"/>
        <s v="2249@politecnicomalaga.com"/>
        <s v="2250@gmail.com"/>
        <s v="2251@gmail.com"/>
        <s v="2252@energestic.es"/>
        <s v="2253@hotmail.com"/>
        <s v="2254@gmail.com"/>
        <s v="2255@yahoo.es"/>
        <s v="2256@gmail.com"/>
        <s v="2257@hotmail.com"/>
        <s v="2258@fercansa.es"/>
        <s v="2259@gmail.com"/>
        <s v="2260@gmail.com"/>
        <s v="2261@grupoefelec.com"/>
        <s v="2262@hotmail.com"/>
        <s v="2263@gmail.com"/>
        <s v="2264@gmail.com"/>
        <s v="2265@gmail.com"/>
        <s v="2266@gmail.com"/>
        <s v="2267@gmail.com"/>
        <s v="2268@gmail.com"/>
        <s v="2269@qq.com"/>
        <s v="2270@hotmail.com"/>
        <s v="2271@gmail.com"/>
        <s v="2272@tiempobbdo.es"/>
        <s v="2273@telefonica.net"/>
        <s v="2274@fersitec.com"/>
        <s v="2275@rccyp.com"/>
        <s v="2276@hotmail.com"/>
        <s v="2277@gmail.com"/>
        <s v="2278@gmail.com"/>
        <s v="2279@gmail.com"/>
        <s v="2280@gmail.com"/>
        <s v="2281@hotmail.com"/>
        <s v="2282@gmail.com"/>
        <s v="2283@hotmail.com"/>
        <s v="2284@gmail.com"/>
        <s v="2285@hotmail.com"/>
        <s v="2286@hotmail.com"/>
        <s v="2287@sonepar.es"/>
        <s v="2288@yahoo.es"/>
        <s v="2289@hotmail.com"/>
        <s v="2290@atmos.link"/>
        <s v="2291@fegime.es"/>
        <s v="2292@gmail.com"/>
        <s v="2293@usa.com"/>
        <s v="2294@gmail.com"/>
        <s v="2295@msn.com"/>
        <s v="2296@gmail.com"/>
        <s v="2297@sece.com"/>
        <s v="2298@sonepar.es"/>
        <s v="2299@protele.es"/>
        <s v="2300@grupoelectrostocks.com"/>
        <s v="2301@sonepar.es"/>
        <s v="2302@agosa.es"/>
        <s v="2303@industrialgines.com"/>
        <s v="2304@gmail.com"/>
        <s v="2305@hotmail.com"/>
        <s v="2306@somosemotion.es"/>
        <s v="2307@gmail.com"/>
        <s v="2308@gmail.com"/>
        <s v="2309@hotmail.com"/>
        <s v="2310@yahoo.es"/>
        <s v="2311@deluxson.com"/>
        <s v="2312@yahoo.es"/>
        <s v="2313@gmail.com"/>
        <s v="2314@gmail.com"/>
        <s v="2315@electricidadguerra.com"/>
        <s v="2316@telecable.es"/>
        <s v="2317@eimetropolitana.com"/>
        <s v="2318@grupo-jarama.com"/>
        <s v="2319@gmail.com"/>
        <s v="2320@electrovizcaya.com"/>
        <s v="2321@coto.pro"/>
        <s v="2322@hotmail.com"/>
        <s v="2323@gmail.com"/>
        <s v="2324@gmail.com"/>
        <s v="2325@ingenierosvalladolid.es"/>
        <s v="2326@gmail.com"/>
        <s v="2327@gmail.com"/>
        <s v="2328@gmail.com"/>
        <s v="2329@hotmail.com"/>
        <s v="2330@gmail.com"/>
        <s v="2331@gmail.com"/>
        <s v="2332@gmail.com"/>
        <s v="2333@gmail.com"/>
        <s v="2334@grupoelectrostocks.com"/>
        <s v="2335@gmail.com"/>
        <s v="2336@gmail.com"/>
        <s v="2337@msn.com"/>
        <s v="2338@gmail.com"/>
        <s v="2339@monlau.com"/>
        <s v="2340@yahoo.es"/>
        <s v="2341@hotmail.com"/>
        <s v="2342@inescoconstructora.es"/>
        <s v="2343@gmail.com"/>
        <s v="2344@tecmagenil.es"/>
        <s v="2345@yahoo.es"/>
        <s v="2346@grupoetra.com"/>
        <s v="2347@visaonomada.pt"/>
        <s v="2348@ya.com"/>
        <s v="2349@belsanz.com"/>
        <s v="2350@gmail.com"/>
        <s v="2351@gmail.com"/>
        <s v="2352@gmail.com"/>
        <s v="2353@conecta-sistemas.com"/>
        <s v="2354@gmail.com"/>
        <s v="2355@gmail.com"/>
        <s v="2356@infova.es"/>
        <s v="2357@gmail.com"/>
        <s v="2358@hotmail.es"/>
        <s v="2359@hotmail.com"/>
        <s v="2360@viplaro.com"/>
        <s v="2361@gmail.com"/>
        <s v="2362@telefonica.net"/>
        <s v="2363@hotmail.com"/>
        <s v="2364@agmundet.es"/>
        <s v="2365@jazzfree.com"/>
        <s v="2366@energies.cat"/>
        <s v="2367@yahoo.es"/>
        <s v="2368@gmail.com"/>
        <s v="2369@cataliaga.com"/>
        <s v="2370@gmail.com"/>
        <s v="2371@fhiguero.es"/>
        <s v="2372@gmail.com"/>
        <s v="2373@grupoelectrostocks.com"/>
        <s v="2374@yahoo.com"/>
        <s v="2375@m4servicios.es"/>
        <s v="2376@gmail.com"/>
        <s v="2377@conmasa.cat"/>
        <s v="2378@montajesjep.com"/>
        <s v="2379@erf.cat"/>
        <s v="2380@gmail.com"/>
        <s v="2381@outlook.com"/>
        <s v="2382@hotmail.com"/>
        <s v="2383@fff.com"/>
        <s v="2384@kapsch.net"/>
        <s v="2385@gg.com"/>
        <s v="2386@agosa.es"/>
        <s v="2387@yahoo.es"/>
        <s v="2388@gmail.com"/>
        <s v="2389@gruponovelec.com"/>
        <s v="2390@gmail.com"/>
        <s v="2391@casamarquez.es"/>
        <s v="2392@gmail.com"/>
        <s v="2393@gmail.com"/>
        <s v="2394@bladis.com"/>
        <s v="2395@gruponovelec.com"/>
        <s v="2396@sonepar.es"/>
        <s v="2397@a2bingenieros.com"/>
        <s v="2398@hotmail.com"/>
        <s v="2399@teclisa.com"/>
        <s v="2400@ormazabal.com"/>
        <s v="2401@hotmail.com"/>
        <s v="2402@adtel.es"/>
        <s v="2403@gmail.com"/>
        <s v="2404@gmail.com"/>
        <s v="2405@simon.es"/>
        <s v="2406@gmail.com"/>
        <s v="2407@msn.com"/>
        <s v="2408@me.com"/>
        <s v="2409@eufon.com"/>
        <s v="2410@me.com"/>
        <s v="2411@hotmail.com"/>
        <s v="2412@conmasa.cat"/>
        <s v="2413@siemensgamesa.com"/>
        <s v="2414@saenzdesanpedro.com"/>
        <s v="2415@gmail.com"/>
        <s v="2416@veolia.com"/>
        <s v="2417@rexel.es"/>
        <s v="2418@ompsl.com"/>
        <s v="2419@aiguesdebarcelona.cat"/>
        <s v="2420@gmail.com"/>
        <s v="2421@rexel.es"/>
        <s v="2422@hotmail.com"/>
        <s v="2423@jccifuentes.com"/>
        <s v="2424@sonepar.es"/>
        <s v="2425@hotmail.com"/>
        <s v="2426@gmail.com"/>
        <s v="2427@valnu.es"/>
        <s v="2428@saltoki.es"/>
        <s v="2429@hotmail.com"/>
        <s v="2430@tenmega.pt"/>
        <s v="2431@gmail.com"/>
        <s v="2432@telefonica.net"/>
        <s v="2433@sonepar.es"/>
        <s v="2434@gmail.com"/>
        <s v="2435@indasasl.es"/>
        <s v="2436@ydrolia.com"/>
        <s v="2437@dos-atf.es"/>
        <s v="2438@gmail.com"/>
        <s v="2439@hotmail.com"/>
        <s v="2440@imanzanera.com"/>
        <s v="2441@berdin.com"/>
        <s v="2442@gmail.com"/>
        <s v="2443@gmail.com"/>
        <s v="2444@gmail.com"/>
        <s v="2445@wallbox.com"/>
        <s v="2446@hotmail.com"/>
        <s v="2447@etecnic.es"/>
        <s v="2448@uvigo.es"/>
        <s v="2449@magtel.es"/>
        <s v="2450@sonepar.es"/>
        <s v="2451@gmail.com"/>
        <s v="2452@fi-group.com"/>
        <s v="2453@insitecaingenieros.com"/>
        <s v="2454@gmail.com"/>
        <s v="2455@gmail.com"/>
        <s v="2456@serlujua.com"/>
        <s v="2457@gmail.com"/>
        <s v="2458@gmail.com"/>
        <s v="2459@grupoelectrostocks.com"/>
        <s v="2460@gmail.com"/>
        <s v="2461@yahoo.es"/>
        <s v="2462@gmail.com"/>
        <s v="2463@ise40.com"/>
        <s v="2464@pas.uned.es"/>
        <s v="2465@gmail.com"/>
        <s v="2466@hotmail.com"/>
        <s v="2467@gmail.com"/>
        <s v="2468@gmail.com"/>
        <s v="2469@yca.es"/>
        <s v="2470@gmail.com"/>
        <s v="2471@gmail.com"/>
        <s v="2472@gmail.com"/>
        <s v="2473@hotmail.com"/>
        <s v="2474@sehusol.com"/>
        <s v="2475@berdin.com"/>
        <s v="2476@dimces.com"/>
        <s v="2477@moralesyartigasabogados.com"/>
        <s v="2478@gmail.com"/>
        <s v="2479@hotmail.es"/>
        <s v="2480@simon.es"/>
        <s v="2481@apogeaconsulting.com"/>
        <s v="2482@etelnoga.com"/>
        <s v="2483@gmail.com"/>
        <s v="2484@grupo-jarama.com"/>
        <s v="2485@saergy.com"/>
        <s v="2486@hotmail.com"/>
        <s v="2487@telefonica.net"/>
        <s v="2488@gmail.com"/>
        <s v="2489@proytecenergia.com"/>
        <s v="2490@mantenencies.com"/>
        <s v="2491@saltoki.es"/>
        <s v="2492@gmail.com"/>
        <s v="2493@gmail.com"/>
        <s v="2494@gmail.com"/>
        <s v="2495@gmail.com"/>
        <s v="2496@grupoelectrostocks.com"/>
        <s v="2497@gmail.com"/>
        <s v="2498@adtelcom.es"/>
        <s v="2499@hotmail.com"/>
        <s v="2500@sonepar.es"/>
        <s v="2501@gmail.com"/>
        <s v="2502@yahoo.es"/>
        <s v="2503@grupoiicsa.com"/>
        <s v="2504@gmail.com"/>
        <s v="2505@gmail.com"/>
        <s v="2506@es.issworld.com"/>
        <s v="2507@victorperezsl.com"/>
        <s v="2508@solardelvalle.es"/>
        <s v="2509@elecnor.es"/>
        <s v="2510@sermicro.com"/>
        <s v="2511@gmail.com"/>
        <s v="2512@hotmail.com"/>
        <s v="2513@gmail.com"/>
        <s v="2514@coitialicante.com"/>
        <s v="2515@simon.es"/>
        <s v="2516@isega.es"/>
        <s v="2517@ineleeg.es"/>
        <s v="2518@solardelvalle.es"/>
        <s v="2519@hotmail.com"/>
        <s v="2520@jspelectrotecnia.com"/>
        <s v="2521@amisur.es"/>
        <s v="2522@gmail.com"/>
        <s v="2523@ipae.es"/>
        <s v="2524@me.com"/>
        <s v="2525@gmail.com"/>
        <s v="2526@reparacioneslsanchez.es"/>
        <s v="2527@gmail.com"/>
        <s v="2528@leing.es"/>
        <s v="2529@upc.edu"/>
        <s v="2530@galimar.com.es"/>
        <s v="2531@arquitecturaygestion.com"/>
        <s v="2532@gmail.com"/>
        <s v="2533@hotmail.com"/>
        <s v="2534@gmail.com"/>
        <s v="2535@hotmail.com"/>
        <s v="2536@telefonica.net"/>
        <s v="2537@electram.es"/>
        <s v="2538@elcorteingles.es"/>
        <s v="2539@gmail.com"/>
        <s v="2540@gmail.com"/>
        <s v="2541@gmail.com"/>
        <s v="2542@tecnica4.com"/>
        <s v="2543@eltec-servicios.com"/>
        <s v="2544@hotmail.com"/>
        <s v="2545@telefonica.net"/>
        <s v="2546@tecnovap.es"/>
        <s v="2547@gmail.com"/>
        <s v="2548@gmail.com"/>
        <s v="2549@gmail.com"/>
        <s v="2550@energema.com"/>
        <s v="2551@inelsa.com"/>
        <s v="2552@gmail.com"/>
        <s v="2553@telefonica.net"/>
        <s v="2554@telefonica.net"/>
        <s v="2555@gmail.com"/>
        <s v="2556@hotmail.com"/>
        <s v="2557@hotmail.com"/>
        <s v="2558@gmail.com"/>
        <s v="2559@simon.es"/>
        <s v="2560@gmail.com"/>
        <s v="2561@gmail.com"/>
        <s v="2562@artesolar.com"/>
        <s v="2563@hotmail.com"/>
        <s v="2564@ctv.masaveu.com"/>
        <s v="2565@hotmail.com"/>
        <s v="2566@casadoguia.com"/>
        <s v="2567@hotmail.com"/>
        <s v="2568@email.com"/>
        <s v="2569@gmail.com"/>
        <s v="2570@telefonica.net"/>
        <s v="2571@dival.es"/>
        <s v="2572@sesaelec.com"/>
        <s v="2573@edetcotecnics.com"/>
        <s v="2574@telefonica.net"/>
        <s v="2575@gruposti.com"/>
        <s v="2576@construciainstalaciones.com"/>
        <s v="2577@gmail.com"/>
        <s v="2578@hotmail.com"/>
        <s v="2579@fgc.cat"/>
        <s v="2580@imagenyarquitectura.com.mx"/>
        <s v="2581@yahoo.com"/>
        <s v="2582@ccaait.cat"/>
        <s v="2583@grupcarol.com"/>
        <s v="2584@sistemasdeenergia.es"/>
        <s v="2585@grupoelectrostocks.com"/>
        <s v="2586@saltoki.es"/>
        <s v="2587@picocompany.es"/>
        <s v="2588@fossic.es"/>
        <s v="2589@hotmail.com"/>
        <s v="2590@gmail.com"/>
        <s v="2591@gmail.com"/>
        <s v="2592@bsmsa.cat"/>
        <s v="2593@abcgrup.com"/>
        <s v="2594@gmail.com"/>
        <s v="2595@gmail.com"/>
        <s v="2596@simonelectrica.com"/>
        <s v="2597@3xakoenergi.com"/>
        <s v="2598@tecoel.es"/>
        <s v="2599@sazepi.com"/>
        <s v="2600@electrimega.es"/>
        <s v="2601@seituria.com"/>
        <s v="2602@saherlux.com"/>
        <s v="2603@guillenmotor.com"/>
        <s v="2604@hotelnelva.es"/>
        <s v="2605@gmail.com"/>
        <s v="2606@gmail.com"/>
        <s v="2607@hotmail.com"/>
        <s v="2608@zambongroup.com"/>
        <s v="2609@construccioicontrol.com"/>
        <s v="2610@orangecorreo.es"/>
        <s v="2611@gocsa.es"/>
        <s v="2612@ingenieriaconforma.com"/>
        <s v="2613@gmail.com"/>
        <s v="2614@rexel.es"/>
        <s v="2615@orbiumsolar.es"/>
        <s v="2616@prysmiangroup.com"/>
        <s v="2617@hotmail.com"/>
        <s v="2618@viegasefilhos.pt"/>
        <s v="2619@gmail.com"/>
        <s v="2620@icloud.com"/>
        <s v="2621@integralplm.com"/>
        <s v="2622@instavi.es"/>
        <s v="2623@mansel.es"/>
        <s v="2624@hotmail.com"/>
        <s v="2625@gmail.com"/>
        <s v="2626@proycoga.es"/>
        <s v="2627@aemsys.com"/>
        <s v="2628@telefonica.net"/>
        <s v="2629@hotmail.com"/>
        <s v="2630@gmail.com"/>
        <s v="2631@gmail.com"/>
        <s v="2632@felices.agency"/>
        <s v="2633@araelec.com"/>
        <s v="2634@hotmail.es"/>
        <s v="2635@ambginy.com"/>
        <s v="2636@sonepar.es"/>
        <s v="2637@metromadrid.es"/>
        <s v="2638@ativalles.com"/>
        <s v="2639@sanitariosbosco.es"/>
        <s v="2640@magserveis.com"/>
        <s v="2641@gmail.com"/>
        <s v="2642@mipelsa.es"/>
        <s v="2643@sansiga.com"/>
        <s v="2644@gmail.com"/>
        <s v="2645@hotmail.com"/>
        <s v="2646@gmail.com"/>
        <s v="2647@rexel.es"/>
        <s v="2648@electracaldense.com"/>
        <s v="2649@grupocuerva.com"/>
        <s v="2650@coac.net"/>
        <s v="2651@yntegraservicios.es"/>
        <s v="2652@tessai.es"/>
        <s v="2653@idiada.com"/>
        <s v="2654@edmcadiz.es"/>
        <s v="2655@getsa.es"/>
        <s v="2656@sonepar.es"/>
        <s v="2657@a4ingenieria.es"/>
        <s v="2658@gmail.com"/>
        <s v="2659@gmail.com"/>
        <s v="2660@gmail.com"/>
        <s v="2661@gmail.com"/>
        <s v="2662@gmail.com"/>
        <s v="2663@bitjerez.com"/>
        <s v="2664@gmail.com"/>
        <s v="2665@electroaldis.com"/>
        <s v="2666@gmail.com"/>
        <s v="2667@iselektric.com"/>
        <s v="2668@gmail.com"/>
        <s v="2669@electroidella.com"/>
        <s v="2670@gmail.com"/>
        <s v="2671@gmail.com"/>
        <s v="2672@gmail.com"/>
        <s v="2673@gamil.com"/>
        <s v="2674@coar.es"/>
        <s v="2675@grupoelectrostocks.com"/>
        <s v="2676@gmail.com"/>
        <s v="2677@gmail.com"/>
        <s v="2678@impact-al.com"/>
        <s v="2679@hotmail.com"/>
        <s v="2680@copitima.com"/>
        <s v="2681@sueprat.es"/>
        <s v="2682@dipucuenca.es"/>
        <s v="2683@live.fr"/>
        <s v="2684@hotmail.com"/>
        <s v="2685@orgaus.com"/>
        <s v="2686@kbingenieria.com"/>
        <s v="2687@serium.es"/>
        <s v="2688@hotmail.com"/>
        <s v="2689@edp-sl.com"/>
        <s v="2690@gmail.com"/>
        <s v="2691@magserveis.com"/>
        <s v="2692@gmail.com"/>
        <s v="2693@bextron.es"/>
        <s v="2694@gmail.com"/>
        <s v="2695@inelt.es"/>
        <s v="2696@1aingenieros.com"/>
        <s v="2697@digamel.com"/>
        <s v="2698@gmail.com"/>
        <s v="2699@gmail.com"/>
        <s v="2700@hotmail.com"/>
        <s v="2701@gmail.com"/>
        <s v="2702@digamel.com"/>
        <s v="2703@hotmail.com"/>
        <s v="2704@construciainstalaciones.com"/>
        <s v="2705@tmb.cat"/>
        <s v="2706@opportunity-one.com"/>
        <s v="2707@gmail.com"/>
        <s v="2708@meta-sidecar.com"/>
        <s v="2709@construciainstalaciones.com"/>
        <s v="2710@arbonapiza.com"/>
        <s v="2711@infinitypv.com"/>
        <s v="2712@gmail.com"/>
        <s v="2713@gmail.com"/>
        <s v="2714@gma.es"/>
        <s v="2715@gmail.com"/>
        <s v="2716@gmail.com"/>
        <s v="2717@gmail.com"/>
        <s v="2718@none.com"/>
        <s v="2719@saltoki.es"/>
        <s v="2720@grupoelectrostocks.com"/>
        <s v="2721@anpasa.es"/>
        <s v="2722@instalacionesyobrasdelrio.com"/>
        <s v="2723@hotmail.com"/>
        <s v="2724@gmeil.com"/>
        <s v="2725@hotmail.com"/>
        <s v="2726@sonepar.es"/>
        <s v="2727@gruponovelec.com"/>
        <s v="2728@gmail.com"/>
        <s v="2729@hotmail.com"/>
        <s v="2730@enzazaden.es"/>
        <s v="2731@gmail.com"/>
        <s v="2732@gmail.com"/>
        <s v="2733@sigmaenginyers.es"/>
        <s v="2734@gmail.com"/>
        <s v="2735@gmail.com"/>
        <s v="2736@gmail.com"/>
        <s v="2737@gmail.com"/>
        <s v="2738@conalepmex.edu.mx"/>
        <s v="2739@constructorasanjose.com"/>
        <s v="2740@gmail.com"/>
        <s v="2741@cruzroja.es"/>
        <s v="2742@mindual.com"/>
        <s v="2743@itaipu.gov.py"/>
        <s v="2744@simon.es"/>
        <s v="2745@urbanresilience.eu"/>
        <s v="2746@proinelec.com"/>
        <s v="2747@gmail.com"/>
        <s v="2748@nitlux.es"/>
        <s v="2749@gmail.com"/>
        <s v="2750@exavoltio.es"/>
        <s v="2751@gruponovelec.com"/>
        <s v="2752@ingener.net"/>
        <s v="2753@aurialux.com"/>
        <s v="2754@emgvlasrozas.org"/>
        <s v="2755@gmail.com"/>
        <s v="2756@gmail.com"/>
        <s v="2757@irradiaenergia.com"/>
        <s v="2758@gmail.com"/>
        <s v="2759@gmail.com"/>
        <s v="2760@yahoo.es"/>
        <s v="2761@stratum22.com"/>
        <s v="2762@gmail.com"/>
        <s v="2763@gmail.com"/>
        <s v="2764@gmail.com"/>
        <s v="2765@gmail.com"/>
        <s v="2766@telefonica.net"/>
        <s v="2767@gmail.com"/>
        <s v="2768@gmail.com"/>
        <s v="2769@gmail.com"/>
        <s v="2770@gmail.com"/>
        <s v="2771@gmail.com"/>
        <s v="2772@saltoki.es"/>
        <s v="2773@energiaactiva.es"/>
        <s v="2774@trensfm.com"/>
        <s v="2775@gmail.com"/>
        <s v="2776@pgiengineering.com"/>
        <s v="2777@huelva.es"/>
        <s v="2778@empretelco.es"/>
        <s v="2779@gmail.com"/>
        <s v="2780@abcgrup.com"/>
        <s v="2781@ahabana.co.cu"/>
        <s v="2782@gmail.com"/>
        <s v="2783@gmail.com"/>
        <s v="2784@coac.net"/>
        <s v="2785@climarubi.com"/>
        <s v="2786@metromadrid.es"/>
        <s v="2787@grupocematel.com"/>
        <s v="2788@eurocabos.es"/>
        <s v="2789@telefonica.net"/>
        <s v="2790@gmail.com"/>
        <s v="2791@pickdata.net"/>
        <s v="2792@ajcampos.org"/>
        <s v="2793@gmail.com"/>
        <s v="2794@efinetika.com"/>
        <s v="2795@gmail.com"/>
        <s v="2796@gmail.com"/>
        <s v="2797@gmail.com"/>
        <s v="2798@yahoo.es"/>
        <s v="2799@oceanim.es"/>
        <s v="2800@gmail.com"/>
        <s v="2801@eei-ingenieria.com"/>
        <s v="2802@gonzalezsme.com"/>
        <s v="2803@rodriguezromeu.com"/>
        <s v="2804@vtisl.com"/>
        <s v="2805@gmail.com"/>
        <s v="2806@jdingenieria.com"/>
        <s v="2807@jhfsystemcrane.com"/>
        <s v="2808@gmail.com"/>
        <s v="2809@solerteselen.cat"/>
        <s v="2810@sensorstecnics.net"/>
        <s v="2811@gmail.com"/>
        <s v="2812@martipala.com"/>
        <s v="2813@gmail.com"/>
        <s v="2814@vitrosep.com"/>
        <s v="2815@gmail.com"/>
        <s v="2816@hotmail.com"/>
        <s v="2817@hotmail.com"/>
        <s v="2818@gmail.com"/>
        <s v="2819@satydal.es"/>
        <s v="2820@sanitariosbosco.es"/>
        <s v="2821@gmail.com"/>
        <s v="2822@gmail.com"/>
        <s v="2823@mindual.com"/>
        <s v="2824@gmail.com"/>
        <s v="2825@gmail.com"/>
        <s v="2826@educacion.gob.es"/>
        <s v="2827@soltecgrupo.es"/>
        <s v="2828@coaatz.org"/>
        <s v="2829@sindel.es"/>
        <s v="2830@mequintana.com"/>
        <s v="2831@lantec.es"/>
        <s v="2832@energia.eiffage.es"/>
        <s v="2833@inelsa.com"/>
        <s v="2834@idom.com"/>
        <s v="2835@idom.com"/>
        <s v="2836@pgigrup.com"/>
        <s v="2837@gmail.com"/>
        <s v="2838@gmail.com"/>
        <s v="2839@esprosa.es"/>
        <s v="2840@onemons.es"/>
        <s v="2841@blaudrive.com"/>
        <s v="2842@yahoo.es"/>
        <s v="2843@gmail.com"/>
        <s v="2844@alamos.es"/>
        <s v="2845@araiz.es"/>
        <s v="2846@kubicat.com"/>
        <s v="2847@gmail.com"/>
        <s v="2848@telefonica.net"/>
        <s v="2849@gmail.com"/>
        <s v="2850@hotmail.com"/>
        <s v="2851@yahoo.es"/>
        <s v="2852@gmail.com"/>
        <s v="2853@gmail.com"/>
        <s v="2854@voltplus.es"/>
        <s v="2855@trc.es"/>
        <s v="2856@eurocabos.es"/>
        <s v="2857@gmail.com"/>
        <s v="2858@gmail.com"/>
        <s v="2859@hotmail.com"/>
        <s v="2860@soltecingenieros.com"/>
        <s v="2861@live.com"/>
        <s v="2862@gmail.com"/>
        <s v="2863@hibrielectric.com"/>
        <s v="2864@gmail.com"/>
        <s v="2865@gadisel.com"/>
        <s v="2866@hotmail.com"/>
        <s v="2867@jqadvisors.com"/>
        <s v="2868@cipfplacostera.com"/>
        <s v="2869@montajes-medyp.com"/>
        <s v="2870@yahoo.com"/>
        <s v="2871@assinsta.com"/>
        <s v="2872@hotmail.com"/>
        <s v="2873@gmail.com"/>
        <s v="2874@broa.net"/>
        <s v="2875@ulper.es"/>
        <s v="2876@gmail.com"/>
        <s v="2877@gammasg.com"/>
        <s v="2878@grupojab.es"/>
        <s v="2879@hbalcells.com"/>
        <s v="2880@alfasel.es"/>
        <s v="2881@hotmail.com"/>
        <s v="2882@secorsa.com"/>
        <s v="2883@acciona.com"/>
        <s v="2884@gmail.com"/>
        <s v="2885@instalacionessegura.es"/>
        <s v="2886@construroura.es"/>
        <s v="2887@indasasl.es"/>
        <s v="2888@proalingenieros.com"/>
        <s v="2889@eurocabos.es"/>
        <s v="2890@edu.xunta.es"/>
        <s v="2891@ingenibo.com"/>
        <s v="2892@gmail.com"/>
        <s v="2893@yahoo.com"/>
        <s v="2894@me.com"/>
        <s v="2895@mundoled.net"/>
        <s v="2896@energia.eiffage.es"/>
        <s v="2897@radytel.com"/>
        <s v="2898@simon.es"/>
        <s v="2899@gmail.com"/>
        <s v="2900@hotmail.com"/>
        <s v="2901@eneroptim.es"/>
        <s v="2902@gmail.com"/>
        <s v="2903@estudioelan.com"/>
        <s v="2904@gmail.com"/>
        <s v="2905@atoms.cat"/>
        <s v="2906@comb.cat"/>
        <s v="2907@generaeficiencia.com"/>
        <s v="2908@esplugues.cat"/>
        <s v="2909@ekoleds.com"/>
        <s v="2910@syocsa-inarsa.es"/>
        <s v="2911@grupocobra.com"/>
        <s v="2912@essatel.es"/>
        <s v="2913@gmail.com"/>
        <s v="2914@aldaproyectos.es"/>
        <s v="2915@crescencioperez.com"/>
        <s v="2916@diazrojo.com"/>
        <s v="2917@mastercentella.com"/>
        <s v="2918@gmail.com"/>
        <s v="2919@gmail.com"/>
        <s v="2920@prodelectric.es"/>
        <s v="2921@hotmail.com"/>
        <s v="2922@tecnicanorte.com"/>
        <s v="2923@gmail.com"/>
        <s v="2924@gmail.com"/>
        <s v="2925@gmail.com"/>
        <s v="2926@elherco.com"/>
        <s v="2927@interflex.es"/>
        <s v="2928@simon.es"/>
        <s v="2929@baurenginyers.cat"/>
        <s v="3292@movistar.es"/>
        <s v="3297@hotmail.com"/>
        <s v="2930@hotmail.com"/>
        <s v="2931@telefonica.net"/>
        <s v="2932@soldeser.com"/>
        <s v="2933@agenex.org"/>
        <s v="2934@gruponovelec.com"/>
        <s v="2935@hotellosllanos.es"/>
        <s v="2936@gmail.com"/>
        <s v="2937@gmail.com"/>
        <s v="2938@inemesa.com"/>
        <s v="2939@oscarcaselles.com"/>
        <s v="2940@xtec.cat"/>
        <s v="2941@gmail.com"/>
        <s v="2942@ragaluz.com"/>
        <s v="2943@agaeng.es"/>
        <s v="2944@prysmiangroup.com"/>
        <s v="2945@gmail.com"/>
        <s v="2946@gmail.com"/>
        <s v="2947@gmail.com"/>
        <s v="2948@gmail.com"/>
        <s v="2949@ignasiconillas.com"/>
        <s v="2950@telematel.com"/>
        <s v="2951@telman.es"/>
        <s v="2952@catrisse.net"/>
        <s v="2953@sinophosgroup.com"/>
        <s v="2954@gmail.com"/>
        <s v="2955@imamagnets.com"/>
        <s v="2956@engie.com"/>
        <s v="2957@doladoingenieria.es"/>
        <s v="2958@gmail.com"/>
        <s v="2959@instalacionesfb.com"/>
        <s v="2960@gmail.com"/>
        <s v="2961@mqrenovables.com"/>
        <s v="2962@gmail.com"/>
        <s v="2963@gmail.com"/>
        <s v="2964@duoarquitectura.es"/>
        <s v="2965@hotmail.com"/>
        <s v="2966@gmail.com"/>
        <s v="2967@gmail.com"/>
        <s v="2968@sueprat.es"/>
        <s v="2969@gmail.com"/>
        <s v="2970@sonepar.es"/>
        <s v="2971@gmail.com"/>
        <s v="2972@us.es"/>
        <s v="2973@rt105.es"/>
        <s v="2974@outlook.com"/>
        <s v="2975@gmail.com"/>
        <s v="2976@gmail.com"/>
        <s v="2977@gmail.com"/>
        <s v="2978@electroredes.com"/>
        <s v="2979@gmail.com"/>
        <s v="2980@live.com"/>
        <s v="2981@gmail.com"/>
        <s v="2982@hotmail.es"/>
        <s v="2983@hotmail.com"/>
        <s v="2984@hotmail.com"/>
        <s v="2985@gmail.com"/>
        <s v="2986@signum.cat"/>
        <s v="2987@comercialsis.com"/>
        <s v="2988@lopezona.com"/>
        <s v="2989@9chip.com"/>
        <s v="2990@gilten.es"/>
        <s v="2991@yahoo.es"/>
        <s v="2992@socidesel.es"/>
        <s v="2993@gmail.com"/>
        <s v="2994@hotmail.com"/>
        <s v="2995@suris.es"/>
        <s v="2996@hotmail.com"/>
        <s v="2997@bgm.pt"/>
        <s v="2998@dosreisinstalaciones.es"/>
        <s v="2999@gmail.com"/>
        <s v="3000@strongpoint.com"/>
        <s v="3001@gmail.com"/>
        <s v="3002@energiaactiva.es"/>
        <s v="3003@ingenieriabenimamet.com"/>
        <s v="3004@yahoo.es"/>
        <s v="3005@electroizas.es"/>
        <s v="3006@ingenieriajorpa.es"/>
        <s v="3007@gmail.com"/>
        <s v="3008@codime.es"/>
        <s v="3009@acciona.com"/>
        <s v="3010@eleko.es"/>
        <s v="3011@gmail.com"/>
        <m/>
      </sharedItems>
    </cacheField>
    <cacheField name="Email - optim" numFmtId="165">
      <sharedItems containsBlank="1">
        <s v="1@gmail.com"/>
        <s v="2@yahoo.es"/>
        <s v="3@gmail.com"/>
        <s v="4@gmail.com"/>
        <s v="5@infortel.es"/>
        <s v="6@yahoo.es"/>
        <s v="7@unizar.es"/>
        <s v="8@gomezmoreno.com"/>
        <s v="9@chacontch.com"/>
        <s v="10@hotmail.com"/>
        <s v="11@gmail.com"/>
        <s v="12@gmail.com"/>
        <s v="13@inel.es"/>
        <s v="14@enerparking.com"/>
        <s v="15@apba.es"/>
        <s v="16@cambrabcn.org"/>
        <s v="17@gmail.com"/>
        <s v="18@urv.cat"/>
        <s v="19@grupoespacioindustrial.com"/>
        <s v="20@gmail.com"/>
        <s v="21@iteser.com"/>
        <s v="22@gmail.com"/>
        <s v="23@gmail.com"/>
        <s v="24@gmail.com"/>
        <s v="25@gmail.com"/>
        <s v="26@mktg.com"/>
        <s v="27@hotmail.com"/>
        <s v="28@gmail.com"/>
        <s v="29@gmail.com"/>
        <s v="30@gmail.com"/>
        <s v="31@gmail.com"/>
        <s v="32@gmail.com"/>
        <s v="33@gmail.com"/>
        <s v="34@gmail.com"/>
        <s v="35@gmail.com"/>
        <s v="36@visaonomada.pt"/>
        <s v="37@intienergia.com"/>
        <s v="38@telefonica.net"/>
        <s v="39@idom.com"/>
        <s v="40@hotmail.com"/>
        <s v="41@gmail.com"/>
        <s v="42@gmail.com"/>
        <s v="43@electricidadjoselucas.com"/>
        <s v="44@gmail.com"/>
        <s v="45@acotech.es"/>
        <s v="46@hotmail.com"/>
        <s v="47@marpemac.com"/>
        <s v="48@legebiltzarra.eus"/>
        <s v="49@grupocaeiro.es"/>
        <s v="50@gmail.com"/>
        <s v="51@yahoo.es"/>
        <s v="52@tdi-sistemas.com"/>
        <s v="53@dicara.es"/>
        <s v="54@abengoa.com"/>
        <s v="55@hotmail.com"/>
        <s v="56@iesmurgi.org"/>
        <s v="57@gmail.com"/>
        <s v="58@gabyl.com"/>
        <s v="59@gmail.com"/>
        <s v="60@rocketmail.com"/>
        <s v="61@elektra-sa.es"/>
        <s v="62@hotmail.com"/>
        <s v="63@semael.com"/>
        <s v="64@gmail.com"/>
        <s v="65@copitima.com"/>
        <s v="66@dgingenieros.es"/>
        <s v="67@becibiza.es"/>
        <s v="68@ingeosolar.com"/>
        <s v="69@gmail.com"/>
        <s v="70@gmail.com"/>
        <s v="71@hotmail.com"/>
        <s v="72@grupoelectrostocks.com"/>
        <s v="73@hotmail.com"/>
        <s v="74@electricidadguerra.com"/>
        <s v="75@telefonica.net"/>
        <s v="76@gmail.com"/>
        <s v="77@comsa.com"/>
        <s v="78@gmail.com"/>
        <s v="79@sonepar.es"/>
        <s v="80@enginyerstarragona.cat"/>
        <s v="81@gmail.com"/>
        <s v="82@sedes.es"/>
        <s v="83@eduardoaleman.es"/>
        <s v="84@electromontajesroldan.com"/>
        <s v="85@gmail.com"/>
        <s v="86@ingbuero-group.de"/>
        <s v="87@comsa.com"/>
        <s v="88@ingenierosvigo.com"/>
        <s v="89@ipsumindustrial.com"/>
        <s v="90@telefonica.net"/>
        <s v="91@valmet.com"/>
        <s v="92@gmail.com"/>
        <s v="93@gmail.com"/>
        <s v="94@grupocobra.com"/>
        <s v="95@gmail.com"/>
        <s v="96@hotmail.com"/>
        <s v="97@igpingenieria.com"/>
        <s v="98@davidjdiaz.es"/>
        <s v="99@coitir.com"/>
        <s v="100@hotmail.com"/>
        <s v="101@coiirm.es"/>
        <s v="102@telefonica.net"/>
        <s v="103@ciccp.es"/>
        <s v="104@spiningenieros.com"/>
        <s v="105@gmail.com"/>
        <s v="106@ucm.es"/>
        <s v="107@dipucr.es"/>
        <s v="108@salesianos.edu"/>
        <s v="109@gmail.com"/>
        <s v="110@3epsilonsolutions.com"/>
        <s v="111@murciaeduca.es"/>
        <s v="112@gmail.com"/>
        <s v="113@gmail.com"/>
        <s v="114@hotmail.com"/>
        <s v="115@yahoo.es"/>
        <s v="116@sgs.com"/>
        <s v="117@telefonica.net"/>
        <s v="118@legebiltzarra.eus"/>
        <s v="119@ideaingenieria.es"/>
        <s v="120@yahoo.com"/>
        <s v="121@gmail.com"/>
        <s v="122@tecnimed.net"/>
        <s v="123@grupocuerva.com"/>
        <s v="124@betenergia.es"/>
        <s v="125@gmail.com"/>
        <s v="126@gmail.com"/>
        <s v="127@prevae.com"/>
        <s v="128@gmail.com"/>
        <s v="129@inypro.com"/>
        <s v="130@gmail.com"/>
        <s v="131@hotmail.com"/>
        <s v="132@gmail.com"/>
        <s v="133@fasfas.com"/>
        <s v="134@gmail.com"/>
        <s v="135@telefonica.net"/>
        <s v="136@gmail.com"/>
        <s v="137@alcar2000.com"/>
        <s v="138@grupocobra.com"/>
        <s v="139@yahoo.es"/>
        <s v="140@yahoo.es"/>
        <s v="141@gmail.com"/>
        <s v="142@gmail.com"/>
        <s v="143@gmail.com"/>
        <s v="144@gmail.com"/>
        <s v="145@coitihuelva.com"/>
        <s v="146@instalacionsigualada.com"/>
        <s v="147@hotmail.es"/>
        <s v="148@gmail.com"/>
        <s v="149@gmail.com"/>
        <s v="150@atla.es"/>
        <s v="151@gmail.com"/>
        <s v="152@gmail.com"/>
        <s v="153@telefonica.net"/>
        <s v="154@jorditamayo.com"/>
        <s v="155@arcbcn.cat"/>
        <s v="156@riosrenovables.com"/>
        <s v="157@hotmail.com"/>
        <s v="158@acollconsulting.es"/>
        <s v="159@gmail.com"/>
        <s v="160@hotmail.com"/>
        <s v="161@gmail.com"/>
        <s v="162@gmail.com"/>
        <s v="163@gmail.com"/>
        <s v="164@telefonica.net"/>
        <s v="165@dobontech.com"/>
        <s v="166@napols.net"/>
        <s v="167@me.com"/>
        <s v="168@hc-ingenieros.com"/>
        <s v="169@gmail.com"/>
        <s v="170@ciudaddelosmuchachos.com"/>
        <s v="171@gmail.com"/>
        <s v="172@ardisenginyeria.com"/>
        <s v="173@gmail.com"/>
        <s v="174@hotmail.com"/>
        <s v="175@gobesa.com"/>
        <s v="176@aia.cat"/>
        <s v="177@mobcn.org"/>
        <s v="178@tec-engineering.es"/>
        <s v="179@mundo-r.com"/>
        <s v="180@aquambiente.es"/>
        <s v="181@juntaex.es"/>
        <s v="182@usal.es"/>
        <s v="183@arquired.es"/>
        <s v="184@telefonica.net"/>
        <s v="185@asintec.info"/>
        <s v="186@msn.com"/>
        <s v="187@castelyfernandez.es"/>
        <s v="188@gmail.com"/>
        <s v="189@gmail.com"/>
        <s v="190@idom.com"/>
        <s v="191@gruposinelec.com"/>
        <s v="192@gmail.com"/>
        <s v="193@triangulo.com.es"/>
        <s v="194@hotmail.com"/>
        <s v="195@electricidadmadruga.com"/>
        <s v="196@gmail.com"/>
        <s v="197@enginyerstarragona.cat"/>
        <s v="198@hotmail.es"/>
        <s v="199@elektra-sa.es"/>
        <s v="200@smassa.eu"/>
        <s v="201@gmail.com"/>
        <s v="202@gmail.com"/>
        <s v="203@outlook.com"/>
        <s v="204@ebcn.cat"/>
        <s v="205@es.tuv.com"/>
        <s v="206@jgingenieros.es"/>
        <s v="207@tecnicasyrecursos.com"/>
        <s v="208@acortaenergia.com"/>
        <s v="209@azingenieria.es"/>
        <s v="null"/>
        <s v="211@elgremi.cat"/>
        <s v="212@gmail.com"/>
        <s v="213@guidogroup.com"/>
        <s v="214@gmail.com"/>
        <s v="215@enel.com"/>
        <s v="216@gmail.com"/>
        <s v="217@esypro.net"/>
        <s v="218@erasmil.com"/>
        <s v="219@gmail.com"/>
        <s v="220@istem.es"/>
        <s v="221@maganrenovables.com"/>
        <s v="222@jcgracia.es"/>
        <s v="223@gmail.com"/>
        <s v="224@hotmail.com"/>
        <s v="225@gmail.com"/>
        <s v="226@hotmail.com"/>
        <s v="227@gmail.com"/>
        <s v="228@erasmil.com"/>
        <s v="229@gmail.com"/>
        <s v="230@solsureste.com"/>
        <s v="231@gmail.com"/>
        <s v="232@mersa.es"/>
        <s v="233@gmail.com"/>
        <s v="234@pgiengineering.com"/>
        <s v="235@gmail.com"/>
        <s v="236@elecnor.com"/>
        <s v="237@idsa.es"/>
        <s v="238@engie.com"/>
        <s v="239@alfadesarrollo.com"/>
        <s v="240@hotmail.com"/>
        <s v="241@gmail.com"/>
        <s v="242@outlook.es"/>
        <s v="243@homcrea.fr"/>
        <s v="244@as.com"/>
        <s v="245@gmail.com"/>
        <s v="247@gmail.com"/>
        <s v="248@llachsoillum.cat"/>
        <s v="249@herreroingenieros.com"/>
        <s v="250@inacces.com"/>
        <s v="251@gmail.com"/>
        <s v="252@hotmail.com"/>
        <s v="253@putzmeister.com"/>
        <s v="254@hotmail.com"/>
        <s v="255@hotmail.com"/>
        <s v="256@mail.com"/>
        <s v="257@telefonica.net"/>
        <s v="258@jesnar2011.es"/>
        <s v="259@electricosaragon2000.com"/>
        <s v="260@hotmail.com"/>
        <s v="261@gmail.com"/>
        <s v="262@gmail.com"/>
        <s v="263@sueprat.es"/>
        <s v="264@edaie.com"/>
        <s v="265@gmail.com"/>
        <s v="266@hotmail.es"/>
        <s v="267@fiberlec.com"/>
        <s v="268@gmail.com"/>
        <s v="269@hotmail.com"/>
        <s v="270@gmail.com"/>
        <s v="271@pkcgroup.com"/>
        <s v="272@gmail.com"/>
        <s v="273@gmail.com"/>
        <s v="274@movistar.es"/>
        <s v="275@aransa.com"/>
        <s v="276@gmail.com"/>
        <s v="277@fcc.es"/>
        <s v="278@urbaser.com"/>
        <s v="279@vazquezconsuegra.com"/>
        <s v="280@susaeta.net"/>
        <s v="281@montajescastellon.com"/>
        <s v="282@comsa.com"/>
        <s v="283@occidentalhotels.com"/>
        <s v="284@telman.es"/>
        <s v="285@hotmail.com"/>
        <s v="286@icaluz.com"/>
        <s v="287@parcdesalutmar.cat"/>
        <s v="288@fcc.es"/>
        <s v="289@gmail.com"/>
        <s v="290@msn.com"/>
        <s v="291@yahoo.es"/>
        <s v="292@espe.edu.ec"/>
        <s v="293@hotmail.com"/>
        <s v="294@lumial.es"/>
        <s v="295@gmail.com"/>
        <s v="296@gmail.com"/>
        <s v="297@hotmail.com"/>
        <s v="298@ibielectric.com"/>
        <s v="299@vimasol.es"/>
        <s v="300@vimasol.es"/>
        <s v="301@vimasol.es"/>
        <s v="302@loalnet.com"/>
        <s v="305@wanadoo.es"/>
        <s v="306@gmail.com"/>
        <s v="307@yahoo.es"/>
        <s v="308@rexel.es"/>
        <s v="309@hotmail.com"/>
        <s v="310@outlook.com"/>
        <s v="311@tresa.volkswagen.es"/>
        <s v="312@telefonica.net"/>
        <s v="313@inelbo.eiffage.es"/>
        <s v="314@bitrir.es"/>
        <s v="315@bongrup.es"/>
        <s v="316@aymesa.com"/>
        <s v="317@portsdebalears.com"/>
        <s v="318@gmail.com"/>
        <s v="319@gmail.com"/>
        <s v="320@gmail.com"/>
        <s v="321@gmail.com"/>
        <s v="322@rutronik.com"/>
        <s v="323@hotmail.com"/>
        <s v="324@onsaze.es"/>
        <s v="325@sonepar.es"/>
        <s v="326@gmail.com"/>
        <s v="327@romovi.com"/>
        <s v="328@siemens.com"/>
        <s v="329@covama.es"/>
        <s v="330@hotmail.com"/>
        <s v="331@gmail.com"/>
        <s v="332@gmail.com"/>
        <s v="333@jbizcocho.es"/>
        <s v="334@mixmail.com"/>
        <s v="335@faepac.org"/>
        <s v="336@gmail.com"/>
        <s v="337@gmail.com"/>
        <s v="338@u220.es"/>
        <s v="339@emiliocueto.com"/>
        <s v="340@bizkaia.eu"/>
        <s v="341@enchufesolar.com"/>
        <s v="342@idesa.pro"/>
        <s v="343@gmail.com"/>
        <s v="344@hotmail.com"/>
        <s v="345@enerwatt.es"/>
        <s v="346@gmail.com"/>
        <s v="347@engie.com"/>
        <s v="348@telefonica.net"/>
        <s v="349@dipualba.es"/>
        <s v="350@talleresloam.com"/>
        <s v="351@cochele.com"/>
        <s v="352@live.com.mx"/>
        <s v="353@industrialgines.com"/>
        <s v="354@gmail.com"/>
        <s v="355@gmail.com"/>
        <s v="356@hotmail.com"/>
        <s v="357@cesvimap.com"/>
        <s v="358@suris.es"/>
        <s v="359@movistar.es"/>
        <s v="360@gmail.com"/>
        <s v="361@trabajosadomicilio.es"/>
        <s v="362@hotmail.com"/>
        <s v="363@gmail.com"/>
        <s v="364@telefonica.net"/>
        <s v="365@edu.xunta.es"/>
        <s v="366@gmail.com"/>
        <s v="367@yahoo.es"/>
        <s v="368@gmail.com"/>
        <s v="369@upc.edu"/>
        <s v="370@coac.es"/>
        <s v="371@hotmail.com"/>
        <s v="372@ub.edu"/>
        <s v="373@eling.es"/>
        <s v="374@copitima.com"/>
        <s v="375@gmail.com"/>
        <s v="376@gmail.com"/>
        <s v="377@nouges.es"/>
        <s v="378@mcrdielec.com"/>
        <s v="379@gmail.com"/>
        <s v="380@acp-level.es"/>
        <s v="381@mtcholding.ro"/>
        <s v="382@gmail.com"/>
        <s v="383@llamas.com.es"/>
        <s v="384@comsa.com"/>
        <s v="385@upc.edu"/>
        <s v="386@xtec.cat"/>
        <s v="387@gmail.com"/>
        <s v="388@gmail.com"/>
        <s v="389@yahoo.es"/>
        <s v="390@hotmail.com"/>
        <s v="391@gmail.com"/>
        <s v="392@gmail.com"/>
        <s v="393@gmail.com"/>
        <s v="394@yahoo.es"/>
        <s v="395@ajinstal.cat"/>
        <s v="396@gmail.com"/>
        <s v="397@orange.es"/>
        <s v="398@ciudaddelosmuchachos.com"/>
        <s v="399@gmail.com"/>
        <s v="400@arquired.es"/>
        <s v="401@hotmail.es"/>
        <s v="402@gmail.com"/>
        <s v="403@hotmail.com"/>
        <s v="404@hotmail.com"/>
        <s v="405@yahoo.es"/>
        <s v="406@gmail.com"/>
        <s v="407@romher.es"/>
        <s v="408@ic3sl.com"/>
        <s v="409@gruposinelec.com"/>
        <s v="410@gmail.com"/>
        <s v="411@proyectosdelhogar.com"/>
        <s v="412@seelectroled.com"/>
        <s v="413@emancha.com"/>
        <s v="414@gruptba.com"/>
        <s v="415@gmail.com"/>
        <s v="416@dominguezelectricidad.es"/>
        <s v="417@gmail.com"/>
        <s v="418@proyectosict.net"/>
        <s v="419@miscelec.com"/>
        <s v="420@covama.es"/>
        <s v="421@maelse.com"/>
        <s v="422@amena.com"/>
        <s v="423@me.com"/>
        <s v="424@ulmahandling.com"/>
        <s v="425@telefonica.net"/>
        <s v="426@gmail.com"/>
        <s v="427@gmail.com"/>
        <s v="428@hotmail.com"/>
        <s v="429@yahoo.es"/>
        <s v="430@urgon.es"/>
        <s v="431@hotmail.com"/>
        <s v="432@acacea.es"/>
        <s v="433@gmail.com"/>
        <s v="434@gmail.com"/>
        <s v="435@solucionesms.es"/>
        <s v="436@electrosoler.com"/>
        <s v="437@alrolasistemas.es"/>
        <s v="438@epla.es"/>
        <s v="439@edu.xunta.es"/>
        <s v="440@fedirbra.com"/>
        <s v="441@arquiem.es"/>
        <s v="442@hotmail.com"/>
        <s v="443@ingenia.es"/>
        <s v="444@dymiel.es"/>
        <s v="445@sueprat.es"/>
        <s v="446@atega.net"/>
        <s v="447@iescotesbaixes.org"/>
        <s v="448@gmail.com"/>
        <s v="449@urgon.es"/>
        <s v="450@gmail.com"/>
        <s v="451@ingelux.com"/>
        <s v="452@urgon.es"/>
        <s v="453@edelafuente.com"/>
        <s v="454@gmail.com"/>
        <s v="455@gmail.com"/>
        <s v="456@electricidadvilela.com"/>
        <s v="457@outlook.com"/>
        <s v="458@imel.es"/>
        <s v="459@sesetec.com"/>
        <s v="460@gmail.com"/>
        <s v="461@msn.com"/>
        <s v="462@gmail.com"/>
        <s v="463@gmail.com"/>
        <s v="464@hotmail.es"/>
        <s v="465@hotmail.com"/>
        <s v="466@gmail.com"/>
        <s v="467@gmail.com"/>
        <s v="468@yahoo.es"/>
        <s v="469@somorrostro.com"/>
        <s v="470@gmail.com"/>
        <s v="471@abengoa.com"/>
        <s v="472@ebcn.cat"/>
        <s v="473@inexo.es"/>
        <s v="474@tectram.com"/>
        <s v="475@hotmail.es"/>
        <s v="476@hotmail.com"/>
        <s v="477@gmail.com"/>
        <s v="478@gmail.com"/>
        <s v="479@gmail.com"/>
        <s v="480@gmail.com"/>
        <s v="481@gmail.com"/>
        <s v="482@pentamatik.com"/>
        <s v="483@arval.es"/>
        <s v="484@macegroup.com"/>
        <s v="485@hotmail.com"/>
        <s v="486@gmail.com"/>
        <s v="487@gmail.com"/>
        <s v="488@gmail.com"/>
        <s v="489@carbonellfigueras.com"/>
        <s v="490@idom.com"/>
        <s v="491@gmail.com"/>
        <s v="492@hotmail.com"/>
        <s v="493@gmail.com"/>
        <s v="494@protelec.es"/>
        <s v="495@boslan.com"/>
        <s v="496@gmail.com"/>
        <s v="497@6d-ingenieros.com"/>
        <s v="498@gmail.com"/>
        <s v="499@netcabo.pt"/>
        <s v="500@gmail.com"/>
        <s v="501@gmail.com"/>
        <s v="502@hotmail.com"/>
        <s v="503@ofp.cat"/>
        <s v="504@avilayhevia.com"/>
        <s v="505@mavipas.com"/>
        <s v="506@pina-ingenieria.com"/>
        <s v="507@eco-voltaica.com"/>
        <s v="508@gmail.com"/>
        <s v="509@hotmail.com"/>
        <s v="510@gmail.com"/>
        <s v="511@yahoo.es"/>
        <s v="512@hotmail.com"/>
        <s v="513@osmos.es"/>
        <s v="514@hotmail.com"/>
        <s v="515@torrepacheco.es"/>
        <s v="516@hotmail.es"/>
        <s v="517@palmersebastian.com"/>
        <s v="518@gmail.com"/>
        <s v="519@outlook.com"/>
        <s v="520@ecf-electricidad.com"/>
        <s v="521@gmail.com"/>
        <s v="522@siemens.com"/>
        <s v="523@gmail.com"/>
        <s v="524@gmail.com"/>
        <s v="525@comsa.com"/>
        <s v="526@gmail.com"/>
        <s v="527@yahoo.com.mx"/>
        <s v="528@gmail.com"/>
        <s v="529@gmail.com"/>
        <s v="530@trilegend.com"/>
        <s v="531@csisuministros.com"/>
        <s v="532@gmail.com"/>
        <s v="533@emconsulting.es"/>
        <s v="534@gmail.com"/>
        <s v="535@bgp.es"/>
        <s v="536@adymus.es"/>
        <s v="537@sonneingenieria.com"/>
        <s v="538@herquesa.com"/>
        <s v="539@cablenergia.com"/>
        <s v="540@hotmail.com"/>
        <s v="541@gmail.com"/>
        <s v="542@yahoo.es"/>
        <s v="543@andreumanteniment.com"/>
        <s v="544@telnor.es"/>
        <s v="545@serviciosenergeticoslp.es"/>
        <s v="546@gmail.com"/>
        <s v="547@grupocuerva.com"/>
        <s v="548@hotmail.com"/>
        <s v="549@gmail.com"/>
        <s v="550@activate2.com"/>
        <s v="551@mdvproyectos.es"/>
        <s v="552@engie.com"/>
        <s v="553@aenor.com"/>
        <s v="554@gngrup.com"/>
        <s v="555@yahoo.es"/>
        <s v="556@gmail.com"/>
        <s v="557@dip-badajoz.es"/>
        <s v="558@gmail.com"/>
        <s v="559@sygsa.com"/>
        <s v="560@gmail.com"/>
        <s v="561@aialmeingenieros.com"/>
        <s v="562@gmail.com"/>
        <s v="563@salesianospamplona.net"/>
        <s v="564@gmail.com"/>
        <s v="565@gmail.com"/>
        <s v="566@gmail.com"/>
        <s v="567@sonovatec.com"/>
        <s v="568@hotmail.com"/>
        <s v="569@hotmail.com"/>
        <s v="570@hotmail.com"/>
        <s v="571@outlook.com"/>
        <s v="572@gmail.com"/>
        <s v="573@gmail.com"/>
        <s v="574@tecuni.com"/>
        <s v="575@hotmail.com"/>
        <s v="576@gmail.com"/>
        <s v="577@electroalbors.com"/>
        <s v="578@gmail.com"/>
        <s v="579@gmail.com"/>
        <s v="580@gmail.com"/>
        <s v="581@gmail.com"/>
        <s v="582@gmail.com"/>
        <s v="583@iesmontsia.org"/>
        <s v="584@petronet24.net"/>
        <s v="585@hotmail.com"/>
        <s v="586@hotmail.com"/>
        <s v="587@gescogestio.com"/>
        <s v="588@gmail.com"/>
        <s v="589@freelight.es"/>
        <s v="590@hotmail.com"/>
        <s v="591@alterenergy.com.ar"/>
        <s v="592@garciacomas.com"/>
        <s v="593@sorigue.com"/>
        <s v="594@hotmail.com"/>
        <s v="595@centroasturianobarcelona.com"/>
        <s v="596@gmail.com"/>
        <s v="597@svingenieria.com.co"/>
        <s v="599@gmail.com"/>
        <s v="600@saltoki.es"/>
        <s v="601@gmail.com"/>
        <s v="602@gmail.com"/>
        <s v="603@tenmega.pt"/>
        <s v="604@goliathspain.es"/>
        <s v="605@hotmail.com"/>
        <s v="606@gmail.com"/>
        <s v="607@eficiona.com"/>
        <s v="608@sgingenieros.es"/>
        <s v="609@ritelecenergia.es"/>
        <s v="610@electricharger.com"/>
        <s v="611@santacruzdetenerife.es"/>
        <s v="612@gmail.com"/>
        <s v="613@proingo.es"/>
        <s v="614@valledeleste.es"/>
        <s v="615@iealcazar.com"/>
        <s v="616@a6ingenieria.es"/>
        <s v="617@energia.eiffage.es"/>
        <s v="618@ibil.es"/>
        <s v="619@movistar.es"/>
        <s v="620@loop-cn.com"/>
        <s v="621@gmail.com"/>
        <s v="622@icingenieros.es"/>
        <s v="623@gmail.com"/>
        <s v="624@inserty.net"/>
        <s v="625@hotmail.com"/>
        <s v="626@yahoo.es"/>
        <s v="627@gmail.com"/>
        <s v="628@inquo.es"/>
        <s v="629@gmail.com"/>
        <s v="630@melia.com"/>
        <s v="631@engie.com"/>
        <s v="632@gmail.com"/>
        <s v="633@outlook.com"/>
        <s v="634@easycharger.es"/>
        <s v="635@coneq.es"/>
        <s v="636@csisuministros.com"/>
        <s v="638@me.com"/>
        <s v="639@rolearmais.pt"/>
        <s v="641@bodai.es"/>
        <s v="642@ecoviv.eu"/>
        <s v="643@gmail.com"/>
        <s v="644@ebconsultores.com"/>
        <s v="645@confiplano.com"/>
        <s v="646@gmail.com"/>
        <s v="647@apis-ing.es"/>
        <s v="648@bcnovatecnics.com"/>
        <s v="649@yahoo.es"/>
        <s v="650@hotmail.com"/>
        <s v="651@coitim.es"/>
        <s v="652@miesasa.com"/>
        <s v="653@hotmail.com"/>
        <s v="654@staperpetua.cat"/>
        <s v="655@seproi.com"/>
        <s v="656@gmail.com"/>
        <s v="657@enaire.es"/>
        <s v="658@gmail.com"/>
        <s v="659@gleeds.es"/>
        <s v="660@unex.net"/>
        <s v="661@horus.es"/>
        <s v="662@3cid.es"/>
        <s v="663@hotmail.com"/>
        <s v="664@hotmail.es"/>
        <s v="665@gmail.com"/>
        <s v="666@ighmallorca.com"/>
        <s v="667@ces2010.es"/>
        <s v="668@dipucordoba.es"/>
        <s v="669@hotmail.com"/>
        <s v="670@nogawatio.es"/>
        <s v="671@csisuministros.com"/>
        <s v="672@gmail.com"/>
        <s v="673@gmail.com"/>
        <s v="674@coitt.es"/>
        <s v="675@aclingenieria.com"/>
        <s v="676@promec.es"/>
        <s v="677@gmail.com"/>
        <s v="678@nh-hotels.com"/>
        <s v="679@hotmail.com"/>
        <s v="680@chargeguru.com"/>
        <s v="681@electricidadbalaguer.es"/>
        <s v="682@gmail.com"/>
        <s v="683@hagergroup.com"/>
        <s v="684@gmail.com"/>
        <s v="685@climava.com"/>
        <s v="686@electro-h.es"/>
        <s v="687@outlook.es"/>
        <s v="688@legrandgroup.es"/>
        <s v="689@arbonapiza.com"/>
        <s v="690@dllgroup.com"/>
        <s v="691@cbre.com"/>
        <s v="692@gmail.com"/>
        <s v="693@yahoo.com.mx"/>
        <s v="694@gmail.com"/>
        <s v="695@gmail.com"/>
        <s v="696@rlinstalacioneselectricas.com"/>
        <s v="697@ingedomsl.com"/>
        <s v="698@gmail.com"/>
        <s v="699@unisystems.es"/>
        <s v="700@gmail.com"/>
        <s v="701@gmail.com"/>
        <s v="702@hotmail.com"/>
        <s v="703@gmail.com"/>
        <s v="704@gmail.com"/>
        <s v="705@gmail.com"/>
        <s v="706@juntaex.es"/>
        <s v="707@ufd.es"/>
        <s v="708@zaker.com"/>
        <s v="709@gmail.com"/>
        <s v="710@hotmail.com"/>
        <s v="711@hotmail.com"/>
        <s v="712@gjautomotive.com"/>
        <s v="713@gmail.com"/>
        <s v="714@hotmail.com"/>
        <s v="715@gmail.com"/>
        <s v="716@gmail.com"/>
        <s v="717@rtve.es"/>
        <s v="718@poweringcar.com"/>
        <s v="719@gmail.com"/>
        <s v="720@pgiengineering.com"/>
        <s v="721@gmail.com"/>
        <s v="722@gmail.com"/>
        <s v="723@gmail.com"/>
        <s v="724@gmail.com"/>
        <s v="725@gmail.com"/>
        <s v="726@gmail.com"/>
        <s v="727@membrives.es"/>
        <s v="728@calambre.net"/>
        <s v="729@gmail.com"/>
        <s v="730@hotmail.com"/>
        <s v="731@bonoboenergy.com"/>
        <s v="732@vcejudo.es"/>
        <s v="733@gmail.com"/>
        <s v="734@gmail.com"/>
        <s v="735@serveiskronier55.com"/>
        <s v="736@yahoo.com"/>
        <s v="737@lagingenieros.es"/>
        <s v="738@caatvalencia.es"/>
        <s v="739@isf-esp.com"/>
        <s v="740@cee.com.es"/>
        <s v="741@dieselsanchez.com"/>
        <s v="742@acoeman.com"/>
        <s v="743@bahiguell.com"/>
        <s v="744@gmail.com"/>
        <s v="745@geinstal.com"/>
        <s v="746@msn.com"/>
        <s v="747@tecnicas.es"/>
        <s v="748@gmail.com"/>
        <s v="749@gmail.com"/>
        <s v="750@germaniaweb.com"/>
        <s v="751@ecium.es"/>
        <s v="752@hotmail.com"/>
        <s v="753@arquinur.es"/>
        <s v="754@gmail.com"/>
        <s v="755@coitt.es"/>
        <s v="756@gsima.es"/>
        <s v="757@integra-sti.com"/>
        <s v="758@ingenieros.com"/>
        <s v="759@hotmail.com"/>
        <s v="760@hotmail.com"/>
        <s v="761@insfuert.es"/>
        <s v="762@hotmail.com"/>
        <s v="763@gmail.com"/>
        <s v="764@nova-electrica.com"/>
        <s v="765@gmail.com"/>
        <s v="766@hotmail.com"/>
        <s v="767@rexel.es"/>
        <s v="768@gmail.com"/>
        <s v="769@gmail.com"/>
        <s v="770@inmotiza.com"/>
        <s v="771@solutions30.com"/>
        <s v="772@faen.es"/>
        <s v="773@perequart.com"/>
        <s v="774@urgon.es"/>
        <s v="775@yahoo.es"/>
        <s v="776@entepi.com"/>
        <s v="777@onofflife.es"/>
        <s v="778@gmail.com"/>
        <s v="779@gmail.com"/>
        <s v="780@hotmail.com"/>
        <s v="781@gmail.com"/>
        <s v="782@gmail.com"/>
        <s v="783@diexfe.com"/>
        <s v="784@live.com"/>
        <s v="785@gabrielcorchero.org"/>
        <s v="786@grupoelectrostocks.com"/>
        <s v="787@electricidadoriagomez.com"/>
        <s v="788@casvicuatro.es"/>
        <s v="789@simsabdn.cat"/>
        <s v="790@yahoo.com.ar"/>
        <s v="791@hotmail.com"/>
        <s v="792@gva.es"/>
        <s v="793@gmail.com"/>
        <s v="794@somoselectricistas.com"/>
        <s v="795@lomosamovilidad.com"/>
        <s v="796@gmail.com"/>
        <s v="797@gmail.com"/>
        <s v="798@gmail.com"/>
        <s v="799@yahoo.es"/>
        <s v="800@taubertek.com"/>
        <s v="801@hotmail.es"/>
        <s v="802@hotmail.com"/>
        <s v="803@outlook.com"/>
        <s v="804@monrabal.net"/>
        <s v="805@gmail.com"/>
        <s v="806@gmail.com"/>
        <s v="807@gmail.com"/>
        <s v="808@ale.es"/>
        <s v="809@naturgy.com"/>
        <s v="810@arquired.es"/>
        <s v="811@proinsermant.com"/>
        <s v="812@invgrupo.com"/>
        <s v="813@kilovatiogalicia.com"/>
        <s v="814@interingenieria.com"/>
        <s v="815@uach.mx"/>
        <s v="816@energia.eiffage.es"/>
        <s v="817@gmail.com"/>
        <s v="818@galektra.es"/>
        <s v="819@hotmail.com"/>
        <s v="820@ebcn.cat"/>
        <s v="821@gmail.com"/>
        <s v="822@yahoo.fr"/>
        <s v="823@gmail.com"/>
        <s v="824@gmail.com"/>
        <s v="825@hotmail.com"/>
        <s v="826@gmail.com"/>
        <s v="827@coitiar.es"/>
        <s v="828@zf.com"/>
        <s v="829@gmail.com"/>
        <s v="830@gmail.com"/>
        <s v="831@gmail.com"/>
        <s v="832@suministradora.com"/>
        <s v="833@ofitecbp.com"/>
        <s v="834@gmail.com"/>
        <s v="835@gmail.com"/>
        <s v="837@gmail.com"/>
        <s v="838@sdin.es"/>
        <s v="839@fluidsa.com"/>
        <s v="840@gmail.com"/>
        <s v="841@gmail.com"/>
        <s v="842@fibramur.com"/>
        <s v="843@instalacionescueto.com"/>
        <s v="844@certis.cat"/>
        <s v="845@hotmail.com"/>
        <s v="846@hotmail.com"/>
        <s v="847@lodeal.es"/>
        <s v="848@sesaelec.com"/>
        <s v="849@gmail.com"/>
        <s v="850@gmail.com"/>
        <s v="851@arquitecto.com"/>
        <s v="852@grupviu.com"/>
        <s v="853@gmail.com"/>
        <s v="854@msn.com"/>
        <s v="855@msn.com"/>
        <s v="856@gmail.com"/>
        <s v="857@gmail.com"/>
        <s v="858@gmail.com"/>
        <s v="859@hotmail.com"/>
        <s v="860@gmail.com"/>
        <s v="861@outlook.com"/>
        <s v="862@fpcm.es"/>
        <s v="863@outlook.com"/>
        <s v="864@es.uazuay.edu.ec"/>
        <s v="865@asmoaingenieria.com"/>
        <s v="866@typsa.es"/>
        <s v="867@proyectosjamaras.es"/>
        <s v="868@gmail.com"/>
        <s v="869@yahoo.es"/>
        <s v="870@gmail.com"/>
        <s v="871@cefiner.com"/>
        <s v="872@gmail.com"/>
        <s v="873@eutikes.com"/>
        <s v="874@coac.net"/>
        <s v="875@orange.es"/>
        <s v="876@arquitectonica.cat"/>
        <s v="877@gmail.com"/>
        <s v="878@masteringenieria.com"/>
        <s v="879@sicoris.com"/>
        <s v="880@miquelnieto.com"/>
        <s v="881@hotmail.com"/>
        <s v="882@domotelelectric.com"/>
        <s v="883@hotmail.com"/>
        <s v="884@enersos.es"/>
        <s v="885@gmail.com"/>
        <s v="886@gmail.com"/>
        <s v="887@gmail.com"/>
        <s v="888@zivautomation.com"/>
        <s v="889@hotmail.com"/>
        <s v="890@hotmail.com"/>
        <s v="891@gmail.com"/>
        <s v="892@hotmail.com"/>
        <s v="893@krean.com"/>
        <s v="894@gmail.com"/>
        <s v="895@volumetric.eu"/>
        <s v="896@gmail.com"/>
        <s v="897@rtve.es"/>
        <s v="898@gmail.com"/>
        <s v="899@gmail.com"/>
        <s v="900@hirurok.eu"/>
        <s v="901@gmail.com"/>
        <s v="902@gmail.com"/>
        <s v="903@edirocsa.com"/>
        <s v="904@inboundcycle.com"/>
        <s v="905@yahoo.es"/>
        <s v="906@europrojectes.es"/>
        <s v="907@gmail.com"/>
        <s v="908@hotmail.com"/>
        <s v="909@gmail.com"/>
        <s v="910@sogesa.es"/>
        <s v="911@lusorede.pt"/>
        <s v="912@gmail.com"/>
        <s v="913@quorania.com"/>
        <s v="914@gmail.com"/>
        <s v="915@gmail.com"/>
        <s v="916@gcaarq.com"/>
        <s v="917@gmail.com"/>
        <s v="918@gmail.com"/>
        <s v="919@hotmail.com"/>
        <s v="920@meval.eu"/>
        <s v="921@gmail.com"/>
        <s v="922@ingenierosvigo.com"/>
        <s v="923@gmail.com"/>
        <s v="924@msn.com"/>
        <s v="925@eco-voltaica.com"/>
        <s v="926@electricidadyserviciosmontero.com"/>
        <s v="927@argionelectric.es"/>
        <s v="928@gmail.com"/>
        <s v="929@acciona.com"/>
        <s v="930@acciona.com"/>
        <s v="931@acciona.com"/>
        <s v="932@bellmasenginyers.cat"/>
        <s v="933@orsei.es"/>
        <s v="934@outlook.com"/>
        <s v="935@gmail.com"/>
        <s v="936@gmail.com"/>
        <s v="937@gmail.com"/>
        <s v="938@montegar.es"/>
        <s v="939@gmail.com"/>
        <s v="940@masojuando.com"/>
        <s v="941@gmail.com"/>
        <s v="942@r11arquitectos.com"/>
        <s v="943@gabyl.com"/>
        <s v="944@gmail.com"/>
        <s v="945@red.renault.es"/>
        <s v="946@gmail.com"/>
        <s v="947@clysema.com"/>
        <s v="948@gmail.com"/>
        <s v="949@cadielsa.com"/>
        <s v="950@grupocobra.com"/>
        <s v="951@tenerasa.es"/>
        <s v="953@mosancar.com"/>
        <s v="954@aiguesmanresa.cat"/>
        <s v="955@conras.es"/>
        <s v="956@mebaluz.es"/>
        <s v="957@germaniaweb.com"/>
        <s v="958@hotmail.es"/>
        <s v="959@mlopezarquitectos.com"/>
        <s v="960@aqelectric.es"/>
        <s v="961@gmail.com"/>
        <s v="962@electropla.cat"/>
        <s v="963@gmail.com"/>
        <s v="964@hotmail.com"/>
        <s v="965@gmail.com"/>
        <s v="966@miguelmoralesingenieros.com"/>
        <s v="967@lacsl.es"/>
        <s v="968@gmail.com"/>
        <s v="969@comercialsis.com"/>
        <s v="970@acelecsal.com"/>
        <s v="971@imagogestion.com"/>
        <s v="972@acelecsal.com"/>
        <s v="973@live.com"/>
        <s v="974@yahoo.es"/>
        <s v="975@yahoo.com"/>
        <s v="977@tarragona.cat"/>
        <s v="978@gmail.com"/>
        <s v="979@gmail.com"/>
        <s v="980@coiiar.org"/>
        <s v="981@gmail.com"/>
        <s v="982@gmail.com"/>
        <s v="983@elektracat.com"/>
        <s v="984@gmail.com"/>
        <s v="985@jesnar2011.es"/>
        <s v="986@hotmail.com"/>
        <s v="987@ginsa.cat"/>
        <s v="988@electromercantil.es"/>
        <s v="989@electricasllop.com"/>
        <s v="990@gmail.com"/>
        <s v="991@yahoo.es"/>
        <s v="992@yahoo.es"/>
        <s v="993@electricidadguerra.com"/>
        <s v="994@gruponovelec.com"/>
        <s v="995@telefonica.net"/>
        <s v="996@comb.cat"/>
        <s v="997@yahoo.es"/>
        <s v="998@damuvi.com"/>
        <s v="999@aeperez.es"/>
        <s v="1000@hotmail.com"/>
        <s v="1001@hotmail.com"/>
        <s v="1002@hotmail.com"/>
        <s v="1003@gmail.com"/>
        <s v="1004@telefonica.net"/>
        <s v="1005@allendearquitectos.com"/>
        <s v="1006@gmail.com"/>
        <s v="1007@yahoo.es"/>
        <s v="1008@olleo.es"/>
        <s v="1009@ccatlantico.com"/>
        <s v="1011@gmail.com"/>
        <s v="1012@formasymateriales.com"/>
        <s v="1013@hotmail.com"/>
        <s v="1014@gmail.com"/>
        <s v="1015@aziraelectricidad.com"/>
        <s v="1016@coitt.es"/>
        <s v="1017@tesnetwork.net"/>
        <s v="1018@esmassmart.com"/>
        <s v="1019@ingeralbaida.es"/>
        <s v="1020@deinrresa.es"/>
        <s v="1021@proturhotels.com"/>
        <s v="1022@uhu.es"/>
        <s v="1023@hotmail.com"/>
        <s v="1024@elecnor.com"/>
        <s v="1025@gmail.com"/>
        <s v="1026@aia.cat"/>
        <s v="1027@leanteam.es"/>
        <s v="1028@ingenierosvalladolid.es"/>
        <s v="1029@gmail.com"/>
        <s v="1030@inmaser-integral.es"/>
        <s v="1031@grupoitesa.com"/>
        <s v="1032@zioenginy.com"/>
        <s v="1033@gmail.com"/>
        <s v="1034@gmail.com"/>
        <s v="1035@gmail.com"/>
        <s v="1036@grupoelectrostocks.com"/>
        <s v="1037@gmail.com"/>
        <s v="1038@gmail.com"/>
        <s v="1039@yahoo.es"/>
        <s v="1040@gmail.com"/>
        <s v="1041@jordimoran.es"/>
        <s v="1042@alvae.es"/>
        <s v="1043@gmail.com"/>
        <s v="1044@hotmail.com"/>
        <s v="1045@coac.net"/>
        <s v="1046@gmail.com"/>
        <s v="1047@coag.es"/>
        <s v="1048@usc.es"/>
        <s v="1049@gmail.com"/>
        <s v="1050@hotmail.es"/>
        <s v="1051@gmail.com"/>
        <s v="1052@yahoo.es"/>
        <s v="1053@gmail.com"/>
        <s v="1054@isd-ingenieria.es"/>
        <s v="1055@gmail.com"/>
        <s v="1056@gmail.com"/>
        <s v="1057@gmsil.com"/>
        <s v="1058@gmail.com"/>
        <s v="1059@yahoo.es"/>
        <s v="1060@hotmail.com"/>
        <s v="1061@perezescribano.es"/>
        <s v="1062@hotmail.com"/>
        <s v="1063@gmail.com"/>
        <s v="1064@abxat.com"/>
        <s v="1065@movistar.es"/>
        <s v="1066@gmail.com"/>
        <s v="1067@gmail.com"/>
        <s v="1068@dominion.es"/>
        <s v="1069@agoitziru.es"/>
        <s v="1070@vamostelecom.es"/>
        <s v="1071@industrialgines.com"/>
        <s v="1072@gmail.com"/>
        <s v="1073@grupolasser.com"/>
        <s v="1074@hotmail.com"/>
        <s v="1075@gmail.com"/>
        <s v="1076@gmail.com"/>
        <s v="1077@hotmail.com"/>
        <s v="1078@gmail.com"/>
        <s v="1079@outlook.es"/>
        <s v="1080@levitec.es"/>
        <s v="1081@teideingenieros.com"/>
        <s v="1082@gmail.com"/>
        <s v="1083@hotmail.com"/>
        <s v="1084@gmail.com"/>
        <s v="1085@gmail.com"/>
        <s v="1086@gmail.com"/>
        <s v="1087@hotmail.com"/>
        <s v="1088@citemaing.com"/>
        <s v="1089@gmail.com"/>
        <s v="1090@hotmail.com"/>
        <s v="1092@cipfpcanastell.com"/>
        <s v="1093@edu.xunta.es"/>
        <s v="1094@hotmail.com"/>
        <s v="1095@gmail.com"/>
        <s v="1096@mpf-ingenieria.es"/>
        <s v="1097@santaeulalia.cat"/>
        <s v="1099@hotmail.com"/>
        <s v="1100@boffor.com"/>
        <s v="1101@hotmail.com"/>
        <s v="1102@gmail.com"/>
        <s v="1103@montajeselectricosfase.com"/>
        <s v="1104@gmail.com"/>
        <s v="1105@gmail.com"/>
        <s v="1106@gruponoria.com"/>
        <s v="1107@ryaingenieros.com"/>
        <s v="1108@enginyerstarragona.cat"/>
        <s v="1109@gmail.com"/>
        <s v="1110@gmail.com"/>
        <s v="1111@hotmail.com"/>
        <s v="1112@covama.es"/>
        <s v="1113@aurialux.com"/>
        <s v="1114@teclisa.com"/>
        <s v="1115@muntanerelectro.com"/>
        <s v="1116@suelba.com"/>
        <s v="1117@hotmail.com"/>
        <s v="1118@coitiar.es"/>
        <s v="1119@gmail.com"/>
        <s v="1120@sonepar.es"/>
        <s v="1121@gmail.com"/>
        <s v="1122@hotmail.es"/>
        <s v="1123@gmail.com"/>
        <s v="1124@energonrenovables.es"/>
        <s v="1125@rocaingenieros.com"/>
        <s v="1126@viveme.es"/>
        <s v="1127@telefonica.net"/>
        <s v="1128@fgingenieria.com"/>
        <s v="1129@eselfri.com"/>
        <s v="1130@kairsa.com"/>
        <s v="1131@gmail.com"/>
        <s v="1132@yahoo.es"/>
        <s v="1133@hotmail.com"/>
        <s v="1134@integratoledo.com"/>
        <s v="1135@gmail.com"/>
        <s v="1136@metalux.es"/>
        <s v="1137@eiasein.es"/>
        <s v="1138@arquired.es"/>
        <s v="1139@gmail.com"/>
        <s v="1140@fer.es"/>
        <s v="1141@coitim.es"/>
        <s v="1142@asmesl.es"/>
        <s v="1143@gmail.com"/>
        <s v="1144@idponline.net"/>
        <s v="1145@miretelectricidad.com"/>
        <s v="1146@hotmail.com"/>
        <s v="1147@magalux.es"/>
        <s v="1148@dipusevilla.es"/>
        <s v="1149@fillsdelluissureda.cat"/>
        <s v="1150@gmail.com"/>
        <s v="1151@telefonica.net"/>
        <s v="1152@lahidro.net"/>
        <s v="1153@hotmail.com"/>
        <s v="1154@gmail.com"/>
        <s v="1155@mapelsl.com"/>
        <s v="1156@berrilanbim.com"/>
        <s v="1157@himalayaclimatizacionycontrol.es"/>
        <s v="1158@hotmail.com"/>
        <s v="1159@birtes.com.tr"/>
        <s v="1160@copcisa.com"/>
        <s v="1161@sygsa.com"/>
        <s v="1162@gmail.com"/>
        <s v="1163@instalmasa.com"/>
        <s v="1164@projecat.com"/>
        <s v="1165@gmail.com"/>
        <s v="1166@hotmail.com"/>
        <s v="1167@tselsur.es"/>
        <s v="1168@renaultpineda.com"/>
        <s v="1169@gmail.com"/>
        <s v="1170@lahidro.net"/>
        <s v="1171@albaida.es"/>
        <s v="1172@sunkatel.com"/>
        <s v="1173@vifrisan.com"/>
        <s v="1174@alem.es"/>
        <s v="1175@gmail.com"/>
        <s v="1176@gmail.com"/>
        <s v="1177@imte.cat"/>
        <s v="1178@hotmail.com"/>
        <s v="1179@hotmail.com"/>
        <s v="1180@sonepar.es"/>
        <s v="1181@mapfre.com"/>
        <s v="1182@damm.es"/>
        <s v="1183@ddisl.com"/>
        <s v="1184@tecmotica.net"/>
        <s v="1185@lmretavi.es"/>
        <s v="1186@gmail.com"/>
        <s v="1187@gmail.com"/>
        <s v="1188@gmail.com"/>
        <s v="1189@gmail.com"/>
        <s v="1190@telecable.es"/>
        <s v="1191@tinet.fut.es"/>
        <s v="1192@toyota-canarias.es"/>
        <s v="1193@grupoelectrostocks.com"/>
        <s v="1194@hotmail.com"/>
        <s v="1195@gmail.com"/>
        <s v="1196@hotmail.com"/>
        <s v="1197@electricidadcelec.com"/>
        <s v="1198@hotmail.com"/>
        <s v="1199@qwerty.es"/>
        <s v="1200@gg.com"/>
        <s v="1201@yahoo.es"/>
        <s v="1202@gmail.com"/>
        <s v="1203@smarthaus.studio"/>
        <s v="1204@me.com"/>
        <s v="1205@telefonica.net"/>
        <s v="1206@gmail.com"/>
        <s v="1207@gmail.com"/>
        <s v="1208@gmail.com"/>
        <s v="1209@hotmail.es"/>
        <s v="1210@pepepower.es"/>
        <s v="1211@outlook.es"/>
        <s v="1212@hotmail.com"/>
        <s v="1213@hotmail.com"/>
        <s v="1214@gmail.com"/>
        <s v="1215@subis.cat"/>
        <s v="1216@gmail.com"/>
        <s v="1217@gmail.com"/>
        <s v="1218@gmail.com"/>
        <s v="1219@actluz.com"/>
        <s v="1220@sanitariosbosco.es"/>
        <s v="1221@gencat.cat"/>
        <s v="1222@hotmail.com"/>
        <s v="1223@proyecta79.com"/>
        <s v="1224@ipertec.es"/>
        <s v="1225@yahoo.es"/>
        <s v="1226@agiceringenieros.es"/>
        <s v="1227@telefonica.net"/>
        <s v="1228@entax.es"/>
        <s v="1229@yahoo.es"/>
        <s v="1230@gmail.com"/>
        <s v="1231@gmail.com"/>
        <s v="1232@planocaceres.com"/>
        <s v="1233@hotmail.com"/>
        <s v="1234@gmail.com"/>
        <s v="1235@gmail.com"/>
        <s v="1236@hotmail.com"/>
        <s v="1237@gmail.com"/>
        <s v="1238@gmail.com"/>
        <s v="1239@telefonica.net"/>
        <s v="1240@hotmail.com"/>
        <s v="1241@gmail.com"/>
        <s v="1242@hotmail.com"/>
        <s v="1243@educa.jcyl.es"/>
        <s v="1244@gmail.com"/>
        <s v="1245@hotmail.com"/>
        <s v="1246@ecoltan.org"/>
        <s v="1247@gmail.com"/>
        <s v="1248@gmail.com"/>
        <s v="1249@gmail.com"/>
        <s v="1250@telefonica.net"/>
        <s v="1251@gomurmya.com"/>
        <s v="1252@desarrollotecnico.com"/>
        <s v="1253@gmail.com"/>
        <s v="1254@gmail.com"/>
        <s v="1255@hotmail.com"/>
        <s v="1256@gmail.com"/>
        <s v="1257@carsbarcelona.es"/>
        <s v="1258@gmail.com"/>
        <s v="1259@radresa.com"/>
        <s v="1260@gdr.es"/>
        <s v="1261@e-copitile.es"/>
        <s v="1262@hotmail.com"/>
        <s v="1263@hotmail.com"/>
        <s v="1264@gmail.com"/>
        <s v="1265@hotmail.com"/>
        <s v="1266@gmail.com"/>
        <s v="1267@motor2000.net"/>
        <s v="1268@gamai.com"/>
        <s v="1269@kuartafase.com"/>
        <s v="1270@solcansl.com"/>
        <s v="1271@yahoo.es"/>
        <s v="1272@gmail.com"/>
        <s v="1273@telefonica.net"/>
        <s v="1274@gmail.com"/>
        <s v="1275@sonepar.es"/>
        <s v="1276@protomar.es"/>
        <s v="1277@sonepar.es"/>
        <s v="1278@gmail.com"/>
        <s v="1279@fccco.com"/>
        <s v="1280@coitiar.es"/>
        <s v="1281@albillos.com"/>
        <s v="1282@hotmail.com"/>
        <s v="1283@gmail.com"/>
        <s v="1284@gmail.com"/>
        <s v="1285@e3ingenieria.com"/>
        <s v="1286@instalacionespiru.es"/>
        <s v="1287@aytosalamanca.es"/>
        <s v="1288@serpel.es"/>
        <s v="1289@gmail.com"/>
        <s v="1290@tesma.es"/>
        <s v="1291@macegroup.com"/>
        <s v="1292@gmail.com"/>
        <s v="1293@gmail.com"/>
        <s v="1294@gmail.com"/>
        <s v="1295@hotmail.es"/>
        <s v="1296@gmail.com"/>
        <s v="1297@silmarinstalacions.com"/>
        <s v="1298@gmail.com"/>
        <s v="1299@sonepar.es"/>
        <s v="1300@movistar.es"/>
        <s v="1301@electricidadaldama.com"/>
        <s v="1302@alem.es"/>
        <s v="1303@hotmail.com"/>
        <s v="1304@ingenibo.com"/>
        <s v="1305@checa67.es"/>
        <s v="1306@instalacionesyobrasdelrio.com"/>
        <s v="1307@gmail.com"/>
        <s v="1308@tdgi.pt"/>
        <s v="1309@gmail.com"/>
        <s v="1310@hotmail.com"/>
        <s v="1311@gmail.com"/>
        <s v="1312@gmail.com"/>
        <s v="1313@adober.es"/>
        <s v="1314@jtelectricperu.com"/>
        <s v="1315@riello-tdl.com"/>
        <s v="1316@proyndust.es"/>
        <s v="1317@gmail.com"/>
        <s v="1318@inteleclamancha.com"/>
        <s v="1319@masfarne.info"/>
        <s v="1320@gmail.com"/>
        <s v="1321@gmail.com"/>
        <s v="1322@gmail.com"/>
        <s v="1323@gmail.com"/>
        <s v="1324@hotmail.com"/>
        <s v="1325@gmail.com"/>
        <s v="1326@saltoki.es"/>
        <s v="1327@tinet.org"/>
        <s v="1328@gmail.com"/>
        <s v="1329@gmail.com"/>
        <s v="1330@comb.cat"/>
        <s v="1331@gmail.com"/>
        <s v="1332@novarquia.es"/>
        <s v="1333@lantec.es"/>
        <s v="1334@hotmail.es"/>
        <s v="1335@santalucia.es"/>
        <s v="1336@yahoo.es"/>
        <s v="1337@grupoelectrostocks.com"/>
        <s v="1338@gmail.com"/>
        <s v="1339@electrogalmar.es"/>
        <s v="1340@silezgrup.com"/>
        <s v="1341@electricidadinstalvi.com"/>
        <s v="1342@ic3sl.com"/>
        <s v="1343@hotmail.com"/>
        <s v="1344@gmail.com"/>
        <s v="1345@telefonica.net"/>
        <s v="1346@boslan.com"/>
        <s v="1347@ormazabal.com"/>
        <s v="1348@gmail.com"/>
        <s v="1349@gmail.com"/>
        <s v="1350@gmail.com"/>
        <s v="1351@conselldemallorca.net"/>
        <s v="1352@autelec.net"/>
        <s v="1353@cairo.ad"/>
        <s v="1354@hotmail.com"/>
        <s v="1355@gmail.com"/>
        <s v="1356@hotmail.com"/>
        <s v="1357@gmail.com"/>
        <s v="1358@gmail.com"/>
        <s v="1359@grupotandal.com"/>
        <s v="1360@hotmail.com"/>
        <s v="1361@gmail.com"/>
        <s v="1362@gmail.com"/>
        <s v="1363@hotmail.com"/>
        <s v="1364@eirazola.com"/>
        <s v="1365@hotmail.com"/>
        <s v="1366@electroalco.es"/>
        <s v="1367@telecable.es"/>
        <s v="1368@baselec.es"/>
        <s v="1369@atribal.es"/>
        <s v="1370@hotmail.com"/>
        <s v="1371@gmail.com"/>
        <s v="1372@telefonica.net"/>
        <s v="1373@electrolucman.com"/>
        <s v="1374@autelec.net"/>
        <s v="1375@gmail.com"/>
        <s v="1376@telefonica.net"/>
        <s v="1377@hotmail.com"/>
        <s v="1378@electromat.com"/>
        <s v="1379@hotmail.com"/>
        <s v="1380@gmail.com"/>
        <s v="1381@msn.com"/>
        <s v="1382@gmail.com"/>
        <s v="1383@grupoazmont.com"/>
        <s v="1384@eringenieria.com"/>
        <s v="1385@telefonica.net"/>
        <s v="1386@grupoevc.es"/>
        <s v="1387@yahoo.com.mx"/>
        <s v="1388@covama.es"/>
        <s v="1389@hotmail.com"/>
        <s v="1390@gmail.com"/>
        <s v="1391@grupojab.es"/>
        <s v="1392@msn.com"/>
        <s v="1393@electricidadguerra.com"/>
        <s v="1394@gmail.com"/>
        <s v="1395@cenorma.com"/>
        <s v="1396@telefonica.net"/>
        <s v="1397@olibayas.net"/>
        <s v="1398@teclisa.com"/>
        <s v="1399@gmail.com"/>
        <s v="1400@apeh.org"/>
        <s v="1401@auditenergia.com"/>
        <s v="1402@gmail.com"/>
        <s v="1403@grupoelectrostocks.com"/>
        <s v="1404@eurocabos.es"/>
        <s v="1405@arreglosoluciones.com"/>
        <s v="1406@gmail.com"/>
        <s v="1407@gmail.com"/>
        <s v="1408@cepsa.com"/>
        <s v="1410@elecnor.es"/>
        <s v="1411@ujaen.es"/>
        <s v="1412@electryser.com"/>
        <s v="1413@gmail.com"/>
        <s v="1414@gmail.com"/>
        <s v="1415@coytesa.com"/>
        <s v="1416@edifesa.com"/>
        <s v="1417@gmail.com"/>
        <s v="1418@gmail.com"/>
        <s v="1419@gmail.com"/>
        <s v="1420@globalelectrica.com"/>
        <s v="1421@itesasl.com"/>
        <s v="1422@gmail.com"/>
        <s v="1423@telefonica.net"/>
        <s v="1424@gmail.com"/>
        <s v="1425@elezvi.com"/>
        <s v="1426@gmail.com"/>
        <s v="1427@hotmail.es"/>
        <s v="1428@gadeaingenieros.com"/>
        <s v="1429@yahoo.es"/>
        <s v="1430@outlook.es"/>
        <s v="1431@jgingenieros.es"/>
        <s v="1432@gmail.com"/>
        <s v="1433@apeme.es"/>
        <s v="1434@planamar.com"/>
        <s v="1435@serindex.es"/>
        <s v="1436@deerns.com"/>
        <s v="1437@indal-tec.com"/>
        <s v="1438@hotmail.com"/>
        <s v="1439@amingenieros.com"/>
        <s v="1440@hotmail.com"/>
        <s v="1441@gmail.com"/>
        <s v="1442@sonepar.es"/>
        <s v="1443@hotmail.com"/>
        <s v="1444@gmail.com"/>
        <s v="1445@gmail.com"/>
        <s v="1446@gmail.com"/>
        <s v="1447@galektra.es"/>
        <s v="1448@renowattandorra.com"/>
        <s v="1449@aseisa.es"/>
        <s v="1450@hotmail.com"/>
        <s v="1451@electrocuebar.com"/>
        <s v="1452@ricarsat.com"/>
        <s v="1453@ingenierosdecadiz.es"/>
        <s v="1454@yahoo.es"/>
        <s v="1455@gmail.com"/>
        <s v="1456@telefonica.net"/>
        <s v="1457@covama.es"/>
        <s v="1458@gmail.com"/>
        <s v="1459@mican.es"/>
        <s v="1460@gmail.com"/>
        <s v="1461@gmail.com"/>
        <s v="1462@cadlan.com"/>
        <s v="1463@sicarsl.es"/>
        <s v="1464@gmail.com"/>
        <s v="1465@guielec.es"/>
        <s v="1466@telegrado.es"/>
        <s v="1467@agave-broadcast.es"/>
        <s v="1468@gmail.com"/>
        <s v="1469@hotmail.com"/>
        <s v="1470@gmail.com"/>
        <s v="1471@tcasertec.com"/>
        <s v="1472@yahoo.es"/>
        <s v="1473@hotmail.com"/>
        <s v="1474@urgon.es"/>
        <s v="1475@electricidadreset.es"/>
        <s v="1476@sonepar.es"/>
        <s v="1477@sonepar.es"/>
        <s v="1478@gmail.com"/>
        <s v="1479@iespunyes.com"/>
        <s v="1480@coiim.es"/>
        <s v="1481@iesmercurio.es"/>
        <s v="1482@gmail.com"/>
        <s v="1483@gruponovelec.com"/>
        <s v="1484@r3recymed.com"/>
        <s v="1486@gmail.com"/>
        <s v="1487@gmail.com"/>
        <s v="1488@telefonica.net"/>
        <s v="1489@gmail.com"/>
        <s v="1490@hotmail.com"/>
        <s v="1491@donbany.com"/>
        <s v="1492@aurialux.com"/>
        <s v="1493@hotmail.com"/>
        <s v="1494@gmail.com"/>
        <s v="1495@grupcluster.com"/>
        <s v="1496@coitt.es"/>
        <s v="1497@covama.es"/>
        <s v="1498@gmail.com"/>
        <s v="1499@sonepar.es"/>
        <s v="1500@covama.es"/>
        <s v="1501@clientes.euskaltel.es"/>
        <s v="1502@educastur.org"/>
        <s v="1504@gmail.com"/>
        <s v="1505@gmail.com"/>
        <s v="1506@dhorma.com"/>
        <s v="1507@hotmail.com"/>
        <s v="1508@gmail.com"/>
        <s v="1509@xonxa.com"/>
        <s v="1510@adelanteenergia.es"/>
        <s v="1511@hotmail.com"/>
        <s v="1512@elecox.es"/>
        <s v="1514@hotmail.com"/>
        <s v="1515@expertline.es"/>
        <s v="1516@gmail.com"/>
        <s v="1517@hotmail.com"/>
        <s v="1518@gmail.com"/>
        <s v="1519@tadelec.com"/>
        <s v="1520@cebrinsa.es"/>
        <s v="1521@hotmail.com"/>
        <s v="1522@agad.cat"/>
        <s v="1523@ofitep.com"/>
        <s v="1524@suministrosserpis.es"/>
        <s v="1525@abcgrup.com"/>
        <s v="1526@gmail.com"/>
        <s v="1527@prodelec.es"/>
        <s v="1528@sitiaingenieria.com"/>
        <s v="1530@aller.es"/>
        <s v="1531@telefonica.net"/>
        <s v="1532@telefonica.net"/>
        <s v="1533@gmail.com"/>
        <s v="1534@gmail.com"/>
        <s v="1535@hotmail.com"/>
        <s v="1536@estudiosyproyectos.com"/>
        <s v="1537@prysmiangroup.com"/>
        <s v="1538@auditenergia.com"/>
        <s v="1539@hotmail.com"/>
        <s v="1540@heliopol.es"/>
        <s v="1541@acp-level.es"/>
        <s v="1542@meomsl.com"/>
        <s v="1543@cotpa.com"/>
        <s v="1544@hotmail.com"/>
        <s v="1545@hotmail.com"/>
        <s v="1546@gmail.com"/>
        <s v="1547@gmail.com"/>
        <s v="1548@gva.es"/>
        <s v="1549@urgon.es"/>
        <s v="1550@die.upv.es"/>
        <s v="1551@avatry.es"/>
        <s v="1552@yahoo.es"/>
        <s v="1553@arfecons.es"/>
        <s v="1555@marinstal.com"/>
        <s v="1556@electricidadguerra.com"/>
        <s v="1557@gmail.com"/>
        <s v="1558@gmail.com"/>
        <s v="1559@strong.es"/>
        <s v="1560@copitival.es"/>
        <s v="1561@elecvic.com"/>
        <s v="1562@gmail.com"/>
        <s v="1563@emtvalencia.es"/>
        <s v="1564@dimelsa.es"/>
        <s v="1566@elecparamos.com"/>
        <s v="1567@egarriga.com"/>
        <s v="1568@gmail.com"/>
        <s v="1569@ecag.es"/>
        <s v="1570@yahoo.es"/>
        <s v="1571@electrolid.es"/>
        <s v="1572@flotatsyasociados.com"/>
        <s v="1573@hotmail.com"/>
        <s v="1574@gmail.com"/>
        <s v="1575@gmail.com"/>
        <s v="1576@conrad.cat"/>
        <s v="1577@cimelsa.com"/>
        <s v="1578@covama.es"/>
        <s v="1579@inblau.es"/>
        <s v="1580@grupotesein.com"/>
        <s v="1581@arpeestudio.com"/>
        <s v="1582@edu.xunta.es"/>
        <s v="1583@hotmail.com"/>
        <s v="1584@gmail.com"/>
        <s v="1585@vialuz.es"/>
        <s v="1586@genserma.es"/>
        <s v="1587@naturgy.com"/>
        <s v="1588@jgingenieros.es"/>
        <s v="1589@gmail.com"/>
        <s v="1590@efik.cat"/>
        <s v="1591@gmail.com"/>
        <s v="1592@mesenergia.cat"/>
        <s v="1593@gmail.com"/>
        <s v="1594@jgingenieros.es"/>
        <s v="1595@gmail.com"/>
        <s v="1596@gruponovelec.com"/>
        <s v="1597@gmail.com"/>
        <s v="1598@coac.net"/>
        <s v="1599@conmasa.cat"/>
        <s v="1600@coelca.com"/>
        <s v="1601@yahoo.es"/>
        <s v="1602@gmail.com"/>
        <s v="1603@gmail.com"/>
        <s v="1604@geinstal.com"/>
        <s v="1605@recargamostucoche.com"/>
        <s v="1606@cesvimap.com"/>
        <s v="1607@talesingenieria.es"/>
        <s v="1608@grupolasser.com"/>
        <s v="1609@gmail.com"/>
        <s v="1610@gmail.com"/>
        <s v="1611@lasallesagradocorazon.es"/>
        <s v="1612@gmail.com"/>
        <s v="1613@muntanerelectro.com"/>
        <s v="1614@electronalon.es"/>
        <s v="1615@hotmail.es"/>
        <s v="1616@wct.es"/>
        <s v="1617@e-noses.com"/>
        <s v="1618@hotmail.com"/>
        <s v="1620@ciudaddelosmuchachos.com"/>
        <s v="1621@salicru.com"/>
        <s v="1622@electropla.cat"/>
        <s v="1623@gmail.com"/>
        <s v="1624@sistema1.es"/>
        <s v="1625@hotmail.com"/>
        <s v="1626@adaliaradio.com"/>
        <s v="1627@elec-matic.com"/>
        <s v="1628@solbesingenieros.com"/>
        <s v="1629@coac.net"/>
        <s v="1630@sertec.es"/>
        <s v="1631@sri.es"/>
        <s v="1632@iremael.com"/>
        <s v="1633@coam.es"/>
        <s v="1634@gmail.com"/>
        <s v="1635@arevoltapc.com"/>
        <s v="1636@yahoo.es"/>
        <s v="1637@gmail.com"/>
        <s v="1638@teclisa.com"/>
        <s v="1639@senae.es"/>
        <s v="1640@infonegocio.com"/>
        <s v="1641@gmail.com"/>
        <s v="1642@aytoguadalajara.es"/>
        <s v="1643@splitmania.net"/>
        <s v="1644@tevigrup.com"/>
        <s v="1645@gomezmoreno.com"/>
        <s v="1646@geserelectric.es"/>
        <s v="1647@telefonica.net"/>
        <s v="1648@gmail.com"/>
        <s v="1649@vamostelecom.es"/>
        <s v="1650@hotmail.com"/>
        <s v="1651@gmail.com"/>
        <s v="1652@skyclimber.es"/>
        <s v="1653@sonepar.es"/>
        <s v="1654@movinetenergia.com"/>
        <s v="1655@sonepar.es"/>
        <s v="1656@gmx.es"/>
        <s v="1657@pontosolar.com"/>
        <s v="1658@gmail.com"/>
        <s v="1659@orpoint.com"/>
        <s v="1660@relsa.es"/>
        <s v="1661@turelectric.com"/>
        <s v="1662@neinorhomes.com"/>
        <s v="1663@hotmail.com"/>
        <s v="1664@jgingenieros.es"/>
        <s v="1665@gmail.com"/>
        <s v="1666@coto.pro"/>
        <s v="1667@hotmail.com"/>
        <s v="1668@negratin.com"/>
        <s v="1669@gmail.com"/>
        <s v="1670@electricidadisla.com"/>
        <s v="1671@epc-industrial.com"/>
        <s v="1672@internoringenieros.es"/>
        <s v="1673@gailmafra.com"/>
        <s v="1674@gmail.com"/>
        <s v="1675@exinor.com"/>
        <s v="1676@unex.net"/>
        <s v="1679@levantinadecuadros.com"/>
        <s v="1680@trelec.es"/>
        <s v="1681@gmail.com"/>
        <s v="1682@hotmail.es"/>
        <s v="1683@eleccom.es"/>
        <s v="1684@climalec.com"/>
        <s v="1685@zuaznabar.com"/>
        <s v="1686@yahoo.com"/>
        <s v="1687@gestilar.com"/>
        <s v="1688@muringenieros.es"/>
        <s v="1689@jlgingenieria.com"/>
        <s v="1690@gruponovelec.com"/>
        <s v="1691@hotmail.com"/>
        <s v="1692@tecasol.net"/>
        <s v="1693@gmx.es"/>
        <s v="1694@gmail.com"/>
        <s v="1695@gruponortica.com"/>
        <s v="1696@gmail.com"/>
        <s v="1697@yahoo.es"/>
        <s v="1698@jgi.es"/>
        <s v="1699@panchofernandez.com"/>
        <s v="1700@padrao.com.pt"/>
        <s v="1701@insmarbella.com"/>
        <s v="1702@gestion-energetica.eu"/>
        <s v="1703@laelectrica.com"/>
        <s v="1704@hotmail.com"/>
        <s v="1705@sanehogar.com"/>
        <s v="1706@otp.cat"/>
        <s v="1707@lledosa.es"/>
        <s v="1708@gmail.com"/>
        <s v="1709@serium.es"/>
        <s v="1710@gmail.com"/>
        <s v="1712@gmail.com"/>
        <s v="1713@gmail.com"/>
        <s v="1714@cirima.es"/>
        <s v="1715@upv.es"/>
        <s v="1716@fuengiroluz.es"/>
        <s v="1717@soelvi.es"/>
        <s v="1718@yupcharge.com"/>
        <s v="1720@yahoo.es"/>
        <s v="1721@mafonsa.cat"/>
        <s v="1722@folgarona.com"/>
        <s v="1723@gmail.com"/>
        <s v="1724@arbonapiza.com"/>
        <s v="1725@coelbe.com"/>
        <s v="1726@quadrifoli.com"/>
        <s v="1727@grupojab.es"/>
        <s v="1728@gmail.com"/>
        <s v="1729@gmail.com"/>
        <s v="1730@armeriaeskola.eus"/>
        <s v="1731@inserty.net"/>
        <s v="1732@gmail.com"/>
        <s v="1733@ecm-partners.com"/>
        <s v="1734@ofintex.com"/>
        <s v="1735@gruponovelec.com"/>
        <s v="1736@electrovizcaya.com"/>
        <s v="1737@salesianos.edu"/>
        <s v="1738@msn.com"/>
        <s v="1739@jh-internacional.com"/>
        <s v="1740@doica.net"/>
        <s v="1741@grupoelectrostocks.com"/>
        <s v="1742@industrialgines.com"/>
        <s v="1743@ceymo.es"/>
        <s v="1744@gmail.com"/>
        <s v="1745@bod.es"/>
        <s v="1746@hotmail.es"/>
        <s v="1747@araiz.es"/>
        <s v="1748@salesianosatocha.es"/>
        <s v="1750@itecnal.com"/>
        <s v="1751@altener.es"/>
        <s v="1752@intec3.es"/>
        <s v="1753@arcadis.com"/>
        <s v="1754@gabyl.com"/>
        <s v="1755@pgiengineering.com"/>
        <s v="1756@gmail.com"/>
        <s v="1757@indair-genercasadevall.cat"/>
        <s v="1758@gmail.com"/>
        <s v="1759@galektra.es"/>
        <s v="1760@xtec.cat"/>
        <s v="1761@spiritingenieria.es"/>
        <s v="1762@adqa.com"/>
        <s v="1763@coacordoba.net"/>
        <s v="1764@gmail.com"/>
        <s v="1765@instalplus.es"/>
        <s v="1766@gmail.com"/>
        <s v="1767@gmail.com"/>
        <s v="1768@telefonica.net"/>
        <s v="1769@gmail.com"/>
        <s v="1770@hotmail.es"/>
        <s v="1771@gmail.com"/>
        <s v="1772@cosmoseguridad.com"/>
        <s v="1774@soloviov.es"/>
        <s v="1775@gmail.com"/>
        <s v="1776@incat.cat"/>
        <s v="1778@gmail.com"/>
        <s v="1779@barreu.com"/>
        <s v="1780@metromadrid.es"/>
        <s v="1781@autoradiomontijo.es"/>
        <s v="1783@telefonica.net"/>
        <s v="1784@coytesa.com"/>
        <s v="1785@arintec.com"/>
        <s v="1787@roigconstruccions.com"/>
        <s v="1788@hotmail.com"/>
        <s v="1789@electromat.com"/>
        <s v="1790@electricarius.com"/>
        <s v="1791@gmail.com"/>
        <s v="1792@incober.es"/>
        <s v="1793@gmail.com"/>
        <s v="1794@enchufing.com"/>
        <s v="1795@gmail.com"/>
        <s v="1796@sorigue.com"/>
        <s v="1797@icaingenieros.com"/>
        <s v="1798@eleccom.es"/>
        <s v="1799@wurth.es"/>
        <s v="1800@hotmail.com"/>
        <s v="1801@gmail.com"/>
        <s v="1802@hotmail.es"/>
        <s v="1803@ymcelectrica.com"/>
        <s v="1804@meguerra.com"/>
        <s v="1805@gmail.com"/>
        <s v="1806@aymesa.com"/>
        <s v="1807@saltoki.es"/>
        <s v="1808@gmail.com"/>
        <s v="1809@prodelec.es"/>
        <s v="1810@ebegroup.net"/>
        <s v="1811@ansiel.eu"/>
        <s v="1812@ext.mpsa.com"/>
        <s v="1813@gmail.com"/>
        <s v="1814@grupoetra.com"/>
        <s v="1815@grupojab.es"/>
        <s v="1816@petesan.es"/>
        <s v="1817@eurocabos.es"/>
        <s v="1818@electricidadpolop.es"/>
        <s v="1820@marveco.com"/>
        <s v="1821@construciainstalaciones.com"/>
        <s v="1822@diexfe.com"/>
        <s v="1823@saltoki.es"/>
        <s v="1824@selpri.pt"/>
        <s v="1825@digamel.com"/>
        <s v="1826@gestionservicios.com"/>
        <s v="1827@gmail.com"/>
        <s v="1828@econergia.es"/>
        <s v="1829@1aingenieros.com"/>
        <s v="1830@gmail.com"/>
        <s v="1831@monlau.com"/>
        <s v="1832@mhindustrias.com"/>
        <s v="1833@coitir.com"/>
        <s v="1834@valls.cat"/>
        <s v="1835@gmail.com"/>
        <s v="1836@biper.es"/>
        <s v="1837@cersanz.es"/>
        <s v="1838@gruponovelec.com"/>
        <s v="1839@gmail.com"/>
        <s v="1840@ingenierosvigo.com"/>
        <s v="1841@infova.es"/>
        <s v="1843@jovitel.com"/>
        <s v="1844@grupoelectrostocks.com"/>
        <s v="1845@hotmail.com"/>
        <s v="1846@gmail.com"/>
        <s v="1847@viegasefilhos.pt"/>
        <s v="1848@gmail.com"/>
        <s v="1849@minsait.com"/>
        <s v="1850@yahoo.com"/>
        <s v="1851@gmail.com"/>
        <s v="1852@gmail.com"/>
        <s v="1853@hotmail.com"/>
        <s v="1854@hotmail.com"/>
        <s v="1855@inboundcycle.com"/>
        <s v="1856@hotmail.com"/>
        <s v="1857@mantise.com"/>
        <s v="1858@yahoo.es"/>
        <s v="1859@gmail.com"/>
        <s v="1860@gmail.com"/>
        <s v="1861@gmail.com"/>
        <s v="1862@gmail.com"/>
        <s v="1863@hotmail.com"/>
        <s v="1864@gmail.com"/>
        <s v="1865@gmail.com"/>
        <s v="1866@inrobadajoz.com"/>
        <s v="1867@cbringenieria.es"/>
        <s v="1868@hotmail.com"/>
        <s v="1869@gmail.com"/>
        <s v="1870@marlexingenieria.com"/>
        <s v="1871@abc.gob.ar"/>
        <s v="1872@gmail.com"/>
        <s v="1873@rodosa.com"/>
        <s v="1874@gesel.ie.ufrj.br"/>
        <s v="1875@gmail.com"/>
        <s v="1876@gmail.com"/>
        <s v="1877@gmail.com"/>
        <s v="1878@gmail.com"/>
        <s v="1879@jafenginyeria.cat"/>
        <s v="1880@dipta.cat"/>
        <s v="1882@gmail.com"/>
        <s v="1883@adingenieros.es"/>
        <s v="1884@zuecoingenieria.com"/>
        <s v="1885@groupg4.com"/>
        <s v="1886@outlook.com"/>
        <s v="1887@gmail.com"/>
        <s v="1888@instalacionsgarmi.com"/>
        <s v="1889@cetim.cat"/>
        <s v="1890@setenergia.com"/>
        <s v="1891@ciudaddelosmuchachos.com"/>
        <s v="1892@soltecingenieros.com"/>
        <s v="1893@byguk.com"/>
        <s v="1894@arasolutions.es"/>
        <s v="1895@grupoarquitelia.com"/>
        <s v="1896@gmail.com"/>
        <s v="1897@hotmail.es"/>
        <s v="1898@navantia.es"/>
        <s v="1899@gmail.com"/>
        <s v="1900@hotmail.com"/>
        <s v="1901@gmail.com"/>
        <s v="1902@hotmail.com"/>
        <s v="1903@yahoo.es"/>
        <s v="1904@gmail.com"/>
        <s v="1905@gmail.com"/>
        <s v="1906@gmail.com"/>
        <s v="1907@yahoo.es"/>
        <s v="1908@enel.com"/>
        <s v="1909@gmail.com"/>
        <s v="1910@antelecat.com"/>
        <s v="1911@gmail.com"/>
        <s v="1912@gmail.com"/>
        <s v="1913@gmail.com"/>
        <s v="1915@zmingenieros.com"/>
        <s v="1916@gmail.com"/>
        <s v="1917@gmail.com"/>
        <s v="1918@sgx.cat"/>
        <s v="1920@gmail.com"/>
        <s v="1921@msn.com"/>
        <s v="1923@agosa.es"/>
        <s v="1924@merlosl.es"/>
        <s v="1925@elecnor.com"/>
        <s v="1926@elecam.com"/>
        <s v="1927@anbatel.com"/>
        <s v="1928@gmail.com"/>
        <s v="1929@hotmail.com"/>
        <s v="1930@gmail.com"/>
        <s v="1931@gmail.com"/>
        <s v="1932@cotelsa.com"/>
        <s v="1933@lujama.com"/>
        <s v="1934@ferrovial.com"/>
        <s v="1935@telefonica.net"/>
        <s v="1936@e2enginyeria.com"/>
        <s v="1937@gmail.com"/>
        <s v="1938@gmail.com"/>
        <s v="1940@electromercantil.es"/>
        <s v="1941@hotmail.com"/>
        <s v="1942@ciudaddelosmuchachos.com"/>
        <s v="1943@gmail.com"/>
        <s v="1944@didacticaformacion.es"/>
        <s v="1945@ip21ingenieria.com"/>
        <s v="1946@gmail.com"/>
        <s v="1947@gmail.com"/>
        <s v="1948@culmar.net"/>
        <s v="1949@suno.cat"/>
        <s v="1950@yahoo.es"/>
        <s v="1951@engimatica.com"/>
        <s v="1952@tinet.cat"/>
        <s v="1953@proyteczaragoza.com"/>
        <s v="1954@dicsl.com"/>
        <s v="1955@salesianos.edu"/>
        <s v="1956@gmail.com"/>
        <s v="1957@msn.com"/>
        <s v="1958@iebsl.com"/>
        <s v="1959@gmail.com"/>
        <s v="1960@ic3sl.com"/>
        <s v="1961@hotmail.com"/>
        <s v="1962@lliro.com"/>
        <s v="1963@atisistemas.com"/>
        <s v="1964@hotmail.com"/>
        <s v="1965@tienda-gasnatural.com"/>
        <s v="1966@gmail.com"/>
        <s v="1967@ferrovial.com"/>
        <s v="1968@gmail.com"/>
        <s v="1969@fundacionmasaveu.com"/>
        <s v="1970@electrificacionesparra.es"/>
        <s v="1971@tienda-gasnatural.com"/>
        <s v="1972@projecal.com"/>
        <s v="1973@ingekor.com"/>
        <s v="1974@proluxingenieros.com"/>
        <s v="1975@outlook.es"/>
        <s v="1976@electronavia.com"/>
        <s v="1977@gmail.com"/>
        <s v="1978@hotmail.com"/>
        <s v="1979@matcas.es"/>
        <s v="1980@hotmail.com"/>
        <s v="1981@gmail.com"/>
        <s v="1982@hotmail.com"/>
        <s v="1983@suno.cat"/>
        <s v="1984@hotmail.com"/>
        <s v="1985@tinet.org"/>
        <s v="1986@martipala.com"/>
        <s v="1988@lusorede.pt"/>
        <s v="1989@elecdomo.com"/>
        <s v="1990@gmail.com"/>
        <s v="1991@gmail.com"/>
        <s v="1992@proecoingenieria.com"/>
        <s v="1994@gmail.com"/>
        <s v="1995@gmail.com"/>
        <s v="1996@gmail.com"/>
        <s v="1997@comi-sl.com"/>
        <s v="1998@gmail.com"/>
        <s v="1999@obrelsa.com"/>
        <s v="2000@hotmail.com"/>
        <s v="2001@alainsa.com"/>
        <s v="2002@camarasaragon.com"/>
        <s v="2003@alainsa.com"/>
        <s v="2004@mcamps.es"/>
        <s v="2005@hotmail.com"/>
        <s v="2006@masteringenieria.com"/>
        <s v="2008@yahoo.es"/>
        <s v="2009@gmail.com"/>
        <s v="2010@incasl.com"/>
        <s v="2011@gmail.com"/>
        <s v="2012@gmail.com"/>
        <s v="2013@ecopimeprojects.com"/>
        <s v="2014@gmail.com"/>
        <s v="2015@hotmail.com"/>
        <s v="2017@sogesa.es"/>
        <s v="2018@mantise.com"/>
        <s v="2019@didacticaformacion.es"/>
        <s v="2020@forestaldelatlantico.com"/>
        <s v="2021@osnova.net"/>
        <s v="2022@solarinspain.com"/>
        <s v="2023@gmail.com"/>
        <s v="2024@grupooca.com"/>
        <s v="2025@gmail.com"/>
        <s v="2026@telefonica.net"/>
        <s v="2027@hotmail.com"/>
        <s v="2028@grupooca.com"/>
        <s v="2029@sonepar.es"/>
        <s v="2030@gmail.com"/>
        <s v="2031@electrofiloeste.es"/>
        <s v="2032@masalo.biz"/>
        <s v="2033@elmoelectric.com"/>
        <s v="2034@tienda-gasnatural.com"/>
        <s v="2035@yahoo.es"/>
        <s v="2036@sece.com"/>
        <s v="2037@agefred.es"/>
        <s v="2038@legomar.com"/>
        <s v="2039@antrelec.net"/>
        <s v="2040@grupsoler.com"/>
        <s v="2041@electromercantil.es"/>
        <s v="2042@gmail.com"/>
        <s v="2043@gmail.com"/>
        <s v="2044@orvi-s.es"/>
        <s v="2045@gmail.com"/>
        <s v="2046@gmail.com"/>
        <s v="2047@gmail.com"/>
        <s v="2048@visioelectric.es"/>
        <s v="2049@telefonica.net"/>
        <s v="2050@melecmor.com"/>
        <s v="2051@gmail.com"/>
        <s v="2053@sades.es"/>
        <s v="2055@gmail.com"/>
        <s v="2056@hotmail.com"/>
        <s v="2057@gmail.com"/>
        <s v="2058@sonepar.es"/>
        <s v="2059@gmail.com"/>
        <s v="2060@gmail.com"/>
        <s v="2061@hotmail.es"/>
        <s v="2062@euskalnet.net"/>
        <s v="2063@gmail.com"/>
        <s v="2064@hotmail.com"/>
        <s v="2065@gmail.com"/>
        <s v="2066@gmail.com"/>
        <s v="2067@gmail.com"/>
        <s v="2068@gencat.cat"/>
        <s v="2069@gmail.com"/>
        <s v="2070@hotmail.com"/>
        <s v="2071@gmail.com"/>
        <s v="2072@gmail.com"/>
        <s v="2073@gmail.com"/>
        <s v="2074@hotmail.com"/>
        <s v="2075@gmail.com"/>
        <s v="2076@gmail.com"/>
        <s v="2077@gmail.com"/>
        <s v="2078@gmail.com"/>
        <s v="2079@gmail.com"/>
        <s v="2080@grupoelectrostocks.com"/>
        <s v="2081@cymel.com"/>
        <s v="2082@hotmail.com"/>
        <s v="2083@gmail.com"/>
        <s v="2084@hcparquitectos.com"/>
        <s v="2085@gmail.com"/>
        <s v="2086@farelle.com"/>
        <s v="2087@hotmail.com"/>
        <s v="2088@gmail.com"/>
        <s v="2089@hotmail.com"/>
        <s v="2090@estabanell.cat"/>
        <s v="2091@gmail.com"/>
        <s v="2092@outlook.com"/>
        <s v="2093@gmail.com"/>
        <s v="2094@gmail.com"/>
        <s v="2095@hotmail.com"/>
        <s v="2096@formasymateriales.com"/>
        <s v="2097@hotmail.com"/>
        <s v="2099@grupoelectrostocks.com"/>
        <s v="2101@gmail.com"/>
        <s v="2102@gmail.com"/>
        <s v="2103@hotmail.com"/>
        <s v="2104@temarelectronica.es"/>
        <s v="2105@nauta.cu"/>
        <s v="2106@gmail.com"/>
        <s v="2107@danmur.es"/>
        <s v="2108@emvisesa.org"/>
        <s v="2109@huelvanorte.es"/>
        <s v="2110@ingeconsulting.com"/>
        <s v="2111@iraiaingenieros.com"/>
        <s v="2112@gmail.com"/>
        <s v="2113@gmail.com"/>
        <s v="2114@tecnoclimainstalaciones.com"/>
        <s v="2115@outlook.es"/>
        <s v="2116@gmail.com"/>
        <s v="2117@gmail.com"/>
        <s v="2118@hotmail.com"/>
        <s v="2119@gmail.com"/>
        <s v="2120@gmail.com"/>
        <s v="2121@gmail.com"/>
        <s v="2122@somains.com"/>
        <s v="2123@gmail.com"/>
        <s v="2124@gmail.com"/>
        <s v="2125@ctac.es"/>
        <s v="2126@gmail.com"/>
        <s v="2127@hotmail.com"/>
        <s v="2128@gmail.com"/>
        <s v="2129@gmail.com"/>
        <s v="2130@hotmail.com"/>
        <s v="2131@gmail.com"/>
        <s v="2132@hotmail.com"/>
        <s v="2133@gmail.com"/>
        <s v="2134@gmx.es"/>
        <s v="2135@gmail.com"/>
        <s v="2136@gmail.com"/>
        <s v="2137@hotmail.com"/>
        <s v="2138@gmail.com"/>
        <s v="2139@gmail.com"/>
        <s v="2140@gmail.com"/>
        <s v="2141@gmail.com"/>
        <s v="2143@gmail.com"/>
        <s v="2144@gmail.com"/>
        <s v="2145@gmail.com"/>
        <s v="2146@hotmail.es"/>
        <s v="2147@gmail.com"/>
        <s v="2148@gmail.com"/>
        <s v="2149@gmail.com"/>
        <s v="2150@yahoo.es"/>
        <s v="2151@gmail.com"/>
        <s v="2152@igkarratu.com"/>
        <s v="2153@gmail.com"/>
        <s v="2154@gmail.com"/>
        <s v="2155@gmail.com"/>
        <s v="2156@gmail.com"/>
        <s v="2157@hotmail.com"/>
        <s v="2158@gmail.com"/>
        <s v="2159@hotmail.com"/>
        <s v="2160@yahoo.es"/>
        <s v="2161@hotmail.com"/>
        <s v="2162@gienergygroup.com"/>
        <s v="2163@hotmail.com"/>
        <s v="2164@macegroup.com"/>
        <s v="2165@orangemail.es"/>
        <s v="2166@gmail.com"/>
        <s v="2167@outlook.es"/>
        <s v="2169@gmail.com"/>
        <s v="2170@reparatuequipo.es"/>
        <s v="2171@gmail.com"/>
        <s v="2172@gmail.com"/>
        <s v="2173@menendezygamonal.com"/>
        <s v="2174@wurth.es"/>
        <s v="2175@canogarcia.es"/>
        <s v="2176@hotmail.com"/>
        <s v="2177@yahoo.es"/>
        <s v="2178@altair.edu.es"/>
        <s v="2179@gmail.com"/>
        <s v="2180@hotmail.com"/>
        <s v="2181@gmail.com"/>
        <s v="2182@hotmail.com"/>
        <s v="2183@gmail.com"/>
        <s v="2184@suris.es"/>
        <s v="2185@gmail.com"/>
        <s v="2186@grupoelectrostocks.com"/>
        <s v="2187@hotmail.com"/>
        <s v="2188@gmail.com"/>
        <s v="2189@infova.es"/>
        <s v="2190@hotmail.com"/>
        <s v="2191@hotmail.es"/>
        <s v="2192@itcl.es"/>
        <s v="2193@gmail.com"/>
        <s v="2194@mesado.es"/>
        <s v="2195@yahoo.es"/>
        <s v="2196@telefonica.net"/>
        <s v="2197@outlook.es"/>
        <s v="2198@gmail.com"/>
        <s v="2199@gmail.com"/>
        <s v="2200@gmail.com"/>
        <s v="2201@4fils.es"/>
        <s v="2202@sanjosetecno.com"/>
        <s v="2203@gmail.com"/>
        <s v="2204@hotmail.es"/>
        <s v="2205@gmail.com"/>
        <s v="2206@gmail.com"/>
        <s v="2207@gmail.com"/>
        <s v="2208@wp.pl"/>
        <s v="2209@elecem.es"/>
        <s v="2210@hotmail.com"/>
        <s v="2211@hotmail.com"/>
        <s v="2212@pgiengineering.com"/>
        <s v="2213@gmail.com"/>
        <s v="2214@hotmail.com"/>
        <s v="2215@gmail.com"/>
        <s v="2216@bladis.com"/>
        <s v="2217@gmail.com"/>
        <s v="2218@gmx.es"/>
        <s v="2219@teigatmi.es"/>
        <s v="2220@hotmail.com"/>
        <s v="2221@hotmail.com"/>
        <s v="2222@gmail.com"/>
        <s v="2223@hotmail.com"/>
        <s v="2224@gmail.com"/>
        <s v="2225@evectra.es"/>
        <s v="2226@hotmail.com"/>
        <s v="2227@gmail.com"/>
        <s v="2228@gmail.com"/>
        <s v="2229@enerluz.es"/>
        <s v="2230@hotmail.com"/>
        <s v="2231@hotmail.com"/>
        <s v="2232@gmail.com"/>
        <s v="2233@gmail.com"/>
        <s v="2234@hotmail.com"/>
        <s v="2235@hotmail.com"/>
        <s v="2236@hotmail.com"/>
        <s v="2238@hotmail.es"/>
        <s v="2239@gmail.com"/>
        <s v="2240@coac.net"/>
        <s v="2241@outlook.com"/>
        <s v="2242@eurogestiones.com"/>
        <s v="2243@gmail.com"/>
        <s v="2244@outlook.com"/>
        <s v="2245@gmail.com"/>
        <s v="2246@eleko.es"/>
        <s v="2247@gmail.com"/>
        <s v="2248@telefonica.net"/>
        <s v="2249@politecnicomalaga.com"/>
        <s v="2250@gmail.com"/>
        <s v="2251@gmail.com"/>
        <s v="2252@energestic.es"/>
        <s v="2253@hotmail.com"/>
        <s v="2254@gmail.com"/>
        <s v="2255@yahoo.es"/>
        <s v="2256@gmail.com"/>
        <s v="2257@hotmail.com"/>
        <s v="2258@fercansa.es"/>
        <s v="2259@gmail.com"/>
        <s v="2260@gmail.com"/>
        <s v="2261@grupoefelec.com"/>
        <s v="2262@hotmail.com"/>
        <s v="2263@gmail.com"/>
        <s v="2264@gmail.com"/>
        <s v="2265@gmail.com"/>
        <s v="2266@gmail.com"/>
        <s v="2267@gmail.com"/>
        <s v="2268@gmail.com"/>
        <s v="2269@qq.com"/>
        <s v="2270@hotmail.com"/>
        <s v="2271@gmail.com"/>
        <s v="2272@tiempobbdo.es"/>
        <s v="2273@telefonica.net"/>
        <s v="2274@fersitec.com"/>
        <s v="2275@rccyp.com"/>
        <s v="2276@hotmail.com"/>
        <s v="2277@gmail.com"/>
        <s v="2278@gmail.com"/>
        <s v="2279@gmail.com"/>
        <s v="2280@gmail.com"/>
        <s v="2281@hotmail.com"/>
        <s v="2282@gmail.com"/>
        <s v="2283@hotmail.com"/>
        <s v="2284@gmail.com"/>
        <s v="2285@hotmail.com"/>
        <s v="2286@hotmail.com"/>
        <s v="2287@sonepar.es"/>
        <s v="2288@yahoo.es"/>
        <s v="2289@hotmail.com"/>
        <s v="2290@atmos.link"/>
        <s v="2291@fegime.es"/>
        <s v="2292@gmail.com"/>
        <s v="2293@usa.com"/>
        <s v="2294@gmail.com"/>
        <s v="2295@msn.com"/>
        <s v="2296@gmail.com"/>
        <s v="2297@sece.com"/>
        <s v="2298@sonepar.es"/>
        <s v="2299@protele.es"/>
        <s v="2300@grupoelectrostocks.com"/>
        <s v="2301@sonepar.es"/>
        <s v="2302@agosa.es"/>
        <s v="2303@industrialgines.com"/>
        <s v="2304@gmail.com"/>
        <s v="2305@hotmail.com"/>
        <s v="2306@somosemotion.es"/>
        <s v="2307@gmail.com"/>
        <s v="2308@gmail.com"/>
        <s v="2309@hotmail.com"/>
        <s v="2310@yahoo.es"/>
        <s v="2311@deluxson.com"/>
        <s v="2312@yahoo.es"/>
        <s v="2313@gmail.com"/>
        <s v="2314@gmail.com"/>
        <s v="2315@electricidadguerra.com"/>
        <s v="2316@telecable.es"/>
        <s v="2317@eimetropolitana.com"/>
        <s v="2318@grupo-jarama.com"/>
        <s v="2319@gmail.com"/>
        <s v="2320@electrovizcaya.com"/>
        <s v="2321@coto.pro"/>
        <s v="2322@hotmail.com"/>
        <s v="2323@gmail.com"/>
        <s v="2324@gmail.com"/>
        <s v="2325@ingenierosvalladolid.es"/>
        <s v="2326@gmail.com"/>
        <s v="2327@gmail.com"/>
        <s v="2328@gmail.com"/>
        <s v="2329@hotmail.com"/>
        <s v="2330@gmail.com"/>
        <s v="2331@gmail.com"/>
        <s v="2332@gmail.com"/>
        <s v="2333@gmail.com"/>
        <s v="2334@grupoelectrostocks.com"/>
        <s v="2335@gmail.com"/>
        <s v="2336@gmail.com"/>
        <s v="2337@msn.com"/>
        <s v="2338@gmail.com"/>
        <s v="2339@monlau.com"/>
        <s v="2340@yahoo.es"/>
        <s v="2341@hotmail.com"/>
        <s v="2342@inescoconstructora.es"/>
        <s v="2343@gmail.com"/>
        <s v="2344@tecmagenil.es"/>
        <s v="2345@yahoo.es"/>
        <s v="2346@grupoetra.com"/>
        <s v="2347@visaonomada.pt"/>
        <s v="2348@ya.com"/>
        <s v="2349@belsanz.com"/>
        <s v="2350@gmail.com"/>
        <s v="2351@gmail.com"/>
        <s v="2352@gmail.com"/>
        <s v="2353@conecta-sistemas.com"/>
        <s v="2354@gmail.com"/>
        <s v="2355@gmail.com"/>
        <s v="2356@infova.es"/>
        <s v="2357@gmail.com"/>
        <s v="2358@hotmail.es"/>
        <s v="2359@hotmail.com"/>
        <s v="2360@viplaro.com"/>
        <s v="2361@gmail.com"/>
        <s v="2362@telefonica.net"/>
        <s v="2363@hotmail.com"/>
        <s v="2364@agmundet.es"/>
        <s v="2365@jazzfree.com"/>
        <s v="2366@energies.cat"/>
        <s v="2367@yahoo.es"/>
        <s v="2368@gmail.com"/>
        <s v="2369@cataliaga.com"/>
        <s v="2370@gmail.com"/>
        <s v="2371@fhiguero.es"/>
        <s v="2372@gmail.com"/>
        <s v="2373@grupoelectrostocks.com"/>
        <s v="2374@yahoo.com"/>
        <s v="2375@m4servicios.es"/>
        <s v="2376@gmail.com"/>
        <s v="2377@conmasa.cat"/>
        <s v="2378@montajesjep.com"/>
        <s v="2379@erf.cat"/>
        <s v="2380@gmail.com"/>
        <s v="2381@outlook.com"/>
        <s v="2382@hotmail.com"/>
        <s v="2383@fff.com"/>
        <s v="2384@kapsch.net"/>
        <s v="2385@gg.com"/>
        <s v="2386@agosa.es"/>
        <s v="2387@yahoo.es"/>
        <s v="2388@gmail.com"/>
        <s v="2389@gruponovelec.com"/>
        <s v="2390@gmail.com"/>
        <s v="2391@casamarquez.es"/>
        <s v="2392@gmail.com"/>
        <s v="2393@gmail.com"/>
        <s v="2394@bladis.com"/>
        <s v="2395@gruponovelec.com"/>
        <s v="2396@sonepar.es"/>
        <s v="2397@a2bingenieros.com"/>
        <s v="2398@hotmail.com"/>
        <s v="2399@teclisa.com"/>
        <s v="2400@ormazabal.com"/>
        <s v="2401@hotmail.com"/>
        <s v="2402@adtel.es"/>
        <s v="2403@gmail.com"/>
        <s v="2404@gmail.com"/>
        <s v="2406@gmail.com"/>
        <s v="2407@msn.com"/>
        <s v="2408@me.com"/>
        <s v="2409@eufon.com"/>
        <s v="2410@me.com"/>
        <s v="2411@hotmail.com"/>
        <s v="2412@conmasa.cat"/>
        <s v="2413@siemensgamesa.com"/>
        <s v="2414@saenzdesanpedro.com"/>
        <s v="2415@gmail.com"/>
        <s v="2416@veolia.com"/>
        <s v="2417@rexel.es"/>
        <s v="2418@ompsl.com"/>
        <s v="2419@aiguesdebarcelona.cat"/>
        <s v="2420@gmail.com"/>
        <s v="2421@rexel.es"/>
        <s v="2422@hotmail.com"/>
        <s v="2423@jccifuentes.com"/>
        <s v="2424@sonepar.es"/>
        <s v="2425@hotmail.com"/>
        <s v="2426@gmail.com"/>
        <s v="2427@valnu.es"/>
        <s v="2428@saltoki.es"/>
        <s v="2429@hotmail.com"/>
        <s v="2430@tenmega.pt"/>
        <s v="2431@gmail.com"/>
        <s v="2432@telefonica.net"/>
        <s v="2433@sonepar.es"/>
        <s v="2434@gmail.com"/>
        <s v="2435@indasasl.es"/>
        <s v="2436@ydrolia.com"/>
        <s v="2437@dos-atf.es"/>
        <s v="2438@gmail.com"/>
        <s v="2439@hotmail.com"/>
        <s v="2440@imanzanera.com"/>
        <s v="2441@berdin.com"/>
        <s v="2442@gmail.com"/>
        <s v="2443@gmail.com"/>
        <s v="2444@gmail.com"/>
        <s v="2445@wallbox.com"/>
        <s v="2446@hotmail.com"/>
        <s v="2447@etecnic.es"/>
        <s v="2448@uvigo.es"/>
        <s v="2449@magtel.es"/>
        <s v="2450@sonepar.es"/>
        <s v="2451@gmail.com"/>
        <s v="2452@fi-group.com"/>
        <s v="2453@insitecaingenieros.com"/>
        <s v="2454@gmail.com"/>
        <s v="2455@gmail.com"/>
        <s v="2456@serlujua.com"/>
        <s v="2457@gmail.com"/>
        <s v="2458@gmail.com"/>
        <s v="2459@grupoelectrostocks.com"/>
        <s v="2460@gmail.com"/>
        <s v="2461@yahoo.es"/>
        <s v="2462@gmail.com"/>
        <s v="2463@ise40.com"/>
        <s v="2464@pas.uned.es"/>
        <s v="2465@gmail.com"/>
        <s v="2466@hotmail.com"/>
        <s v="2467@gmail.com"/>
        <s v="2468@gmail.com"/>
        <s v="2469@yca.es"/>
        <s v="2470@gmail.com"/>
        <s v="2471@gmail.com"/>
        <s v="2472@gmail.com"/>
        <s v="2473@hotmail.com"/>
        <s v="2474@sehusol.com"/>
        <s v="2475@berdin.com"/>
        <s v="2476@dimces.com"/>
        <s v="2477@moralesyartigasabogados.com"/>
        <s v="2478@gmail.com"/>
        <s v="2479@hotmail.es"/>
        <s v="2481@apogeaconsulting.com"/>
        <s v="2482@etelnoga.com"/>
        <s v="2483@gmail.com"/>
        <s v="2484@grupo-jarama.com"/>
        <s v="2485@saergy.com"/>
        <s v="2486@hotmail.com"/>
        <s v="2487@telefonica.net"/>
        <s v="2488@gmail.com"/>
        <s v="2489@proytecenergia.com"/>
        <s v="2490@mantenencies.com"/>
        <s v="2491@saltoki.es"/>
        <s v="2492@gmail.com"/>
        <s v="2493@gmail.com"/>
        <s v="2494@gmail.com"/>
        <s v="2495@gmail.com"/>
        <s v="2496@grupoelectrostocks.com"/>
        <s v="2497@gmail.com"/>
        <s v="2498@adtelcom.es"/>
        <s v="2499@hotmail.com"/>
        <s v="2500@sonepar.es"/>
        <s v="2501@gmail.com"/>
        <s v="2502@yahoo.es"/>
        <s v="2503@grupoiicsa.com"/>
        <s v="2504@gmail.com"/>
        <s v="2505@gmail.com"/>
        <s v="2506@es.issworld.com"/>
        <s v="2507@victorperezsl.com"/>
        <s v="2508@solardelvalle.es"/>
        <s v="2509@elecnor.es"/>
        <s v="2510@sermicro.com"/>
        <s v="2511@gmail.com"/>
        <s v="2512@hotmail.com"/>
        <s v="2513@gmail.com"/>
        <s v="2514@coitialicante.com"/>
        <s v="2516@isega.es"/>
        <s v="2517@ineleeg.es"/>
        <s v="2518@solardelvalle.es"/>
        <s v="2519@hotmail.com"/>
        <s v="2520@jspelectrotecnia.com"/>
        <s v="2521@amisur.es"/>
        <s v="2522@gmail.com"/>
        <s v="2523@ipae.es"/>
        <s v="2524@me.com"/>
        <s v="2525@gmail.com"/>
        <s v="2526@reparacioneslsanchez.es"/>
        <s v="2527@gmail.com"/>
        <s v="2528@leing.es"/>
        <s v="2529@upc.edu"/>
        <s v="2530@galimar.com.es"/>
        <s v="2531@arquitecturaygestion.com"/>
        <s v="2532@gmail.com"/>
        <s v="2533@hotmail.com"/>
        <s v="2534@gmail.com"/>
        <s v="2535@hotmail.com"/>
        <s v="2536@telefonica.net"/>
        <s v="2537@electram.es"/>
        <s v="2538@elcorteingles.es"/>
        <s v="2539@gmail.com"/>
        <s v="2540@gmail.com"/>
        <s v="2541@gmail.com"/>
        <s v="2542@tecnica4.com"/>
        <s v="2543@eltec-servicios.com"/>
        <s v="2544@hotmail.com"/>
        <s v="2545@telefonica.net"/>
        <s v="2546@tecnovap.es"/>
        <s v="2547@gmail.com"/>
        <s v="2548@gmail.com"/>
        <s v="2549@gmail.com"/>
        <s v="2550@energema.com"/>
        <s v="2551@inelsa.com"/>
        <s v="2552@gmail.com"/>
        <s v="2553@telefonica.net"/>
        <s v="2554@telefonica.net"/>
        <s v="2555@gmail.com"/>
        <s v="2556@hotmail.com"/>
        <s v="2557@hotmail.com"/>
        <s v="2558@gmail.com"/>
        <s v="2560@gmail.com"/>
        <s v="2561@gmail.com"/>
        <s v="2562@artesolar.com"/>
        <s v="2563@hotmail.com"/>
        <s v="2564@ctv.masaveu.com"/>
        <s v="2565@hotmail.com"/>
        <s v="2566@casadoguia.com"/>
        <s v="2567@hotmail.com"/>
        <s v="2568@email.com"/>
        <s v="2569@gmail.com"/>
        <s v="2570@telefonica.net"/>
        <s v="2571@dival.es"/>
        <s v="2572@sesaelec.com"/>
        <s v="2573@edetcotecnics.com"/>
        <s v="2574@telefonica.net"/>
        <s v="2575@gruposti.com"/>
        <s v="2576@construciainstalaciones.com"/>
        <s v="2577@gmail.com"/>
        <s v="2578@hotmail.com"/>
        <s v="2579@fgc.cat"/>
        <s v="2580@imagenyarquitectura.com.mx"/>
        <s v="2581@yahoo.com"/>
        <s v="2582@ccaait.cat"/>
        <s v="2583@grupcarol.com"/>
        <s v="2584@sistemasdeenergia.es"/>
        <s v="2585@grupoelectrostocks.com"/>
        <s v="2586@saltoki.es"/>
        <s v="2587@picocompany.es"/>
        <s v="2588@fossic.es"/>
        <s v="2589@hotmail.com"/>
        <s v="2590@gmail.com"/>
        <s v="2591@gmail.com"/>
        <s v="2592@bsmsa.cat"/>
        <s v="2593@abcgrup.com"/>
        <s v="2594@gmail.com"/>
        <s v="2595@gmail.com"/>
        <s v="2597@3xakoenergi.com"/>
        <s v="2598@tecoel.es"/>
        <s v="2599@sazepi.com"/>
        <s v="2600@electrimega.es"/>
        <s v="2601@seituria.com"/>
        <s v="2602@saherlux.com"/>
        <s v="2603@guillenmotor.com"/>
        <s v="2604@hotelnelva.es"/>
        <s v="2605@gmail.com"/>
        <s v="2606@gmail.com"/>
        <s v="2607@hotmail.com"/>
        <s v="2608@zambongroup.com"/>
        <s v="2609@construccioicontrol.com"/>
        <s v="2610@orangecorreo.es"/>
        <s v="2611@gocsa.es"/>
        <s v="2612@ingenieriaconforma.com"/>
        <s v="2613@gmail.com"/>
        <s v="2614@rexel.es"/>
        <s v="2615@orbiumsolar.es"/>
        <s v="2616@prysmiangroup.com"/>
        <s v="2617@hotmail.com"/>
        <s v="2618@viegasefilhos.pt"/>
        <s v="2619@gmail.com"/>
        <s v="2620@icloud.com"/>
        <s v="2621@integralplm.com"/>
        <s v="2622@instavi.es"/>
        <s v="2623@mansel.es"/>
        <s v="2624@hotmail.com"/>
        <s v="2625@gmail.com"/>
        <s v="2626@proycoga.es"/>
        <s v="2627@aemsys.com"/>
        <s v="2628@telefonica.net"/>
        <s v="2629@hotmail.com"/>
        <s v="2630@gmail.com"/>
        <s v="2631@gmail.com"/>
        <s v="2632@felices.agency"/>
        <s v="2633@araelec.com"/>
        <s v="2634@hotmail.es"/>
        <s v="2635@ambginy.com"/>
        <s v="2636@sonepar.es"/>
        <s v="2637@metromadrid.es"/>
        <s v="2638@ativalles.com"/>
        <s v="2639@sanitariosbosco.es"/>
        <s v="2640@magserveis.com"/>
        <s v="2641@gmail.com"/>
        <s v="2642@mipelsa.es"/>
        <s v="2643@sansiga.com"/>
        <s v="2644@gmail.com"/>
        <s v="2645@hotmail.com"/>
        <s v="2646@gmail.com"/>
        <s v="2647@rexel.es"/>
        <s v="2648@electracaldense.com"/>
        <s v="2649@grupocuerva.com"/>
        <s v="2650@coac.net"/>
        <s v="2651@yntegraservicios.es"/>
        <s v="2652@tessai.es"/>
        <s v="2653@idiada.com"/>
        <s v="2654@edmcadiz.es"/>
        <s v="2655@getsa.es"/>
        <s v="2656@sonepar.es"/>
        <s v="2657@a4ingenieria.es"/>
        <s v="2658@gmail.com"/>
        <s v="2659@gmail.com"/>
        <s v="2660@gmail.com"/>
        <s v="2661@gmail.com"/>
        <s v="2662@gmail.com"/>
        <s v="2663@bitjerez.com"/>
        <s v="2664@gmail.com"/>
        <s v="2665@electroaldis.com"/>
        <s v="2666@gmail.com"/>
        <s v="2667@iselektric.com"/>
        <s v="2668@gmail.com"/>
        <s v="2669@electroidella.com"/>
        <s v="2670@gmail.com"/>
        <s v="2671@gmail.com"/>
        <s v="2672@gmail.com"/>
        <s v="2673@gamil.com"/>
        <s v="2674@coar.es"/>
        <s v="2675@grupoelectrostocks.com"/>
        <s v="2676@gmail.com"/>
        <s v="2677@gmail.com"/>
        <s v="2678@impact-al.com"/>
        <s v="2679@hotmail.com"/>
        <s v="2680@copitima.com"/>
        <s v="2681@sueprat.es"/>
        <s v="2682@dipucuenca.es"/>
        <s v="2683@live.fr"/>
        <s v="2684@hotmail.com"/>
        <s v="2685@orgaus.com"/>
        <s v="2686@kbingenieria.com"/>
        <s v="2687@serium.es"/>
        <s v="2688@hotmail.com"/>
        <s v="2689@edp-sl.com"/>
        <s v="2690@gmail.com"/>
        <s v="2691@magserveis.com"/>
        <s v="2692@gmail.com"/>
        <s v="2693@bextron.es"/>
        <s v="2694@gmail.com"/>
        <s v="2695@inelt.es"/>
        <s v="2696@1aingenieros.com"/>
        <s v="2697@digamel.com"/>
        <s v="2698@gmail.com"/>
        <s v="2699@gmail.com"/>
        <s v="2700@hotmail.com"/>
        <s v="2701@gmail.com"/>
        <s v="2702@digamel.com"/>
        <s v="2703@hotmail.com"/>
        <s v="2704@construciainstalaciones.com"/>
        <s v="2705@tmb.cat"/>
        <s v="2706@opportunity-one.com"/>
        <s v="2707@gmail.com"/>
        <s v="2708@meta-sidecar.com"/>
        <s v="2709@construciainstalaciones.com"/>
        <s v="2710@arbonapiza.com"/>
        <s v="2711@infinitypv.com"/>
        <s v="2712@gmail.com"/>
        <s v="2713@gmail.com"/>
        <s v="2714@gma.es"/>
        <s v="2715@gmail.com"/>
        <s v="2716@gmail.com"/>
        <s v="2717@gmail.com"/>
        <s v="2718@none.com"/>
        <s v="2719@saltoki.es"/>
        <s v="2720@grupoelectrostocks.com"/>
        <s v="2721@anpasa.es"/>
        <s v="2722@instalacionesyobrasdelrio.com"/>
        <s v="2723@hotmail.com"/>
        <s v="2724@gmeil.com"/>
        <s v="2725@hotmail.com"/>
        <s v="2726@sonepar.es"/>
        <s v="2727@gruponovelec.com"/>
        <s v="2728@gmail.com"/>
        <s v="2729@hotmail.com"/>
        <s v="2730@enzazaden.es"/>
        <s v="2731@gmail.com"/>
        <s v="2732@gmail.com"/>
        <s v="2733@sigmaenginyers.es"/>
        <s v="2734@gmail.com"/>
        <s v="2735@gmail.com"/>
        <s v="2736@gmail.com"/>
        <s v="2737@gmail.com"/>
        <s v="2738@conalepmex.edu.mx"/>
        <s v="2739@constructorasanjose.com"/>
        <s v="2740@gmail.com"/>
        <s v="2741@cruzroja.es"/>
        <s v="2742@mindual.com"/>
        <s v="2743@itaipu.gov.py"/>
        <s v="2745@urbanresilience.eu"/>
        <s v="2746@proinelec.com"/>
        <s v="2747@gmail.com"/>
        <s v="2748@nitlux.es"/>
        <s v="2749@gmail.com"/>
        <s v="2750@exavoltio.es"/>
        <s v="2751@gruponovelec.com"/>
        <s v="2752@ingener.net"/>
        <s v="2753@aurialux.com"/>
        <s v="2754@emgvlasrozas.org"/>
        <s v="2755@gmail.com"/>
        <s v="2756@gmail.com"/>
        <s v="2757@irradiaenergia.com"/>
        <s v="2758@gmail.com"/>
        <s v="2759@gmail.com"/>
        <s v="2760@yahoo.es"/>
        <s v="2761@stratum22.com"/>
        <s v="2762@gmail.com"/>
        <s v="2763@gmail.com"/>
        <s v="2764@gmail.com"/>
        <s v="2765@gmail.com"/>
        <s v="2766@telefonica.net"/>
        <s v="2767@gmail.com"/>
        <s v="2768@gmail.com"/>
        <s v="2769@gmail.com"/>
        <s v="2770@gmail.com"/>
        <s v="2771@gmail.com"/>
        <s v="2772@saltoki.es"/>
        <s v="2773@energiaactiva.es"/>
        <s v="2774@trensfm.com"/>
        <s v="2775@gmail.com"/>
        <s v="2776@pgiengineering.com"/>
        <s v="2777@huelva.es"/>
        <s v="2778@empretelco.es"/>
        <s v="2779@gmail.com"/>
        <s v="2780@abcgrup.com"/>
        <s v="2781@ahabana.co.cu"/>
        <s v="2782@gmail.com"/>
        <s v="2783@gmail.com"/>
        <s v="2784@coac.net"/>
        <s v="2785@climarubi.com"/>
        <s v="2786@metromadrid.es"/>
        <s v="2787@grupocematel.com"/>
        <s v="2788@eurocabos.es"/>
        <s v="2789@telefonica.net"/>
        <s v="2790@gmail.com"/>
        <s v="2791@pickdata.net"/>
        <s v="2792@ajcampos.org"/>
        <s v="2793@gmail.com"/>
        <s v="2794@efinetika.com"/>
        <s v="2795@gmail.com"/>
        <s v="2796@gmail.com"/>
        <s v="2797@gmail.com"/>
        <s v="2798@yahoo.es"/>
        <s v="2799@oceanim.es"/>
        <s v="2800@gmail.com"/>
        <s v="2801@eei-ingenieria.com"/>
        <s v="2802@gonzalezsme.com"/>
        <s v="2803@rodriguezromeu.com"/>
        <s v="2804@vtisl.com"/>
        <s v="2805@gmail.com"/>
        <s v="2806@jdingenieria.com"/>
        <s v="2807@jhfsystemcrane.com"/>
        <s v="2808@gmail.com"/>
        <s v="2809@solerteselen.cat"/>
        <s v="2810@sensorstecnics.net"/>
        <s v="2811@gmail.com"/>
        <s v="2812@martipala.com"/>
        <s v="2813@gmail.com"/>
        <s v="2814@vitrosep.com"/>
        <s v="2815@gmail.com"/>
        <s v="2816@hotmail.com"/>
        <s v="2817@hotmail.com"/>
        <s v="2818@gmail.com"/>
        <s v="2819@satydal.es"/>
        <s v="2820@sanitariosbosco.es"/>
        <s v="2821@gmail.com"/>
        <s v="2822@gmail.com"/>
        <s v="2823@mindual.com"/>
        <s v="2824@gmail.com"/>
        <s v="2825@gmail.com"/>
        <s v="2826@educacion.gob.es"/>
        <s v="2827@soltecgrupo.es"/>
        <s v="2828@coaatz.org"/>
        <s v="2829@sindel.es"/>
        <s v="2830@mequintana.com"/>
        <s v="2831@lantec.es"/>
        <s v="2832@energia.eiffage.es"/>
        <s v="2833@inelsa.com"/>
        <s v="2834@idom.com"/>
        <s v="2835@idom.com"/>
        <s v="2836@pgigrup.com"/>
        <s v="2837@gmail.com"/>
        <s v="2838@gmail.com"/>
        <s v="2839@esprosa.es"/>
        <s v="2840@onemons.es"/>
        <s v="2841@blaudrive.com"/>
        <s v="2842@yahoo.es"/>
        <s v="2843@gmail.com"/>
        <s v="2844@alamos.es"/>
        <s v="2845@araiz.es"/>
        <s v="2846@kubicat.com"/>
        <s v="2847@gmail.com"/>
        <s v="2848@telefonica.net"/>
        <s v="2849@gmail.com"/>
        <s v="2850@hotmail.com"/>
        <s v="2851@yahoo.es"/>
        <s v="2852@gmail.com"/>
        <s v="2853@gmail.com"/>
        <s v="2854@voltplus.es"/>
        <s v="2855@trc.es"/>
        <s v="2856@eurocabos.es"/>
        <s v="2857@gmail.com"/>
        <s v="2858@gmail.com"/>
        <s v="2859@hotmail.com"/>
        <s v="2860@soltecingenieros.com"/>
        <s v="2861@live.com"/>
        <s v="2862@gmail.com"/>
        <s v="2863@hibrielectric.com"/>
        <s v="2864@gmail.com"/>
        <s v="2865@gadisel.com"/>
        <s v="2866@hotmail.com"/>
        <s v="2867@jqadvisors.com"/>
        <s v="2868@cipfplacostera.com"/>
        <s v="2869@montajes-medyp.com"/>
        <s v="2870@yahoo.com"/>
        <s v="2871@assinsta.com"/>
        <s v="2872@hotmail.com"/>
        <s v="2873@gmail.com"/>
        <s v="2874@broa.net"/>
        <s v="2875@ulper.es"/>
        <s v="2876@gmail.com"/>
        <s v="2877@gammasg.com"/>
        <s v="2878@grupojab.es"/>
        <s v="2879@hbalcells.com"/>
        <s v="2880@alfasel.es"/>
        <s v="2881@hotmail.com"/>
        <s v="2882@secorsa.com"/>
        <s v="2883@acciona.com"/>
        <s v="2884@gmail.com"/>
        <s v="2885@instalacionessegura.es"/>
        <s v="2886@construroura.es"/>
        <s v="2887@indasasl.es"/>
        <s v="2888@proalingenieros.com"/>
        <s v="2889@eurocabos.es"/>
        <s v="2890@edu.xunta.es"/>
        <s v="2891@ingenibo.com"/>
        <s v="2892@gmail.com"/>
        <s v="2893@yahoo.com"/>
        <s v="2894@me.com"/>
        <s v="2895@mundoled.net"/>
        <s v="2896@energia.eiffage.es"/>
        <s v="2897@radytel.com"/>
        <s v="2899@gmail.com"/>
        <s v="2900@hotmail.com"/>
        <s v="2901@eneroptim.es"/>
        <s v="2902@gmail.com"/>
        <s v="2903@estudioelan.com"/>
        <s v="2904@gmail.com"/>
        <s v="2905@atoms.cat"/>
        <s v="2906@comb.cat"/>
        <s v="2907@generaeficiencia.com"/>
        <s v="2908@esplugues.cat"/>
        <s v="2909@ekoleds.com"/>
        <s v="2910@syocsa-inarsa.es"/>
        <s v="2911@grupocobra.com"/>
        <s v="2912@essatel.es"/>
        <s v="2913@gmail.com"/>
        <s v="2914@aldaproyectos.es"/>
        <s v="2915@crescencioperez.com"/>
        <s v="2916@diazrojo.com"/>
        <s v="2917@mastercentella.com"/>
        <s v="2918@gmail.com"/>
        <s v="2919@gmail.com"/>
        <s v="2920@prodelectric.es"/>
        <s v="2921@hotmail.com"/>
        <s v="2922@tecnicanorte.com"/>
        <s v="2923@gmail.com"/>
        <s v="2924@gmail.com"/>
        <s v="2925@gmail.com"/>
        <s v="2926@elherco.com"/>
        <s v="2927@interflex.es"/>
        <s v="2929@baurenginyers.cat"/>
        <s v="3292@movistar.es"/>
        <s v="3297@hotmail.com"/>
        <s v="2930@hotmail.com"/>
        <s v="2931@telefonica.net"/>
        <s v="2932@soldeser.com"/>
        <s v="2933@agenex.org"/>
        <s v="2934@gruponovelec.com"/>
        <s v="2935@hotellosllanos.es"/>
        <s v="2936@gmail.com"/>
        <s v="2937@gmail.com"/>
        <s v="2938@inemesa.com"/>
        <s v="2939@oscarcaselles.com"/>
        <s v="2940@xtec.cat"/>
        <s v="2941@gmail.com"/>
        <s v="2942@ragaluz.com"/>
        <s v="2943@agaeng.es"/>
        <s v="2944@prysmiangroup.com"/>
        <s v="2945@gmail.com"/>
        <s v="2946@gmail.com"/>
        <s v="2947@gmail.com"/>
        <s v="2948@gmail.com"/>
        <s v="2949@ignasiconillas.com"/>
        <s v="2950@telematel.com"/>
        <s v="2951@telman.es"/>
        <s v="2952@catrisse.net"/>
        <s v="2953@sinophosgroup.com"/>
        <s v="2954@gmail.com"/>
        <s v="2955@imamagnets.com"/>
        <s v="2956@engie.com"/>
        <s v="2957@doladoingenieria.es"/>
        <s v="2958@gmail.com"/>
        <s v="2959@instalacionesfb.com"/>
        <s v="2960@gmail.com"/>
        <s v="2961@mqrenovables.com"/>
        <s v="2962@gmail.com"/>
        <s v="2963@gmail.com"/>
        <s v="2964@duoarquitectura.es"/>
        <s v="2965@hotmail.com"/>
        <s v="2966@gmail.com"/>
        <s v="2967@gmail.com"/>
        <s v="2968@sueprat.es"/>
        <s v="2969@gmail.com"/>
        <s v="2970@sonepar.es"/>
        <s v="2971@gmail.com"/>
        <s v="2972@us.es"/>
        <s v="2973@rt105.es"/>
        <s v="2974@outlook.com"/>
        <s v="2975@gmail.com"/>
        <s v="2976@gmail.com"/>
        <s v="2977@gmail.com"/>
        <s v="2978@electroredes.com"/>
        <s v="2979@gmail.com"/>
        <s v="2980@live.com"/>
        <s v="2981@gmail.com"/>
        <s v="2982@hotmail.es"/>
        <s v="2983@hotmail.com"/>
        <s v="2984@hotmail.com"/>
        <s v="2985@gmail.com"/>
        <s v="2986@signum.cat"/>
        <s v="2987@comercialsis.com"/>
        <s v="2988@lopezona.com"/>
        <s v="2989@9chip.com"/>
        <s v="2990@gilten.es"/>
        <s v="2991@yahoo.es"/>
        <s v="2992@socidesel.es"/>
        <s v="2993@gmail.com"/>
        <s v="2994@hotmail.com"/>
        <s v="2995@suris.es"/>
        <s v="2996@hotmail.com"/>
        <s v="2997@bgm.pt"/>
        <s v="2998@dosreisinstalaciones.es"/>
        <s v="2999@gmail.com"/>
        <s v="3000@strongpoint.com"/>
        <s v="3001@gmail.com"/>
        <s v="3002@energiaactiva.es"/>
        <s v="3003@ingenieriabenimamet.com"/>
        <s v="3004@yahoo.es"/>
        <s v="3005@electroizas.es"/>
        <s v="3006@ingenieriajorpa.es"/>
        <s v="3007@gmail.com"/>
        <s v="3008@codime.es"/>
        <s v="3009@acciona.com"/>
        <s v="3010@eleko.es"/>
        <s v="3011@gmail.com"/>
        <m/>
      </sharedItems>
    </cacheField>
    <cacheField name="Date">
      <sharedItems containsDate="1" containsBlank="1" containsMixedTypes="1">
        <d v="2020-06-30T00:00:00Z"/>
        <d v="2020-06-29T00:00:00Z"/>
        <d v="2020-06-28T00:00:00Z"/>
        <d v="2020-06-27T00:00:00Z"/>
        <d v="2020-06-26T00:00:00Z"/>
        <d v="2020-06-25T00:00:00Z"/>
        <d v="2020-06-24T00:00:00Z"/>
        <d v="2020-06-23T00:00:00Z"/>
        <d v="2020-06-22T00:00:00Z"/>
        <d v="2020-06-21T00:00:00Z"/>
        <d v="2020-06-20T00:00:00Z"/>
        <d v="2020-06-19T00:00:00Z"/>
        <d v="2020-06-18T00:00:00Z"/>
        <s v="null"/>
        <d v="2020-06-17T00:00:00Z"/>
        <d v="2020-06-16T00:00:00Z"/>
        <d v="2020-06-15T00:00:00Z"/>
        <d v="2020-06-14T00:00:00Z"/>
        <d v="2020-06-13T00:00:00Z"/>
        <d v="2020-06-12T00:00:00Z"/>
        <d v="2020-06-11T00:00:00Z"/>
        <d v="2020-06-10T00:00:00Z"/>
        <d v="2020-06-09T00:00:00Z"/>
        <d v="2020-06-08T00:00:00Z"/>
        <d v="2020-06-07T00:00:00Z"/>
        <d v="2020-06-06T00:00:00Z"/>
        <d v="2020-06-05T00:00:00Z"/>
        <d v="2020-06-04T00:00:00Z"/>
        <d v="2020-06-03T00:00:00Z"/>
        <d v="2020-06-02T00:00:00Z"/>
        <d v="2020-06-01T00:00:00Z"/>
        <d v="2020-05-31T00:00:00Z"/>
        <d v="2020-05-30T00:00:00Z"/>
        <d v="2020-05-29T00:00:00Z"/>
        <d v="2020-05-28T00:00:00Z"/>
        <d v="2020-05-27T00:00:00Z"/>
        <d v="2020-05-26T00:00:00Z"/>
        <d v="2020-05-25T00:00:00Z"/>
        <d v="2020-05-24T00:00:00Z"/>
        <d v="2020-05-23T00:00:00Z"/>
        <d v="2020-05-22T00:00:00Z"/>
        <d v="2020-05-21T00:00:00Z"/>
        <d v="2020-05-20T00:00:00Z"/>
        <d v="2020-05-19T00:00:00Z"/>
        <d v="2020-05-18T00:00:00Z"/>
        <d v="2020-05-17T00:00:00Z"/>
        <d v="2020-05-16T00:00:00Z"/>
        <d v="2020-05-15T00:00:00Z"/>
        <d v="2020-05-14T00:00:00Z"/>
        <d v="2020-05-13T00:00:00Z"/>
        <d v="2020-05-12T00:00:00Z"/>
        <d v="2020-05-11T00:00:00Z"/>
        <d v="2020-05-10T00:00:00Z"/>
        <d v="2020-05-09T00:00:00Z"/>
        <d v="2020-05-08T00:00:00Z"/>
        <d v="2020-05-07T00:00:00Z"/>
        <d v="2020-05-06T00:00:00Z"/>
        <d v="2020-05-05T00:00:00Z"/>
        <d v="2020-05-04T00:00:00Z"/>
        <d v="2020-05-03T00:00:00Z"/>
        <d v="2020-05-02T00:00:00Z"/>
        <d v="2020-05-01T00:00:00Z"/>
        <d v="2020-04-30T00:00:00Z"/>
        <d v="2020-04-29T00:00:00Z"/>
        <d v="2020-04-28T00:00:00Z"/>
        <d v="2020-04-27T00:00:00Z"/>
        <d v="2020-04-26T00:00:00Z"/>
        <d v="2020-04-25T00:00:00Z"/>
        <d v="2020-04-24T00:00:00Z"/>
        <d v="2020-04-23T00:00:00Z"/>
        <d v="2020-04-22T00:00:00Z"/>
        <d v="2020-04-21T00:00:00Z"/>
        <d v="2020-04-20T00:00:00Z"/>
        <d v="2020-04-19T00:00:00Z"/>
        <d v="2020-04-18T00:00:00Z"/>
        <d v="2020-04-17T00:00:00Z"/>
        <d v="2020-04-16T00:00:00Z"/>
        <d v="2020-04-15T00:00:00Z"/>
        <d v="2020-04-14T00:00:00Z"/>
        <d v="2020-04-13T00:00:00Z"/>
        <d v="2020-04-12T00:00:00Z"/>
        <d v="2020-04-11T00:00:00Z"/>
        <d v="2020-04-10T00:00:00Z"/>
        <d v="2020-04-09T00:00:00Z"/>
        <d v="2020-04-08T00:00:00Z"/>
        <d v="2020-04-07T00:00:00Z"/>
        <d v="2020-04-06T00:00:00Z"/>
        <d v="2020-04-05T00:00:00Z"/>
        <d v="2020-04-04T00:00:00Z"/>
        <d v="2020-04-03T00:00:00Z"/>
        <d v="2020-04-02T00:00:00Z"/>
        <d v="2020-04-01T00:00:00Z"/>
        <d v="2020-03-31T00:00:00Z"/>
        <d v="2020-03-30T00:00:00Z"/>
        <d v="2020-03-29T00:00:00Z"/>
        <d v="2020-03-28T00:00:00Z"/>
        <d v="2020-03-27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  <d v="2020-03-19T00:00:00Z"/>
        <d v="2020-03-18T00:00:00Z"/>
        <d v="2020-03-17T00:00:00Z"/>
        <d v="2020-03-16T00:00:00Z"/>
        <d v="2020-03-14T00:00:00Z"/>
        <d v="2020-03-13T00:00:00Z"/>
        <d v="2020-03-12T00:00:00Z"/>
        <d v="2020-03-11T00:00:00Z"/>
        <d v="2020-03-10T00:00:00Z"/>
        <d v="2020-03-09T00:00:00Z"/>
        <d v="2020-03-08T00:00:00Z"/>
        <d v="2020-03-07T00:00:00Z"/>
        <d v="2020-03-06T00:00:00Z"/>
        <d v="2020-03-05T00:00:00Z"/>
        <d v="2020-03-04T00:00:00Z"/>
        <d v="2020-03-03T00:00:00Z"/>
        <d v="2020-03-02T00:00:00Z"/>
        <d v="2020-03-01T00:00:00Z"/>
        <d v="2020-02-29T00:00:00Z"/>
        <d v="2020-02-28T00:00:00Z"/>
        <d v="2020-02-27T00:00:00Z"/>
        <d v="2020-02-26T00:00:00Z"/>
        <d v="2020-02-25T00:00:00Z"/>
        <d v="2020-02-24T00:00:00Z"/>
        <d v="2020-02-23T00:00:00Z"/>
        <d v="2020-02-22T00:00:00Z"/>
        <d v="2020-02-21T00:00:00Z"/>
        <d v="2020-02-20T00:00:00Z"/>
        <d v="2020-02-19T00:00:00Z"/>
        <d v="2020-02-18T00:00:00Z"/>
        <d v="2020-02-17T00:00:00Z"/>
        <d v="2020-02-16T00:00:00Z"/>
        <d v="2020-02-15T00:00:00Z"/>
        <d v="2020-02-14T00:00:00Z"/>
        <d v="2020-02-13T00:00:00Z"/>
        <d v="2020-02-12T00:00:00Z"/>
        <d v="2020-02-11T00:00:00Z"/>
        <d v="2020-02-10T00:00:00Z"/>
        <d v="2020-02-09T00:00:00Z"/>
        <d v="2020-02-08T00:00:00Z"/>
        <d v="2020-02-07T00:00:00Z"/>
        <d v="2020-02-06T00:00:00Z"/>
        <d v="2020-02-05T00:00:00Z"/>
        <d v="2020-02-04T00:00:00Z"/>
        <d v="2020-02-03T00:00:00Z"/>
        <d v="2020-02-02T00:00:00Z"/>
        <d v="2020-02-01T00:00:00Z"/>
        <d v="2020-01-31T00:00:00Z"/>
        <d v="2020-01-30T00:00:00Z"/>
        <d v="2020-01-29T00:00:00Z"/>
        <d v="2020-01-28T00:00:00Z"/>
        <d v="2020-01-27T00:00:00Z"/>
        <d v="2020-01-26T00:00:00Z"/>
        <d v="2020-01-24T00:00:00Z"/>
        <d v="2020-01-23T00:00:00Z"/>
        <d v="2020-01-22T00:00:00Z"/>
        <d v="2020-01-21T00:00:00Z"/>
        <d v="2020-01-20T00:00:00Z"/>
        <d v="2020-01-19T00:00:00Z"/>
        <d v="2020-01-18T00:00:00Z"/>
        <d v="2020-01-17T00:00:00Z"/>
        <d v="2020-01-16T00:00:00Z"/>
        <d v="2020-01-15T00:00:00Z"/>
        <d v="2020-01-14T00:00:00Z"/>
        <d v="2020-01-13T00:00:00Z"/>
        <d v="2020-01-12T00:00:00Z"/>
        <d v="2020-01-11T00:00:00Z"/>
        <d v="2020-01-10T00:00:00Z"/>
        <d v="2020-01-09T00:00:00Z"/>
        <d v="2020-01-08T00:00:00Z"/>
        <d v="2020-01-07T00:00:00Z"/>
        <d v="2020-01-06T00:00:00Z"/>
        <d v="2020-01-05T00:00:00Z"/>
        <d v="2020-01-04T00:00:00Z"/>
        <d v="2020-01-03T00:00:00Z"/>
        <d v="2020-01-02T00:00:00Z"/>
        <d v="2020-01-01T00:00:00Z"/>
        <m/>
      </sharedItems>
    </cacheField>
    <cacheField name="Conversion Page" numFmtId="0">
      <sharedItems containsBlank="1">
        <s v="https://resources.simonelectric.com/simon-ebook-vehiculo-electrico"/>
        <s v="https://resources.simonelectric.com/simon-catalogo-vehiculo-electrico"/>
        <s v="https://resources.simonelectric.com/simon-material-formativo-vehiculo-electrico"/>
        <s v="https://resources.simonelectric.com/simon-ebook-vehiculo-electrico-ppc"/>
        <s v="https://resources.simonelectric.com/simon-ebook-vehiculo-electrico-0"/>
        <s v="https://resources.simonelectric.com/simon-ebook-vehiculo-electrico-tw"/>
        <m/>
      </sharedItems>
    </cacheField>
    <cacheField name="mail optimizado - def" numFmtId="164">
      <sharedItems containsBlank="1">
        <s v="1@gmail.com"/>
        <s v="2@yahoo.es"/>
        <s v="3@gmail.com"/>
        <s v="4@gmail.com"/>
        <s v="5@infortel.es"/>
        <s v="6@yahoo.es"/>
        <s v="7@unizar.es"/>
        <s v="8@gomezmoreno.com"/>
        <s v="9@chacontch.com"/>
        <s v="10@hotmail.com"/>
        <s v="11@gmail.com"/>
        <s v="12@gmail.com"/>
        <s v="13@inel.es"/>
        <s v="14@enerparking.com"/>
        <s v="15@apba.es"/>
        <s v="16@cambrabcn.org"/>
        <s v="17@gmail.com"/>
        <s v="18@urv.cat"/>
        <s v="19@grupoespacioindustrial.com"/>
        <s v="20@gmail.com"/>
        <s v="21@iteser.com"/>
        <s v="22@gmail.com"/>
        <s v="23@gmail.com"/>
        <s v="24@gmail.com"/>
        <s v="25@gmail.com"/>
        <s v="26@mktg.com"/>
        <s v="27@hotmail.com"/>
        <s v="28@gmail.com"/>
        <s v="29@gmail.com"/>
        <s v="30@gmail.com"/>
        <s v="31@gmail.com"/>
        <s v="32@gmail.com"/>
        <s v="33@gmail.com"/>
        <s v="34@gmail.com"/>
        <s v="35@gmail.com"/>
        <s v="36@visaonomada.pt"/>
        <s v="37@intienergia.com"/>
        <s v="38@telefonica.net"/>
        <s v="39@idom.com"/>
        <s v="40@hotmail.com"/>
        <s v="41@gmail.com"/>
        <s v="42@gmail.com"/>
        <s v="43@electricidadjoselucas.com"/>
        <s v="44@gmail.com"/>
        <s v="45@acotech.es"/>
        <s v="46@hotmail.com"/>
        <s v="47@marpemac.com"/>
        <s v="48@legebiltzarra.eus"/>
        <s v="49@grupocaeiro.es"/>
        <s v="50@gmail.com"/>
        <s v="51@yahoo.es"/>
        <s v="52@tdi-sistemas.com"/>
        <s v="53@dicara.es"/>
        <s v="54@abengoa.com"/>
        <s v="55@hotmail.com"/>
        <s v="56@iesmurgi.org"/>
        <s v="57@gmail.com"/>
        <s v="58@gabyl.com"/>
        <s v="59@gmail.com"/>
        <s v="60@rocketmail.com"/>
        <s v="61@elektra-sa.es"/>
        <s v="62@hotmail.com"/>
        <s v="63@semael.com"/>
        <s v="64@gmail.com"/>
        <s v="65@copitima.com"/>
        <s v="66@dgingenieros.es"/>
        <s v="67@becibiza.es"/>
        <s v="68@ingeosolar.com"/>
        <s v="69@gmail.com"/>
        <s v="70@gmail.com"/>
        <s v="71@hotmail.com"/>
        <s v="72@grupoelectrostocks.com"/>
        <s v="73@hotmail.com"/>
        <s v="74@electricidadguerra.com"/>
        <s v="75@telefonica.net"/>
        <s v="76@gmail.com"/>
        <s v="77@comsa.com"/>
        <s v="78@gmail.com"/>
        <s v="79@sonepar.es"/>
        <s v="80@enginyerstarragona.cat"/>
        <s v="81@gmail.com"/>
        <s v="82@sedes.es"/>
        <s v="83@eduardoaleman.es"/>
        <s v="84@electromontajesroldan.com"/>
        <s v="85@gmail.com"/>
        <s v="86@ingbuero-group.de"/>
        <s v="87@comsa.com"/>
        <s v="88@ingenierosvigo.com"/>
        <s v="89@ipsumindustrial.com"/>
        <s v="90@telefonica.net"/>
        <s v="91@valmet.com"/>
        <s v="92@gmail.com"/>
        <s v="93@gmail.com"/>
        <s v="94@grupocobra.com"/>
        <s v="95@gmail.com"/>
        <s v="96@hotmail.com"/>
        <s v="97@igpingenieria.com"/>
        <s v="98@davidjdiaz.es"/>
        <s v="99@coitir.com"/>
        <s v="100@hotmail.com"/>
        <s v="101@coiirm.es"/>
        <s v="102@telefonica.net"/>
        <s v="103@ciccp.es"/>
        <s v="104@spiningenieros.com"/>
        <s v="105@gmail.com"/>
        <s v="106@ucm.es"/>
        <s v="107@dipucr.es"/>
        <s v="108@salesianos.edu"/>
        <s v="109@gmail.com"/>
        <s v="110@3epsilonsolutions.com"/>
        <s v="111@murciaeduca.es"/>
        <s v="112@gmail.com"/>
        <s v="113@gmail.com"/>
        <s v="114@hotmail.com"/>
        <s v="115@yahoo.es"/>
        <s v="116@sgs.com"/>
        <s v="117@telefonica.net"/>
        <s v="118@legebiltzarra.eus"/>
        <s v="119@ideaingenieria.es"/>
        <s v="120@yahoo.com"/>
        <s v="121@gmail.com"/>
        <s v="122@tecnimed.net"/>
        <s v="123@grupocuerva.com"/>
        <s v="124@betenergia.es"/>
        <s v="125@gmail.com"/>
        <s v="126@gmail.com"/>
        <s v="127@prevae.com"/>
        <s v="128@gmail.com"/>
        <s v="129@inypro.com"/>
        <s v="130@gmail.com"/>
        <s v="131@hotmail.com"/>
        <s v="132@gmail.com"/>
        <s v="133@fasfas.com"/>
        <s v="134@gmail.com"/>
        <s v="135@telefonica.net"/>
        <s v="136@gmail.com"/>
        <s v="137@alcar2000.com"/>
        <s v="138@grupocobra.com"/>
        <s v="139@yahoo.es"/>
        <s v="140@yahoo.es"/>
        <s v="141@gmail.com"/>
        <s v="142@gmail.com"/>
        <s v="143@gmail.com"/>
        <s v="144@gmail.com"/>
        <s v="145@coitihuelva.com"/>
        <s v="146@instalacionsigualada.com"/>
        <s v="147@hotmail.es"/>
        <s v="148@gmail.com"/>
        <s v="149@gmail.com"/>
        <s v="150@atla.es"/>
        <s v="151@gmail.com"/>
        <s v="152@gmail.com"/>
        <s v="153@telefonica.net"/>
        <s v="154@jorditamayo.com"/>
        <s v="155@arcbcn.cat"/>
        <s v="156@riosrenovables.com"/>
        <s v="157@hotmail.com"/>
        <s v="158@acollconsulting.es"/>
        <s v="159@gmail.com"/>
        <s v="160@hotmail.com"/>
        <s v="161@gmail.com"/>
        <s v="162@gmail.com"/>
        <s v="163@gmail.com"/>
        <s v="164@telefonica.net"/>
        <s v="165@dobontech.com"/>
        <s v="166@napols.net"/>
        <s v="167@me.com"/>
        <s v="168@hc-ingenieros.com"/>
        <s v="169@gmail.com"/>
        <s v="170@ciudaddelosmuchachos.com"/>
        <s v="171@gmail.com"/>
        <s v="172@ardisenginyeria.com"/>
        <s v="173@gmail.com"/>
        <s v="174@hotmail.com"/>
        <s v="175@gobesa.com"/>
        <s v="176@aia.cat"/>
        <s v="177@mobcn.org"/>
        <s v="178@tec-engineering.es"/>
        <s v="179@mundo-r.com"/>
        <s v="180@aquambiente.es"/>
        <s v="181@juntaex.es"/>
        <s v="182@usal.es"/>
        <s v="183@arquired.es"/>
        <s v="184@telefonica.net"/>
        <s v="185@asintec.info"/>
        <s v="186@msn.com"/>
        <s v="187@castelyfernandez.es"/>
        <s v="188@gmail.com"/>
        <s v="189@gmail.com"/>
        <s v="190@idom.com"/>
        <s v="191@gruposinelec.com"/>
        <s v="192@gmail.com"/>
        <s v="193@triangulo.com.es"/>
        <s v="194@hotmail.com"/>
        <s v="195@electricidadmadruga.com"/>
        <s v="196@gmail.com"/>
        <s v="197@enginyerstarragona.cat"/>
        <s v="198@hotmail.es"/>
        <s v="199@elektra-sa.es"/>
        <s v="200@smassa.eu"/>
        <s v="201@gmail.com"/>
        <s v="202@gmail.com"/>
        <s v="203@outlook.com"/>
        <s v="204@ebcn.cat"/>
        <s v="205@es.tuv.com"/>
        <s v="206@jgingenieros.es"/>
        <s v="207@tecnicasyrecursos.com"/>
        <s v="208@acortaenergia.com"/>
        <s v="209@azingenieria.es"/>
        <s v=""/>
        <s v="211@elgremi.cat"/>
        <s v="212@gmail.com"/>
        <s v="213@guidogroup.com"/>
        <s v="214@gmail.com"/>
        <s v="215@enel.com"/>
        <s v="216@gmail.com"/>
        <s v="217@esypro.net"/>
        <s v="218@erasmil.com"/>
        <s v="219@gmail.com"/>
        <s v="220@istem.es"/>
        <s v="221@maganrenovables.com"/>
        <s v="222@jcgracia.es"/>
        <s v="223@gmail.com"/>
        <s v="224@hotmail.com"/>
        <s v="225@gmail.com"/>
        <s v="226@hotmail.com"/>
        <s v="227@gmail.com"/>
        <s v="228@erasmil.com"/>
        <s v="229@gmail.com"/>
        <s v="230@solsureste.com"/>
        <s v="231@gmail.com"/>
        <s v="232@mersa.es"/>
        <s v="233@gmail.com"/>
        <s v="234@pgiengineering.com"/>
        <s v="235@gmail.com"/>
        <s v="236@elecnor.com"/>
        <s v="237@idsa.es"/>
        <s v="238@engie.com"/>
        <s v="239@alfadesarrollo.com"/>
        <s v="240@hotmail.com"/>
        <s v="241@gmail.com"/>
        <s v="242@outlook.es"/>
        <s v="243@homcrea.fr"/>
        <s v="244@as.com"/>
        <s v="245@gmail.com"/>
        <s v="247@gmail.com"/>
        <s v="248@llachsoillum.cat"/>
        <s v="249@herreroingenieros.com"/>
        <s v="250@inacces.com"/>
        <s v="251@gmail.com"/>
        <s v="252@hotmail.com"/>
        <s v="253@putzmeister.com"/>
        <s v="254@hotmail.com"/>
        <s v="255@hotmail.com"/>
        <s v="256@mail.com"/>
        <s v="257@telefonica.net"/>
        <s v="258@jesnar2011.es"/>
        <s v="259@electricosaragon2000.com"/>
        <s v="260@hotmail.com"/>
        <s v="261@gmail.com"/>
        <s v="262@gmail.com"/>
        <s v="263@sueprat.es"/>
        <s v="264@edaie.com"/>
        <s v="265@gmail.com"/>
        <s v="266@hotmail.es"/>
        <s v="267@fiberlec.com"/>
        <s v="268@gmail.com"/>
        <s v="269@hotmail.com"/>
        <s v="270@gmail.com"/>
        <s v="271@pkcgroup.com"/>
        <s v="272@gmail.com"/>
        <s v="273@gmail.com"/>
        <s v="274@movistar.es"/>
        <s v="275@aransa.com"/>
        <s v="276@gmail.com"/>
        <s v="277@fcc.es"/>
        <s v="278@urbaser.com"/>
        <s v="279@vazquezconsuegra.com"/>
        <s v="280@susaeta.net"/>
        <s v="281@montajescastellon.com"/>
        <s v="282@comsa.com"/>
        <s v="283@occidentalhotels.com"/>
        <s v="284@telman.es"/>
        <s v="285@hotmail.com"/>
        <s v="286@icaluz.com"/>
        <s v="287@parcdesalutmar.cat"/>
        <s v="288@fcc.es"/>
        <s v="289@gmail.com"/>
        <s v="290@msn.com"/>
        <s v="291@yahoo.es"/>
        <s v="292@espe.edu.ec"/>
        <s v="293@hotmail.com"/>
        <s v="294@lumial.es"/>
        <s v="295@gmail.com"/>
        <s v="296@gmail.com"/>
        <s v="297@hotmail.com"/>
        <s v="298@ibielectric.com"/>
        <s v="299@vimasol.es"/>
        <s v="300@vimasol.es"/>
        <s v="301@vimasol.es"/>
        <s v="302@loalnet.com"/>
        <s v="305@wanadoo.es"/>
        <s v="306@gmail.com"/>
        <s v="307@yahoo.es"/>
        <s v="308@rexel.es"/>
        <s v="309@hotmail.com"/>
        <s v="310@outlook.com"/>
        <s v="311@tresa.volkswagen.es"/>
        <s v="312@telefonica.net"/>
        <s v="313@inelbo.eiffage.es"/>
        <s v="314@bitrir.es"/>
        <s v="315@bongrup.es"/>
        <s v="316@aymesa.com"/>
        <s v="317@portsdebalears.com"/>
        <s v="318@gmail.com"/>
        <s v="319@gmail.com"/>
        <s v="320@gmail.com"/>
        <s v="321@gmail.com"/>
        <s v="322@rutronik.com"/>
        <s v="323@hotmail.com"/>
        <s v="324@onsaze.es"/>
        <s v="325@sonepar.es"/>
        <s v="326@gmail.com"/>
        <s v="327@romovi.com"/>
        <s v="328@siemens.com"/>
        <s v="329@covama.es"/>
        <s v="330@hotmail.com"/>
        <s v="331@gmail.com"/>
        <s v="332@gmail.com"/>
        <s v="333@jbizcocho.es"/>
        <s v="334@mixmail.com"/>
        <s v="335@faepac.org"/>
        <s v="336@gmail.com"/>
        <s v="337@gmail.com"/>
        <s v="338@u220.es"/>
        <s v="339@emiliocueto.com"/>
        <s v="340@bizkaia.eu"/>
        <s v="341@enchufesolar.com"/>
        <s v="342@idesa.pro"/>
        <s v="343@gmail.com"/>
        <s v="344@hotmail.com"/>
        <s v="345@enerwatt.es"/>
        <s v="346@gmail.com"/>
        <s v="347@engie.com"/>
        <s v="348@telefonica.net"/>
        <s v="349@dipualba.es"/>
        <s v="350@talleresloam.com"/>
        <s v="351@cochele.com"/>
        <s v="352@live.com.mx"/>
        <s v="353@industrialgines.com"/>
        <s v="354@gmail.com"/>
        <s v="355@gmail.com"/>
        <s v="356@hotmail.com"/>
        <s v="357@cesvimap.com"/>
        <s v="358@suris.es"/>
        <s v="359@movistar.es"/>
        <s v="360@gmail.com"/>
        <s v="361@trabajosadomicilio.es"/>
        <s v="362@hotmail.com"/>
        <s v="363@gmail.com"/>
        <s v="364@telefonica.net"/>
        <s v="365@edu.xunta.es"/>
        <s v="366@gmail.com"/>
        <s v="367@yahoo.es"/>
        <s v="368@gmail.com"/>
        <s v="369@upc.edu"/>
        <s v="370@coac.es"/>
        <s v="371@hotmail.com"/>
        <s v="372@ub.edu"/>
        <s v="373@eling.es"/>
        <s v="374@copitima.com"/>
        <s v="375@gmail.com"/>
        <s v="376@gmail.com"/>
        <s v="377@nouges.es"/>
        <s v="378@mcrdielec.com"/>
        <s v="379@gmail.com"/>
        <s v="380@acp-level.es"/>
        <s v="381@mtcholding.ro"/>
        <s v="382@gmail.com"/>
        <s v="383@llamas.com.es"/>
        <s v="384@comsa.com"/>
        <s v="385@upc.edu"/>
        <s v="386@xtec.cat"/>
        <s v="387@gmail.com"/>
        <s v="388@gmail.com"/>
        <s v="389@yahoo.es"/>
        <s v="390@hotmail.com"/>
        <s v="391@gmail.com"/>
        <s v="392@gmail.com"/>
        <s v="393@gmail.com"/>
        <s v="394@yahoo.es"/>
        <s v="395@ajinstal.cat"/>
        <s v="396@gmail.com"/>
        <s v="397@orange.es"/>
        <s v="398@ciudaddelosmuchachos.com"/>
        <s v="399@gmail.com"/>
        <s v="400@arquired.es"/>
        <s v="401@hotmail.es"/>
        <s v="402@gmail.com"/>
        <s v="403@hotmail.com"/>
        <s v="404@hotmail.com"/>
        <s v="405@yahoo.es"/>
        <s v="406@gmail.com"/>
        <s v="407@romher.es"/>
        <s v="408@ic3sl.com"/>
        <s v="409@gruposinelec.com"/>
        <s v="410@gmail.com"/>
        <s v="411@proyectosdelhogar.com"/>
        <s v="412@seelectroled.com"/>
        <s v="413@emancha.com"/>
        <s v="414@gruptba.com"/>
        <s v="415@gmail.com"/>
        <s v="416@dominguezelectricidad.es"/>
        <s v="417@gmail.com"/>
        <s v="418@proyectosict.net"/>
        <s v="419@miscelec.com"/>
        <s v="420@covama.es"/>
        <s v="421@maelse.com"/>
        <s v="422@amena.com"/>
        <s v="423@me.com"/>
        <s v="424@ulmahandling.com"/>
        <s v="425@telefonica.net"/>
        <s v="426@gmail.com"/>
        <s v="427@gmail.com"/>
        <s v="428@hotmail.com"/>
        <s v="429@yahoo.es"/>
        <s v="430@urgon.es"/>
        <s v="431@hotmail.com"/>
        <s v="432@acacea.es"/>
        <s v="433@gmail.com"/>
        <s v="434@gmail.com"/>
        <s v="435@solucionesms.es"/>
        <s v="436@electrosoler.com"/>
        <s v="437@alrolasistemas.es"/>
        <s v="438@epla.es"/>
        <s v="439@edu.xunta.es"/>
        <s v="440@fedirbra.com"/>
        <s v="441@arquiem.es"/>
        <s v="442@hotmail.com"/>
        <s v="443@ingenia.es"/>
        <s v="444@dymiel.es"/>
        <s v="445@sueprat.es"/>
        <s v="446@atega.net"/>
        <s v="447@iescotesbaixes.org"/>
        <s v="448@gmail.com"/>
        <s v="449@urgon.es"/>
        <s v="450@gmail.com"/>
        <s v="451@ingelux.com"/>
        <s v="452@urgon.es"/>
        <s v="453@edelafuente.com"/>
        <s v="454@gmail.com"/>
        <s v="455@gmail.com"/>
        <s v="456@electricidadvilela.com"/>
        <s v="457@outlook.com"/>
        <s v="458@imel.es"/>
        <s v="459@sesetec.com"/>
        <s v="460@gmail.com"/>
        <s v="461@msn.com"/>
        <s v="462@gmail.com"/>
        <s v="463@gmail.com"/>
        <s v="464@hotmail.es"/>
        <s v="465@hotmail.com"/>
        <s v="466@gmail.com"/>
        <s v="467@gmail.com"/>
        <s v="468@yahoo.es"/>
        <s v="469@somorrostro.com"/>
        <s v="470@gmail.com"/>
        <s v="471@abengoa.com"/>
        <s v="472@ebcn.cat"/>
        <s v="473@inexo.es"/>
        <s v="474@tectram.com"/>
        <s v="475@hotmail.es"/>
        <s v="476@hotmail.com"/>
        <s v="477@gmail.com"/>
        <s v="478@gmail.com"/>
        <s v="479@gmail.com"/>
        <s v="480@gmail.com"/>
        <s v="481@gmail.com"/>
        <s v="482@pentamatik.com"/>
        <s v="483@arval.es"/>
        <s v="484@macegroup.com"/>
        <s v="485@hotmail.com"/>
        <s v="486@gmail.com"/>
        <s v="487@gmail.com"/>
        <s v="488@gmail.com"/>
        <s v="489@carbonellfigueras.com"/>
        <s v="490@idom.com"/>
        <s v="491@gmail.com"/>
        <s v="492@hotmail.com"/>
        <s v="493@gmail.com"/>
        <s v="494@protelec.es"/>
        <s v="495@boslan.com"/>
        <s v="496@gmail.com"/>
        <s v="497@6d-ingenieros.com"/>
        <s v="498@gmail.com"/>
        <s v="499@netcabo.pt"/>
        <s v="500@gmail.com"/>
        <s v="501@gmail.com"/>
        <s v="502@hotmail.com"/>
        <s v="503@ofp.cat"/>
        <s v="504@avilayhevia.com"/>
        <s v="505@mavipas.com"/>
        <s v="506@pina-ingenieria.com"/>
        <s v="507@eco-voltaica.com"/>
        <s v="508@gmail.com"/>
        <s v="509@hotmail.com"/>
        <s v="510@gmail.com"/>
        <s v="511@yahoo.es"/>
        <s v="512@hotmail.com"/>
        <s v="513@osmos.es"/>
        <s v="514@hotmail.com"/>
        <s v="515@torrepacheco.es"/>
        <s v="516@hotmail.es"/>
        <s v="517@palmersebastian.com"/>
        <s v="518@gmail.com"/>
        <s v="519@outlook.com"/>
        <s v="520@ecf-electricidad.com"/>
        <s v="521@gmail.com"/>
        <s v="522@siemens.com"/>
        <s v="523@gmail.com"/>
        <s v="524@gmail.com"/>
        <s v="525@comsa.com"/>
        <s v="526@gmail.com"/>
        <s v="527@yahoo.com.mx"/>
        <s v="528@gmail.com"/>
        <s v="529@gmail.com"/>
        <s v="530@trilegend.com"/>
        <s v="531@csisuministros.com"/>
        <s v="532@gmail.com"/>
        <s v="533@emconsulting.es"/>
        <s v="534@gmail.com"/>
        <s v="535@bgp.es"/>
        <s v="536@adymus.es"/>
        <s v="537@sonneingenieria.com"/>
        <s v="538@herquesa.com"/>
        <s v="539@cablenergia.com"/>
        <s v="540@hotmail.com"/>
        <s v="541@gmail.com"/>
        <s v="542@yahoo.es"/>
        <s v="543@andreumanteniment.com"/>
        <s v="544@telnor.es"/>
        <s v="545@serviciosenergeticoslp.es"/>
        <s v="546@gmail.com"/>
        <s v="547@grupocuerva.com"/>
        <s v="548@hotmail.com"/>
        <s v="549@gmail.com"/>
        <s v="550@activate2.com"/>
        <s v="551@mdvproyectos.es"/>
        <s v="552@engie.com"/>
        <s v="553@aenor.com"/>
        <s v="554@gngrup.com"/>
        <s v="555@yahoo.es"/>
        <s v="556@gmail.com"/>
        <s v="557@dip-badajoz.es"/>
        <s v="558@gmail.com"/>
        <s v="559@sygsa.com"/>
        <s v="560@gmail.com"/>
        <s v="561@aialmeingenieros.com"/>
        <s v="562@gmail.com"/>
        <s v="563@salesianospamplona.net"/>
        <s v="564@gmail.com"/>
        <s v="565@gmail.com"/>
        <s v="566@gmail.com"/>
        <s v="567@sonovatec.com"/>
        <s v="568@hotmail.com"/>
        <s v="569@hotmail.com"/>
        <s v="570@hotmail.com"/>
        <s v="571@outlook.com"/>
        <s v="572@gmail.com"/>
        <s v="573@gmail.com"/>
        <s v="574@tecuni.com"/>
        <s v="575@hotmail.com"/>
        <s v="576@gmail.com"/>
        <s v="577@electroalbors.com"/>
        <s v="578@gmail.com"/>
        <s v="579@gmail.com"/>
        <s v="580@gmail.com"/>
        <s v="581@gmail.com"/>
        <s v="582@gmail.com"/>
        <s v="583@iesmontsia.org"/>
        <s v="584@petronet24.net"/>
        <s v="585@hotmail.com"/>
        <s v="586@hotmail.com"/>
        <s v="587@gescogestio.com"/>
        <s v="588@gmail.com"/>
        <s v="589@freelight.es"/>
        <s v="590@hotmail.com"/>
        <s v="591@alterenergy.com.ar"/>
        <s v="592@garciacomas.com"/>
        <s v="593@sorigue.com"/>
        <s v="594@hotmail.com"/>
        <s v="595@centroasturianobarcelona.com"/>
        <s v="596@gmail.com"/>
        <s v="597@svingenieria.com.co"/>
        <s v="599@gmail.com"/>
        <s v="600@saltoki.es"/>
        <s v="601@gmail.com"/>
        <s v="602@gmail.com"/>
        <s v="603@tenmega.pt"/>
        <s v="604@goliathspain.es"/>
        <s v="605@hotmail.com"/>
        <s v="606@gmail.com"/>
        <s v="607@eficiona.com"/>
        <s v="608@sgingenieros.es"/>
        <s v="609@ritelecenergia.es"/>
        <s v="610@electricharger.com"/>
        <s v="611@santacruzdetenerife.es"/>
        <s v="612@gmail.com"/>
        <s v="613@proingo.es"/>
        <s v="614@valledeleste.es"/>
        <s v="615@iealcazar.com"/>
        <s v="616@a6ingenieria.es"/>
        <s v="617@energia.eiffage.es"/>
        <s v="618@ibil.es"/>
        <s v="619@movistar.es"/>
        <s v="620@loop-cn.com"/>
        <s v="621@gmail.com"/>
        <s v="622@icingenieros.es"/>
        <s v="623@gmail.com"/>
        <s v="624@inserty.net"/>
        <s v="625@hotmail.com"/>
        <s v="626@yahoo.es"/>
        <s v="627@gmail.com"/>
        <s v="628@inquo.es"/>
        <s v="629@gmail.com"/>
        <s v="630@melia.com"/>
        <s v="631@engie.com"/>
        <s v="632@gmail.com"/>
        <s v="633@outlook.com"/>
        <s v="634@easycharger.es"/>
        <s v="635@coneq.es"/>
        <s v="636@csisuministros.com"/>
        <s v="638@me.com"/>
        <s v="639@rolearmais.pt"/>
        <s v="641@bodai.es"/>
        <s v="642@ecoviv.eu"/>
        <s v="643@gmail.com"/>
        <s v="644@ebconsultores.com"/>
        <s v="645@confiplano.com"/>
        <s v="646@gmail.com"/>
        <s v="647@apis-ing.es"/>
        <s v="648@bcnovatecnics.com"/>
        <s v="649@yahoo.es"/>
        <s v="650@hotmail.com"/>
        <s v="651@coitim.es"/>
        <s v="652@miesasa.com"/>
        <s v="653@hotmail.com"/>
        <s v="654@staperpetua.cat"/>
        <s v="655@seproi.com"/>
        <s v="656@gmail.com"/>
        <s v="657@enaire.es"/>
        <s v="658@gmail.com"/>
        <s v="659@gleeds.es"/>
        <s v="660@unex.net"/>
        <s v="661@horus.es"/>
        <s v="662@3cid.es"/>
        <s v="663@hotmail.com"/>
        <s v="664@hotmail.es"/>
        <s v="665@gmail.com"/>
        <s v="666@ighmallorca.com"/>
        <s v="667@ces2010.es"/>
        <s v="668@dipucordoba.es"/>
        <s v="669@hotmail.com"/>
        <s v="670@nogawatio.es"/>
        <s v="671@csisuministros.com"/>
        <s v="672@gmail.com"/>
        <s v="673@gmail.com"/>
        <s v="674@coitt.es"/>
        <s v="675@aclingenieria.com"/>
        <s v="676@promec.es"/>
        <s v="677@gmail.com"/>
        <s v="678@nh-hotels.com"/>
        <s v="679@hotmail.com"/>
        <s v="680@chargeguru.com"/>
        <s v="681@electricidadbalaguer.es"/>
        <s v="682@gmail.com"/>
        <s v="683@hagergroup.com"/>
        <s v="684@gmail.com"/>
        <s v="685@climava.com"/>
        <s v="686@electro-h.es"/>
        <s v="687@outlook.es"/>
        <s v="688@legrandgroup.es"/>
        <s v="689@arbonapiza.com"/>
        <s v="690@dllgroup.com"/>
        <s v="691@cbre.com"/>
        <s v="692@gmail.com"/>
        <s v="693@yahoo.com.mx"/>
        <s v="694@gmail.com"/>
        <s v="695@gmail.com"/>
        <s v="696@rlinstalacioneselectricas.com"/>
        <s v="697@ingedomsl.com"/>
        <s v="698@gmail.com"/>
        <s v="699@unisystems.es"/>
        <s v="700@gmail.com"/>
        <s v="701@gmail.com"/>
        <s v="702@hotmail.com"/>
        <s v="703@gmail.com"/>
        <s v="704@gmail.com"/>
        <s v="705@gmail.com"/>
        <s v="706@juntaex.es"/>
        <s v="707@ufd.es"/>
        <s v="708@zaker.com"/>
        <s v="709@gmail.com"/>
        <s v="710@hotmail.com"/>
        <s v="711@hotmail.com"/>
        <s v="712@gjautomotive.com"/>
        <s v="713@gmail.com"/>
        <s v="714@hotmail.com"/>
        <s v="715@gmail.com"/>
        <s v="716@gmail.com"/>
        <s v="717@rtve.es"/>
        <s v="718@poweringcar.com"/>
        <s v="719@gmail.com"/>
        <s v="720@pgiengineering.com"/>
        <s v="721@gmail.com"/>
        <s v="722@gmail.com"/>
        <s v="723@gmail.com"/>
        <s v="724@gmail.com"/>
        <s v="725@gmail.com"/>
        <s v="726@gmail.com"/>
        <s v="727@membrives.es"/>
        <s v="728@calambre.net"/>
        <s v="729@gmail.com"/>
        <s v="730@hotmail.com"/>
        <s v="731@bonoboenergy.com"/>
        <s v="732@vcejudo.es"/>
        <s v="733@gmail.com"/>
        <s v="734@gmail.com"/>
        <s v="735@serveiskronier55.com"/>
        <s v="736@yahoo.com"/>
        <s v="737@lagingenieros.es"/>
        <s v="738@caatvalencia.es"/>
        <s v="739@isf-esp.com"/>
        <s v="740@cee.com.es"/>
        <s v="741@dieselsanchez.com"/>
        <s v="742@acoeman.com"/>
        <s v="743@bahiguell.com"/>
        <s v="744@gmail.com"/>
        <s v="745@geinstal.com"/>
        <s v="746@msn.com"/>
        <s v="747@tecnicas.es"/>
        <s v="748@gmail.com"/>
        <s v="749@gmail.com"/>
        <s v="750@germaniaweb.com"/>
        <s v="751@ecium.es"/>
        <s v="752@hotmail.com"/>
        <s v="753@arquinur.es"/>
        <s v="754@gmail.com"/>
        <s v="755@coitt.es"/>
        <s v="756@gsima.es"/>
        <s v="757@integra-sti.com"/>
        <s v="758@ingenieros.com"/>
        <s v="759@hotmail.com"/>
        <s v="760@hotmail.com"/>
        <s v="761@insfuert.es"/>
        <s v="762@hotmail.com"/>
        <s v="763@gmail.com"/>
        <s v="764@nova-electrica.com"/>
        <s v="765@gmail.com"/>
        <s v="766@hotmail.com"/>
        <s v="767@rexel.es"/>
        <s v="768@gmail.com"/>
        <s v="769@gmail.com"/>
        <s v="770@inmotiza.com"/>
        <s v="771@solutions30.com"/>
        <s v="772@faen.es"/>
        <s v="773@perequart.com"/>
        <s v="774@urgon.es"/>
        <s v="775@yahoo.es"/>
        <s v="776@entepi.com"/>
        <s v="777@onofflife.es"/>
        <s v="778@gmail.com"/>
        <s v="779@gmail.com"/>
        <s v="780@hotmail.com"/>
        <s v="781@gmail.com"/>
        <s v="782@gmail.com"/>
        <s v="783@diexfe.com"/>
        <s v="784@live.com"/>
        <s v="785@gabrielcorchero.org"/>
        <s v="786@grupoelectrostocks.com"/>
        <s v="787@electricidadoriagomez.com"/>
        <s v="788@casvicuatro.es"/>
        <s v="789@simsabdn.cat"/>
        <s v="790@yahoo.com.ar"/>
        <s v="791@hotmail.com"/>
        <s v="792@gva.es"/>
        <s v="793@gmail.com"/>
        <s v="794@somoselectricistas.com"/>
        <s v="795@lomosamovilidad.com"/>
        <s v="796@gmail.com"/>
        <s v="797@gmail.com"/>
        <s v="798@gmail.com"/>
        <s v="799@yahoo.es"/>
        <s v="800@taubertek.com"/>
        <s v="801@hotmail.es"/>
        <s v="802@hotmail.com"/>
        <s v="803@outlook.com"/>
        <s v="804@monrabal.net"/>
        <s v="805@gmail.com"/>
        <s v="806@gmail.com"/>
        <s v="807@gmail.com"/>
        <s v="808@ale.es"/>
        <s v="809@naturgy.com"/>
        <s v="810@arquired.es"/>
        <s v="811@proinsermant.com"/>
        <s v="812@invgrupo.com"/>
        <s v="813@kilovatiogalicia.com"/>
        <s v="814@interingenieria.com"/>
        <s v="815@uach.mx"/>
        <s v="816@energia.eiffage.es"/>
        <s v="817@gmail.com"/>
        <s v="818@galektra.es"/>
        <s v="819@hotmail.com"/>
        <s v="820@ebcn.cat"/>
        <s v="821@gmail.com"/>
        <s v="822@yahoo.fr"/>
        <s v="823@gmail.com"/>
        <s v="824@gmail.com"/>
        <s v="825@hotmail.com"/>
        <s v="826@gmail.com"/>
        <s v="827@coitiar.es"/>
        <s v="828@zf.com"/>
        <s v="829@gmail.com"/>
        <s v="830@gmail.com"/>
        <s v="831@gmail.com"/>
        <s v="832@suministradora.com"/>
        <s v="833@ofitecbp.com"/>
        <s v="834@gmail.com"/>
        <s v="835@gmail.com"/>
        <s v="837@gmail.com"/>
        <s v="838@sdin.es"/>
        <s v="839@fluidsa.com"/>
        <s v="840@gmail.com"/>
        <s v="841@gmail.com"/>
        <s v="842@fibramur.com"/>
        <s v="843@instalacionescueto.com"/>
        <s v="844@certis.cat"/>
        <s v="845@hotmail.com"/>
        <s v="846@hotmail.com"/>
        <s v="847@lodeal.es"/>
        <s v="848@sesaelec.com"/>
        <s v="849@gmail.com"/>
        <s v="850@gmail.com"/>
        <s v="851@arquitecto.com"/>
        <s v="852@grupviu.com"/>
        <s v="853@gmail.com"/>
        <s v="854@msn.com"/>
        <s v="855@msn.com"/>
        <s v="856@gmail.com"/>
        <s v="857@gmail.com"/>
        <s v="858@gmail.com"/>
        <s v="859@hotmail.com"/>
        <s v="860@gmail.com"/>
        <s v="861@outlook.com"/>
        <s v="862@fpcm.es"/>
        <s v="863@outlook.com"/>
        <s v="864@es.uazuay.edu.ec"/>
        <s v="865@asmoaingenieria.com"/>
        <s v="866@typsa.es"/>
        <s v="867@proyectosjamaras.es"/>
        <s v="868@gmail.com"/>
        <s v="869@yahoo.es"/>
        <s v="870@gmail.com"/>
        <s v="871@cefiner.com"/>
        <s v="872@gmail.com"/>
        <s v="873@eutikes.com"/>
        <s v="874@coac.net"/>
        <s v="875@orange.es"/>
        <s v="876@arquitectonica.cat"/>
        <s v="877@gmail.com"/>
        <s v="878@masteringenieria.com"/>
        <s v="879@sicoris.com"/>
        <s v="880@miquelnieto.com"/>
        <s v="881@hotmail.com"/>
        <s v="882@domotelelectric.com"/>
        <s v="883@hotmail.com"/>
        <s v="884@enersos.es"/>
        <s v="885@gmail.com"/>
        <s v="886@gmail.com"/>
        <s v="887@gmail.com"/>
        <s v="888@zivautomation.com"/>
        <s v="889@hotmail.com"/>
        <s v="890@hotmail.com"/>
        <s v="891@gmail.com"/>
        <s v="892@hotmail.com"/>
        <s v="893@krean.com"/>
        <s v="894@gmail.com"/>
        <s v="895@volumetric.eu"/>
        <s v="896@gmail.com"/>
        <s v="897@rtve.es"/>
        <s v="898@gmail.com"/>
        <s v="899@gmail.com"/>
        <s v="900@hirurok.eu"/>
        <s v="901@gmail.com"/>
        <s v="902@gmail.com"/>
        <s v="903@edirocsa.com"/>
        <s v="904@inboundcycle.com"/>
        <s v="905@yahoo.es"/>
        <s v="906@europrojectes.es"/>
        <s v="907@gmail.com"/>
        <s v="908@hotmail.com"/>
        <s v="909@gmail.com"/>
        <s v="910@sogesa.es"/>
        <s v="911@lusorede.pt"/>
        <s v="912@gmail.com"/>
        <s v="913@quorania.com"/>
        <s v="914@gmail.com"/>
        <s v="915@gmail.com"/>
        <s v="916@gcaarq.com"/>
        <s v="917@gmail.com"/>
        <s v="918@gmail.com"/>
        <s v="919@hotmail.com"/>
        <s v="920@meval.eu"/>
        <s v="921@gmail.com"/>
        <s v="922@ingenierosvigo.com"/>
        <s v="923@gmail.com"/>
        <s v="924@msn.com"/>
        <s v="925@eco-voltaica.com"/>
        <s v="926@electricidadyserviciosmontero.com"/>
        <s v="927@argionelectric.es"/>
        <s v="928@gmail.com"/>
        <s v="929@acciona.com"/>
        <s v="930@acciona.com"/>
        <s v="931@acciona.com"/>
        <s v="932@bellmasenginyers.cat"/>
        <s v="933@orsei.es"/>
        <s v="934@outlook.com"/>
        <s v="935@gmail.com"/>
        <s v="936@gmail.com"/>
        <s v="937@gmail.com"/>
        <s v="938@montegar.es"/>
        <s v="939@gmail.com"/>
        <s v="940@masojuando.com"/>
        <s v="941@gmail.com"/>
        <s v="942@r11arquitectos.com"/>
        <s v="943@gabyl.com"/>
        <s v="944@gmail.com"/>
        <s v="945@red.renault.es"/>
        <s v="946@gmail.com"/>
        <s v="947@clysema.com"/>
        <s v="948@gmail.com"/>
        <s v="949@cadielsa.com"/>
        <s v="950@grupocobra.com"/>
        <s v="951@tenerasa.es"/>
        <s v="953@mosancar.com"/>
        <s v="954@aiguesmanresa.cat"/>
        <s v="955@conras.es"/>
        <s v="956@mebaluz.es"/>
        <s v="957@germaniaweb.com"/>
        <s v="958@hotmail.es"/>
        <s v="959@mlopezarquitectos.com"/>
        <s v="960@aqelectric.es"/>
        <s v="961@gmail.com"/>
        <s v="962@electropla.cat"/>
        <s v="963@gmail.com"/>
        <s v="964@hotmail.com"/>
        <s v="965@gmail.com"/>
        <s v="966@miguelmoralesingenieros.com"/>
        <s v="967@lacsl.es"/>
        <s v="968@gmail.com"/>
        <s v="969@comercialsis.com"/>
        <s v="970@acelecsal.com"/>
        <s v="971@imagogestion.com"/>
        <s v="972@acelecsal.com"/>
        <s v="973@live.com"/>
        <s v="974@yahoo.es"/>
        <s v="975@yahoo.com"/>
        <s v="977@tarragona.cat"/>
        <s v="978@gmail.com"/>
        <s v="979@gmail.com"/>
        <s v="980@coiiar.org"/>
        <s v="981@gmail.com"/>
        <s v="982@gmail.com"/>
        <s v="983@elektracat.com"/>
        <s v="984@gmail.com"/>
        <s v="985@jesnar2011.es"/>
        <s v="986@hotmail.com"/>
        <s v="987@ginsa.cat"/>
        <s v="988@electromercantil.es"/>
        <s v="989@electricasllop.com"/>
        <s v="990@gmail.com"/>
        <s v="991@yahoo.es"/>
        <s v="992@yahoo.es"/>
        <s v="993@electricidadguerra.com"/>
        <s v="994@gruponovelec.com"/>
        <s v="995@telefonica.net"/>
        <s v="996@comb.cat"/>
        <s v="997@yahoo.es"/>
        <s v="998@damuvi.com"/>
        <s v="999@aeperez.es"/>
        <s v="1000@hotmail.com"/>
        <s v="1001@hotmail.com"/>
        <s v="1002@hotmail.com"/>
        <s v="1003@gmail.com"/>
        <s v="1004@telefonica.net"/>
        <s v="1005@allendearquitectos.com"/>
        <s v="1006@gmail.com"/>
        <s v="1007@yahoo.es"/>
        <s v="1008@olleo.es"/>
        <s v="1009@ccatlantico.com"/>
        <s v="1011@gmail.com"/>
        <s v="1012@formasymateriales.com"/>
        <s v="1013@hotmail.com"/>
        <s v="1014@gmail.com"/>
        <s v="1015@aziraelectricidad.com"/>
        <s v="1016@coitt.es"/>
        <s v="1017@tesnetwork.net"/>
        <s v="1018@esmassmart.com"/>
        <s v="1019@ingeralbaida.es"/>
        <s v="1020@deinrresa.es"/>
        <s v="1021@proturhotels.com"/>
        <s v="1022@uhu.es"/>
        <s v="1023@hotmail.com"/>
        <s v="1024@elecnor.com"/>
        <s v="1025@gmail.com"/>
        <s v="1026@aia.cat"/>
        <s v="1027@leanteam.es"/>
        <s v="1028@ingenierosvalladolid.es"/>
        <s v="1029@gmail.com"/>
        <s v="1030@inmaser-integral.es"/>
        <s v="1031@grupoitesa.com"/>
        <s v="1032@zioenginy.com"/>
        <s v="1033@gmail.com"/>
        <s v="1034@gmail.com"/>
        <s v="1035@gmail.com"/>
        <s v="1036@grupoelectrostocks.com"/>
        <s v="1037@gmail.com"/>
        <s v="1038@gmail.com"/>
        <s v="1039@yahoo.es"/>
        <s v="1040@gmail.com"/>
        <s v="1041@jordimoran.es"/>
        <s v="1042@alvae.es"/>
        <s v="1043@gmail.com"/>
        <s v="1044@hotmail.com"/>
        <s v="1045@coac.net"/>
        <s v="1046@gmail.com"/>
        <s v="1047@coag.es"/>
        <s v="1048@usc.es"/>
        <s v="1049@gmail.com"/>
        <s v="1050@hotmail.es"/>
        <s v="1051@gmail.com"/>
        <s v="1052@yahoo.es"/>
        <s v="1053@gmail.com"/>
        <s v="1054@isd-ingenieria.es"/>
        <s v="1055@gmail.com"/>
        <s v="1056@gmail.com"/>
        <s v="1057@gmsil.com"/>
        <s v="1058@gmail.com"/>
        <s v="1059@yahoo.es"/>
        <s v="1060@hotmail.com"/>
        <s v="1061@perezescribano.es"/>
        <s v="1062@hotmail.com"/>
        <s v="1063@gmail.com"/>
        <s v="1064@abxat.com"/>
        <s v="1065@movistar.es"/>
        <s v="1066@gmail.com"/>
        <s v="1067@gmail.com"/>
        <s v="1068@dominion.es"/>
        <s v="1069@agoitziru.es"/>
        <s v="1070@vamostelecom.es"/>
        <s v="1071@industrialgines.com"/>
        <s v="1072@gmail.com"/>
        <s v="1073@grupolasser.com"/>
        <s v="1074@hotmail.com"/>
        <s v="1075@gmail.com"/>
        <s v="1076@gmail.com"/>
        <s v="1077@hotmail.com"/>
        <s v="1078@gmail.com"/>
        <s v="1079@outlook.es"/>
        <s v="1080@levitec.es"/>
        <s v="1081@teideingenieros.com"/>
        <s v="1082@gmail.com"/>
        <s v="1083@hotmail.com"/>
        <s v="1084@gmail.com"/>
        <s v="1085@gmail.com"/>
        <s v="1086@gmail.com"/>
        <s v="1087@hotmail.com"/>
        <s v="1088@citemaing.com"/>
        <s v="1089@gmail.com"/>
        <s v="1090@hotmail.com"/>
        <s v="1092@cipfpcanastell.com"/>
        <s v="1093@edu.xunta.es"/>
        <s v="1094@hotmail.com"/>
        <s v="1095@gmail.com"/>
        <s v="1096@mpf-ingenieria.es"/>
        <s v="1097@santaeulalia.cat"/>
        <s v="1099@hotmail.com"/>
        <s v="1100@boffor.com"/>
        <s v="1101@hotmail.com"/>
        <s v="1102@gmail.com"/>
        <s v="1103@montajeselectricosfase.com"/>
        <s v="1104@gmail.com"/>
        <s v="1105@gmail.com"/>
        <s v="1106@gruponoria.com"/>
        <s v="1107@ryaingenieros.com"/>
        <s v="1108@enginyerstarragona.cat"/>
        <s v="1109@gmail.com"/>
        <s v="1110@gmail.com"/>
        <s v="1111@hotmail.com"/>
        <s v="1112@covama.es"/>
        <s v="1113@aurialux.com"/>
        <s v="1114@teclisa.com"/>
        <s v="1115@muntanerelectro.com"/>
        <s v="1116@suelba.com"/>
        <s v="1117@hotmail.com"/>
        <s v="1118@coitiar.es"/>
        <s v="1119@gmail.com"/>
        <s v="1120@sonepar.es"/>
        <s v="1121@gmail.com"/>
        <s v="1122@hotmail.es"/>
        <s v="1123@gmail.com"/>
        <s v="1124@energonrenovables.es"/>
        <s v="1125@rocaingenieros.com"/>
        <s v="1126@viveme.es"/>
        <s v="1127@telefonica.net"/>
        <s v="1128@fgingenieria.com"/>
        <s v="1129@eselfri.com"/>
        <s v="1130@kairsa.com"/>
        <s v="1131@gmail.com"/>
        <s v="1132@yahoo.es"/>
        <s v="1133@hotmail.com"/>
        <s v="1134@integratoledo.com"/>
        <s v="1135@gmail.com"/>
        <s v="1136@metalux.es"/>
        <s v="1137@eiasein.es"/>
        <s v="1138@arquired.es"/>
        <s v="1139@gmail.com"/>
        <s v="1140@fer.es"/>
        <s v="1141@coitim.es"/>
        <s v="1142@asmesl.es"/>
        <s v="1143@gmail.com"/>
        <s v="1144@idponline.net"/>
        <s v="1145@miretelectricidad.com"/>
        <s v="1146@hotmail.com"/>
        <s v="1147@magalux.es"/>
        <s v="1148@dipusevilla.es"/>
        <s v="1149@fillsdelluissureda.cat"/>
        <s v="1150@gmail.com"/>
        <s v="1151@telefonica.net"/>
        <s v="1152@lahidro.net"/>
        <s v="1153@hotmail.com"/>
        <s v="1154@gmail.com"/>
        <s v="1155@mapelsl.com"/>
        <s v="1156@berrilanbim.com"/>
        <s v="1157@himalayaclimatizacionycontrol.es"/>
        <s v="1158@hotmail.com"/>
        <s v="1159@birtes.com.tr"/>
        <s v="1160@copcisa.com"/>
        <s v="1161@sygsa.com"/>
        <s v="1162@gmail.com"/>
        <s v="1163@instalmasa.com"/>
        <s v="1164@projecat.com"/>
        <s v="1165@gmail.com"/>
        <s v="1166@hotmail.com"/>
        <s v="1167@tselsur.es"/>
        <s v="1168@renaultpineda.com"/>
        <s v="1169@gmail.com"/>
        <s v="1170@lahidro.net"/>
        <s v="1171@albaida.es"/>
        <s v="1172@sunkatel.com"/>
        <s v="1173@vifrisan.com"/>
        <s v="1174@alem.es"/>
        <s v="1175@gmail.com"/>
        <s v="1176@gmail.com"/>
        <s v="1177@imte.cat"/>
        <s v="1178@hotmail.com"/>
        <s v="1179@hotmail.com"/>
        <s v="1180@sonepar.es"/>
        <s v="1181@mapfre.com"/>
        <s v="1182@damm.es"/>
        <s v="1183@ddisl.com"/>
        <s v="1184@tecmotica.net"/>
        <s v="1185@lmretavi.es"/>
        <s v="1186@gmail.com"/>
        <s v="1187@gmail.com"/>
        <s v="1188@gmail.com"/>
        <s v="1189@gmail.com"/>
        <s v="1190@telecable.es"/>
        <s v="1191@tinet.fut.es"/>
        <s v="1192@toyota-canarias.es"/>
        <s v="1193@grupoelectrostocks.com"/>
        <s v="1194@hotmail.com"/>
        <s v="1195@gmail.com"/>
        <s v="1196@hotmail.com"/>
        <s v="1197@electricidadcelec.com"/>
        <s v="1198@hotmail.com"/>
        <s v="1199@qwerty.es"/>
        <s v="1200@gg.com"/>
        <s v="1201@yahoo.es"/>
        <s v="1202@gmail.com"/>
        <s v="1203@smarthaus.studio"/>
        <s v="1204@me.com"/>
        <s v="1205@telefonica.net"/>
        <s v="1206@gmail.com"/>
        <s v="1207@gmail.com"/>
        <s v="1208@gmail.com"/>
        <s v="1209@hotmail.es"/>
        <s v="1210@pepepower.es"/>
        <s v="1211@outlook.es"/>
        <s v="1212@hotmail.com"/>
        <s v="1213@hotmail.com"/>
        <s v="1214@gmail.com"/>
        <s v="1215@subis.cat"/>
        <s v="1216@gmail.com"/>
        <s v="1217@gmail.com"/>
        <s v="1218@gmail.com"/>
        <s v="1219@actluz.com"/>
        <s v="1220@sanitariosbosco.es"/>
        <s v="1221@gencat.cat"/>
        <s v="1222@hotmail.com"/>
        <s v="1223@proyecta79.com"/>
        <s v="1224@ipertec.es"/>
        <s v="1225@yahoo.es"/>
        <s v="1226@agiceringenieros.es"/>
        <s v="1227@telefonica.net"/>
        <s v="1228@entax.es"/>
        <s v="1229@yahoo.es"/>
        <s v="1230@gmail.com"/>
        <s v="1231@gmail.com"/>
        <s v="1232@planocaceres.com"/>
        <s v="1233@hotmail.com"/>
        <s v="1234@gmail.com"/>
        <s v="1235@gmail.com"/>
        <s v="1236@hotmail.com"/>
        <s v="1237@gmail.com"/>
        <s v="1238@gmail.com"/>
        <s v="1239@telefonica.net"/>
        <s v="1240@hotmail.com"/>
        <s v="1241@gmail.com"/>
        <s v="1242@hotmail.com"/>
        <s v="1243@educa.jcyl.es"/>
        <s v="1244@gmail.com"/>
        <s v="1245@hotmail.com"/>
        <s v="1246@ecoltan.org"/>
        <s v="1247@gmail.com"/>
        <s v="1248@gmail.com"/>
        <s v="1249@gmail.com"/>
        <s v="1250@telefonica.net"/>
        <s v="1251@gomurmya.com"/>
        <s v="1252@desarrollotecnico.com"/>
        <s v="1253@gmail.com"/>
        <s v="1254@gmail.com"/>
        <s v="1255@hotmail.com"/>
        <s v="1256@gmail.com"/>
        <s v="1257@carsbarcelona.es"/>
        <s v="1258@gmail.com"/>
        <s v="1259@radresa.com"/>
        <s v="1260@gdr.es"/>
        <s v="1261@e-copitile.es"/>
        <s v="1262@hotmail.com"/>
        <s v="1263@hotmail.com"/>
        <s v="1264@gmail.com"/>
        <s v="1265@hotmail.com"/>
        <s v="1266@gmail.com"/>
        <s v="1267@motor2000.net"/>
        <s v="1268@gamai.com"/>
        <s v="1269@kuartafase.com"/>
        <s v="1270@solcansl.com"/>
        <s v="1271@yahoo.es"/>
        <s v="1272@gmail.com"/>
        <s v="1273@telefonica.net"/>
        <s v="1274@gmail.com"/>
        <s v="1275@sonepar.es"/>
        <s v="1276@protomar.es"/>
        <s v="1277@sonepar.es"/>
        <s v="1278@gmail.com"/>
        <s v="1279@fccco.com"/>
        <s v="1280@coitiar.es"/>
        <s v="1281@albillos.com"/>
        <s v="1282@hotmail.com"/>
        <s v="1283@gmail.com"/>
        <s v="1284@gmail.com"/>
        <s v="1285@e3ingenieria.com"/>
        <s v="1286@instalacionespiru.es"/>
        <s v="1287@aytosalamanca.es"/>
        <s v="1288@serpel.es"/>
        <s v="1289@gmail.com"/>
        <s v="1290@tesma.es"/>
        <s v="1291@macegroup.com"/>
        <s v="1292@gmail.com"/>
        <s v="1293@gmail.com"/>
        <s v="1294@gmail.com"/>
        <s v="1295@hotmail.es"/>
        <s v="1296@gmail.com"/>
        <s v="1297@silmarinstalacions.com"/>
        <s v="1298@gmail.com"/>
        <s v="1299@sonepar.es"/>
        <s v="1300@movistar.es"/>
        <s v="1301@electricidadaldama.com"/>
        <s v="1302@alem.es"/>
        <s v="1303@hotmail.com"/>
        <s v="1304@ingenibo.com"/>
        <s v="1305@checa67.es"/>
        <s v="1306@instalacionesyobrasdelrio.com"/>
        <s v="1307@gmail.com"/>
        <s v="1308@tdgi.pt"/>
        <s v="1309@gmail.com"/>
        <s v="1310@hotmail.com"/>
        <s v="1311@gmail.com"/>
        <s v="1312@gmail.com"/>
        <s v="1313@adober.es"/>
        <s v="1314@jtelectricperu.com"/>
        <s v="1315@riello-tdl.com"/>
        <s v="1316@proyndust.es"/>
        <s v="1317@gmail.com"/>
        <s v="1318@inteleclamancha.com"/>
        <s v="1319@masfarne.info"/>
        <s v="1320@gmail.com"/>
        <s v="1321@gmail.com"/>
        <s v="1322@gmail.com"/>
        <s v="1323@gmail.com"/>
        <s v="1324@hotmail.com"/>
        <s v="1325@gmail.com"/>
        <s v="1326@saltoki.es"/>
        <s v="1327@tinet.org"/>
        <s v="1328@gmail.com"/>
        <s v="1329@gmail.com"/>
        <s v="1330@comb.cat"/>
        <s v="1331@gmail.com"/>
        <s v="1332@novarquia.es"/>
        <s v="1333@lantec.es"/>
        <s v="1334@hotmail.es"/>
        <s v="1335@santalucia.es"/>
        <s v="1336@yahoo.es"/>
        <s v="1337@grupoelectrostocks.com"/>
        <s v="1338@gmail.com"/>
        <s v="1339@electrogalmar.es"/>
        <s v="1340@silezgrup.com"/>
        <s v="1341@electricidadinstalvi.com"/>
        <s v="1342@ic3sl.com"/>
        <s v="1343@hotmail.com"/>
        <s v="1344@gmail.com"/>
        <s v="1345@telefonica.net"/>
        <s v="1346@boslan.com"/>
        <s v="1347@ormazabal.com"/>
        <s v="1348@gmail.com"/>
        <s v="1349@gmail.com"/>
        <s v="1350@gmail.com"/>
        <s v="1351@conselldemallorca.net"/>
        <s v="1352@autelec.net"/>
        <s v="1353@cairo.ad"/>
        <s v="1354@hotmail.com"/>
        <s v="1355@gmail.com"/>
        <s v="1356@hotmail.com"/>
        <s v="1357@gmail.com"/>
        <s v="1358@gmail.com"/>
        <s v="1359@grupotandal.com"/>
        <s v="1360@hotmail.com"/>
        <s v="1361@gmail.com"/>
        <s v="1362@gmail.com"/>
        <s v="1363@hotmail.com"/>
        <s v="1364@eirazola.com"/>
        <s v="1365@hotmail.com"/>
        <s v="1366@electroalco.es"/>
        <s v="1367@telecable.es"/>
        <s v="1368@baselec.es"/>
        <s v="1369@atribal.es"/>
        <s v="1370@hotmail.com"/>
        <s v="1371@gmail.com"/>
        <s v="1372@telefonica.net"/>
        <s v="1373@electrolucman.com"/>
        <s v="1374@autelec.net"/>
        <s v="1375@gmail.com"/>
        <s v="1376@telefonica.net"/>
        <s v="1377@hotmail.com"/>
        <s v="1378@electromat.com"/>
        <s v="1379@hotmail.com"/>
        <s v="1380@gmail.com"/>
        <s v="1381@msn.com"/>
        <s v="1382@gmail.com"/>
        <s v="1383@grupoazmont.com"/>
        <s v="1384@eringenieria.com"/>
        <s v="1385@telefonica.net"/>
        <s v="1386@grupoevc.es"/>
        <s v="1387@yahoo.com.mx"/>
        <s v="1388@covama.es"/>
        <s v="1389@hotmail.com"/>
        <s v="1390@gmail.com"/>
        <s v="1391@grupojab.es"/>
        <s v="1392@msn.com"/>
        <s v="1393@electricidadguerra.com"/>
        <s v="1394@gmail.com"/>
        <s v="1395@cenorma.com"/>
        <s v="1396@telefonica.net"/>
        <s v="1397@olibayas.net"/>
        <s v="1398@teclisa.com"/>
        <s v="1399@gmail.com"/>
        <s v="1400@apeh.org"/>
        <s v="1401@auditenergia.com"/>
        <s v="1402@gmail.com"/>
        <s v="1403@grupoelectrostocks.com"/>
        <s v="1404@eurocabos.es"/>
        <s v="1405@arreglosoluciones.com"/>
        <s v="1406@gmail.com"/>
        <s v="1407@gmail.com"/>
        <s v="1408@cepsa.com"/>
        <s v="1410@elecnor.es"/>
        <s v="1411@ujaen.es"/>
        <s v="1412@electryser.com"/>
        <s v="1413@gmail.com"/>
        <s v="1414@gmail.com"/>
        <s v="1415@coytesa.com"/>
        <s v="1416@edifesa.com"/>
        <s v="1417@gmail.com"/>
        <s v="1418@gmail.com"/>
        <s v="1419@gmail.com"/>
        <s v="1420@globalelectrica.com"/>
        <s v="1421@itesasl.com"/>
        <s v="1422@gmail.com"/>
        <s v="1423@telefonica.net"/>
        <s v="1424@gmail.com"/>
        <s v="1425@elezvi.com"/>
        <s v="1426@gmail.com"/>
        <s v="1427@hotmail.es"/>
        <s v="1428@gadeaingenieros.com"/>
        <s v="1429@yahoo.es"/>
        <s v="1430@outlook.es"/>
        <s v="1431@jgingenieros.es"/>
        <s v="1432@gmail.com"/>
        <s v="1433@apeme.es"/>
        <s v="1434@planamar.com"/>
        <s v="1435@serindex.es"/>
        <s v="1436@deerns.com"/>
        <s v="1437@indal-tec.com"/>
        <s v="1438@hotmail.com"/>
        <s v="1439@amingenieros.com"/>
        <s v="1440@hotmail.com"/>
        <s v="1441@gmail.com"/>
        <s v="1442@sonepar.es"/>
        <s v="1443@hotmail.com"/>
        <s v="1444@gmail.com"/>
        <s v="1445@gmail.com"/>
        <s v="1446@gmail.com"/>
        <s v="1447@galektra.es"/>
        <s v="1448@renowattandorra.com"/>
        <s v="1449@aseisa.es"/>
        <s v="1450@hotmail.com"/>
        <s v="1451@electrocuebar.com"/>
        <s v="1452@ricarsat.com"/>
        <s v="1453@ingenierosdecadiz.es"/>
        <s v="1454@yahoo.es"/>
        <s v="1455@gmail.com"/>
        <s v="1456@telefonica.net"/>
        <s v="1457@covama.es"/>
        <s v="1458@gmail.com"/>
        <s v="1459@mican.es"/>
        <s v="1460@gmail.com"/>
        <s v="1461@gmail.com"/>
        <s v="1462@cadlan.com"/>
        <s v="1463@sicarsl.es"/>
        <s v="1464@gmail.com"/>
        <s v="1465@guielec.es"/>
        <s v="1466@telegrado.es"/>
        <s v="1467@agave-broadcast.es"/>
        <s v="1468@gmail.com"/>
        <s v="1469@hotmail.com"/>
        <s v="1470@gmail.com"/>
        <s v="1471@tcasertec.com"/>
        <s v="1472@yahoo.es"/>
        <s v="1473@hotmail.com"/>
        <s v="1474@urgon.es"/>
        <s v="1475@electricidadreset.es"/>
        <s v="1476@sonepar.es"/>
        <s v="1477@sonepar.es"/>
        <s v="1478@gmail.com"/>
        <s v="1479@iespunyes.com"/>
        <s v="1480@coiim.es"/>
        <s v="1481@iesmercurio.es"/>
        <s v="1482@gmail.com"/>
        <s v="1483@gruponovelec.com"/>
        <s v="1484@r3recymed.com"/>
        <s v="1486@gmail.com"/>
        <s v="1487@gmail.com"/>
        <s v="1488@telefonica.net"/>
        <s v="1489@gmail.com"/>
        <s v="1490@hotmail.com"/>
        <s v="1491@donbany.com"/>
        <s v="1492@aurialux.com"/>
        <s v="1493@hotmail.com"/>
        <s v="1494@gmail.com"/>
        <s v="1495@grupcluster.com"/>
        <s v="1496@coitt.es"/>
        <s v="1497@covama.es"/>
        <s v="1498@gmail.com"/>
        <s v="1499@sonepar.es"/>
        <s v="1500@covama.es"/>
        <s v="1501@clientes.euskaltel.es"/>
        <s v="1502@educastur.org"/>
        <s v="1504@gmail.com"/>
        <s v="1505@gmail.com"/>
        <s v="1506@dhorma.com"/>
        <s v="1507@hotmail.com"/>
        <s v="1508@gmail.com"/>
        <s v="1509@xonxa.com"/>
        <s v="1510@adelanteenergia.es"/>
        <s v="1511@hotmail.com"/>
        <s v="1512@elecox.es"/>
        <s v="1514@hotmail.com"/>
        <s v="1515@expertline.es"/>
        <s v="1516@gmail.com"/>
        <s v="1517@hotmail.com"/>
        <s v="1518@gmail.com"/>
        <s v="1519@tadelec.com"/>
        <s v="1520@cebrinsa.es"/>
        <s v="1521@hotmail.com"/>
        <s v="1522@agad.cat"/>
        <s v="1523@ofitep.com"/>
        <s v="1524@suministrosserpis.es"/>
        <s v="1525@abcgrup.com"/>
        <s v="1526@gmail.com"/>
        <s v="1527@prodelec.es"/>
        <s v="1528@sitiaingenieria.com"/>
        <s v="1530@aller.es"/>
        <s v="1531@telefonica.net"/>
        <s v="1532@telefonica.net"/>
        <s v="1533@gmail.com"/>
        <s v="1534@gmail.com"/>
        <s v="1535@hotmail.com"/>
        <s v="1536@estudiosyproyectos.com"/>
        <s v="1537@prysmiangroup.com"/>
        <s v="1538@auditenergia.com"/>
        <s v="1539@hotmail.com"/>
        <s v="1540@heliopol.es"/>
        <s v="1541@acp-level.es"/>
        <s v="1542@meomsl.com"/>
        <s v="1543@cotpa.com"/>
        <s v="1544@hotmail.com"/>
        <s v="1545@hotmail.com"/>
        <s v="1546@gmail.com"/>
        <s v="1547@gmail.com"/>
        <s v="1548@gva.es"/>
        <s v="1549@urgon.es"/>
        <s v="1550@die.upv.es"/>
        <s v="1551@avatry.es"/>
        <s v="1552@yahoo.es"/>
        <s v="1553@arfecons.es"/>
        <s v="1555@marinstal.com"/>
        <s v="1556@electricidadguerra.com"/>
        <s v="1557@gmail.com"/>
        <s v="1558@gmail.com"/>
        <s v="1559@strong.es"/>
        <s v="1560@copitival.es"/>
        <s v="1561@elecvic.com"/>
        <s v="1562@gmail.com"/>
        <s v="1563@emtvalencia.es"/>
        <s v="1564@dimelsa.es"/>
        <s v="1566@elecparamos.com"/>
        <s v="1567@egarriga.com"/>
        <s v="1568@gmail.com"/>
        <s v="1569@ecag.es"/>
        <s v="1570@yahoo.es"/>
        <s v="1571@electrolid.es"/>
        <s v="1572@flotatsyasociados.com"/>
        <s v="1573@hotmail.com"/>
        <s v="1574@gmail.com"/>
        <s v="1575@gmail.com"/>
        <s v="1576@conrad.cat"/>
        <s v="1577@cimelsa.com"/>
        <s v="1578@covama.es"/>
        <s v="1579@inblau.es"/>
        <s v="1580@grupotesein.com"/>
        <s v="1581@arpeestudio.com"/>
        <s v="1582@edu.xunta.es"/>
        <s v="1583@hotmail.com"/>
        <s v="1584@gmail.com"/>
        <s v="1585@vialuz.es"/>
        <s v="1586@genserma.es"/>
        <s v="1587@naturgy.com"/>
        <s v="1588@jgingenieros.es"/>
        <s v="1589@gmail.com"/>
        <s v="1590@efik.cat"/>
        <s v="1591@gmail.com"/>
        <s v="1592@mesenergia.cat"/>
        <s v="1593@gmail.com"/>
        <s v="1594@jgingenieros.es"/>
        <s v="1595@gmail.com"/>
        <s v="1596@gruponovelec.com"/>
        <s v="1597@gmail.com"/>
        <s v="1598@coac.net"/>
        <s v="1599@conmasa.cat"/>
        <s v="1600@coelca.com"/>
        <s v="1601@yahoo.es"/>
        <s v="1602@gmail.com"/>
        <s v="1603@gmail.com"/>
        <s v="1604@geinstal.com"/>
        <s v="1605@recargamostucoche.com"/>
        <s v="1606@cesvimap.com"/>
        <s v="1607@talesingenieria.es"/>
        <s v="1608@grupolasser.com"/>
        <s v="1609@gmail.com"/>
        <s v="1610@gmail.com"/>
        <s v="1611@lasallesagradocorazon.es"/>
        <s v="1612@gmail.com"/>
        <s v="1613@muntanerelectro.com"/>
        <s v="1614@electronalon.es"/>
        <s v="1615@hotmail.es"/>
        <s v="1616@wct.es"/>
        <s v="1617@e-noses.com"/>
        <s v="1618@hotmail.com"/>
        <s v="1620@ciudaddelosmuchachos.com"/>
        <s v="1621@salicru.com"/>
        <s v="1622@electropla.cat"/>
        <s v="1623@gmail.com"/>
        <s v="1624@sistema1.es"/>
        <s v="1625@hotmail.com"/>
        <s v="1626@adaliaradio.com"/>
        <s v="1627@elec-matic.com"/>
        <s v="1628@solbesingenieros.com"/>
        <s v="1629@coac.net"/>
        <s v="1630@sertec.es"/>
        <s v="1631@sri.es"/>
        <s v="1632@iremael.com"/>
        <s v="1633@coam.es"/>
        <s v="1634@gmail.com"/>
        <s v="1635@arevoltapc.com"/>
        <s v="1636@yahoo.es"/>
        <s v="1637@gmail.com"/>
        <s v="1638@teclisa.com"/>
        <s v="1639@senae.es"/>
        <s v="1640@infonegocio.com"/>
        <s v="1641@gmail.com"/>
        <s v="1642@aytoguadalajara.es"/>
        <s v="1643@splitmania.net"/>
        <s v="1644@tevigrup.com"/>
        <s v="1645@gomezmoreno.com"/>
        <s v="1646@geserelectric.es"/>
        <s v="1647@telefonica.net"/>
        <s v="1648@gmail.com"/>
        <s v="1649@vamostelecom.es"/>
        <s v="1650@hotmail.com"/>
        <s v="1651@gmail.com"/>
        <s v="1652@skyclimber.es"/>
        <s v="1653@sonepar.es"/>
        <s v="1654@movinetenergia.com"/>
        <s v="1655@sonepar.es"/>
        <s v="1656@gmx.es"/>
        <s v="1657@pontosolar.com"/>
        <s v="1658@gmail.com"/>
        <s v="1659@orpoint.com"/>
        <s v="1660@relsa.es"/>
        <s v="1661@turelectric.com"/>
        <s v="1662@neinorhomes.com"/>
        <s v="1663@hotmail.com"/>
        <s v="1664@jgingenieros.es"/>
        <s v="1665@gmail.com"/>
        <s v="1666@coto.pro"/>
        <s v="1667@hotmail.com"/>
        <s v="1668@negratin.com"/>
        <s v="1669@gmail.com"/>
        <s v="1670@electricidadisla.com"/>
        <s v="1671@epc-industrial.com"/>
        <s v="1672@internoringenieros.es"/>
        <s v="1673@gailmafra.com"/>
        <s v="1674@gmail.com"/>
        <s v="1675@exinor.com"/>
        <s v="1676@unex.net"/>
        <s v="1679@levantinadecuadros.com"/>
        <s v="1680@trelec.es"/>
        <s v="1681@gmail.com"/>
        <s v="1682@hotmail.es"/>
        <s v="1683@eleccom.es"/>
        <s v="1684@climalec.com"/>
        <s v="1685@zuaznabar.com"/>
        <s v="1686@yahoo.com"/>
        <s v="1687@gestilar.com"/>
        <s v="1688@muringenieros.es"/>
        <s v="1689@jlgingenieria.com"/>
        <s v="1690@gruponovelec.com"/>
        <s v="1691@hotmail.com"/>
        <s v="1692@tecasol.net"/>
        <s v="1693@gmx.es"/>
        <s v="1694@gmail.com"/>
        <s v="1695@gruponortica.com"/>
        <s v="1696@gmail.com"/>
        <s v="1697@yahoo.es"/>
        <s v="1698@jgi.es"/>
        <s v="1699@panchofernandez.com"/>
        <s v="1700@padrao.com.pt"/>
        <s v="1701@insmarbella.com"/>
        <s v="1702@gestion-energetica.eu"/>
        <s v="1703@laelectrica.com"/>
        <s v="1704@hotmail.com"/>
        <s v="1705@sanehogar.com"/>
        <s v="1706@otp.cat"/>
        <s v="1707@lledosa.es"/>
        <s v="1708@gmail.com"/>
        <s v="1709@serium.es"/>
        <s v="1710@gmail.com"/>
        <s v="1712@gmail.com"/>
        <s v="1713@gmail.com"/>
        <s v="1714@cirima.es"/>
        <s v="1715@upv.es"/>
        <s v="1716@fuengiroluz.es"/>
        <s v="1717@soelvi.es"/>
        <s v="1718@yupcharge.com"/>
        <s v="1720@yahoo.es"/>
        <s v="1721@mafonsa.cat"/>
        <s v="1722@folgarona.com"/>
        <s v="1723@gmail.com"/>
        <s v="1724@arbonapiza.com"/>
        <s v="1725@coelbe.com"/>
        <s v="1726@quadrifoli.com"/>
        <s v="1727@grupojab.es"/>
        <s v="1728@gmail.com"/>
        <s v="1729@gmail.com"/>
        <s v="1730@armeriaeskola.eus"/>
        <s v="1731@inserty.net"/>
        <s v="1732@gmail.com"/>
        <s v="1733@ecm-partners.com"/>
        <s v="1734@ofintex.com"/>
        <s v="1735@gruponovelec.com"/>
        <s v="1736@electrovizcaya.com"/>
        <s v="1737@salesianos.edu"/>
        <s v="1738@msn.com"/>
        <s v="1739@jh-internacional.com"/>
        <s v="1740@doica.net"/>
        <s v="1741@grupoelectrostocks.com"/>
        <s v="1742@industrialgines.com"/>
        <s v="1743@ceymo.es"/>
        <s v="1744@gmail.com"/>
        <s v="1745@bod.es"/>
        <s v="1746@hotmail.es"/>
        <s v="1747@araiz.es"/>
        <s v="1748@salesianosatocha.es"/>
        <s v="1750@itecnal.com"/>
        <s v="1751@altener.es"/>
        <s v="1752@intec3.es"/>
        <s v="1753@arcadis.com"/>
        <s v="1754@gabyl.com"/>
        <s v="1755@pgiengineering.com"/>
        <s v="1756@gmail.com"/>
        <s v="1757@indair-genercasadevall.cat"/>
        <s v="1758@gmail.com"/>
        <s v="1759@galektra.es"/>
        <s v="1760@xtec.cat"/>
        <s v="1761@spiritingenieria.es"/>
        <s v="1762@adqa.com"/>
        <s v="1763@coacordoba.net"/>
        <s v="1764@gmail.com"/>
        <s v="1765@instalplus.es"/>
        <s v="1766@gmail.com"/>
        <s v="1767@gmail.com"/>
        <s v="1768@telefonica.net"/>
        <s v="1769@gmail.com"/>
        <s v="1770@hotmail.es"/>
        <s v="1771@gmail.com"/>
        <s v="1772@cosmoseguridad.com"/>
        <s v="1774@soloviov.es"/>
        <s v="1775@gmail.com"/>
        <s v="1776@incat.cat"/>
        <s v="1778@gmail.com"/>
        <s v="1779@barreu.com"/>
        <s v="1780@metromadrid.es"/>
        <s v="1781@autoradiomontijo.es"/>
        <s v="1783@telefonica.net"/>
        <s v="1784@coytesa.com"/>
        <s v="1785@arintec.com"/>
        <s v="1787@roigconstruccions.com"/>
        <s v="1788@hotmail.com"/>
        <s v="1789@electromat.com"/>
        <s v="1790@electricarius.com"/>
        <s v="1791@gmail.com"/>
        <s v="1792@incober.es"/>
        <s v="1793@gmail.com"/>
        <s v="1794@enchufing.com"/>
        <s v="1795@gmail.com"/>
        <s v="1796@sorigue.com"/>
        <s v="1797@icaingenieros.com"/>
        <s v="1798@eleccom.es"/>
        <s v="1799@wurth.es"/>
        <s v="1800@hotmail.com"/>
        <s v="1801@gmail.com"/>
        <s v="1802@hotmail.es"/>
        <s v="1803@ymcelectrica.com"/>
        <s v="1804@meguerra.com"/>
        <s v="1805@gmail.com"/>
        <s v="1806@aymesa.com"/>
        <s v="1807@saltoki.es"/>
        <s v="1808@gmail.com"/>
        <s v="1809@prodelec.es"/>
        <s v="1810@ebegroup.net"/>
        <s v="1811@ansiel.eu"/>
        <s v="1812@ext.mpsa.com"/>
        <s v="1813@gmail.com"/>
        <s v="1814@grupoetra.com"/>
        <s v="1815@grupojab.es"/>
        <s v="1816@petesan.es"/>
        <s v="1817@eurocabos.es"/>
        <s v="1818@electricidadpolop.es"/>
        <s v="1820@marveco.com"/>
        <s v="1821@construciainstalaciones.com"/>
        <s v="1822@diexfe.com"/>
        <s v="1823@saltoki.es"/>
        <s v="1824@selpri.pt"/>
        <s v="1825@digamel.com"/>
        <s v="1826@gestionservicios.com"/>
        <s v="1827@gmail.com"/>
        <s v="1828@econergia.es"/>
        <s v="1829@1aingenieros.com"/>
        <s v="1830@gmail.com"/>
        <s v="1831@monlau.com"/>
        <s v="1832@mhindustrias.com"/>
        <s v="1833@coitir.com"/>
        <s v="1834@valls.cat"/>
        <s v="1835@gmail.com"/>
        <s v="1836@biper.es"/>
        <s v="1837@cersanz.es"/>
        <s v="1838@gruponovelec.com"/>
        <s v="1839@gmail.com"/>
        <s v="1840@ingenierosvigo.com"/>
        <s v="1841@infova.es"/>
        <s v="1843@jovitel.com"/>
        <s v="1844@grupoelectrostocks.com"/>
        <s v="1845@hotmail.com"/>
        <s v="1846@gmail.com"/>
        <s v="1847@viegasefilhos.pt"/>
        <s v="1848@gmail.com"/>
        <s v="1849@minsait.com"/>
        <s v="1850@yahoo.com"/>
        <s v="1851@gmail.com"/>
        <s v="1852@gmail.com"/>
        <s v="1853@hotmail.com"/>
        <s v="1854@hotmail.com"/>
        <s v="1855@inboundcycle.com"/>
        <s v="1856@hotmail.com"/>
        <s v="1857@mantise.com"/>
        <s v="1858@yahoo.es"/>
        <s v="1859@gmail.com"/>
        <s v="1860@gmail.com"/>
        <s v="1861@gmail.com"/>
        <s v="1862@gmail.com"/>
        <s v="1863@hotmail.com"/>
        <s v="1864@gmail.com"/>
        <s v="1865@gmail.com"/>
        <s v="1866@inrobadajoz.com"/>
        <s v="1867@cbringenieria.es"/>
        <s v="1868@hotmail.com"/>
        <s v="1869@gmail.com"/>
        <s v="1870@marlexingenieria.com"/>
        <s v="1871@abc.gob.ar"/>
        <s v="1872@gmail.com"/>
        <s v="1873@rodosa.com"/>
        <s v="1874@gesel.ie.ufrj.br"/>
        <s v="1875@gmail.com"/>
        <s v="1876@gmail.com"/>
        <s v="1877@gmail.com"/>
        <s v="1878@gmail.com"/>
        <s v="1879@jafenginyeria.cat"/>
        <s v="1880@dipta.cat"/>
        <s v="1882@gmail.com"/>
        <s v="1883@adingenieros.es"/>
        <s v="1884@zuecoingenieria.com"/>
        <s v="1885@groupg4.com"/>
        <s v="1886@outlook.com"/>
        <s v="1887@gmail.com"/>
        <s v="1888@instalacionsgarmi.com"/>
        <s v="1889@cetim.cat"/>
        <s v="1890@setenergia.com"/>
        <s v="1891@ciudaddelosmuchachos.com"/>
        <s v="1892@soltecingenieros.com"/>
        <s v="1893@byguk.com"/>
        <s v="1894@arasolutions.es"/>
        <s v="1895@grupoarquitelia.com"/>
        <s v="1896@gmail.com"/>
        <s v="1897@hotmail.es"/>
        <s v="1898@navantia.es"/>
        <s v="1899@gmail.com"/>
        <s v="1900@hotmail.com"/>
        <s v="1901@gmail.com"/>
        <s v="1902@hotmail.com"/>
        <s v="1903@yahoo.es"/>
        <s v="1904@gmail.com"/>
        <s v="1905@gmail.com"/>
        <s v="1906@gmail.com"/>
        <s v="1907@yahoo.es"/>
        <s v="1908@enel.com"/>
        <s v="1909@gmail.com"/>
        <s v="1910@antelecat.com"/>
        <s v="1911@gmail.com"/>
        <s v="1912@gmail.com"/>
        <s v="1913@gmail.com"/>
        <s v="1915@zmingenieros.com"/>
        <s v="1916@gmail.com"/>
        <s v="1917@gmail.com"/>
        <s v="1918@sgx.cat"/>
        <s v="1920@gmail.com"/>
        <s v="1921@msn.com"/>
        <s v="1923@agosa.es"/>
        <s v="1924@merlosl.es"/>
        <s v="1925@elecnor.com"/>
        <s v="1926@elecam.com"/>
        <s v="1927@anbatel.com"/>
        <s v="1928@gmail.com"/>
        <s v="1929@hotmail.com"/>
        <s v="1930@gmail.com"/>
        <s v="1931@gmail.com"/>
        <s v="1932@cotelsa.com"/>
        <s v="1933@lujama.com"/>
        <s v="1934@ferrovial.com"/>
        <s v="1935@telefonica.net"/>
        <s v="1936@e2enginyeria.com"/>
        <s v="1937@gmail.com"/>
        <s v="1938@gmail.com"/>
        <s v="1940@electromercantil.es"/>
        <s v="1941@hotmail.com"/>
        <s v="1942@ciudaddelosmuchachos.com"/>
        <s v="1943@gmail.com"/>
        <s v="1944@didacticaformacion.es"/>
        <s v="1945@ip21ingenieria.com"/>
        <s v="1946@gmail.com"/>
        <s v="1947@gmail.com"/>
        <s v="1948@culmar.net"/>
        <s v="1949@suno.cat"/>
        <s v="1950@yahoo.es"/>
        <s v="1951@engimatica.com"/>
        <s v="1952@tinet.cat"/>
        <s v="1953@proyteczaragoza.com"/>
        <s v="1954@dicsl.com"/>
        <s v="1955@salesianos.edu"/>
        <s v="1956@gmail.com"/>
        <s v="1957@msn.com"/>
        <s v="1958@iebsl.com"/>
        <s v="1959@gmail.com"/>
        <s v="1960@ic3sl.com"/>
        <s v="1961@hotmail.com"/>
        <s v="1962@lliro.com"/>
        <s v="1963@atisistemas.com"/>
        <s v="1964@hotmail.com"/>
        <s v="1965@tienda-gasnatural.com"/>
        <s v="1966@gmail.com"/>
        <s v="1967@ferrovial.com"/>
        <s v="1968@gmail.com"/>
        <s v="1969@fundacionmasaveu.com"/>
        <s v="1970@electrificacionesparra.es"/>
        <s v="1971@tienda-gasnatural.com"/>
        <s v="1972@projecal.com"/>
        <s v="1973@ingekor.com"/>
        <s v="1974@proluxingenieros.com"/>
        <s v="1975@outlook.es"/>
        <s v="1976@electronavia.com"/>
        <s v="1977@gmail.com"/>
        <s v="1978@hotmail.com"/>
        <s v="1979@matcas.es"/>
        <s v="1980@hotmail.com"/>
        <s v="1981@gmail.com"/>
        <s v="1982@hotmail.com"/>
        <s v="1983@suno.cat"/>
        <s v="1984@hotmail.com"/>
        <s v="1985@tinet.org"/>
        <s v="1986@martipala.com"/>
        <s v="1988@lusorede.pt"/>
        <s v="1989@elecdomo.com"/>
        <s v="1990@gmail.com"/>
        <s v="1991@gmail.com"/>
        <s v="1992@proecoingenieria.com"/>
        <s v="1994@gmail.com"/>
        <s v="1995@gmail.com"/>
        <s v="1996@gmail.com"/>
        <s v="1997@comi-sl.com"/>
        <s v="1998@gmail.com"/>
        <s v="1999@obrelsa.com"/>
        <s v="2000@hotmail.com"/>
        <s v="2001@alainsa.com"/>
        <s v="2002@camarasaragon.com"/>
        <s v="2003@alainsa.com"/>
        <s v="2004@mcamps.es"/>
        <s v="2005@hotmail.com"/>
        <s v="2006@masteringenieria.com"/>
        <s v="2008@yahoo.es"/>
        <s v="2009@gmail.com"/>
        <s v="2010@incasl.com"/>
        <s v="2011@gmail.com"/>
        <s v="2012@gmail.com"/>
        <s v="2013@ecopimeprojects.com"/>
        <s v="2014@gmail.com"/>
        <s v="2015@hotmail.com"/>
        <s v="2017@sogesa.es"/>
        <s v="2018@mantise.com"/>
        <s v="2019@didacticaformacion.es"/>
        <s v="2020@forestaldelatlantico.com"/>
        <s v="2021@osnova.net"/>
        <s v="2022@solarinspain.com"/>
        <s v="2023@gmail.com"/>
        <s v="2024@grupooca.com"/>
        <s v="2025@gmail.com"/>
        <s v="2026@telefonica.net"/>
        <s v="2027@hotmail.com"/>
        <s v="2028@grupooca.com"/>
        <s v="2029@sonepar.es"/>
        <s v="2030@gmail.com"/>
        <s v="2031@electrofiloeste.es"/>
        <s v="2032@masalo.biz"/>
        <s v="2033@elmoelectric.com"/>
        <s v="2034@tienda-gasnatural.com"/>
        <s v="2035@yahoo.es"/>
        <s v="2036@sece.com"/>
        <s v="2037@agefred.es"/>
        <s v="2038@legomar.com"/>
        <s v="2039@antrelec.net"/>
        <s v="2040@grupsoler.com"/>
        <s v="2041@electromercantil.es"/>
        <s v="2042@gmail.com"/>
        <s v="2043@gmail.com"/>
        <s v="2044@orvi-s.es"/>
        <s v="2045@gmail.com"/>
        <s v="2046@gmail.com"/>
        <s v="2047@gmail.com"/>
        <s v="2048@visioelectric.es"/>
        <s v="2049@telefonica.net"/>
        <s v="2050@melecmor.com"/>
        <s v="2051@gmail.com"/>
        <s v="2053@sades.es"/>
        <s v="2055@gmail.com"/>
        <s v="2056@hotmail.com"/>
        <s v="2057@gmail.com"/>
        <s v="2058@sonepar.es"/>
        <s v="2059@gmail.com"/>
        <s v="2060@gmail.com"/>
        <s v="2061@hotmail.es"/>
        <s v="2062@euskalnet.net"/>
        <s v="2063@gmail.com"/>
        <s v="2064@hotmail.com"/>
        <s v="2065@gmail.com"/>
        <s v="2066@gmail.com"/>
        <s v="2067@gmail.com"/>
        <s v="2068@gencat.cat"/>
        <s v="2069@gmail.com"/>
        <s v="2070@hotmail.com"/>
        <s v="2071@gmail.com"/>
        <s v="2072@gmail.com"/>
        <s v="2073@gmail.com"/>
        <s v="2074@hotmail.com"/>
        <s v="2075@gmail.com"/>
        <s v="2076@gmail.com"/>
        <s v="2077@gmail.com"/>
        <s v="2078@gmail.com"/>
        <s v="2079@gmail.com"/>
        <s v="2080@grupoelectrostocks.com"/>
        <s v="2081@cymel.com"/>
        <s v="2082@hotmail.com"/>
        <s v="2083@gmail.com"/>
        <s v="2084@hcparquitectos.com"/>
        <s v="2085@gmail.com"/>
        <s v="2086@farelle.com"/>
        <s v="2087@hotmail.com"/>
        <s v="2088@gmail.com"/>
        <s v="2089@hotmail.com"/>
        <s v="2090@estabanell.cat"/>
        <s v="2091@gmail.com"/>
        <s v="2092@outlook.com"/>
        <s v="2093@gmail.com"/>
        <s v="2094@gmail.com"/>
        <s v="2095@hotmail.com"/>
        <s v="2096@formasymateriales.com"/>
        <s v="2097@hotmail.com"/>
        <s v="2099@grupoelectrostocks.com"/>
        <s v="2101@gmail.com"/>
        <s v="2102@gmail.com"/>
        <s v="2103@hotmail.com"/>
        <s v="2104@temarelectronica.es"/>
        <s v="2105@nauta.cu"/>
        <s v="2106@gmail.com"/>
        <s v="2107@danmur.es"/>
        <s v="2108@emvisesa.org"/>
        <s v="2109@huelvanorte.es"/>
        <s v="2110@ingeconsulting.com"/>
        <s v="2111@iraiaingenieros.com"/>
        <s v="2112@gmail.com"/>
        <s v="2113@gmail.com"/>
        <s v="2114@tecnoclimainstalaciones.com"/>
        <s v="2115@outlook.es"/>
        <s v="2116@gmail.com"/>
        <s v="2117@gmail.com"/>
        <s v="2118@hotmail.com"/>
        <s v="2119@gmail.com"/>
        <s v="2120@gmail.com"/>
        <s v="2121@gmail.com"/>
        <s v="2122@somains.com"/>
        <s v="2123@gmail.com"/>
        <s v="2124@gmail.com"/>
        <s v="2125@ctac.es"/>
        <s v="2126@gmail.com"/>
        <s v="2127@hotmail.com"/>
        <s v="2128@gmail.com"/>
        <s v="2129@gmail.com"/>
        <s v="2130@hotmail.com"/>
        <s v="2131@gmail.com"/>
        <s v="2132@hotmail.com"/>
        <s v="2133@gmail.com"/>
        <s v="2134@gmx.es"/>
        <s v="2135@gmail.com"/>
        <s v="2136@gmail.com"/>
        <s v="2137@hotmail.com"/>
        <s v="2138@gmail.com"/>
        <s v="2139@gmail.com"/>
        <s v="2140@gmail.com"/>
        <s v="2141@gmail.com"/>
        <s v="2143@gmail.com"/>
        <s v="2144@gmail.com"/>
        <s v="2145@gmail.com"/>
        <s v="2146@hotmail.es"/>
        <s v="2147@gmail.com"/>
        <s v="2148@gmail.com"/>
        <s v="2149@gmail.com"/>
        <s v="2150@yahoo.es"/>
        <s v="2151@gmail.com"/>
        <s v="2152@igkarratu.com"/>
        <s v="2153@gmail.com"/>
        <s v="2154@gmail.com"/>
        <s v="2155@gmail.com"/>
        <s v="2156@gmail.com"/>
        <s v="2157@hotmail.com"/>
        <s v="2158@gmail.com"/>
        <s v="2159@hotmail.com"/>
        <s v="2160@yahoo.es"/>
        <s v="2161@hotmail.com"/>
        <s v="2162@gienergygroup.com"/>
        <s v="2163@hotmail.com"/>
        <s v="2164@macegroup.com"/>
        <s v="2165@orangemail.es"/>
        <s v="2166@gmail.com"/>
        <s v="2167@outlook.es"/>
        <s v="2169@gmail.com"/>
        <s v="2170@reparatuequipo.es"/>
        <s v="2171@gmail.com"/>
        <s v="2172@gmail.com"/>
        <s v="2173@menendezygamonal.com"/>
        <s v="2174@wurth.es"/>
        <s v="2175@canogarcia.es"/>
        <s v="2176@hotmail.com"/>
        <s v="2177@yahoo.es"/>
        <s v="2178@altair.edu.es"/>
        <s v="2179@gmail.com"/>
        <s v="2180@hotmail.com"/>
        <s v="2181@gmail.com"/>
        <s v="2182@hotmail.com"/>
        <s v="2183@gmail.com"/>
        <s v="2184@suris.es"/>
        <s v="2185@gmail.com"/>
        <s v="2186@grupoelectrostocks.com"/>
        <s v="2187@hotmail.com"/>
        <s v="2188@gmail.com"/>
        <s v="2189@infova.es"/>
        <s v="2190@hotmail.com"/>
        <s v="2191@hotmail.es"/>
        <s v="2192@itcl.es"/>
        <s v="2193@gmail.com"/>
        <s v="2194@mesado.es"/>
        <s v="2195@yahoo.es"/>
        <s v="2196@telefonica.net"/>
        <s v="2197@outlook.es"/>
        <s v="2198@gmail.com"/>
        <s v="2199@gmail.com"/>
        <s v="2200@gmail.com"/>
        <s v="2201@4fils.es"/>
        <s v="2202@sanjosetecno.com"/>
        <s v="2203@gmail.com"/>
        <s v="2204@hotmail.es"/>
        <s v="2205@gmail.com"/>
        <s v="2206@gmail.com"/>
        <s v="2207@gmail.com"/>
        <s v="2208@wp.pl"/>
        <s v="2209@elecem.es"/>
        <s v="2210@hotmail.com"/>
        <s v="2211@hotmail.com"/>
        <s v="2212@pgiengineering.com"/>
        <s v="2213@gmail.com"/>
        <s v="2214@hotmail.com"/>
        <s v="2215@gmail.com"/>
        <s v="2216@bladis.com"/>
        <s v="2217@gmail.com"/>
        <s v="2218@gmx.es"/>
        <s v="2219@teigatmi.es"/>
        <s v="2220@hotmail.com"/>
        <s v="2221@hotmail.com"/>
        <s v="2222@gmail.com"/>
        <s v="2223@hotmail.com"/>
        <s v="2224@gmail.com"/>
        <s v="2225@evectra.es"/>
        <s v="2226@hotmail.com"/>
        <s v="2227@gmail.com"/>
        <s v="2228@gmail.com"/>
        <s v="2229@enerluz.es"/>
        <s v="2230@hotmail.com"/>
        <s v="2231@hotmail.com"/>
        <s v="2232@gmail.com"/>
        <s v="2233@gmail.com"/>
        <s v="2234@hotmail.com"/>
        <s v="2235@hotmail.com"/>
        <s v="2236@hotmail.com"/>
        <s v="2238@hotmail.es"/>
        <s v="2239@gmail.com"/>
        <s v="2240@coac.net"/>
        <s v="2241@outlook.com"/>
        <s v="2242@eurogestiones.com"/>
        <s v="2243@gmail.com"/>
        <s v="2244@outlook.com"/>
        <s v="2245@gmail.com"/>
        <s v="2246@eleko.es"/>
        <s v="2247@gmail.com"/>
        <s v="2248@telefonica.net"/>
        <s v="2249@politecnicomalaga.com"/>
        <s v="2250@gmail.com"/>
        <s v="2251@gmail.com"/>
        <s v="2252@energestic.es"/>
        <s v="2253@hotmail.com"/>
        <s v="2254@gmail.com"/>
        <s v="2255@yahoo.es"/>
        <s v="2256@gmail.com"/>
        <s v="2257@hotmail.com"/>
        <s v="2258@fercansa.es"/>
        <s v="2259@gmail.com"/>
        <s v="2260@gmail.com"/>
        <s v="2261@grupoefelec.com"/>
        <s v="2262@hotmail.com"/>
        <s v="2263@gmail.com"/>
        <s v="2264@gmail.com"/>
        <s v="2265@gmail.com"/>
        <s v="2266@gmail.com"/>
        <s v="2267@gmail.com"/>
        <s v="2268@gmail.com"/>
        <s v="2269@qq.com"/>
        <s v="2270@hotmail.com"/>
        <s v="2271@gmail.com"/>
        <s v="2272@tiempobbdo.es"/>
        <s v="2273@telefonica.net"/>
        <s v="2274@fersitec.com"/>
        <s v="2275@rccyp.com"/>
        <s v="2276@hotmail.com"/>
        <s v="2277@gmail.com"/>
        <s v="2278@gmail.com"/>
        <s v="2279@gmail.com"/>
        <s v="2280@gmail.com"/>
        <s v="2281@hotmail.com"/>
        <s v="2282@gmail.com"/>
        <s v="2283@hotmail.com"/>
        <s v="2284@gmail.com"/>
        <s v="2285@hotmail.com"/>
        <s v="2286@hotmail.com"/>
        <s v="2287@sonepar.es"/>
        <s v="2288@yahoo.es"/>
        <s v="2289@hotmail.com"/>
        <s v="2290@atmos.link"/>
        <s v="2291@fegime.es"/>
        <s v="2292@gmail.com"/>
        <s v="2293@usa.com"/>
        <s v="2294@gmail.com"/>
        <s v="2295@msn.com"/>
        <s v="2296@gmail.com"/>
        <s v="2297@sece.com"/>
        <s v="2298@sonepar.es"/>
        <s v="2299@protele.es"/>
        <s v="2300@grupoelectrostocks.com"/>
        <s v="2301@sonepar.es"/>
        <s v="2302@agosa.es"/>
        <s v="2303@industrialgines.com"/>
        <s v="2304@gmail.com"/>
        <s v="2305@hotmail.com"/>
        <s v="2306@somosemotion.es"/>
        <s v="2307@gmail.com"/>
        <s v="2308@gmail.com"/>
        <s v="2309@hotmail.com"/>
        <s v="2310@yahoo.es"/>
        <s v="2311@deluxson.com"/>
        <s v="2312@yahoo.es"/>
        <s v="2313@gmail.com"/>
        <s v="2314@gmail.com"/>
        <s v="2315@electricidadguerra.com"/>
        <s v="2316@telecable.es"/>
        <s v="2317@eimetropolitana.com"/>
        <s v="2318@grupo-jarama.com"/>
        <s v="2319@gmail.com"/>
        <s v="2320@electrovizcaya.com"/>
        <s v="2321@coto.pro"/>
        <s v="2322@hotmail.com"/>
        <s v="2323@gmail.com"/>
        <s v="2324@gmail.com"/>
        <s v="2325@ingenierosvalladolid.es"/>
        <s v="2326@gmail.com"/>
        <s v="2327@gmail.com"/>
        <s v="2328@gmail.com"/>
        <s v="2329@hotmail.com"/>
        <s v="2330@gmail.com"/>
        <s v="2331@gmail.com"/>
        <s v="2332@gmail.com"/>
        <s v="2333@gmail.com"/>
        <s v="2334@grupoelectrostocks.com"/>
        <s v="2335@gmail.com"/>
        <s v="2336@gmail.com"/>
        <s v="2337@msn.com"/>
        <s v="2338@gmail.com"/>
        <s v="2339@monlau.com"/>
        <s v="2340@yahoo.es"/>
        <s v="2341@hotmail.com"/>
        <s v="2342@inescoconstructora.es"/>
        <s v="2343@gmail.com"/>
        <s v="2344@tecmagenil.es"/>
        <s v="2345@yahoo.es"/>
        <s v="2346@grupoetra.com"/>
        <s v="2347@visaonomada.pt"/>
        <s v="2348@ya.com"/>
        <s v="2349@belsanz.com"/>
        <s v="2350@gmail.com"/>
        <s v="2351@gmail.com"/>
        <s v="2352@gmail.com"/>
        <s v="2353@conecta-sistemas.com"/>
        <s v="2354@gmail.com"/>
        <s v="2355@gmail.com"/>
        <s v="2356@infova.es"/>
        <s v="2357@gmail.com"/>
        <s v="2358@hotmail.es"/>
        <s v="2359@hotmail.com"/>
        <s v="2360@viplaro.com"/>
        <s v="2361@gmail.com"/>
        <s v="2362@telefonica.net"/>
        <s v="2363@hotmail.com"/>
        <s v="2364@agmundet.es"/>
        <s v="2365@jazzfree.com"/>
        <s v="2366@energies.cat"/>
        <s v="2367@yahoo.es"/>
        <s v="2368@gmail.com"/>
        <s v="2369@cataliaga.com"/>
        <s v="2370@gmail.com"/>
        <s v="2371@fhiguero.es"/>
        <s v="2372@gmail.com"/>
        <s v="2373@grupoelectrostocks.com"/>
        <s v="2374@yahoo.com"/>
        <s v="2375@m4servicios.es"/>
        <s v="2376@gmail.com"/>
        <s v="2377@conmasa.cat"/>
        <s v="2378@montajesjep.com"/>
        <s v="2379@erf.cat"/>
        <s v="2380@gmail.com"/>
        <s v="2381@outlook.com"/>
        <s v="2382@hotmail.com"/>
        <s v="2383@fff.com"/>
        <s v="2384@kapsch.net"/>
        <s v="2385@gg.com"/>
        <s v="2386@agosa.es"/>
        <s v="2387@yahoo.es"/>
        <s v="2388@gmail.com"/>
        <s v="2389@gruponovelec.com"/>
        <s v="2390@gmail.com"/>
        <s v="2391@casamarquez.es"/>
        <s v="2392@gmail.com"/>
        <s v="2393@gmail.com"/>
        <s v="2394@bladis.com"/>
        <s v="2395@gruponovelec.com"/>
        <s v="2396@sonepar.es"/>
        <s v="2397@a2bingenieros.com"/>
        <s v="2398@hotmail.com"/>
        <s v="2399@teclisa.com"/>
        <s v="2400@ormazabal.com"/>
        <s v="2401@hotmail.com"/>
        <s v="2402@adtel.es"/>
        <s v="2403@gmail.com"/>
        <s v="2404@gmail.com"/>
        <s v="2406@gmail.com"/>
        <s v="2407@msn.com"/>
        <s v="2408@me.com"/>
        <s v="2409@eufon.com"/>
        <s v="2410@me.com"/>
        <s v="2411@hotmail.com"/>
        <s v="2412@conmasa.cat"/>
        <s v="2413@siemensgamesa.com"/>
        <s v="2414@saenzdesanpedro.com"/>
        <s v="2415@gmail.com"/>
        <s v="2416@veolia.com"/>
        <s v="2417@rexel.es"/>
        <s v="2418@ompsl.com"/>
        <s v="2419@aiguesdebarcelona.cat"/>
        <s v="2420@gmail.com"/>
        <s v="2421@rexel.es"/>
        <s v="2422@hotmail.com"/>
        <s v="2423@jccifuentes.com"/>
        <s v="2424@sonepar.es"/>
        <s v="2425@hotmail.com"/>
        <s v="2426@gmail.com"/>
        <s v="2427@valnu.es"/>
        <s v="2428@saltoki.es"/>
        <s v="2429@hotmail.com"/>
        <s v="2430@tenmega.pt"/>
        <s v="2431@gmail.com"/>
        <s v="2432@telefonica.net"/>
        <s v="2433@sonepar.es"/>
        <s v="2434@gmail.com"/>
        <s v="2435@indasasl.es"/>
        <s v="2436@ydrolia.com"/>
        <s v="2437@dos-atf.es"/>
        <s v="2438@gmail.com"/>
        <s v="2439@hotmail.com"/>
        <s v="2440@imanzanera.com"/>
        <s v="2441@berdin.com"/>
        <s v="2442@gmail.com"/>
        <s v="2443@gmail.com"/>
        <s v="2444@gmail.com"/>
        <s v="2445@wallbox.com"/>
        <s v="2446@hotmail.com"/>
        <s v="2447@etecnic.es"/>
        <s v="2448@uvigo.es"/>
        <s v="2449@magtel.es"/>
        <s v="2450@sonepar.es"/>
        <s v="2451@gmail.com"/>
        <s v="2452@fi-group.com"/>
        <s v="2453@insitecaingenieros.com"/>
        <s v="2454@gmail.com"/>
        <s v="2455@gmail.com"/>
        <s v="2456@serlujua.com"/>
        <s v="2457@gmail.com"/>
        <s v="2458@gmail.com"/>
        <s v="2459@grupoelectrostocks.com"/>
        <s v="2460@gmail.com"/>
        <s v="2461@yahoo.es"/>
        <s v="2462@gmail.com"/>
        <s v="2463@ise40.com"/>
        <s v="2464@pas.uned.es"/>
        <s v="2465@gmail.com"/>
        <s v="2466@hotmail.com"/>
        <s v="2467@gmail.com"/>
        <s v="2468@gmail.com"/>
        <s v="2469@yca.es"/>
        <s v="2470@gmail.com"/>
        <s v="2471@gmail.com"/>
        <s v="2472@gmail.com"/>
        <s v="2473@hotmail.com"/>
        <s v="2474@sehusol.com"/>
        <s v="2475@berdin.com"/>
        <s v="2476@dimces.com"/>
        <s v="2477@moralesyartigasabogados.com"/>
        <s v="2478@gmail.com"/>
        <s v="2479@hotmail.es"/>
        <s v="2481@apogeaconsulting.com"/>
        <s v="2482@etelnoga.com"/>
        <s v="2483@gmail.com"/>
        <s v="2484@grupo-jarama.com"/>
        <s v="2485@saergy.com"/>
        <s v="2486@hotmail.com"/>
        <s v="2487@telefonica.net"/>
        <s v="2488@gmail.com"/>
        <s v="2489@proytecenergia.com"/>
        <s v="2490@mantenencies.com"/>
        <s v="2491@saltoki.es"/>
        <s v="2492@gmail.com"/>
        <s v="2493@gmail.com"/>
        <s v="2494@gmail.com"/>
        <s v="2495@gmail.com"/>
        <s v="2496@grupoelectrostocks.com"/>
        <s v="2497@gmail.com"/>
        <s v="2498@adtelcom.es"/>
        <s v="2499@hotmail.com"/>
        <s v="2500@sonepar.es"/>
        <s v="2501@gmail.com"/>
        <s v="2502@yahoo.es"/>
        <s v="2503@grupoiicsa.com"/>
        <s v="2504@gmail.com"/>
        <s v="2505@gmail.com"/>
        <s v="2506@es.issworld.com"/>
        <s v="2507@victorperezsl.com"/>
        <s v="2508@solardelvalle.es"/>
        <s v="2509@elecnor.es"/>
        <s v="2510@sermicro.com"/>
        <s v="2511@gmail.com"/>
        <s v="2512@hotmail.com"/>
        <s v="2513@gmail.com"/>
        <s v="2514@coitialicante.com"/>
        <s v="2516@isega.es"/>
        <s v="2517@ineleeg.es"/>
        <s v="2518@solardelvalle.es"/>
        <s v="2519@hotmail.com"/>
        <s v="2520@jspelectrotecnia.com"/>
        <s v="2521@amisur.es"/>
        <s v="2522@gmail.com"/>
        <s v="2523@ipae.es"/>
        <s v="2524@me.com"/>
        <s v="2525@gmail.com"/>
        <s v="2526@reparacioneslsanchez.es"/>
        <s v="2527@gmail.com"/>
        <s v="2528@leing.es"/>
        <s v="2529@upc.edu"/>
        <s v="2530@galimar.com.es"/>
        <s v="2531@arquitecturaygestion.com"/>
        <s v="2532@gmail.com"/>
        <s v="2533@hotmail.com"/>
        <s v="2534@gmail.com"/>
        <s v="2535@hotmail.com"/>
        <s v="2536@telefonica.net"/>
        <s v="2537@electram.es"/>
        <s v="2538@elcorteingles.es"/>
        <s v="2539@gmail.com"/>
        <s v="2540@gmail.com"/>
        <s v="2541@gmail.com"/>
        <s v="2542@tecnica4.com"/>
        <s v="2543@eltec-servicios.com"/>
        <s v="2544@hotmail.com"/>
        <s v="2545@telefonica.net"/>
        <s v="2546@tecnovap.es"/>
        <s v="2547@gmail.com"/>
        <s v="2548@gmail.com"/>
        <s v="2549@gmail.com"/>
        <s v="2550@energema.com"/>
        <s v="2551@inelsa.com"/>
        <s v="2552@gmail.com"/>
        <s v="2553@telefonica.net"/>
        <s v="2554@telefonica.net"/>
        <s v="2555@gmail.com"/>
        <s v="2556@hotmail.com"/>
        <s v="2557@hotmail.com"/>
        <s v="2558@gmail.com"/>
        <s v="2560@gmail.com"/>
        <s v="2561@gmail.com"/>
        <s v="2562@artesolar.com"/>
        <s v="2563@hotmail.com"/>
        <s v="2564@ctv.masaveu.com"/>
        <s v="2565@hotmail.com"/>
        <s v="2566@casadoguia.com"/>
        <s v="2567@hotmail.com"/>
        <s v="2568@email.com"/>
        <s v="2569@gmail.com"/>
        <s v="2570@telefonica.net"/>
        <s v="2571@dival.es"/>
        <s v="2572@sesaelec.com"/>
        <s v="2573@edetcotecnics.com"/>
        <s v="2574@telefonica.net"/>
        <s v="2575@gruposti.com"/>
        <s v="2576@construciainstalaciones.com"/>
        <s v="2577@gmail.com"/>
        <s v="2578@hotmail.com"/>
        <s v="2579@fgc.cat"/>
        <s v="2580@imagenyarquitectura.com.mx"/>
        <s v="2581@yahoo.com"/>
        <s v="2582@ccaait.cat"/>
        <s v="2583@grupcarol.com"/>
        <s v="2584@sistemasdeenergia.es"/>
        <s v="2585@grupoelectrostocks.com"/>
        <s v="2586@saltoki.es"/>
        <s v="2587@picocompany.es"/>
        <s v="2588@fossic.es"/>
        <s v="2589@hotmail.com"/>
        <s v="2590@gmail.com"/>
        <s v="2591@gmail.com"/>
        <s v="2592@bsmsa.cat"/>
        <s v="2593@abcgrup.com"/>
        <s v="2594@gmail.com"/>
        <s v="2595@gmail.com"/>
        <s v="2597@3xakoenergi.com"/>
        <s v="2598@tecoel.es"/>
        <s v="2599@sazepi.com"/>
        <s v="2600@electrimega.es"/>
        <s v="2601@seituria.com"/>
        <s v="2602@saherlux.com"/>
        <s v="2603@guillenmotor.com"/>
        <s v="2604@hotelnelva.es"/>
        <s v="2605@gmail.com"/>
        <s v="2606@gmail.com"/>
        <s v="2607@hotmail.com"/>
        <s v="2608@zambongroup.com"/>
        <s v="2609@construccioicontrol.com"/>
        <s v="2610@orangecorreo.es"/>
        <s v="2611@gocsa.es"/>
        <s v="2612@ingenieriaconforma.com"/>
        <s v="2613@gmail.com"/>
        <s v="2614@rexel.es"/>
        <s v="2615@orbiumsolar.es"/>
        <s v="2616@prysmiangroup.com"/>
        <s v="2617@hotmail.com"/>
        <s v="2618@viegasefilhos.pt"/>
        <s v="2619@gmail.com"/>
        <s v="2620@icloud.com"/>
        <s v="2621@integralplm.com"/>
        <s v="2622@instavi.es"/>
        <s v="2623@mansel.es"/>
        <s v="2624@hotmail.com"/>
        <s v="2625@gmail.com"/>
        <s v="2626@proycoga.es"/>
        <s v="2627@aemsys.com"/>
        <s v="2628@telefonica.net"/>
        <s v="2629@hotmail.com"/>
        <s v="2630@gmail.com"/>
        <s v="2631@gmail.com"/>
        <s v="2632@felices.agency"/>
        <s v="2633@araelec.com"/>
        <s v="2634@hotmail.es"/>
        <s v="2635@ambginy.com"/>
        <s v="2636@sonepar.es"/>
        <s v="2637@metromadrid.es"/>
        <s v="2638@ativalles.com"/>
        <s v="2639@sanitariosbosco.es"/>
        <s v="2640@magserveis.com"/>
        <s v="2641@gmail.com"/>
        <s v="2642@mipelsa.es"/>
        <s v="2643@sansiga.com"/>
        <s v="2644@gmail.com"/>
        <s v="2645@hotmail.com"/>
        <s v="2646@gmail.com"/>
        <s v="2647@rexel.es"/>
        <s v="2648@electracaldense.com"/>
        <s v="2649@grupocuerva.com"/>
        <s v="2650@coac.net"/>
        <s v="2651@yntegraservicios.es"/>
        <s v="2652@tessai.es"/>
        <s v="2653@idiada.com"/>
        <s v="2654@edmcadiz.es"/>
        <s v="2655@getsa.es"/>
        <s v="2656@sonepar.es"/>
        <s v="2657@a4ingenieria.es"/>
        <s v="2658@gmail.com"/>
        <s v="2659@gmail.com"/>
        <s v="2660@gmail.com"/>
        <s v="2661@gmail.com"/>
        <s v="2662@gmail.com"/>
        <s v="2663@bitjerez.com"/>
        <s v="2664@gmail.com"/>
        <s v="2665@electroaldis.com"/>
        <s v="2666@gmail.com"/>
        <s v="2667@iselektric.com"/>
        <s v="2668@gmail.com"/>
        <s v="2669@electroidella.com"/>
        <s v="2670@gmail.com"/>
        <s v="2671@gmail.com"/>
        <s v="2672@gmail.com"/>
        <s v="2673@gamil.com"/>
        <s v="2674@coar.es"/>
        <s v="2675@grupoelectrostocks.com"/>
        <s v="2676@gmail.com"/>
        <s v="2677@gmail.com"/>
        <s v="2678@impact-al.com"/>
        <s v="2679@hotmail.com"/>
        <s v="2680@copitima.com"/>
        <s v="2681@sueprat.es"/>
        <s v="2682@dipucuenca.es"/>
        <s v="2683@live.fr"/>
        <s v="2684@hotmail.com"/>
        <s v="2685@orgaus.com"/>
        <s v="2686@kbingenieria.com"/>
        <s v="2687@serium.es"/>
        <s v="2688@hotmail.com"/>
        <s v="2689@edp-sl.com"/>
        <s v="2690@gmail.com"/>
        <s v="2691@magserveis.com"/>
        <s v="2692@gmail.com"/>
        <s v="2693@bextron.es"/>
        <s v="2694@gmail.com"/>
        <s v="2695@inelt.es"/>
        <s v="2696@1aingenieros.com"/>
        <s v="2697@digamel.com"/>
        <s v="2698@gmail.com"/>
        <s v="2699@gmail.com"/>
        <s v="2700@hotmail.com"/>
        <s v="2701@gmail.com"/>
        <s v="2702@digamel.com"/>
        <s v="2703@hotmail.com"/>
        <s v="2704@construciainstalaciones.com"/>
        <s v="2705@tmb.cat"/>
        <s v="2706@opportunity-one.com"/>
        <s v="2707@gmail.com"/>
        <s v="2708@meta-sidecar.com"/>
        <s v="2709@construciainstalaciones.com"/>
        <s v="2710@arbonapiza.com"/>
        <s v="2711@infinitypv.com"/>
        <s v="2712@gmail.com"/>
        <s v="2713@gmail.com"/>
        <s v="2714@gma.es"/>
        <s v="2715@gmail.com"/>
        <s v="2716@gmail.com"/>
        <s v="2717@gmail.com"/>
        <s v="2718@none.com"/>
        <s v="2719@saltoki.es"/>
        <s v="2720@grupoelectrostocks.com"/>
        <s v="2721@anpasa.es"/>
        <s v="2722@instalacionesyobrasdelrio.com"/>
        <s v="2723@hotmail.com"/>
        <s v="2724@gmeil.com"/>
        <s v="2725@hotmail.com"/>
        <s v="2726@sonepar.es"/>
        <s v="2727@gruponovelec.com"/>
        <s v="2728@gmail.com"/>
        <s v="2729@hotmail.com"/>
        <s v="2730@enzazaden.es"/>
        <s v="2731@gmail.com"/>
        <s v="2732@gmail.com"/>
        <s v="2733@sigmaenginyers.es"/>
        <s v="2734@gmail.com"/>
        <s v="2735@gmail.com"/>
        <s v="2736@gmail.com"/>
        <s v="2737@gmail.com"/>
        <s v="2738@conalepmex.edu.mx"/>
        <s v="2739@constructorasanjose.com"/>
        <s v="2740@gmail.com"/>
        <s v="2741@cruzroja.es"/>
        <s v="2742@mindual.com"/>
        <s v="2743@itaipu.gov.py"/>
        <s v="2745@urbanresilience.eu"/>
        <s v="2746@proinelec.com"/>
        <s v="2747@gmail.com"/>
        <s v="2748@nitlux.es"/>
        <s v="2749@gmail.com"/>
        <s v="2750@exavoltio.es"/>
        <s v="2751@gruponovelec.com"/>
        <s v="2752@ingener.net"/>
        <s v="2753@aurialux.com"/>
        <s v="2754@emgvlasrozas.org"/>
        <s v="2755@gmail.com"/>
        <s v="2756@gmail.com"/>
        <s v="2757@irradiaenergia.com"/>
        <s v="2758@gmail.com"/>
        <s v="2759@gmail.com"/>
        <s v="2760@yahoo.es"/>
        <s v="2761@stratum22.com"/>
        <s v="2762@gmail.com"/>
        <s v="2763@gmail.com"/>
        <s v="2764@gmail.com"/>
        <s v="2765@gmail.com"/>
        <s v="2766@telefonica.net"/>
        <s v="2767@gmail.com"/>
        <s v="2768@gmail.com"/>
        <s v="2769@gmail.com"/>
        <s v="2770@gmail.com"/>
        <s v="2771@gmail.com"/>
        <s v="2772@saltoki.es"/>
        <s v="2773@energiaactiva.es"/>
        <s v="2774@trensfm.com"/>
        <s v="2775@gmail.com"/>
        <s v="2776@pgiengineering.com"/>
        <s v="2777@huelva.es"/>
        <s v="2778@empretelco.es"/>
        <s v="2779@gmail.com"/>
        <s v="2780@abcgrup.com"/>
        <s v="2781@ahabana.co.cu"/>
        <s v="2782@gmail.com"/>
        <s v="2783@gmail.com"/>
        <s v="2784@coac.net"/>
        <s v="2785@climarubi.com"/>
        <s v="2786@metromadrid.es"/>
        <s v="2787@grupocematel.com"/>
        <s v="2788@eurocabos.es"/>
        <s v="2789@telefonica.net"/>
        <s v="2790@gmail.com"/>
        <s v="2791@pickdata.net"/>
        <s v="2792@ajcampos.org"/>
        <s v="2793@gmail.com"/>
        <s v="2794@efinetika.com"/>
        <s v="2795@gmail.com"/>
        <s v="2796@gmail.com"/>
        <s v="2797@gmail.com"/>
        <s v="2798@yahoo.es"/>
        <s v="2799@oceanim.es"/>
        <s v="2800@gmail.com"/>
        <s v="2801@eei-ingenieria.com"/>
        <s v="2802@gonzalezsme.com"/>
        <s v="2803@rodriguezromeu.com"/>
        <s v="2804@vtisl.com"/>
        <s v="2805@gmail.com"/>
        <s v="2806@jdingenieria.com"/>
        <s v="2807@jhfsystemcrane.com"/>
        <s v="2808@gmail.com"/>
        <s v="2809@solerteselen.cat"/>
        <s v="2810@sensorstecnics.net"/>
        <s v="2811@gmail.com"/>
        <s v="2812@martipala.com"/>
        <s v="2813@gmail.com"/>
        <s v="2814@vitrosep.com"/>
        <s v="2815@gmail.com"/>
        <s v="2816@hotmail.com"/>
        <s v="2817@hotmail.com"/>
        <s v="2818@gmail.com"/>
        <s v="2819@satydal.es"/>
        <s v="2820@sanitariosbosco.es"/>
        <s v="2821@gmail.com"/>
        <s v="2822@gmail.com"/>
        <s v="2823@mindual.com"/>
        <s v="2824@gmail.com"/>
        <s v="2825@gmail.com"/>
        <s v="2826@educacion.gob.es"/>
        <s v="2827@soltecgrupo.es"/>
        <s v="2828@coaatz.org"/>
        <s v="2829@sindel.es"/>
        <s v="2830@mequintana.com"/>
        <s v="2831@lantec.es"/>
        <s v="2832@energia.eiffage.es"/>
        <s v="2833@inelsa.com"/>
        <s v="2834@idom.com"/>
        <s v="2835@idom.com"/>
        <s v="2836@pgigrup.com"/>
        <s v="2837@gmail.com"/>
        <s v="2838@gmail.com"/>
        <s v="2839@esprosa.es"/>
        <s v="2840@onemons.es"/>
        <s v="2841@blaudrive.com"/>
        <s v="2842@yahoo.es"/>
        <s v="2843@gmail.com"/>
        <s v="2844@alamos.es"/>
        <s v="2845@araiz.es"/>
        <s v="2846@kubicat.com"/>
        <s v="2847@gmail.com"/>
        <s v="2848@telefonica.net"/>
        <s v="2849@gmail.com"/>
        <s v="2850@hotmail.com"/>
        <s v="2851@yahoo.es"/>
        <s v="2852@gmail.com"/>
        <s v="2853@gmail.com"/>
        <s v="2854@voltplus.es"/>
        <s v="2855@trc.es"/>
        <s v="2856@eurocabos.es"/>
        <s v="2857@gmail.com"/>
        <s v="2858@gmail.com"/>
        <s v="2859@hotmail.com"/>
        <s v="2860@soltecingenieros.com"/>
        <s v="2861@live.com"/>
        <s v="2862@gmail.com"/>
        <s v="2863@hibrielectric.com"/>
        <s v="2864@gmail.com"/>
        <s v="2865@gadisel.com"/>
        <s v="2866@hotmail.com"/>
        <s v="2867@jqadvisors.com"/>
        <s v="2868@cipfplacostera.com"/>
        <s v="2869@montajes-medyp.com"/>
        <s v="2870@yahoo.com"/>
        <s v="2871@assinsta.com"/>
        <s v="2872@hotmail.com"/>
        <s v="2873@gmail.com"/>
        <s v="2874@broa.net"/>
        <s v="2875@ulper.es"/>
        <s v="2876@gmail.com"/>
        <s v="2877@gammasg.com"/>
        <s v="2878@grupojab.es"/>
        <s v="2879@hbalcells.com"/>
        <s v="2880@alfasel.es"/>
        <s v="2881@hotmail.com"/>
        <s v="2882@secorsa.com"/>
        <s v="2883@acciona.com"/>
        <s v="2884@gmail.com"/>
        <s v="2885@instalacionessegura.es"/>
        <s v="2886@construroura.es"/>
        <s v="2887@indasasl.es"/>
        <s v="2888@proalingenieros.com"/>
        <s v="2889@eurocabos.es"/>
        <s v="2890@edu.xunta.es"/>
        <s v="2891@ingenibo.com"/>
        <s v="2892@gmail.com"/>
        <s v="2893@yahoo.com"/>
        <s v="2894@me.com"/>
        <s v="2895@mundoled.net"/>
        <s v="2896@energia.eiffage.es"/>
        <s v="2897@radytel.com"/>
        <s v="2899@gmail.com"/>
        <s v="2900@hotmail.com"/>
        <s v="2901@eneroptim.es"/>
        <s v="2902@gmail.com"/>
        <s v="2903@estudioelan.com"/>
        <s v="2904@gmail.com"/>
        <s v="2905@atoms.cat"/>
        <s v="2906@comb.cat"/>
        <s v="2907@generaeficiencia.com"/>
        <s v="2908@esplugues.cat"/>
        <s v="2909@ekoleds.com"/>
        <s v="2910@syocsa-inarsa.es"/>
        <s v="2911@grupocobra.com"/>
        <s v="2912@essatel.es"/>
        <s v="2913@gmail.com"/>
        <s v="2914@aldaproyectos.es"/>
        <s v="2915@crescencioperez.com"/>
        <s v="2916@diazrojo.com"/>
        <s v="2917@mastercentella.com"/>
        <s v="2918@gmail.com"/>
        <s v="2919@gmail.com"/>
        <s v="2920@prodelectric.es"/>
        <s v="2921@hotmail.com"/>
        <s v="2922@tecnicanorte.com"/>
        <s v="2923@gmail.com"/>
        <s v="2924@gmail.com"/>
        <s v="2925@gmail.com"/>
        <s v="2926@elherco.com"/>
        <s v="2927@interflex.es"/>
        <s v="2929@baurenginyers.cat"/>
        <s v="3292@movistar.es"/>
        <s v="3297@hotmail.com"/>
        <s v="2930@hotmail.com"/>
        <s v="2931@telefonica.net"/>
        <s v="2932@soldeser.com"/>
        <s v="2933@agenex.org"/>
        <s v="2934@gruponovelec.com"/>
        <s v="2935@hotellosllanos.es"/>
        <s v="2936@gmail.com"/>
        <s v="2937@gmail.com"/>
        <s v="2938@inemesa.com"/>
        <s v="2939@oscarcaselles.com"/>
        <s v="2940@xtec.cat"/>
        <s v="2941@gmail.com"/>
        <s v="2942@ragaluz.com"/>
        <s v="2943@agaeng.es"/>
        <s v="2944@prysmiangroup.com"/>
        <s v="2945@gmail.com"/>
        <s v="2946@gmail.com"/>
        <s v="2947@gmail.com"/>
        <s v="2948@gmail.com"/>
        <s v="2949@ignasiconillas.com"/>
        <s v="2950@telematel.com"/>
        <s v="2951@telman.es"/>
        <s v="2952@catrisse.net"/>
        <s v="2953@sinophosgroup.com"/>
        <s v="2954@gmail.com"/>
        <s v="2955@imamagnets.com"/>
        <s v="2956@engie.com"/>
        <s v="2957@doladoingenieria.es"/>
        <s v="2958@gmail.com"/>
        <s v="2959@instalacionesfb.com"/>
        <s v="2960@gmail.com"/>
        <s v="2961@mqrenovables.com"/>
        <s v="2962@gmail.com"/>
        <s v="2963@gmail.com"/>
        <s v="2964@duoarquitectura.es"/>
        <s v="2965@hotmail.com"/>
        <s v="2966@gmail.com"/>
        <s v="2967@gmail.com"/>
        <s v="2968@sueprat.es"/>
        <s v="2969@gmail.com"/>
        <s v="2970@sonepar.es"/>
        <s v="2971@gmail.com"/>
        <s v="2972@us.es"/>
        <s v="2973@rt105.es"/>
        <s v="2974@outlook.com"/>
        <s v="2975@gmail.com"/>
        <s v="2976@gmail.com"/>
        <s v="2977@gmail.com"/>
        <s v="2978@electroredes.com"/>
        <s v="2979@gmail.com"/>
        <s v="2980@live.com"/>
        <s v="2981@gmail.com"/>
        <s v="2982@hotmail.es"/>
        <s v="2983@hotmail.com"/>
        <s v="2984@hotmail.com"/>
        <s v="2985@gmail.com"/>
        <s v="2986@signum.cat"/>
        <s v="2987@comercialsis.com"/>
        <s v="2988@lopezona.com"/>
        <s v="2989@9chip.com"/>
        <s v="2990@gilten.es"/>
        <s v="2991@yahoo.es"/>
        <s v="2992@socidesel.es"/>
        <s v="2993@gmail.com"/>
        <s v="2994@hotmail.com"/>
        <s v="2995@suris.es"/>
        <s v="2996@hotmail.com"/>
        <s v="2997@bgm.pt"/>
        <s v="2998@dosreisinstalaciones.es"/>
        <s v="2999@gmail.com"/>
        <s v="3000@strongpoint.com"/>
        <s v="3001@gmail.com"/>
        <s v="3002@energiaactiva.es"/>
        <s v="3003@ingenieriabenimamet.com"/>
        <s v="3004@yahoo.es"/>
        <s v="3005@electroizas.es"/>
        <s v="3006@ingenieriajorpa.es"/>
        <s v="3007@gmail.com"/>
        <s v="3008@codime.es"/>
        <s v="3009@acciona.com"/>
        <s v="3010@eleko.es"/>
        <s v="3011@gmail.com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4087" sheet="Descargas - Preprocessing"/>
  </cacheSource>
  <cacheFields>
    <cacheField name="Email_pseudo" numFmtId="164">
      <sharedItems containsBlank="1">
        <s v="1@gmail.com"/>
        <s v="2@yahoo.es"/>
        <s v="3@gmail.com"/>
        <s v="4@gmail.com"/>
        <s v="5@infortel.es"/>
        <s v="6@yahoo.es"/>
        <s v="7@unizar.es"/>
        <s v="8@gomezmoreno.com"/>
        <s v="9@chacontch.com"/>
        <s v="10@hotmail.com"/>
        <s v="11@gmail.com"/>
        <s v="12@gmail.com"/>
        <s v="13@inel.es"/>
        <s v="14@enerparking.com"/>
        <s v="15@apba.es"/>
        <s v="16@cambrabcn.org"/>
        <s v="17@gmail.com"/>
        <s v="18@urv.cat"/>
        <s v="19@grupoespacioindustrial.com"/>
        <s v="20@gmail.com"/>
        <s v="21@iteser.com"/>
        <s v="22@gmail.com"/>
        <s v="23@gmail.com"/>
        <s v="24@gmail.com"/>
        <s v="25@gmail.com"/>
        <s v="26@mktg.com"/>
        <s v="27@hotmail.com"/>
        <s v="28@gmail.com"/>
        <s v="29@gmail.com"/>
        <s v="30@gmail.com"/>
        <s v="31@gmail.com"/>
        <s v="32@gmail.com"/>
        <s v="33@gmail.com"/>
        <s v="34@gmail.com"/>
        <s v="35@gmail.com"/>
        <s v="36@visaonomada.pt"/>
        <s v="37@intienergia.com"/>
        <s v="38@telefonica.net"/>
        <s v="39@idom.com"/>
        <s v="40@hotmail.com"/>
        <s v="41@gmail.com"/>
        <s v="42@gmail.com"/>
        <s v="43@electricidadjoselucas.com"/>
        <s v="44@gmail.com"/>
        <s v="45@acotech.es"/>
        <s v="46@hotmail.com"/>
        <s v="47@marpemac.com"/>
        <s v="48@legebiltzarra.eus"/>
        <s v="49@grupocaeiro.es"/>
        <s v="50@gmail.com"/>
        <s v="51@yahoo.es"/>
        <s v="52@tdi-sistemas.com"/>
        <s v="53@dicara.es"/>
        <s v="54@abengoa.com"/>
        <s v="55@hotmail.com"/>
        <s v="56@iesmurgi.org"/>
        <s v="57@gmail.com"/>
        <s v="58@gabyl.com"/>
        <s v="59@gmail.com"/>
        <s v="60@rocketmail.com"/>
        <s v="61@elektra-sa.es"/>
        <s v="62@hotmail.com"/>
        <s v="63@semael.com"/>
        <s v="64@gmail.com"/>
        <s v="65@copitima.com"/>
        <s v="66@dgingenieros.es"/>
        <s v="67@becibiza.es"/>
        <s v="68@ingeosolar.com"/>
        <s v="69@gmail.com"/>
        <s v="70@gmail.com"/>
        <s v="71@hotmail.com"/>
        <s v="72@grupoelectrostocks.com"/>
        <s v="73@hotmail.com"/>
        <s v="74@electricidadguerra.com"/>
        <s v="75@telefonica.net"/>
        <s v="76@gmail.com"/>
        <s v="77@comsa.com"/>
        <s v="78@gmail.com"/>
        <s v="79@sonepar.es"/>
        <s v="80@enginyerstarragona.cat"/>
        <s v="81@gmail.com"/>
        <s v="82@sedes.es"/>
        <s v="83@eduardoaleman.es"/>
        <s v="84@electromontajesroldan.com"/>
        <s v="85@gmail.com"/>
        <s v="86@ingbuero-group.de"/>
        <s v="87@comsa.com"/>
        <s v="88@ingenierosvigo.com"/>
        <s v="89@ipsumindustrial.com"/>
        <s v="90@telefonica.net"/>
        <s v="91@valmet.com"/>
        <s v="92@gmail.com"/>
        <s v="93@gmail.com"/>
        <s v="94@grupocobra.com"/>
        <s v="95@gmail.com"/>
        <s v="96@hotmail.com"/>
        <s v="97@igpingenieria.com"/>
        <s v="98@davidjdiaz.es"/>
        <s v="99@coitir.com"/>
        <s v="100@hotmail.com"/>
        <s v="101@coiirm.es"/>
        <s v="102@telefonica.net"/>
        <s v="103@ciccp.es"/>
        <s v="104@spiningenieros.com"/>
        <s v="105@gmail.com"/>
        <s v="106@ucm.es"/>
        <s v="107@dipucr.es"/>
        <s v="108@salesianos.edu"/>
        <s v="109@gmail.com"/>
        <s v="110@3epsilonsolutions.com"/>
        <s v="111@murciaeduca.es"/>
        <s v="112@gmail.com"/>
        <s v="113@gmail.com"/>
        <s v="114@hotmail.com"/>
        <s v="115@yahoo.es"/>
        <s v="116@sgs.com"/>
        <s v="117@telefonica.net"/>
        <s v="118@legebiltzarra.eus"/>
        <s v="119@ideaingenieria.es"/>
        <s v="120@yahoo.com"/>
        <s v="121@gmail.com"/>
        <s v="122@tecnimed.net"/>
        <s v="123@grupocuerva.com"/>
        <s v="124@betenergia.es"/>
        <s v="125@gmail.com"/>
        <s v="126@gmail.com"/>
        <s v="127@prevae.com"/>
        <s v="128@gmail.com"/>
        <s v="129@inypro.com"/>
        <s v="130@gmail.com"/>
        <s v="131@hotmail.com"/>
        <s v="132@gmail.com"/>
        <s v="133@fasfas.com"/>
        <s v="134@gmail.com"/>
        <s v="135@telefonica.net"/>
        <s v="136@gmail.com"/>
        <s v="137@alcar2000.com"/>
        <s v="138@grupocobra.com"/>
        <s v="139@yahoo.es"/>
        <s v="140@yahoo.es"/>
        <s v="141@gmail.com"/>
        <s v="142@gmail.com"/>
        <s v="143@gmail.com"/>
        <s v="144@gmail.com"/>
        <s v="145@coitihuelva.com"/>
        <s v="146@instalacionsigualada.com"/>
        <s v="147@hotmail.es"/>
        <s v="148@gmail.com"/>
        <s v="149@gmail.com"/>
        <s v="150@atla.es"/>
        <s v="151@gmail.com"/>
        <s v="152@gmail.com"/>
        <s v="153@telefonica.net"/>
        <s v="154@jorditamayo.com"/>
        <s v="155@arcbcn.cat"/>
        <s v="156@riosrenovables.com"/>
        <s v="157@hotmail.com"/>
        <s v="158@acollconsulting.es"/>
        <s v="159@gmail.com"/>
        <s v="160@hotmail.com"/>
        <s v="161@gmail.com"/>
        <s v="162@gmail.com"/>
        <s v="163@gmail.com"/>
        <s v="164@telefonica.net"/>
        <s v="165@dobontech.com"/>
        <s v="166@napols.net"/>
        <s v="167@me.com"/>
        <s v="168@hc-ingenieros.com"/>
        <s v="169@gmail.com"/>
        <s v="170@ciudaddelosmuchachos.com"/>
        <s v="171@gmail.com"/>
        <s v="172@ardisenginyeria.com"/>
        <s v="173@gmail.com"/>
        <s v="174@hotmail.com"/>
        <s v="175@gobesa.com"/>
        <s v="176@aia.cat"/>
        <s v="177@mobcn.org"/>
        <s v="178@tec-engineering.es"/>
        <s v="179@mundo-r.com"/>
        <s v="180@aquambiente.es"/>
        <s v="181@juntaex.es"/>
        <s v="182@usal.es"/>
        <s v="183@arquired.es"/>
        <s v="184@telefonica.net"/>
        <s v="185@asintec.info"/>
        <s v="186@msn.com"/>
        <s v="187@castelyfernandez.es"/>
        <s v="188@gmail.com"/>
        <s v="189@gmail.com"/>
        <s v="190@idom.com"/>
        <s v="191@gruposinelec.com"/>
        <s v="192@gmail.com"/>
        <s v="193@triangulo.com.es"/>
        <s v="194@hotmail.com"/>
        <s v="195@electricidadmadruga.com"/>
        <s v="196@gmail.com"/>
        <s v="197@enginyerstarragona.cat"/>
        <s v="198@hotmail.es"/>
        <s v="199@elektra-sa.es"/>
        <s v="200@smassa.eu"/>
        <s v="201@gmail.com"/>
        <s v="202@gmail.com"/>
        <s v="203@outlook.com"/>
        <s v="204@ebcn.cat"/>
        <s v="205@es.tuv.com"/>
        <s v="206@jgingenieros.es"/>
        <s v="207@tecnicasyrecursos.com"/>
        <s v="208@acortaenergia.com"/>
        <s v="209@azingenieria.es"/>
        <s v="210@simon.pt"/>
        <s v="211@elgremi.cat"/>
        <s v="212@gmail.com"/>
        <s v="213@guidogroup.com"/>
        <s v="214@gmail.com"/>
        <s v="215@enel.com"/>
        <s v="216@gmail.com"/>
        <s v="217@esypro.net"/>
        <s v="218@erasmil.com"/>
        <s v="219@gmail.com"/>
        <s v="220@istem.es"/>
        <s v="221@maganrenovables.com"/>
        <s v="222@jcgracia.es"/>
        <s v="223@gmail.com"/>
        <s v="224@hotmail.com"/>
        <s v="225@gmail.com"/>
        <s v="226@hotmail.com"/>
        <s v="227@gmail.com"/>
        <s v="228@erasmil.com"/>
        <s v="229@gmail.com"/>
        <s v="230@solsureste.com"/>
        <s v="231@gmail.com"/>
        <s v="232@mersa.es"/>
        <s v="233@gmail.com"/>
        <s v="234@pgiengineering.com"/>
        <s v="235@gmail.com"/>
        <s v="236@elecnor.com"/>
        <s v="237@idsa.es"/>
        <s v="238@engie.com"/>
        <s v="239@alfadesarrollo.com"/>
        <s v="240@hotmail.com"/>
        <s v="241@gmail.com"/>
        <s v="242@outlook.es"/>
        <s v="243@homcrea.fr"/>
        <s v="244@as.com"/>
        <s v="245@gmail.com"/>
        <s v="246@simon.es"/>
        <s v="247@gmail.com"/>
        <s v="248@llachsoillum.cat"/>
        <s v="249@herreroingenieros.com"/>
        <s v="250@inacces.com"/>
        <s v="251@gmail.com"/>
        <s v="252@hotmail.com"/>
        <s v="253@putzmeister.com"/>
        <s v="254@hotmail.com"/>
        <s v="255@hotmail.com"/>
        <s v="256@mail.com"/>
        <s v="257@telefonica.net"/>
        <s v="258@jesnar2011.es"/>
        <s v="259@electricosaragon2000.com"/>
        <s v="260@hotmail.com"/>
        <s v="261@gmail.com"/>
        <s v="262@gmail.com"/>
        <s v="263@sueprat.es"/>
        <s v="264@edaie.com"/>
        <s v="265@gmail.com"/>
        <s v="266@hotmail.es"/>
        <s v="267@fiberlec.com"/>
        <s v="268@gmail.com"/>
        <s v="269@hotmail.com"/>
        <s v="270@gmail.com"/>
        <s v="271@pkcgroup.com"/>
        <s v="272@gmail.com"/>
        <s v="273@gmail.com"/>
        <s v="274@movistar.es"/>
        <s v="275@aransa.com"/>
        <s v="276@gmail.com"/>
        <s v="277@fcc.es"/>
        <s v="278@urbaser.com"/>
        <s v="279@vazquezconsuegra.com"/>
        <s v="280@susaeta.net"/>
        <s v="281@montajescastellon.com"/>
        <s v="282@comsa.com"/>
        <s v="283@occidentalhotels.com"/>
        <s v="284@telman.es"/>
        <s v="285@hotmail.com"/>
        <s v="286@icaluz.com"/>
        <s v="287@parcdesalutmar.cat"/>
        <s v="288@fcc.es"/>
        <s v="289@gmail.com"/>
        <s v="290@msn.com"/>
        <s v="291@yahoo.es"/>
        <s v="292@espe.edu.ec"/>
        <s v="293@hotmail.com"/>
        <s v="294@lumial.es"/>
        <s v="295@gmail.com"/>
        <s v="296@gmail.com"/>
        <s v="297@hotmail.com"/>
        <s v="298@ibielectric.com"/>
        <s v="299@vimasol.es"/>
        <s v="300@vimasol.es"/>
        <s v="301@vimasol.es"/>
        <s v="302@loalnet.com"/>
        <s v="303@simon.es"/>
        <s v="304@simon.es"/>
        <s v="305@wanadoo.es"/>
        <s v="306@gmail.com"/>
        <s v="307@yahoo.es"/>
        <s v="308@rexel.es"/>
        <s v="309@hotmail.com"/>
        <s v="310@outlook.com"/>
        <s v="311@tresa.volkswagen.es"/>
        <s v="312@telefonica.net"/>
        <s v="313@inelbo.eiffage.es"/>
        <s v="314@bitrir.es"/>
        <s v="315@bongrup.es"/>
        <s v="316@aymesa.com"/>
        <s v="317@portsdebalears.com"/>
        <s v="318@gmail.com"/>
        <s v="319@gmail.com"/>
        <s v="320@gmail.com"/>
        <s v="321@gmail.com"/>
        <s v="322@rutronik.com"/>
        <s v="323@hotmail.com"/>
        <s v="324@onsaze.es"/>
        <s v="325@sonepar.es"/>
        <s v="326@gmail.com"/>
        <s v="327@romovi.com"/>
        <s v="328@siemens.com"/>
        <s v="329@covama.es"/>
        <s v="330@hotmail.com"/>
        <s v="331@gmail.com"/>
        <s v="332@gmail.com"/>
        <s v="333@jbizcocho.es"/>
        <s v="334@mixmail.com"/>
        <s v="335@faepac.org"/>
        <s v="336@gmail.com"/>
        <s v="337@gmail.com"/>
        <s v="338@u220.es"/>
        <s v="339@emiliocueto.com"/>
        <s v="340@bizkaia.eu"/>
        <s v="341@enchufesolar.com"/>
        <s v="342@idesa.pro"/>
        <s v="343@gmail.com"/>
        <s v="344@hotmail.com"/>
        <s v="345@enerwatt.es"/>
        <s v="346@gmail.com"/>
        <s v="347@engie.com"/>
        <s v="348@telefonica.net"/>
        <s v="349@dipualba.es"/>
        <s v="350@talleresloam.com"/>
        <s v="351@cochele.com"/>
        <s v="352@live.com.mx"/>
        <s v="353@industrialgines.com"/>
        <s v="354@gmail.com"/>
        <s v="355@gmail.com"/>
        <s v="356@hotmail.com"/>
        <s v="357@cesvimap.com"/>
        <s v="358@suris.es"/>
        <s v="359@movistar.es"/>
        <s v="360@gmail.com"/>
        <s v="361@trabajosadomicilio.es"/>
        <s v="362@hotmail.com"/>
        <s v="363@gmail.com"/>
        <s v="364@telefonica.net"/>
        <s v="365@edu.xunta.es"/>
        <s v="366@gmail.com"/>
        <s v="367@yahoo.es"/>
        <s v="368@gmail.com"/>
        <s v="369@upc.edu"/>
        <s v="370@coac.es"/>
        <s v="371@hotmail.com"/>
        <s v="372@ub.edu"/>
        <s v="373@eling.es"/>
        <s v="374@copitima.com"/>
        <s v="375@gmail.com"/>
        <s v="376@gmail.com"/>
        <s v="377@nouges.es"/>
        <s v="378@mcrdielec.com"/>
        <s v="379@gmail.com"/>
        <s v="380@acp-level.es"/>
        <s v="381@mtcholding.ro"/>
        <s v="382@gmail.com"/>
        <s v="383@llamas.com.es"/>
        <s v="384@comsa.com"/>
        <s v="385@upc.edu"/>
        <s v="386@xtec.cat"/>
        <s v="387@gmail.com"/>
        <s v="388@gmail.com"/>
        <s v="389@yahoo.es"/>
        <s v="390@hotmail.com"/>
        <s v="391@gmail.com"/>
        <s v="392@gmail.com"/>
        <s v="393@gmail.com"/>
        <s v="394@yahoo.es"/>
        <s v="395@ajinstal.cat"/>
        <s v="396@gmail.com"/>
        <s v="397@orange.es"/>
        <s v="398@ciudaddelosmuchachos.com"/>
        <s v="399@gmail.com"/>
        <s v="400@arquired.es"/>
        <s v="401@hotmail.es"/>
        <s v="402@gmail.com"/>
        <s v="403@hotmail.com"/>
        <s v="404@hotmail.com"/>
        <s v="405@yahoo.es"/>
        <s v="406@gmail.com"/>
        <s v="407@romher.es"/>
        <s v="408@ic3sl.com"/>
        <s v="409@gruposinelec.com"/>
        <s v="410@gmail.com"/>
        <s v="411@proyectosdelhogar.com"/>
        <s v="412@seelectroled.com"/>
        <s v="413@emancha.com"/>
        <s v="414@gruptba.com"/>
        <s v="415@gmail.com"/>
        <s v="416@dominguezelectricidad.es"/>
        <s v="417@gmail.com"/>
        <s v="418@proyectosict.net"/>
        <s v="419@miscelec.com"/>
        <s v="420@covama.es"/>
        <s v="421@maelse.com"/>
        <s v="422@amena.com"/>
        <s v="423@me.com"/>
        <s v="424@ulmahandling.com"/>
        <s v="425@telefonica.net"/>
        <s v="426@gmail.com"/>
        <s v="427@gmail.com"/>
        <s v="428@hotmail.com"/>
        <s v="429@yahoo.es"/>
        <s v="430@urgon.es"/>
        <s v="431@hotmail.com"/>
        <s v="432@acacea.es"/>
        <s v="433@gmail.com"/>
        <s v="434@gmail.com"/>
        <s v="435@solucionesms.es"/>
        <s v="436@electrosoler.com"/>
        <s v="437@alrolasistemas.es"/>
        <s v="438@epla.es"/>
        <s v="439@edu.xunta.es"/>
        <s v="440@fedirbra.com"/>
        <s v="441@arquiem.es"/>
        <s v="442@hotmail.com"/>
        <s v="443@ingenia.es"/>
        <s v="444@dymiel.es"/>
        <s v="445@sueprat.es"/>
        <s v="446@atega.net"/>
        <s v="447@iescotesbaixes.org"/>
        <s v="448@gmail.com"/>
        <s v="449@urgon.es"/>
        <s v="450@gmail.com"/>
        <s v="451@ingelux.com"/>
        <s v="452@urgon.es"/>
        <s v="453@edelafuente.com"/>
        <s v="454@gmail.com"/>
        <s v="455@gmail.com"/>
        <s v="456@electricidadvilela.com"/>
        <s v="457@outlook.com"/>
        <s v="458@imel.es"/>
        <s v="459@sesetec.com"/>
        <s v="460@gmail.com"/>
        <s v="461@msn.com"/>
        <s v="462@gmail.com"/>
        <s v="463@gmail.com"/>
        <s v="464@hotmail.es"/>
        <s v="465@hotmail.com"/>
        <s v="466@gmail.com"/>
        <s v="467@gmail.com"/>
        <s v="468@yahoo.es"/>
        <s v="469@somorrostro.com"/>
        <s v="470@gmail.com"/>
        <s v="471@abengoa.com"/>
        <s v="472@ebcn.cat"/>
        <s v="473@inexo.es"/>
        <s v="474@tectram.com"/>
        <s v="475@hotmail.es"/>
        <s v="476@hotmail.com"/>
        <s v="477@gmail.com"/>
        <s v="478@gmail.com"/>
        <s v="479@gmail.com"/>
        <s v="480@gmail.com"/>
        <s v="481@gmail.com"/>
        <s v="482@pentamatik.com"/>
        <s v="483@arval.es"/>
        <s v="484@macegroup.com"/>
        <s v="485@hotmail.com"/>
        <s v="486@gmail.com"/>
        <s v="487@gmail.com"/>
        <s v="488@gmail.com"/>
        <s v="489@carbonellfigueras.com"/>
        <s v="490@idom.com"/>
        <s v="491@gmail.com"/>
        <s v="492@hotmail.com"/>
        <s v="493@gmail.com"/>
        <s v="494@protelec.es"/>
        <s v="495@boslan.com"/>
        <s v="496@gmail.com"/>
        <s v="497@6d-ingenieros.com"/>
        <s v="498@gmail.com"/>
        <s v="499@netcabo.pt"/>
        <s v="500@gmail.com"/>
        <s v="501@gmail.com"/>
        <s v="502@hotmail.com"/>
        <s v="503@ofp.cat"/>
        <s v="504@avilayhevia.com"/>
        <s v="505@mavipas.com"/>
        <s v="506@pina-ingenieria.com"/>
        <s v="507@eco-voltaica.com"/>
        <s v="508@gmail.com"/>
        <s v="509@hotmail.com"/>
        <s v="510@gmail.com"/>
        <s v="511@yahoo.es"/>
        <s v="512@hotmail.com"/>
        <s v="513@osmos.es"/>
        <s v="514@hotmail.com"/>
        <s v="515@torrepacheco.es"/>
        <s v="516@hotmail.es"/>
        <s v="517@palmersebastian.com"/>
        <s v="518@gmail.com"/>
        <s v="519@outlook.com"/>
        <s v="520@ecf-electricidad.com"/>
        <s v="521@gmail.com"/>
        <s v="522@siemens.com"/>
        <s v="523@gmail.com"/>
        <s v="524@gmail.com"/>
        <s v="525@comsa.com"/>
        <s v="526@gmail.com"/>
        <s v="527@yahoo.com.mx"/>
        <s v="528@gmail.com"/>
        <s v="529@gmail.com"/>
        <s v="530@trilegend.com"/>
        <s v="531@csisuministros.com"/>
        <s v="532@gmail.com"/>
        <s v="533@emconsulting.es"/>
        <s v="534@gmail.com"/>
        <s v="535@bgp.es"/>
        <s v="536@adymus.es"/>
        <s v="537@sonneingenieria.com"/>
        <s v="538@herquesa.com"/>
        <s v="539@cablenergia.com"/>
        <s v="540@hotmail.com"/>
        <s v="541@gmail.com"/>
        <s v="542@yahoo.es"/>
        <s v="543@andreumanteniment.com"/>
        <s v="544@telnor.es"/>
        <s v="545@serviciosenergeticoslp.es"/>
        <s v="546@gmail.com"/>
        <s v="547@grupocuerva.com"/>
        <s v="548@hotmail.com"/>
        <s v="549@gmail.com"/>
        <s v="550@activate2.com"/>
        <s v="551@mdvproyectos.es"/>
        <s v="552@engie.com"/>
        <s v="553@aenor.com"/>
        <s v="554@gngrup.com"/>
        <s v="555@yahoo.es"/>
        <s v="556@gmail.com"/>
        <s v="557@dip-badajoz.es"/>
        <s v="558@gmail.com"/>
        <s v="559@sygsa.com"/>
        <s v="560@gmail.com"/>
        <s v="561@aialmeingenieros.com"/>
        <s v="562@gmail.com"/>
        <s v="563@salesianospamplona.net"/>
        <s v="564@gmail.com"/>
        <s v="565@gmail.com"/>
        <s v="566@gmail.com"/>
        <s v="567@sonovatec.com"/>
        <s v="568@hotmail.com"/>
        <s v="569@hotmail.com"/>
        <s v="570@hotmail.com"/>
        <s v="571@outlook.com"/>
        <s v="572@gmail.com"/>
        <s v="573@gmail.com"/>
        <s v="574@tecuni.com"/>
        <s v="575@hotmail.com"/>
        <s v="576@gmail.com"/>
        <s v="577@electroalbors.com"/>
        <s v="578@gmail.com"/>
        <s v="579@gmail.com"/>
        <s v="580@gmail.com"/>
        <s v="581@gmail.com"/>
        <s v="582@gmail.com"/>
        <s v="583@iesmontsia.org"/>
        <s v="584@petronet24.net"/>
        <s v="585@hotmail.com"/>
        <s v="586@hotmail.com"/>
        <s v="587@gescogestio.com"/>
        <s v="588@gmail.com"/>
        <s v="589@freelight.es"/>
        <s v="590@hotmail.com"/>
        <s v="591@alterenergy.com.ar"/>
        <s v="592@garciacomas.com"/>
        <s v="593@sorigue.com"/>
        <s v="594@hotmail.com"/>
        <s v="595@centroasturianobarcelona.com"/>
        <s v="596@gmail.com"/>
        <s v="597@svingenieria.com.co"/>
        <s v="598@simon.es"/>
        <s v="599@gmail.com"/>
        <s v="600@saltoki.es"/>
        <s v="601@gmail.com"/>
        <s v="602@gmail.com"/>
        <s v="603@tenmega.pt"/>
        <s v="604@goliathspain.es"/>
        <s v="605@hotmail.com"/>
        <s v="606@gmail.com"/>
        <s v="607@eficiona.com"/>
        <s v="608@sgingenieros.es"/>
        <s v="609@ritelecenergia.es"/>
        <s v="610@electricharger.com"/>
        <s v="611@santacruzdetenerife.es"/>
        <s v="612@gmail.com"/>
        <s v="613@proingo.es"/>
        <s v="614@valledeleste.es"/>
        <s v="615@iealcazar.com"/>
        <s v="616@a6ingenieria.es"/>
        <s v="617@energia.eiffage.es"/>
        <s v="618@ibil.es"/>
        <s v="619@movistar.es"/>
        <s v="620@loop-cn.com"/>
        <s v="621@gmail.com"/>
        <s v="622@icingenieros.es"/>
        <s v="623@gmail.com"/>
        <s v="624@inserty.net"/>
        <s v="625@hotmail.com"/>
        <s v="626@yahoo.es"/>
        <s v="627@gmail.com"/>
        <s v="628@inquo.es"/>
        <s v="629@gmail.com"/>
        <s v="630@melia.com"/>
        <s v="631@engie.com"/>
        <s v="632@gmail.com"/>
        <s v="633@outlook.com"/>
        <s v="634@easycharger.es"/>
        <s v="635@coneq.es"/>
        <s v="636@csisuministros.com"/>
        <s v="637@simon.es"/>
        <s v="638@me.com"/>
        <s v="639@rolearmais.pt"/>
        <s v="640@simon.es"/>
        <s v="641@bodai.es"/>
        <s v="642@ecoviv.eu"/>
        <s v="643@gmail.com"/>
        <s v="644@ebconsultores.com"/>
        <s v="645@confiplano.com"/>
        <s v="646@gmail.com"/>
        <s v="647@apis-ing.es"/>
        <s v="648@bcnovatecnics.com"/>
        <s v="649@yahoo.es"/>
        <s v="650@hotmail.com"/>
        <s v="651@coitim.es"/>
        <s v="652@miesasa.com"/>
        <s v="653@hotmail.com"/>
        <s v="654@staperpetua.cat"/>
        <s v="655@seproi.com"/>
        <s v="656@gmail.com"/>
        <s v="657@enaire.es"/>
        <s v="658@gmail.com"/>
        <s v="659@gleeds.es"/>
        <s v="660@unex.net"/>
        <s v="661@horus.es"/>
        <s v="662@3cid.es"/>
        <s v="663@hotmail.com"/>
        <s v="664@hotmail.es"/>
        <s v="665@gmail.com"/>
        <s v="666@ighmallorca.com"/>
        <s v="667@ces2010.es"/>
        <s v="668@dipucordoba.es"/>
        <s v="669@hotmail.com"/>
        <s v="670@nogawatio.es"/>
        <s v="671@csisuministros.com"/>
        <s v="672@gmail.com"/>
        <s v="673@gmail.com"/>
        <s v="674@coitt.es"/>
        <s v="675@aclingenieria.com"/>
        <s v="676@promec.es"/>
        <s v="677@gmail.com"/>
        <s v="678@nh-hotels.com"/>
        <s v="679@hotmail.com"/>
        <s v="680@chargeguru.com"/>
        <s v="681@electricidadbalaguer.es"/>
        <s v="682@gmail.com"/>
        <s v="683@hagergroup.com"/>
        <s v="684@gmail.com"/>
        <s v="685@climava.com"/>
        <s v="686@electro-h.es"/>
        <s v="687@outlook.es"/>
        <s v="688@legrandgroup.es"/>
        <s v="689@arbonapiza.com"/>
        <s v="690@dllgroup.com"/>
        <s v="691@cbre.com"/>
        <s v="692@gmail.com"/>
        <s v="693@yahoo.com.mx"/>
        <s v="694@gmail.com"/>
        <s v="695@gmail.com"/>
        <s v="696@rlinstalacioneselectricas.com"/>
        <s v="697@ingedomsl.com"/>
        <s v="698@gmail.com"/>
        <s v="699@unisystems.es"/>
        <s v="700@gmail.com"/>
        <s v="701@gmail.com"/>
        <s v="702@hotmail.com"/>
        <s v="703@gmail.com"/>
        <s v="704@gmail.com"/>
        <s v="705@gmail.com"/>
        <s v="706@juntaex.es"/>
        <s v="707@ufd.es"/>
        <s v="708@zaker.com"/>
        <s v="709@gmail.com"/>
        <s v="710@hotmail.com"/>
        <s v="711@hotmail.com"/>
        <s v="712@gjautomotive.com"/>
        <s v="713@gmail.com"/>
        <s v="714@hotmail.com"/>
        <s v="715@gmail.com"/>
        <s v="716@gmail.com"/>
        <s v="717@rtve.es"/>
        <s v="718@poweringcar.com"/>
        <s v="719@gmail.com"/>
        <s v="720@pgiengineering.com"/>
        <s v="721@gmail.com"/>
        <s v="722@gmail.com"/>
        <s v="723@gmail.com"/>
        <s v="724@gmail.com"/>
        <s v="725@gmail.com"/>
        <s v="726@gmail.com"/>
        <s v="727@membrives.es"/>
        <s v="728@calambre.net"/>
        <s v="729@gmail.com"/>
        <s v="730@hotmail.com"/>
        <s v="731@bonoboenergy.com"/>
        <s v="732@vcejudo.es"/>
        <s v="733@gmail.com"/>
        <s v="734@gmail.com"/>
        <s v="735@serveiskronier55.com"/>
        <s v="736@yahoo.com"/>
        <s v="737@lagingenieros.es"/>
        <s v="738@caatvalencia.es"/>
        <s v="739@isf-esp.com"/>
        <s v="740@cee.com.es"/>
        <s v="741@dieselsanchez.com"/>
        <s v="742@acoeman.com"/>
        <s v="743@bahiguell.com"/>
        <s v="744@gmail.com"/>
        <s v="745@geinstal.com"/>
        <s v="746@msn.com"/>
        <s v="747@tecnicas.es"/>
        <s v="748@gmail.com"/>
        <s v="749@gmail.com"/>
        <s v="750@germaniaweb.com"/>
        <s v="751@ecium.es"/>
        <s v="752@hotmail.com"/>
        <s v="753@arquinur.es"/>
        <s v="754@gmail.com"/>
        <s v="755@coitt.es"/>
        <s v="756@gsima.es"/>
        <s v="757@integra-sti.com"/>
        <s v="758@ingenieros.com"/>
        <s v="759@hotmail.com"/>
        <s v="760@hotmail.com"/>
        <s v="761@insfuert.es"/>
        <s v="762@hotmail.com"/>
        <s v="763@gmail.com"/>
        <s v="764@nova-electrica.com"/>
        <s v="765@gmail.com"/>
        <s v="766@hotmail.com"/>
        <s v="767@rexel.es"/>
        <s v="768@gmail.com"/>
        <s v="769@gmail.com"/>
        <s v="770@inmotiza.com"/>
        <s v="771@solutions30.com"/>
        <s v="772@faen.es"/>
        <s v="773@perequart.com"/>
        <s v="774@urgon.es"/>
        <s v="775@yahoo.es"/>
        <s v="776@entepi.com"/>
        <s v="777@onofflife.es"/>
        <s v="778@gmail.com"/>
        <s v="779@gmail.com"/>
        <s v="780@hotmail.com"/>
        <s v="781@gmail.com"/>
        <s v="782@gmail.com"/>
        <s v="783@diexfe.com"/>
        <s v="784@live.com"/>
        <s v="785@gabrielcorchero.org"/>
        <s v="786@grupoelectrostocks.com"/>
        <s v="787@electricidadoriagomez.com"/>
        <s v="788@casvicuatro.es"/>
        <s v="789@simsabdn.cat"/>
        <s v="790@yahoo.com.ar"/>
        <s v="791@hotmail.com"/>
        <s v="792@gva.es"/>
        <s v="793@gmail.com"/>
        <s v="794@somoselectricistas.com"/>
        <s v="795@lomosamovilidad.com"/>
        <s v="796@gmail.com"/>
        <s v="797@gmail.com"/>
        <s v="798@gmail.com"/>
        <s v="799@yahoo.es"/>
        <s v="800@taubertek.com"/>
        <s v="801@hotmail.es"/>
        <s v="802@hotmail.com"/>
        <s v="803@outlook.com"/>
        <s v="804@monrabal.net"/>
        <s v="805@gmail.com"/>
        <s v="806@gmail.com"/>
        <s v="807@gmail.com"/>
        <s v="808@ale.es"/>
        <s v="809@naturgy.com"/>
        <s v="810@arquired.es"/>
        <s v="811@proinsermant.com"/>
        <s v="812@invgrupo.com"/>
        <s v="813@kilovatiogalicia.com"/>
        <s v="814@interingenieria.com"/>
        <s v="815@uach.mx"/>
        <s v="816@energia.eiffage.es"/>
        <s v="817@gmail.com"/>
        <s v="818@galektra.es"/>
        <s v="819@hotmail.com"/>
        <s v="820@ebcn.cat"/>
        <s v="821@gmail.com"/>
        <s v="822@yahoo.fr"/>
        <s v="823@gmail.com"/>
        <s v="824@gmail.com"/>
        <s v="825@hotmail.com"/>
        <s v="826@gmail.com"/>
        <s v="827@coitiar.es"/>
        <s v="828@zf.com"/>
        <s v="829@gmail.com"/>
        <s v="830@gmail.com"/>
        <s v="831@gmail.com"/>
        <s v="832@suministradora.com"/>
        <s v="833@ofitecbp.com"/>
        <s v="834@gmail.com"/>
        <s v="835@gmail.com"/>
        <s v="836@simon.es"/>
        <s v="837@gmail.com"/>
        <s v="838@sdin.es"/>
        <s v="839@fluidsa.com"/>
        <s v="840@gmail.com"/>
        <s v="841@gmail.com"/>
        <s v="842@fibramur.com"/>
        <s v="843@instalacionescueto.com"/>
        <s v="844@certis.cat"/>
        <s v="845@hotmail.com"/>
        <s v="846@hotmail.com"/>
        <s v="847@lodeal.es"/>
        <s v="848@sesaelec.com"/>
        <s v="849@gmail.com"/>
        <s v="850@gmail.com"/>
        <s v="851@arquitecto.com"/>
        <s v="852@grupviu.com"/>
        <s v="853@gmail.com"/>
        <s v="854@msn.com"/>
        <s v="855@msn.com"/>
        <s v="856@gmail.com"/>
        <s v="857@gmail.com"/>
        <s v="858@gmail.com"/>
        <s v="859@hotmail.com"/>
        <s v="860@gmail.com"/>
        <s v="861@outlook.com"/>
        <s v="862@fpcm.es"/>
        <s v="863@outlook.com"/>
        <s v="864@es.uazuay.edu.ec"/>
        <s v="865@asmoaingenieria.com"/>
        <s v="866@typsa.es"/>
        <s v="867@proyectosjamaras.es"/>
        <s v="868@gmail.com"/>
        <s v="869@yahoo.es"/>
        <s v="870@gmail.com"/>
        <s v="871@cefiner.com"/>
        <s v="872@gmail.com"/>
        <s v="873@eutikes.com"/>
        <s v="874@coac.net"/>
        <s v="875@orange.es"/>
        <s v="876@arquitectonica.cat"/>
        <s v="877@gmail.com"/>
        <s v="878@masteringenieria.com"/>
        <s v="879@sicoris.com"/>
        <s v="880@miquelnieto.com"/>
        <s v="881@hotmail.com"/>
        <s v="882@domotelelectric.com"/>
        <s v="883@hotmail.com"/>
        <s v="884@enersos.es"/>
        <s v="885@gmail.com"/>
        <s v="886@gmail.com"/>
        <s v="887@gmail.com"/>
        <s v="888@zivautomation.com"/>
        <s v="889@hotmail.com"/>
        <s v="890@hotmail.com"/>
        <s v="891@gmail.com"/>
        <s v="892@hotmail.com"/>
        <s v="893@krean.com"/>
        <s v="894@gmail.com"/>
        <s v="895@volumetric.eu"/>
        <s v="896@gmail.com"/>
        <s v="897@rtve.es"/>
        <s v="898@gmail.com"/>
        <s v="899@gmail.com"/>
        <s v="900@hirurok.eu"/>
        <s v="901@gmail.com"/>
        <s v="902@gmail.com"/>
        <s v="903@edirocsa.com"/>
        <s v="904@inboundcycle.com"/>
        <s v="905@yahoo.es"/>
        <s v="906@europrojectes.es"/>
        <s v="907@gmail.com"/>
        <s v="908@hotmail.com"/>
        <s v="909@gmail.com"/>
        <s v="910@sogesa.es"/>
        <s v="911@lusorede.pt"/>
        <s v="912@gmail.com"/>
        <s v="913@quorania.com"/>
        <s v="914@gmail.com"/>
        <s v="915@gmail.com"/>
        <s v="916@gcaarq.com"/>
        <s v="917@gmail.com"/>
        <s v="918@gmail.com"/>
        <s v="919@hotmail.com"/>
        <s v="920@meval.eu"/>
        <s v="921@gmail.com"/>
        <s v="922@ingenierosvigo.com"/>
        <s v="923@gmail.com"/>
        <s v="924@msn.com"/>
        <s v="925@eco-voltaica.com"/>
        <s v="926@electricidadyserviciosmontero.com"/>
        <s v="927@argionelectric.es"/>
        <s v="928@gmail.com"/>
        <s v="929@acciona.com"/>
        <s v="930@acciona.com"/>
        <s v="931@acciona.com"/>
        <s v="932@bellmasenginyers.cat"/>
        <s v="933@orsei.es"/>
        <s v="934@outlook.com"/>
        <s v="935@gmail.com"/>
        <s v="936@gmail.com"/>
        <s v="937@gmail.com"/>
        <s v="938@montegar.es"/>
        <s v="939@gmail.com"/>
        <s v="940@masojuando.com"/>
        <s v="941@gmail.com"/>
        <s v="942@r11arquitectos.com"/>
        <s v="943@gabyl.com"/>
        <s v="944@gmail.com"/>
        <s v="945@red.renault.es"/>
        <s v="946@gmail.com"/>
        <s v="947@clysema.com"/>
        <s v="948@gmail.com"/>
        <s v="949@cadielsa.com"/>
        <s v="950@grupocobra.com"/>
        <s v="951@tenerasa.es"/>
        <s v="952@simon.es"/>
        <s v="953@mosancar.com"/>
        <s v="954@aiguesmanresa.cat"/>
        <s v="955@conras.es"/>
        <s v="956@mebaluz.es"/>
        <s v="957@germaniaweb.com"/>
        <s v="958@hotmail.es"/>
        <s v="959@mlopezarquitectos.com"/>
        <s v="960@aqelectric.es"/>
        <s v="961@gmail.com"/>
        <s v="962@electropla.cat"/>
        <s v="963@gmail.com"/>
        <s v="964@hotmail.com"/>
        <s v="965@gmail.com"/>
        <s v="966@miguelmoralesingenieros.com"/>
        <s v="967@lacsl.es"/>
        <s v="968@gmail.com"/>
        <s v="969@comercialsis.com"/>
        <s v="970@acelecsal.com"/>
        <s v="971@imagogestion.com"/>
        <s v="972@acelecsal.com"/>
        <s v="973@live.com"/>
        <s v="974@yahoo.es"/>
        <s v="975@yahoo.com"/>
        <s v="976@simonelectrica.com"/>
        <s v="977@tarragona.cat"/>
        <s v="978@gmail.com"/>
        <s v="979@gmail.com"/>
        <s v="980@coiiar.org"/>
        <s v="981@gmail.com"/>
        <s v="982@gmail.com"/>
        <s v="983@elektracat.com"/>
        <s v="984@gmail.com"/>
        <s v="985@jesnar2011.es"/>
        <s v="986@hotmail.com"/>
        <s v="987@ginsa.cat"/>
        <s v="988@electromercantil.es"/>
        <s v="989@electricasllop.com"/>
        <s v="990@gmail.com"/>
        <s v="991@yahoo.es"/>
        <s v="992@yahoo.es"/>
        <s v="993@electricidadguerra.com"/>
        <s v="994@gruponovelec.com"/>
        <s v="995@telefonica.net"/>
        <s v="996@comb.cat"/>
        <s v="997@yahoo.es"/>
        <s v="998@damuvi.com"/>
        <s v="999@aeperez.es"/>
        <s v="1000@hotmail.com"/>
        <s v="1001@hotmail.com"/>
        <s v="1002@hotmail.com"/>
        <s v="1003@gmail.com"/>
        <s v="1004@telefonica.net"/>
        <s v="1005@allendearquitectos.com"/>
        <s v="1006@gmail.com"/>
        <s v="1007@yahoo.es"/>
        <s v="1008@olleo.es"/>
        <s v="1009@ccatlantico.com"/>
        <s v="1010@simon.es"/>
        <s v="1011@gmail.com"/>
        <s v="1012@formasymateriales.com"/>
        <s v="1013@hotmail.com"/>
        <s v="1014@gmail.com"/>
        <s v="1015@aziraelectricidad.com"/>
        <s v="1016@coitt.es"/>
        <s v="1017@tesnetwork.net"/>
        <s v="1018@esmassmart.com"/>
        <s v="1019@ingeralbaida.es"/>
        <s v="1020@deinrresa.es"/>
        <s v="1021@proturhotels.com"/>
        <s v="1022@uhu.es"/>
        <s v="1023@hotmail.com"/>
        <s v="1024@elecnor.com"/>
        <s v="1025@gmail.com"/>
        <s v="1026@aia.cat"/>
        <s v="1027@leanteam.es"/>
        <s v="1028@ingenierosvalladolid.es"/>
        <s v="1029@gmail.com"/>
        <s v="1030@inmaser-integral.es"/>
        <s v="1031@grupoitesa.com"/>
        <s v="1032@zioenginy.com"/>
        <s v="1033@gmail.com"/>
        <s v="1034@gmail.com"/>
        <s v="1035@gmail.com"/>
        <s v="1036@grupoelectrostocks.com"/>
        <s v="1037@gmail.com"/>
        <s v="1038@gmail.com"/>
        <s v="1039@yahoo.es"/>
        <s v="1040@gmail.com"/>
        <s v="1041@jordimoran.es"/>
        <s v="1042@alvae.es"/>
        <s v="1043@gmail.com"/>
        <s v="1044@hotmail.com"/>
        <s v="1045@coac.net"/>
        <s v="1046@gmail.com"/>
        <s v="1047@coag.es"/>
        <s v="1048@usc.es"/>
        <s v="1049@gmail.com"/>
        <s v="1050@hotmail.es"/>
        <s v="1051@gmail.com"/>
        <s v="1052@yahoo.es"/>
        <s v="1053@gmail.com"/>
        <s v="1054@isd-ingenieria.es"/>
        <s v="1055@gmail.com"/>
        <s v="1056@gmail.com"/>
        <s v="1057@gmsil.com"/>
        <s v="1058@gmail.com"/>
        <s v="1059@yahoo.es"/>
        <s v="1060@hotmail.com"/>
        <s v="1061@perezescribano.es"/>
        <s v="1062@hotmail.com"/>
        <s v="1063@gmail.com"/>
        <s v="1064@abxat.com"/>
        <s v="1065@movistar.es"/>
        <s v="1066@gmail.com"/>
        <s v="1067@gmail.com"/>
        <s v="1068@dominion.es"/>
        <s v="1069@agoitziru.es"/>
        <s v="1070@vamostelecom.es"/>
        <s v="1071@industrialgines.com"/>
        <s v="1072@gmail.com"/>
        <s v="1073@grupolasser.com"/>
        <s v="1074@hotmail.com"/>
        <s v="1075@gmail.com"/>
        <s v="1076@gmail.com"/>
        <s v="1077@hotmail.com"/>
        <s v="1078@gmail.com"/>
        <s v="1079@outlook.es"/>
        <s v="1080@levitec.es"/>
        <s v="1081@teideingenieros.com"/>
        <s v="1082@gmail.com"/>
        <s v="1083@hotmail.com"/>
        <s v="1084@gmail.com"/>
        <s v="1085@gmail.com"/>
        <s v="1086@gmail.com"/>
        <s v="1087@hotmail.com"/>
        <s v="1088@citemaing.com"/>
        <s v="1089@gmail.com"/>
        <s v="1090@hotmail.com"/>
        <s v="1091@simon.es"/>
        <s v="1092@cipfpcanastell.com"/>
        <s v="1093@edu.xunta.es"/>
        <s v="1094@hotmail.com"/>
        <s v="1095@gmail.com"/>
        <s v="1096@mpf-ingenieria.es"/>
        <s v="1097@santaeulalia.cat"/>
        <s v="1098@simonelectrica.com"/>
        <s v="1099@hotmail.com"/>
        <s v="1100@boffor.com"/>
        <s v="1101@hotmail.com"/>
        <s v="1102@gmail.com"/>
        <s v="1103@montajeselectricosfase.com"/>
        <s v="1104@gmail.com"/>
        <s v="1105@gmail.com"/>
        <s v="1106@gruponoria.com"/>
        <s v="1107@ryaingenieros.com"/>
        <s v="1108@enginyerstarragona.cat"/>
        <s v="1109@gmail.com"/>
        <s v="1110@gmail.com"/>
        <s v="1111@hotmail.com"/>
        <s v="1112@covama.es"/>
        <s v="1113@aurialux.com"/>
        <s v="1114@teclisa.com"/>
        <s v="1115@muntanerelectro.com"/>
        <s v="1116@suelba.com"/>
        <s v="1117@hotmail.com"/>
        <s v="1118@coitiar.es"/>
        <s v="1119@gmail.com"/>
        <s v="1120@sonepar.es"/>
        <s v="1121@gmail.com"/>
        <s v="1122@hotmail.es"/>
        <s v="1123@gmail.com"/>
        <s v="1124@energonrenovables.es"/>
        <s v="1125@rocaingenieros.com"/>
        <s v="1126@viveme.es"/>
        <s v="1127@telefonica.net"/>
        <s v="1128@fgingenieria.com"/>
        <s v="1129@eselfri.com"/>
        <s v="1130@kairsa.com"/>
        <s v="1131@gmail.com"/>
        <s v="1132@yahoo.es"/>
        <s v="1133@hotmail.com"/>
        <s v="1134@integratoledo.com"/>
        <s v="1135@gmail.com"/>
        <s v="1136@metalux.es"/>
        <s v="1137@eiasein.es"/>
        <s v="1138@arquired.es"/>
        <s v="1139@gmail.com"/>
        <s v="1140@fer.es"/>
        <s v="1141@coitim.es"/>
        <s v="1142@asmesl.es"/>
        <s v="1143@gmail.com"/>
        <s v="1144@idponline.net"/>
        <s v="1145@miretelectricidad.com"/>
        <s v="1146@hotmail.com"/>
        <s v="1147@magalux.es"/>
        <s v="1148@dipusevilla.es"/>
        <s v="1149@fillsdelluissureda.cat"/>
        <s v="1150@gmail.com"/>
        <s v="1151@telefonica.net"/>
        <s v="1152@lahidro.net"/>
        <s v="1153@hotmail.com"/>
        <s v="1154@gmail.com"/>
        <s v="1155@mapelsl.com"/>
        <s v="1156@berrilanbim.com"/>
        <s v="1157@himalayaclimatizacionycontrol.es"/>
        <s v="1158@hotmail.com"/>
        <s v="1159@birtes.com.tr"/>
        <s v="1160@copcisa.com"/>
        <s v="1161@sygsa.com"/>
        <s v="1162@gmail.com"/>
        <s v="1163@instalmasa.com"/>
        <s v="1164@projecat.com"/>
        <s v="1165@gmail.com"/>
        <s v="1166@hotmail.com"/>
        <s v="1167@tselsur.es"/>
        <s v="1168@renaultpineda.com"/>
        <s v="1169@gmail.com"/>
        <s v="1170@lahidro.net"/>
        <s v="1171@albaida.es"/>
        <s v="1172@sunkatel.com"/>
        <s v="1173@vifrisan.com"/>
        <s v="1174@alem.es"/>
        <s v="1175@gmail.com"/>
        <s v="1176@gmail.com"/>
        <s v="1177@imte.cat"/>
        <s v="1178@hotmail.com"/>
        <s v="1179@hotmail.com"/>
        <s v="1180@sonepar.es"/>
        <s v="1181@mapfre.com"/>
        <s v="1182@damm.es"/>
        <s v="1183@ddisl.com"/>
        <s v="1184@tecmotica.net"/>
        <s v="1185@lmretavi.es"/>
        <s v="1186@gmail.com"/>
        <s v="1187@gmail.com"/>
        <s v="1188@gmail.com"/>
        <s v="1189@gmail.com"/>
        <s v="1190@telecable.es"/>
        <s v="1191@tinet.fut.es"/>
        <s v="1192@toyota-canarias.es"/>
        <s v="1193@grupoelectrostocks.com"/>
        <s v="1194@hotmail.com"/>
        <s v="1195@gmail.com"/>
        <s v="1196@hotmail.com"/>
        <s v="1197@electricidadcelec.com"/>
        <s v="1198@hotmail.com"/>
        <s v="1199@qwerty.es"/>
        <s v="1200@gg.com"/>
        <s v="1201@yahoo.es"/>
        <s v="1202@gmail.com"/>
        <s v="1203@smarthaus.studio"/>
        <s v="1204@me.com"/>
        <s v="1205@telefonica.net"/>
        <s v="1206@gmail.com"/>
        <s v="1207@gmail.com"/>
        <s v="1208@gmail.com"/>
        <s v="1209@hotmail.es"/>
        <s v="1210@pepepower.es"/>
        <s v="1211@outlook.es"/>
        <s v="1212@hotmail.com"/>
        <s v="1213@hotmail.com"/>
        <s v="1214@gmail.com"/>
        <s v="1215@subis.cat"/>
        <s v="1216@gmail.com"/>
        <s v="1217@gmail.com"/>
        <s v="1218@gmail.com"/>
        <s v="1219@actluz.com"/>
        <s v="1220@sanitariosbosco.es"/>
        <s v="1221@gencat.cat"/>
        <s v="1222@hotmail.com"/>
        <s v="1223@proyecta79.com"/>
        <s v="1224@ipertec.es"/>
        <s v="1225@yahoo.es"/>
        <s v="1226@agiceringenieros.es"/>
        <s v="1227@telefonica.net"/>
        <s v="1228@entax.es"/>
        <s v="1229@yahoo.es"/>
        <s v="1230@gmail.com"/>
        <s v="1231@gmail.com"/>
        <s v="1232@planocaceres.com"/>
        <s v="1233@hotmail.com"/>
        <s v="1234@gmail.com"/>
        <s v="1235@gmail.com"/>
        <s v="1236@hotmail.com"/>
        <s v="1237@gmail.com"/>
        <s v="1238@gmail.com"/>
        <s v="1239@telefonica.net"/>
        <s v="1240@hotmail.com"/>
        <s v="1241@gmail.com"/>
        <s v="1242@hotmail.com"/>
        <s v="1243@educa.jcyl.es"/>
        <s v="1244@gmail.com"/>
        <s v="1245@hotmail.com"/>
        <s v="1246@ecoltan.org"/>
        <s v="1247@gmail.com"/>
        <s v="1248@gmail.com"/>
        <s v="1249@gmail.com"/>
        <s v="1250@telefonica.net"/>
        <s v="1251@gomurmya.com"/>
        <s v="1252@desarrollotecnico.com"/>
        <s v="1253@gmail.com"/>
        <s v="1254@gmail.com"/>
        <s v="1255@hotmail.com"/>
        <s v="1256@gmail.com"/>
        <s v="1257@carsbarcelona.es"/>
        <s v="1258@gmail.com"/>
        <s v="1259@radresa.com"/>
        <s v="1260@gdr.es"/>
        <s v="1261@e-copitile.es"/>
        <s v="1262@hotmail.com"/>
        <s v="1263@hotmail.com"/>
        <s v="1264@gmail.com"/>
        <s v="1265@hotmail.com"/>
        <s v="1266@gmail.com"/>
        <s v="1267@motor2000.net"/>
        <s v="1268@gamai.com"/>
        <s v="1269@kuartafase.com"/>
        <s v="1270@solcansl.com"/>
        <s v="1271@yahoo.es"/>
        <s v="1272@gmail.com"/>
        <s v="1273@telefonica.net"/>
        <s v="1274@gmail.com"/>
        <s v="1275@sonepar.es"/>
        <s v="1276@protomar.es"/>
        <s v="1277@sonepar.es"/>
        <s v="1278@gmail.com"/>
        <s v="1279@fccco.com"/>
        <s v="1280@coitiar.es"/>
        <s v="1281@albillos.com"/>
        <s v="1282@hotmail.com"/>
        <s v="1283@gmail.com"/>
        <s v="1284@gmail.com"/>
        <s v="1285@e3ingenieria.com"/>
        <s v="1286@instalacionespiru.es"/>
        <s v="1287@aytosalamanca.es"/>
        <s v="1288@serpel.es"/>
        <s v="1289@gmail.com"/>
        <s v="1290@tesma.es"/>
        <s v="1291@macegroup.com"/>
        <s v="1292@gmail.com"/>
        <s v="1293@gmail.com"/>
        <s v="1294@gmail.com"/>
        <s v="1295@hotmail.es"/>
        <s v="1296@gmail.com"/>
        <s v="1297@silmarinstalacions.com"/>
        <s v="1298@gmail.com"/>
        <s v="1299@sonepar.es"/>
        <s v="1300@movistar.es"/>
        <s v="1301@electricidadaldama.com"/>
        <s v="1302@alem.es"/>
        <s v="1303@hotmail.com"/>
        <s v="1304@ingenibo.com"/>
        <s v="1305@checa67.es"/>
        <s v="1306@instalacionesyobrasdelrio.com"/>
        <s v="1307@gmail.com"/>
        <s v="1308@tdgi.pt"/>
        <s v="1309@gmail.com"/>
        <s v="1310@hotmail.com"/>
        <s v="1311@gmail.com"/>
        <s v="1312@gmail.com"/>
        <s v="1313@adober.es"/>
        <s v="1314@jtelectricperu.com"/>
        <s v="1315@riello-tdl.com"/>
        <s v="1316@proyndust.es"/>
        <s v="1317@gmail.com"/>
        <s v="1318@inteleclamancha.com"/>
        <s v="1319@masfarne.info"/>
        <s v="1320@gmail.com"/>
        <s v="1321@gmail.com"/>
        <s v="1322@gmail.com"/>
        <s v="1323@gmail.com"/>
        <s v="1324@hotmail.com"/>
        <s v="1325@gmail.com"/>
        <s v="1326@saltoki.es"/>
        <s v="1327@tinet.org"/>
        <s v="1328@gmail.com"/>
        <s v="1329@gmail.com"/>
        <s v="1330@comb.cat"/>
        <s v="1331@gmail.com"/>
        <s v="1332@novarquia.es"/>
        <s v="1333@lantec.es"/>
        <s v="1334@hotmail.es"/>
        <s v="1335@santalucia.es"/>
        <s v="1336@yahoo.es"/>
        <s v="1337@grupoelectrostocks.com"/>
        <s v="1338@gmail.com"/>
        <s v="1339@electrogalmar.es"/>
        <s v="1340@silezgrup.com"/>
        <s v="1341@electricidadinstalvi.com"/>
        <s v="1342@ic3sl.com"/>
        <s v="1343@hotmail.com"/>
        <s v="1344@gmail.com"/>
        <s v="1345@telefonica.net"/>
        <s v="1346@boslan.com"/>
        <s v="1347@ormazabal.com"/>
        <s v="1348@gmail.com"/>
        <s v="1349@gmail.com"/>
        <s v="1350@gmail.com"/>
        <s v="1351@conselldemallorca.net"/>
        <s v="1352@autelec.net"/>
        <s v="1353@cairo.ad"/>
        <s v="1354@hotmail.com"/>
        <s v="1355@gmail.com"/>
        <s v="1356@hotmail.com"/>
        <s v="1357@gmail.com"/>
        <s v="1358@gmail.com"/>
        <s v="1359@grupotandal.com"/>
        <s v="1360@hotmail.com"/>
        <s v="1361@gmail.com"/>
        <s v="1362@gmail.com"/>
        <s v="1363@hotmail.com"/>
        <s v="1364@eirazola.com"/>
        <s v="1365@hotmail.com"/>
        <s v="1366@electroalco.es"/>
        <s v="1367@telecable.es"/>
        <s v="1368@baselec.es"/>
        <s v="1369@atribal.es"/>
        <s v="1370@hotmail.com"/>
        <s v="1371@gmail.com"/>
        <s v="1372@telefonica.net"/>
        <s v="1373@electrolucman.com"/>
        <s v="1374@autelec.net"/>
        <s v="1375@gmail.com"/>
        <s v="1376@telefonica.net"/>
        <s v="1377@hotmail.com"/>
        <s v="1378@electromat.com"/>
        <s v="1379@hotmail.com"/>
        <s v="1380@gmail.com"/>
        <s v="1381@msn.com"/>
        <s v="1382@gmail.com"/>
        <s v="1383@grupoazmont.com"/>
        <s v="1384@eringenieria.com"/>
        <s v="1385@telefonica.net"/>
        <s v="1386@grupoevc.es"/>
        <s v="1387@yahoo.com.mx"/>
        <s v="1388@covama.es"/>
        <s v="1389@hotmail.com"/>
        <s v="1390@gmail.com"/>
        <s v="1391@grupojab.es"/>
        <s v="1392@msn.com"/>
        <s v="1393@electricidadguerra.com"/>
        <s v="1394@gmail.com"/>
        <s v="1395@cenorma.com"/>
        <s v="1396@telefonica.net"/>
        <s v="1397@olibayas.net"/>
        <s v="1398@teclisa.com"/>
        <s v="1399@gmail.com"/>
        <s v="1400@apeh.org"/>
        <s v="1401@auditenergia.com"/>
        <s v="1402@gmail.com"/>
        <s v="1403@grupoelectrostocks.com"/>
        <s v="1404@eurocabos.es"/>
        <s v="1405@arreglosoluciones.com"/>
        <s v="1406@gmail.com"/>
        <s v="1407@gmail.com"/>
        <s v="1408@cepsa.com"/>
        <s v="1409@simon.es"/>
        <s v="1410@elecnor.es"/>
        <s v="1411@ujaen.es"/>
        <s v="1412@electryser.com"/>
        <s v="1413@gmail.com"/>
        <s v="1414@gmail.com"/>
        <s v="1415@coytesa.com"/>
        <s v="1416@edifesa.com"/>
        <s v="1417@gmail.com"/>
        <s v="1418@gmail.com"/>
        <s v="1419@gmail.com"/>
        <s v="1420@globalelectrica.com"/>
        <s v="1421@itesasl.com"/>
        <s v="1422@gmail.com"/>
        <s v="1423@telefonica.net"/>
        <s v="1424@gmail.com"/>
        <s v="1425@elezvi.com"/>
        <s v="1426@gmail.com"/>
        <s v="1427@hotmail.es"/>
        <s v="1428@gadeaingenieros.com"/>
        <s v="1429@yahoo.es"/>
        <s v="1430@outlook.es"/>
        <s v="1431@jgingenieros.es"/>
        <s v="1432@gmail.com"/>
        <s v="1433@apeme.es"/>
        <s v="1434@planamar.com"/>
        <s v="1435@serindex.es"/>
        <s v="1436@deerns.com"/>
        <s v="1437@indal-tec.com"/>
        <s v="1438@hotmail.com"/>
        <s v="1439@amingenieros.com"/>
        <s v="1440@hotmail.com"/>
        <s v="1441@gmail.com"/>
        <s v="1442@sonepar.es"/>
        <s v="1443@hotmail.com"/>
        <s v="1444@gmail.com"/>
        <s v="1445@gmail.com"/>
        <s v="1446@gmail.com"/>
        <s v="1447@galektra.es"/>
        <s v="1448@renowattandorra.com"/>
        <s v="1449@aseisa.es"/>
        <s v="1450@hotmail.com"/>
        <s v="1451@electrocuebar.com"/>
        <s v="1452@ricarsat.com"/>
        <s v="1453@ingenierosdecadiz.es"/>
        <s v="1454@yahoo.es"/>
        <s v="1455@gmail.com"/>
        <s v="1456@telefonica.net"/>
        <s v="1457@covama.es"/>
        <s v="1458@gmail.com"/>
        <s v="1459@mican.es"/>
        <s v="1460@gmail.com"/>
        <s v="1461@gmail.com"/>
        <s v="1462@cadlan.com"/>
        <s v="1463@sicarsl.es"/>
        <s v="1464@gmail.com"/>
        <s v="1465@guielec.es"/>
        <s v="1466@telegrado.es"/>
        <s v="1467@agave-broadcast.es"/>
        <s v="1468@gmail.com"/>
        <s v="1469@hotmail.com"/>
        <s v="1470@gmail.com"/>
        <s v="1471@tcasertec.com"/>
        <s v="1472@yahoo.es"/>
        <s v="1473@hotmail.com"/>
        <s v="1474@urgon.es"/>
        <s v="1475@electricidadreset.es"/>
        <s v="1476@sonepar.es"/>
        <s v="1477@sonepar.es"/>
        <s v="1478@gmail.com"/>
        <s v="1479@iespunyes.com"/>
        <s v="1480@coiim.es"/>
        <s v="1481@iesmercurio.es"/>
        <s v="1482@gmail.com"/>
        <s v="1483@gruponovelec.com"/>
        <s v="1484@r3recymed.com"/>
        <s v="1485@simon.es"/>
        <s v="1486@gmail.com"/>
        <s v="1487@gmail.com"/>
        <s v="1488@telefonica.net"/>
        <s v="1489@gmail.com"/>
        <s v="1490@hotmail.com"/>
        <s v="1491@donbany.com"/>
        <s v="1492@aurialux.com"/>
        <s v="1493@hotmail.com"/>
        <s v="1494@gmail.com"/>
        <s v="1495@grupcluster.com"/>
        <s v="1496@coitt.es"/>
        <s v="1497@covama.es"/>
        <s v="1498@gmail.com"/>
        <s v="1499@sonepar.es"/>
        <s v="1500@covama.es"/>
        <s v="1501@clientes.euskaltel.es"/>
        <s v="1502@educastur.org"/>
        <s v="1503@simon.es"/>
        <s v="1504@gmail.com"/>
        <s v="1505@gmail.com"/>
        <s v="1506@dhorma.com"/>
        <s v="1507@hotmail.com"/>
        <s v="1508@gmail.com"/>
        <s v="1509@xonxa.com"/>
        <s v="1510@adelanteenergia.es"/>
        <s v="1511@hotmail.com"/>
        <s v="1512@elecox.es"/>
        <s v="1513@simon.es"/>
        <s v="1514@hotmail.com"/>
        <s v="1515@expertline.es"/>
        <s v="1516@gmail.com"/>
        <s v="1517@hotmail.com"/>
        <s v="1518@gmail.com"/>
        <s v="1519@tadelec.com"/>
        <s v="1520@cebrinsa.es"/>
        <s v="1521@hotmail.com"/>
        <s v="1522@agad.cat"/>
        <s v="1523@ofitep.com"/>
        <s v="1524@suministrosserpis.es"/>
        <s v="1525@abcgrup.com"/>
        <s v="1526@gmail.com"/>
        <s v="1527@prodelec.es"/>
        <s v="1528@sitiaingenieria.com"/>
        <s v="1529@simon.es"/>
        <s v="1530@aller.es"/>
        <s v="1531@telefonica.net"/>
        <s v="1532@telefonica.net"/>
        <s v="1533@gmail.com"/>
        <s v="1534@gmail.com"/>
        <s v="1535@hotmail.com"/>
        <s v="1536@estudiosyproyectos.com"/>
        <s v="1537@prysmiangroup.com"/>
        <s v="1538@auditenergia.com"/>
        <s v="1539@hotmail.com"/>
        <s v="1540@heliopol.es"/>
        <s v="1541@acp-level.es"/>
        <s v="1542@meomsl.com"/>
        <s v="1543@cotpa.com"/>
        <s v="1544@hotmail.com"/>
        <s v="1545@hotmail.com"/>
        <s v="1546@gmail.com"/>
        <s v="1547@gmail.com"/>
        <s v="1548@gva.es"/>
        <s v="1549@urgon.es"/>
        <s v="1550@die.upv.es"/>
        <s v="1551@avatry.es"/>
        <s v="1552@yahoo.es"/>
        <s v="1553@arfecons.es"/>
        <s v="1554@simon.es"/>
        <s v="1555@marinstal.com"/>
        <s v="1556@electricidadguerra.com"/>
        <s v="1557@gmail.com"/>
        <s v="1558@gmail.com"/>
        <s v="1559@strong.es"/>
        <s v="1560@copitival.es"/>
        <s v="1561@elecvic.com"/>
        <s v="1562@gmail.com"/>
        <s v="1563@emtvalencia.es"/>
        <s v="1564@dimelsa.es"/>
        <s v="1565@simon.es"/>
        <s v="1566@elecparamos.com"/>
        <s v="1567@egarriga.com"/>
        <s v="1568@gmail.com"/>
        <s v="1569@ecag.es"/>
        <s v="1570@yahoo.es"/>
        <s v="1571@electrolid.es"/>
        <s v="1572@flotatsyasociados.com"/>
        <s v="1573@hotmail.com"/>
        <s v="1574@gmail.com"/>
        <s v="1575@gmail.com"/>
        <s v="1576@conrad.cat"/>
        <s v="1577@cimelsa.com"/>
        <s v="1578@covama.es"/>
        <s v="1579@inblau.es"/>
        <s v="1580@grupotesein.com"/>
        <s v="1581@arpeestudio.com"/>
        <s v="1582@edu.xunta.es"/>
        <s v="1583@hotmail.com"/>
        <s v="1584@gmail.com"/>
        <s v="1585@vialuz.es"/>
        <s v="1586@genserma.es"/>
        <s v="1587@naturgy.com"/>
        <s v="1588@jgingenieros.es"/>
        <s v="1589@gmail.com"/>
        <s v="1590@efik.cat"/>
        <s v="1591@gmail.com"/>
        <s v="1592@mesenergia.cat"/>
        <s v="1593@gmail.com"/>
        <s v="1594@jgingenieros.es"/>
        <s v="1595@gmail.com"/>
        <s v="1596@gruponovelec.com"/>
        <s v="1597@gmail.com"/>
        <s v="1598@coac.net"/>
        <s v="1599@conmasa.cat"/>
        <s v="1600@coelca.com"/>
        <s v="1601@yahoo.es"/>
        <s v="1602@gmail.com"/>
        <s v="1603@gmail.com"/>
        <s v="1604@geinstal.com"/>
        <s v="1605@recargamostucoche.com"/>
        <s v="1606@cesvimap.com"/>
        <s v="1607@talesingenieria.es"/>
        <s v="1608@grupolasser.com"/>
        <s v="1609@gmail.com"/>
        <s v="1610@gmail.com"/>
        <s v="1611@lasallesagradocorazon.es"/>
        <s v="1612@gmail.com"/>
        <s v="1613@muntanerelectro.com"/>
        <s v="1614@electronalon.es"/>
        <s v="1615@hotmail.es"/>
        <s v="1616@wct.es"/>
        <s v="1617@e-noses.com"/>
        <s v="1618@hotmail.com"/>
        <s v="1619@simon.es"/>
        <s v="1620@ciudaddelosmuchachos.com"/>
        <s v="1621@salicru.com"/>
        <s v="1622@electropla.cat"/>
        <s v="1623@gmail.com"/>
        <s v="1624@sistema1.es"/>
        <s v="1625@hotmail.com"/>
        <s v="1626@adaliaradio.com"/>
        <s v="1627@elec-matic.com"/>
        <s v="1628@solbesingenieros.com"/>
        <s v="1629@coac.net"/>
        <s v="1630@sertec.es"/>
        <s v="1631@sri.es"/>
        <s v="1632@iremael.com"/>
        <s v="1633@coam.es"/>
        <s v="1634@gmail.com"/>
        <s v="1635@arevoltapc.com"/>
        <s v="1636@yahoo.es"/>
        <s v="1637@gmail.com"/>
        <s v="1638@teclisa.com"/>
        <s v="1639@senae.es"/>
        <s v="1640@infonegocio.com"/>
        <s v="1641@gmail.com"/>
        <s v="1642@aytoguadalajara.es"/>
        <s v="1643@splitmania.net"/>
        <s v="1644@tevigrup.com"/>
        <s v="1645@gomezmoreno.com"/>
        <s v="1646@geserelectric.es"/>
        <s v="1647@telefonica.net"/>
        <s v="1648@gmail.com"/>
        <s v="1649@vamostelecom.es"/>
        <s v="1650@hotmail.com"/>
        <s v="1651@gmail.com"/>
        <s v="1652@skyclimber.es"/>
        <s v="1653@sonepar.es"/>
        <s v="1654@movinetenergia.com"/>
        <s v="1655@sonepar.es"/>
        <s v="1656@gmx.es"/>
        <s v="1657@pontosolar.com"/>
        <s v="1658@gmail.com"/>
        <s v="1659@orpoint.com"/>
        <s v="1660@relsa.es"/>
        <s v="1661@turelectric.com"/>
        <s v="1662@neinorhomes.com"/>
        <s v="1663@hotmail.com"/>
        <s v="1664@jgingenieros.es"/>
        <s v="1665@gmail.com"/>
        <s v="1666@coto.pro"/>
        <s v="1667@hotmail.com"/>
        <s v="1668@negratin.com"/>
        <s v="1669@gmail.com"/>
        <s v="1670@electricidadisla.com"/>
        <s v="1671@epc-industrial.com"/>
        <s v="1672@internoringenieros.es"/>
        <s v="1673@gailmafra.com"/>
        <s v="1674@gmail.com"/>
        <s v="1675@exinor.com"/>
        <s v="1676@unex.net"/>
        <s v="1677@simon.es"/>
        <s v="1678@simon.es"/>
        <s v="1679@levantinadecuadros.com"/>
        <s v="1680@trelec.es"/>
        <s v="1681@gmail.com"/>
        <s v="1682@hotmail.es"/>
        <s v="1683@eleccom.es"/>
        <s v="1684@climalec.com"/>
        <s v="1685@zuaznabar.com"/>
        <s v="1686@yahoo.com"/>
        <s v="1687@gestilar.com"/>
        <s v="1688@muringenieros.es"/>
        <s v="1689@jlgingenieria.com"/>
        <s v="1690@gruponovelec.com"/>
        <s v="1691@hotmail.com"/>
        <s v="1692@tecasol.net"/>
        <s v="1693@gmx.es"/>
        <s v="1694@gmail.com"/>
        <s v="1695@gruponortica.com"/>
        <s v="1696@gmail.com"/>
        <s v="1697@yahoo.es"/>
        <s v="1698@jgi.es"/>
        <s v="1699@panchofernandez.com"/>
        <s v="1700@padrao.com.pt"/>
        <s v="1701@insmarbella.com"/>
        <s v="1702@gestion-energetica.eu"/>
        <s v="1703@laelectrica.com"/>
        <s v="1704@hotmail.com"/>
        <s v="1705@sanehogar.com"/>
        <s v="1706@otp.cat"/>
        <s v="1707@lledosa.es"/>
        <s v="1708@gmail.com"/>
        <s v="1709@serium.es"/>
        <s v="1710@gmail.com"/>
        <s v="1711@simon.es"/>
        <s v="1712@gmail.com"/>
        <s v="1713@gmail.com"/>
        <s v="1714@cirima.es"/>
        <s v="1715@upv.es"/>
        <s v="1716@fuengiroluz.es"/>
        <s v="1717@soelvi.es"/>
        <s v="1718@yupcharge.com"/>
        <s v="1719@simon.pt"/>
        <s v="1720@yahoo.es"/>
        <s v="1721@mafonsa.cat"/>
        <s v="1722@folgarona.com"/>
        <s v="1723@gmail.com"/>
        <s v="1724@arbonapiza.com"/>
        <s v="1725@coelbe.com"/>
        <s v="1726@quadrifoli.com"/>
        <s v="1727@grupojab.es"/>
        <s v="1728@gmail.com"/>
        <s v="1729@gmail.com"/>
        <s v="1730@armeriaeskola.eus"/>
        <s v="1731@inserty.net"/>
        <s v="1732@gmail.com"/>
        <s v="1733@ecm-partners.com"/>
        <s v="1734@ofintex.com"/>
        <s v="1735@gruponovelec.com"/>
        <s v="1736@electrovizcaya.com"/>
        <s v="1737@salesianos.edu"/>
        <s v="1738@msn.com"/>
        <s v="1739@jh-internacional.com"/>
        <s v="1740@doica.net"/>
        <s v="1741@grupoelectrostocks.com"/>
        <s v="1742@industrialgines.com"/>
        <s v="1743@ceymo.es"/>
        <s v="1744@gmail.com"/>
        <s v="1745@bod.es"/>
        <s v="1746@hotmail.es"/>
        <s v="1747@araiz.es"/>
        <s v="1748@salesianosatocha.es"/>
        <s v="1749@simon.es"/>
        <s v="1750@itecnal.com"/>
        <s v="1751@altener.es"/>
        <s v="1752@intec3.es"/>
        <s v="1753@arcadis.com"/>
        <s v="1754@gabyl.com"/>
        <s v="1755@pgiengineering.com"/>
        <s v="1756@gmail.com"/>
        <s v="1757@indair-genercasadevall.cat"/>
        <s v="1758@gmail.com"/>
        <s v="1759@galektra.es"/>
        <s v="1760@xtec.cat"/>
        <s v="1761@spiritingenieria.es"/>
        <s v="1762@adqa.com"/>
        <s v="1763@coacordoba.net"/>
        <s v="1764@gmail.com"/>
        <s v="1765@instalplus.es"/>
        <s v="1766@gmail.com"/>
        <s v="1767@gmail.com"/>
        <s v="1768@telefonica.net"/>
        <s v="1769@gmail.com"/>
        <s v="1770@hotmail.es"/>
        <s v="1771@gmail.com"/>
        <s v="1772@cosmoseguridad.com"/>
        <s v="1773@simon.es"/>
        <s v="1774@soloviov.es"/>
        <s v="1775@gmail.com"/>
        <s v="1776@incat.cat"/>
        <s v="1777@simon.pt"/>
        <s v="1778@gmail.com"/>
        <s v="1779@barreu.com"/>
        <s v="1780@metromadrid.es"/>
        <s v="1781@autoradiomontijo.es"/>
        <s v="1782@simon.es"/>
        <s v="1783@telefonica.net"/>
        <s v="1784@coytesa.com"/>
        <s v="1785@arintec.com"/>
        <s v="1786@simon.es"/>
        <s v="1787@roigconstruccions.com"/>
        <s v="1788@hotmail.com"/>
        <s v="1789@electromat.com"/>
        <s v="1790@electricarius.com"/>
        <s v="1791@gmail.com"/>
        <s v="1792@incober.es"/>
        <s v="1793@gmail.com"/>
        <s v="1794@enchufing.com"/>
        <s v="1795@gmail.com"/>
        <s v="1796@sorigue.com"/>
        <s v="1797@icaingenieros.com"/>
        <s v="1798@eleccom.es"/>
        <s v="1799@wurth.es"/>
        <s v="1800@hotmail.com"/>
        <s v="1801@gmail.com"/>
        <s v="1802@hotmail.es"/>
        <s v="1803@ymcelectrica.com"/>
        <s v="1804@meguerra.com"/>
        <s v="1805@gmail.com"/>
        <s v="1806@aymesa.com"/>
        <s v="1807@saltoki.es"/>
        <s v="1808@gmail.com"/>
        <s v="1809@prodelec.es"/>
        <s v="1810@ebegroup.net"/>
        <s v="1811@ansiel.eu"/>
        <s v="1812@ext.mpsa.com"/>
        <s v="1813@gmail.com"/>
        <s v="1814@grupoetra.com"/>
        <s v="1815@grupojab.es"/>
        <s v="1816@petesan.es"/>
        <s v="1817@eurocabos.es"/>
        <s v="1818@electricidadpolop.es"/>
        <s v="1819@simon.es"/>
        <s v="1820@marveco.com"/>
        <s v="1821@construciainstalaciones.com"/>
        <s v="1822@diexfe.com"/>
        <s v="1823@saltoki.es"/>
        <s v="1824@selpri.pt"/>
        <s v="1825@digamel.com"/>
        <s v="1826@gestionservicios.com"/>
        <s v="1827@gmail.com"/>
        <s v="1828@econergia.es"/>
        <s v="1829@1aingenieros.com"/>
        <s v="1830@gmail.com"/>
        <s v="1831@monlau.com"/>
        <s v="1832@mhindustrias.com"/>
        <s v="1833@coitir.com"/>
        <s v="1834@valls.cat"/>
        <s v="1835@gmail.com"/>
        <s v="1836@biper.es"/>
        <s v="1837@cersanz.es"/>
        <s v="1838@gruponovelec.com"/>
        <s v="1839@gmail.com"/>
        <s v="1840@ingenierosvigo.com"/>
        <s v="1841@infova.es"/>
        <s v="1842@simon.es"/>
        <s v="1843@jovitel.com"/>
        <s v="1844@grupoelectrostocks.com"/>
        <s v="1845@hotmail.com"/>
        <s v="1846@gmail.com"/>
        <s v="1847@viegasefilhos.pt"/>
        <s v="1848@gmail.com"/>
        <s v="1849@minsait.com"/>
        <s v="1850@yahoo.com"/>
        <s v="1851@gmail.com"/>
        <s v="1852@gmail.com"/>
        <s v="1853@hotmail.com"/>
        <s v="1854@hotmail.com"/>
        <s v="1855@inboundcycle.com"/>
        <s v="1856@hotmail.com"/>
        <s v="1857@mantise.com"/>
        <s v="1858@yahoo.es"/>
        <s v="1859@gmail.com"/>
        <s v="1860@gmail.com"/>
        <s v="1861@gmail.com"/>
        <s v="1862@gmail.com"/>
        <s v="1863@hotmail.com"/>
        <s v="1864@gmail.com"/>
        <s v="1865@gmail.com"/>
        <s v="1866@inrobadajoz.com"/>
        <s v="1867@cbringenieria.es"/>
        <s v="1868@hotmail.com"/>
        <s v="1869@gmail.com"/>
        <s v="1870@marlexingenieria.com"/>
        <s v="1871@abc.gob.ar"/>
        <s v="1872@gmail.com"/>
        <s v="1873@rodosa.com"/>
        <s v="1874@gesel.ie.ufrj.br"/>
        <s v="1875@gmail.com"/>
        <s v="1876@gmail.com"/>
        <s v="1877@gmail.com"/>
        <s v="1878@gmail.com"/>
        <s v="1879@jafenginyeria.cat"/>
        <s v="1880@dipta.cat"/>
        <s v="1881@simon.es"/>
        <s v="1882@gmail.com"/>
        <s v="1883@adingenieros.es"/>
        <s v="1884@zuecoingenieria.com"/>
        <s v="1885@groupg4.com"/>
        <s v="1886@outlook.com"/>
        <s v="1887@gmail.com"/>
        <s v="1888@instalacionsgarmi.com"/>
        <s v="1889@cetim.cat"/>
        <s v="1890@setenergia.com"/>
        <s v="1891@ciudaddelosmuchachos.com"/>
        <s v="1892@soltecingenieros.com"/>
        <s v="1893@byguk.com"/>
        <s v="1894@arasolutions.es"/>
        <s v="1895@grupoarquitelia.com"/>
        <s v="1896@gmail.com"/>
        <s v="1897@hotmail.es"/>
        <s v="1898@navantia.es"/>
        <s v="1899@gmail.com"/>
        <s v="1900@hotmail.com"/>
        <s v="1901@gmail.com"/>
        <s v="1902@hotmail.com"/>
        <s v="1903@yahoo.es"/>
        <s v="1904@gmail.com"/>
        <s v="1905@gmail.com"/>
        <s v="1906@gmail.com"/>
        <s v="1907@yahoo.es"/>
        <s v="1908@enel.com"/>
        <s v="1909@gmail.com"/>
        <s v="1910@antelecat.com"/>
        <s v="1911@gmail.com"/>
        <s v="1912@gmail.com"/>
        <s v="1913@gmail.com"/>
        <s v="1914@simon.es"/>
        <s v="1915@zmingenieros.com"/>
        <s v="1916@gmail.com"/>
        <s v="1917@gmail.com"/>
        <s v="1918@sgx.cat"/>
        <s v="1919@simon.pt"/>
        <s v="1920@gmail.com"/>
        <s v="1921@msn.com"/>
        <s v="1922@simon.es"/>
        <s v="1923@agosa.es"/>
        <s v="1924@merlosl.es"/>
        <s v="1925@elecnor.com"/>
        <s v="1926@elecam.com"/>
        <s v="1927@anbatel.com"/>
        <s v="1928@gmail.com"/>
        <s v="1929@hotmail.com"/>
        <s v="1930@gmail.com"/>
        <s v="1931@gmail.com"/>
        <s v="1932@cotelsa.com"/>
        <s v="1933@lujama.com"/>
        <s v="1934@ferrovial.com"/>
        <s v="1935@telefonica.net"/>
        <s v="1936@e2enginyeria.com"/>
        <s v="1937@gmail.com"/>
        <s v="1938@gmail.com"/>
        <s v="1939@simon.es"/>
        <s v="1940@electromercantil.es"/>
        <s v="1941@hotmail.com"/>
        <s v="1942@ciudaddelosmuchachos.com"/>
        <s v="1943@gmail.com"/>
        <s v="1944@didacticaformacion.es"/>
        <s v="1945@ip21ingenieria.com"/>
        <s v="1946@gmail.com"/>
        <s v="1947@gmail.com"/>
        <s v="1948@culmar.net"/>
        <s v="1949@suno.cat"/>
        <s v="1950@yahoo.es"/>
        <s v="1951@engimatica.com"/>
        <s v="1952@tinet.cat"/>
        <s v="1953@proyteczaragoza.com"/>
        <s v="1954@dicsl.com"/>
        <s v="1955@salesianos.edu"/>
        <s v="1956@gmail.com"/>
        <s v="1957@msn.com"/>
        <s v="1958@iebsl.com"/>
        <s v="1959@gmail.com"/>
        <s v="1960@ic3sl.com"/>
        <s v="1961@hotmail.com"/>
        <s v="1962@lliro.com"/>
        <s v="1963@atisistemas.com"/>
        <s v="1964@hotmail.com"/>
        <s v="1965@tienda-gasnatural.com"/>
        <s v="1966@gmail.com"/>
        <s v="1967@ferrovial.com"/>
        <s v="1968@gmail.com"/>
        <s v="1969@fundacionmasaveu.com"/>
        <s v="1970@electrificacionesparra.es"/>
        <s v="1971@tienda-gasnatural.com"/>
        <s v="1972@projecal.com"/>
        <s v="1973@ingekor.com"/>
        <s v="1974@proluxingenieros.com"/>
        <s v="1975@outlook.es"/>
        <s v="1976@electronavia.com"/>
        <s v="1977@gmail.com"/>
        <s v="1978@hotmail.com"/>
        <s v="1979@matcas.es"/>
        <s v="1980@hotmail.com"/>
        <s v="1981@gmail.com"/>
        <s v="1982@hotmail.com"/>
        <s v="1983@suno.cat"/>
        <s v="1984@hotmail.com"/>
        <s v="1985@tinet.org"/>
        <s v="1986@martipala.com"/>
        <s v="1987@simon.es"/>
        <s v="1988@lusorede.pt"/>
        <s v="1989@elecdomo.com"/>
        <s v="1990@gmail.com"/>
        <s v="1991@gmail.com"/>
        <s v="1992@proecoingenieria.com"/>
        <s v="1993@simon.es"/>
        <s v="1994@gmail.com"/>
        <s v="1995@gmail.com"/>
        <s v="1996@gmail.com"/>
        <s v="1997@comi-sl.com"/>
        <s v="1998@gmail.com"/>
        <s v="1999@obrelsa.com"/>
        <s v="2000@hotmail.com"/>
        <s v="2001@alainsa.com"/>
        <s v="2002@camarasaragon.com"/>
        <s v="2003@alainsa.com"/>
        <s v="2004@mcamps.es"/>
        <s v="2005@hotmail.com"/>
        <s v="2006@masteringenieria.com"/>
        <s v="2007@simon.es"/>
        <s v="2008@yahoo.es"/>
        <s v="2009@gmail.com"/>
        <s v="2010@incasl.com"/>
        <s v="2011@gmail.com"/>
        <s v="2012@gmail.com"/>
        <s v="2013@ecopimeprojects.com"/>
        <s v="2014@gmail.com"/>
        <s v="2015@hotmail.com"/>
        <s v="2016@simon.es"/>
        <s v="2017@sogesa.es"/>
        <s v="2018@mantise.com"/>
        <s v="2019@didacticaformacion.es"/>
        <s v="2020@forestaldelatlantico.com"/>
        <s v="2021@osnova.net"/>
        <s v="2022@solarinspain.com"/>
        <s v="2023@gmail.com"/>
        <s v="2024@grupooca.com"/>
        <s v="2025@gmail.com"/>
        <s v="2026@telefonica.net"/>
        <s v="2027@hotmail.com"/>
        <s v="2028@grupooca.com"/>
        <s v="2029@sonepar.es"/>
        <s v="2030@gmail.com"/>
        <s v="2031@electrofiloeste.es"/>
        <s v="2032@masalo.biz"/>
        <s v="2033@elmoelectric.com"/>
        <s v="2034@tienda-gasnatural.com"/>
        <s v="2035@yahoo.es"/>
        <s v="2036@sece.com"/>
        <s v="2037@agefred.es"/>
        <s v="2038@legomar.com"/>
        <s v="2039@antrelec.net"/>
        <s v="2040@grupsoler.com"/>
        <s v="2041@electromercantil.es"/>
        <s v="2042@gmail.com"/>
        <s v="2043@gmail.com"/>
        <s v="2044@orvi-s.es"/>
        <s v="2045@gmail.com"/>
        <s v="2046@gmail.com"/>
        <s v="2047@gmail.com"/>
        <s v="2048@visioelectric.es"/>
        <s v="2049@telefonica.net"/>
        <s v="2050@melecmor.com"/>
        <s v="2051@gmail.com"/>
        <s v="2052@simon.es"/>
        <s v="2053@sades.es"/>
        <s v="2054@simon.es"/>
        <s v="2055@gmail.com"/>
        <s v="2056@hotmail.com"/>
        <s v="2057@gmail.com"/>
        <s v="2058@sonepar.es"/>
        <s v="2059@gmail.com"/>
        <s v="2060@gmail.com"/>
        <s v="2061@hotmail.es"/>
        <s v="2062@euskalnet.net"/>
        <s v="2063@gmail.com"/>
        <s v="2064@hotmail.com"/>
        <s v="2065@gmail.com"/>
        <s v="2066@gmail.com"/>
        <s v="2067@gmail.com"/>
        <s v="2068@gencat.cat"/>
        <s v="2069@gmail.com"/>
        <s v="2070@hotmail.com"/>
        <s v="2071@gmail.com"/>
        <s v="2072@gmail.com"/>
        <s v="2073@gmail.com"/>
        <s v="2074@hotmail.com"/>
        <s v="2075@gmail.com"/>
        <s v="2076@gmail.com"/>
        <s v="2077@gmail.com"/>
        <s v="2078@gmail.com"/>
        <s v="2079@gmail.com"/>
        <s v="2080@grupoelectrostocks.com"/>
        <s v="2081@cymel.com"/>
        <s v="2082@hotmail.com"/>
        <s v="2083@gmail.com"/>
        <s v="2084@hcparquitectos.com"/>
        <s v="2085@gmail.com"/>
        <s v="2086@farelle.com"/>
        <s v="2087@hotmail.com"/>
        <s v="2088@gmail.com"/>
        <s v="2089@hotmail.com"/>
        <s v="2090@estabanell.cat"/>
        <s v="2091@gmail.com"/>
        <s v="2092@outlook.com"/>
        <s v="2093@gmail.com"/>
        <s v="2094@gmail.com"/>
        <s v="2095@hotmail.com"/>
        <s v="2096@formasymateriales.com"/>
        <s v="2097@hotmail.com"/>
        <s v="2098@simon.es"/>
        <s v="2099@grupoelectrostocks.com"/>
        <s v="2100@simon.es"/>
        <s v="2101@gmail.com"/>
        <s v="2102@gmail.com"/>
        <s v="2103@hotmail.com"/>
        <s v="2104@temarelectronica.es"/>
        <s v="2105@nauta.cu"/>
        <s v="2106@gmail.com"/>
        <s v="2107@danmur.es"/>
        <s v="2108@emvisesa.org"/>
        <s v="2109@huelvanorte.es"/>
        <s v="2110@ingeconsulting.com"/>
        <s v="2111@iraiaingenieros.com"/>
        <s v="2112@gmail.com"/>
        <s v="2113@gmail.com"/>
        <s v="2114@tecnoclimainstalaciones.com"/>
        <s v="2115@outlook.es"/>
        <s v="2116@gmail.com"/>
        <s v="2117@gmail.com"/>
        <s v="2118@hotmail.com"/>
        <s v="2119@gmail.com"/>
        <s v="2120@gmail.com"/>
        <s v="2121@gmail.com"/>
        <s v="2122@somains.com"/>
        <s v="2123@gmail.com"/>
        <s v="2124@gmail.com"/>
        <s v="2125@ctac.es"/>
        <s v="2126@gmail.com"/>
        <s v="2127@hotmail.com"/>
        <s v="2128@gmail.com"/>
        <s v="2129@gmail.com"/>
        <s v="2130@hotmail.com"/>
        <s v="2131@gmail.com"/>
        <s v="2132@hotmail.com"/>
        <s v="2133@gmail.com"/>
        <s v="2134@gmx.es"/>
        <s v="2135@gmail.com"/>
        <s v="2136@gmail.com"/>
        <s v="2137@hotmail.com"/>
        <s v="2138@gmail.com"/>
        <s v="2139@gmail.com"/>
        <s v="2140@gmail.com"/>
        <s v="2141@gmail.com"/>
        <s v="2142@simon.es"/>
        <s v="2143@gmail.com"/>
        <s v="2144@gmail.com"/>
        <s v="2145@gmail.com"/>
        <s v="2146@hotmail.es"/>
        <s v="2147@gmail.com"/>
        <s v="2148@gmail.com"/>
        <s v="2149@gmail.com"/>
        <s v="2150@yahoo.es"/>
        <s v="2151@gmail.com"/>
        <s v="2152@igkarratu.com"/>
        <s v="2153@gmail.com"/>
        <s v="2154@gmail.com"/>
        <s v="2155@gmail.com"/>
        <s v="2156@gmail.com"/>
        <s v="2157@hotmail.com"/>
        <s v="2158@gmail.com"/>
        <s v="2159@hotmail.com"/>
        <s v="2160@yahoo.es"/>
        <s v="2161@hotmail.com"/>
        <s v="2162@gienergygroup.com"/>
        <s v="2163@hotmail.com"/>
        <s v="2164@macegroup.com"/>
        <s v="2165@orangemail.es"/>
        <s v="2166@gmail.com"/>
        <s v="2167@outlook.es"/>
        <s v="2168@simon.es"/>
        <s v="2169@gmail.com"/>
        <s v="2170@reparatuequipo.es"/>
        <s v="2171@gmail.com"/>
        <s v="2172@gmail.com"/>
        <s v="2173@menendezygamonal.com"/>
        <s v="2174@wurth.es"/>
        <s v="2175@canogarcia.es"/>
        <s v="2176@hotmail.com"/>
        <s v="2177@yahoo.es"/>
        <s v="2178@altair.edu.es"/>
        <s v="2179@gmail.com"/>
        <s v="2180@hotmail.com"/>
        <s v="2181@gmail.com"/>
        <s v="2182@hotmail.com"/>
        <s v="2183@gmail.com"/>
        <s v="2184@suris.es"/>
        <s v="2185@gmail.com"/>
        <s v="2186@grupoelectrostocks.com"/>
        <s v="2187@hotmail.com"/>
        <s v="2188@gmail.com"/>
        <s v="2189@infova.es"/>
        <s v="2190@hotmail.com"/>
        <s v="2191@hotmail.es"/>
        <s v="2192@itcl.es"/>
        <s v="2193@gmail.com"/>
        <s v="2194@mesado.es"/>
        <s v="2195@yahoo.es"/>
        <s v="2196@telefonica.net"/>
        <s v="2197@outlook.es"/>
        <s v="2198@gmail.com"/>
        <s v="2199@gmail.com"/>
        <s v="2200@gmail.com"/>
        <s v="2201@4fils.es"/>
        <s v="2202@sanjosetecno.com"/>
        <s v="2203@gmail.com"/>
        <s v="2204@hotmail.es"/>
        <s v="2205@gmail.com"/>
        <s v="2206@gmail.com"/>
        <s v="2207@gmail.com"/>
        <s v="2208@wp.pl"/>
        <s v="2209@elecem.es"/>
        <s v="2210@hotmail.com"/>
        <s v="2211@hotmail.com"/>
        <s v="2212@pgiengineering.com"/>
        <s v="2213@gmail.com"/>
        <s v="2214@hotmail.com"/>
        <s v="2215@gmail.com"/>
        <s v="2216@bladis.com"/>
        <s v="2217@gmail.com"/>
        <s v="2218@gmx.es"/>
        <s v="2219@teigatmi.es"/>
        <s v="2220@hotmail.com"/>
        <s v="2221@hotmail.com"/>
        <s v="2222@gmail.com"/>
        <s v="2223@hotmail.com"/>
        <s v="2224@gmail.com"/>
        <s v="2225@evectra.es"/>
        <s v="2226@hotmail.com"/>
        <s v="2227@gmail.com"/>
        <s v="2228@gmail.com"/>
        <s v="2229@enerluz.es"/>
        <s v="2230@hotmail.com"/>
        <s v="2231@hotmail.com"/>
        <s v="2232@gmail.com"/>
        <s v="2233@gmail.com"/>
        <s v="2234@hotmail.com"/>
        <s v="2235@hotmail.com"/>
        <s v="2236@hotmail.com"/>
        <s v="2237@simon.es"/>
        <s v="2238@hotmail.es"/>
        <s v="2239@gmail.com"/>
        <s v="2240@coac.net"/>
        <s v="2241@outlook.com"/>
        <s v="2242@eurogestiones.com"/>
        <s v="2243@gmail.com"/>
        <s v="2244@outlook.com"/>
        <s v="2245@gmail.com"/>
        <s v="2246@eleko.es"/>
        <s v="2247@gmail.com"/>
        <s v="2248@telefonica.net"/>
        <s v="2249@politecnicomalaga.com"/>
        <s v="2250@gmail.com"/>
        <s v="2251@gmail.com"/>
        <s v="2252@energestic.es"/>
        <s v="2253@hotmail.com"/>
        <s v="2254@gmail.com"/>
        <s v="2255@yahoo.es"/>
        <s v="2256@gmail.com"/>
        <s v="2257@hotmail.com"/>
        <s v="2258@fercansa.es"/>
        <s v="2259@gmail.com"/>
        <s v="2260@gmail.com"/>
        <s v="2261@grupoefelec.com"/>
        <s v="2262@hotmail.com"/>
        <s v="2263@gmail.com"/>
        <s v="2264@gmail.com"/>
        <s v="2265@gmail.com"/>
        <s v="2266@gmail.com"/>
        <s v="2267@gmail.com"/>
        <s v="2268@gmail.com"/>
        <s v="2269@qq.com"/>
        <s v="2270@hotmail.com"/>
        <s v="2271@gmail.com"/>
        <s v="2272@tiempobbdo.es"/>
        <s v="2273@telefonica.net"/>
        <s v="2274@fersitec.com"/>
        <s v="2275@rccyp.com"/>
        <s v="2276@hotmail.com"/>
        <s v="2277@gmail.com"/>
        <s v="2278@gmail.com"/>
        <s v="2279@gmail.com"/>
        <s v="2280@gmail.com"/>
        <s v="2281@hotmail.com"/>
        <s v="2282@gmail.com"/>
        <s v="2283@hotmail.com"/>
        <s v="2284@gmail.com"/>
        <s v="2285@hotmail.com"/>
        <s v="2286@hotmail.com"/>
        <s v="2287@sonepar.es"/>
        <s v="2288@yahoo.es"/>
        <s v="2289@hotmail.com"/>
        <s v="2290@atmos.link"/>
        <s v="2291@fegime.es"/>
        <s v="2292@gmail.com"/>
        <s v="2293@usa.com"/>
        <s v="2294@gmail.com"/>
        <s v="2295@msn.com"/>
        <s v="2296@gmail.com"/>
        <s v="2297@sece.com"/>
        <s v="2298@sonepar.es"/>
        <s v="2299@protele.es"/>
        <s v="2300@grupoelectrostocks.com"/>
        <s v="2301@sonepar.es"/>
        <s v="2302@agosa.es"/>
        <s v="2303@industrialgines.com"/>
        <s v="2304@gmail.com"/>
        <s v="2305@hotmail.com"/>
        <s v="2306@somosemotion.es"/>
        <s v="2307@gmail.com"/>
        <s v="2308@gmail.com"/>
        <s v="2309@hotmail.com"/>
        <s v="2310@yahoo.es"/>
        <s v="2311@deluxson.com"/>
        <s v="2312@yahoo.es"/>
        <s v="2313@gmail.com"/>
        <s v="2314@gmail.com"/>
        <s v="2315@electricidadguerra.com"/>
        <s v="2316@telecable.es"/>
        <s v="2317@eimetropolitana.com"/>
        <s v="2318@grupo-jarama.com"/>
        <s v="2319@gmail.com"/>
        <s v="2320@electrovizcaya.com"/>
        <s v="2321@coto.pro"/>
        <s v="2322@hotmail.com"/>
        <s v="2323@gmail.com"/>
        <s v="2324@gmail.com"/>
        <s v="2325@ingenierosvalladolid.es"/>
        <s v="2326@gmail.com"/>
        <s v="2327@gmail.com"/>
        <s v="2328@gmail.com"/>
        <s v="2329@hotmail.com"/>
        <s v="2330@gmail.com"/>
        <s v="2331@gmail.com"/>
        <s v="2332@gmail.com"/>
        <s v="2333@gmail.com"/>
        <s v="2334@grupoelectrostocks.com"/>
        <s v="2335@gmail.com"/>
        <s v="2336@gmail.com"/>
        <s v="2337@msn.com"/>
        <s v="2338@gmail.com"/>
        <s v="2339@monlau.com"/>
        <s v="2340@yahoo.es"/>
        <s v="2341@hotmail.com"/>
        <s v="2342@inescoconstructora.es"/>
        <s v="2343@gmail.com"/>
        <s v="2344@tecmagenil.es"/>
        <s v="2345@yahoo.es"/>
        <s v="2346@grupoetra.com"/>
        <s v="2347@visaonomada.pt"/>
        <s v="2348@ya.com"/>
        <s v="2349@belsanz.com"/>
        <s v="2350@gmail.com"/>
        <s v="2351@gmail.com"/>
        <s v="2352@gmail.com"/>
        <s v="2353@conecta-sistemas.com"/>
        <s v="2354@gmail.com"/>
        <s v="2355@gmail.com"/>
        <s v="2356@infova.es"/>
        <s v="2357@gmail.com"/>
        <s v="2358@hotmail.es"/>
        <s v="2359@hotmail.com"/>
        <s v="2360@viplaro.com"/>
        <s v="2361@gmail.com"/>
        <s v="2362@telefonica.net"/>
        <s v="2363@hotmail.com"/>
        <s v="2364@agmundet.es"/>
        <s v="2365@jazzfree.com"/>
        <s v="2366@energies.cat"/>
        <s v="2367@yahoo.es"/>
        <s v="2368@gmail.com"/>
        <s v="2369@cataliaga.com"/>
        <s v="2370@gmail.com"/>
        <s v="2371@fhiguero.es"/>
        <s v="2372@gmail.com"/>
        <s v="2373@grupoelectrostocks.com"/>
        <s v="2374@yahoo.com"/>
        <s v="2375@m4servicios.es"/>
        <s v="2376@gmail.com"/>
        <s v="2377@conmasa.cat"/>
        <s v="2378@montajesjep.com"/>
        <s v="2379@erf.cat"/>
        <s v="2380@gmail.com"/>
        <s v="2381@outlook.com"/>
        <s v="2382@hotmail.com"/>
        <s v="2383@fff.com"/>
        <s v="2384@kapsch.net"/>
        <s v="2385@gg.com"/>
        <s v="2386@agosa.es"/>
        <s v="2387@yahoo.es"/>
        <s v="2388@gmail.com"/>
        <s v="2389@gruponovelec.com"/>
        <s v="2390@gmail.com"/>
        <s v="2391@casamarquez.es"/>
        <s v="2392@gmail.com"/>
        <s v="2393@gmail.com"/>
        <s v="2394@bladis.com"/>
        <s v="2395@gruponovelec.com"/>
        <s v="2396@sonepar.es"/>
        <s v="2397@a2bingenieros.com"/>
        <s v="2398@hotmail.com"/>
        <s v="2399@teclisa.com"/>
        <s v="2400@ormazabal.com"/>
        <s v="2401@hotmail.com"/>
        <s v="2402@adtel.es"/>
        <s v="2403@gmail.com"/>
        <s v="2404@gmail.com"/>
        <s v="2405@simon.es"/>
        <s v="2406@gmail.com"/>
        <s v="2407@msn.com"/>
        <s v="2408@me.com"/>
        <s v="2409@eufon.com"/>
        <s v="2410@me.com"/>
        <s v="2411@hotmail.com"/>
        <s v="2412@conmasa.cat"/>
        <s v="2413@siemensgamesa.com"/>
        <s v="2414@saenzdesanpedro.com"/>
        <s v="2415@gmail.com"/>
        <s v="2416@veolia.com"/>
        <s v="2417@rexel.es"/>
        <s v="2418@ompsl.com"/>
        <s v="2419@aiguesdebarcelona.cat"/>
        <s v="2420@gmail.com"/>
        <s v="2421@rexel.es"/>
        <s v="2422@hotmail.com"/>
        <s v="2423@jccifuentes.com"/>
        <s v="2424@sonepar.es"/>
        <s v="2425@hotmail.com"/>
        <s v="2426@gmail.com"/>
        <s v="2427@valnu.es"/>
        <s v="2428@saltoki.es"/>
        <s v="2429@hotmail.com"/>
        <s v="2430@tenmega.pt"/>
        <s v="2431@gmail.com"/>
        <s v="2432@telefonica.net"/>
        <s v="2433@sonepar.es"/>
        <s v="2434@gmail.com"/>
        <s v="2435@indasasl.es"/>
        <s v="2436@ydrolia.com"/>
        <s v="2437@dos-atf.es"/>
        <s v="2438@gmail.com"/>
        <s v="2439@hotmail.com"/>
        <s v="2440@imanzanera.com"/>
        <s v="2441@berdin.com"/>
        <s v="2442@gmail.com"/>
        <s v="2443@gmail.com"/>
        <s v="2444@gmail.com"/>
        <s v="2445@wallbox.com"/>
        <s v="2446@hotmail.com"/>
        <s v="2447@etecnic.es"/>
        <s v="2448@uvigo.es"/>
        <s v="2449@magtel.es"/>
        <s v="2450@sonepar.es"/>
        <s v="2451@gmail.com"/>
        <s v="2452@fi-group.com"/>
        <s v="2453@insitecaingenieros.com"/>
        <s v="2454@gmail.com"/>
        <s v="2455@gmail.com"/>
        <s v="2456@serlujua.com"/>
        <s v="2457@gmail.com"/>
        <s v="2458@gmail.com"/>
        <s v="2459@grupoelectrostocks.com"/>
        <s v="2460@gmail.com"/>
        <s v="2461@yahoo.es"/>
        <s v="2462@gmail.com"/>
        <s v="2463@ise40.com"/>
        <s v="2464@pas.uned.es"/>
        <s v="2465@gmail.com"/>
        <s v="2466@hotmail.com"/>
        <s v="2467@gmail.com"/>
        <s v="2468@gmail.com"/>
        <s v="2469@yca.es"/>
        <s v="2470@gmail.com"/>
        <s v="2471@gmail.com"/>
        <s v="2472@gmail.com"/>
        <s v="2473@hotmail.com"/>
        <s v="2474@sehusol.com"/>
        <s v="2475@berdin.com"/>
        <s v="2476@dimces.com"/>
        <s v="2477@moralesyartigasabogados.com"/>
        <s v="2478@gmail.com"/>
        <s v="2479@hotmail.es"/>
        <s v="2480@simon.es"/>
        <s v="2481@apogeaconsulting.com"/>
        <s v="2482@etelnoga.com"/>
        <s v="2483@gmail.com"/>
        <s v="2484@grupo-jarama.com"/>
        <s v="2485@saergy.com"/>
        <s v="2486@hotmail.com"/>
        <s v="2487@telefonica.net"/>
        <s v="2488@gmail.com"/>
        <s v="2489@proytecenergia.com"/>
        <s v="2490@mantenencies.com"/>
        <s v="2491@saltoki.es"/>
        <s v="2492@gmail.com"/>
        <s v="2493@gmail.com"/>
        <s v="2494@gmail.com"/>
        <s v="2495@gmail.com"/>
        <s v="2496@grupoelectrostocks.com"/>
        <s v="2497@gmail.com"/>
        <s v="2498@adtelcom.es"/>
        <s v="2499@hotmail.com"/>
        <s v="2500@sonepar.es"/>
        <s v="2501@gmail.com"/>
        <s v="2502@yahoo.es"/>
        <s v="2503@grupoiicsa.com"/>
        <s v="2504@gmail.com"/>
        <s v="2505@gmail.com"/>
        <s v="2506@es.issworld.com"/>
        <s v="2507@victorperezsl.com"/>
        <s v="2508@solardelvalle.es"/>
        <s v="2509@elecnor.es"/>
        <s v="2510@sermicro.com"/>
        <s v="2511@gmail.com"/>
        <s v="2512@hotmail.com"/>
        <s v="2513@gmail.com"/>
        <s v="2514@coitialicante.com"/>
        <s v="2515@simon.es"/>
        <s v="2516@isega.es"/>
        <s v="2517@ineleeg.es"/>
        <s v="2518@solardelvalle.es"/>
        <s v="2519@hotmail.com"/>
        <s v="2520@jspelectrotecnia.com"/>
        <s v="2521@amisur.es"/>
        <s v="2522@gmail.com"/>
        <s v="2523@ipae.es"/>
        <s v="2524@me.com"/>
        <s v="2525@gmail.com"/>
        <s v="2526@reparacioneslsanchez.es"/>
        <s v="2527@gmail.com"/>
        <s v="2528@leing.es"/>
        <s v="2529@upc.edu"/>
        <s v="2530@galimar.com.es"/>
        <s v="2531@arquitecturaygestion.com"/>
        <s v="2532@gmail.com"/>
        <s v="2533@hotmail.com"/>
        <s v="2534@gmail.com"/>
        <s v="2535@hotmail.com"/>
        <s v="2536@telefonica.net"/>
        <s v="2537@electram.es"/>
        <s v="2538@elcorteingles.es"/>
        <s v="2539@gmail.com"/>
        <s v="2540@gmail.com"/>
        <s v="2541@gmail.com"/>
        <s v="2542@tecnica4.com"/>
        <s v="2543@eltec-servicios.com"/>
        <s v="2544@hotmail.com"/>
        <s v="2545@telefonica.net"/>
        <s v="2546@tecnovap.es"/>
        <s v="2547@gmail.com"/>
        <s v="2548@gmail.com"/>
        <s v="2549@gmail.com"/>
        <s v="2550@energema.com"/>
        <s v="2551@inelsa.com"/>
        <s v="2552@gmail.com"/>
        <s v="2553@telefonica.net"/>
        <s v="2554@telefonica.net"/>
        <s v="2555@gmail.com"/>
        <s v="2556@hotmail.com"/>
        <s v="2557@hotmail.com"/>
        <s v="2558@gmail.com"/>
        <s v="2559@simon.es"/>
        <s v="2560@gmail.com"/>
        <s v="2561@gmail.com"/>
        <s v="2562@artesolar.com"/>
        <s v="2563@hotmail.com"/>
        <s v="2564@ctv.masaveu.com"/>
        <s v="2565@hotmail.com"/>
        <s v="2566@casadoguia.com"/>
        <s v="2567@hotmail.com"/>
        <s v="2568@email.com"/>
        <s v="2569@gmail.com"/>
        <s v="2570@telefonica.net"/>
        <s v="2571@dival.es"/>
        <s v="2572@sesaelec.com"/>
        <s v="2573@edetcotecnics.com"/>
        <s v="2574@telefonica.net"/>
        <s v="2575@gruposti.com"/>
        <s v="2576@construciainstalaciones.com"/>
        <s v="2577@gmail.com"/>
        <s v="2578@hotmail.com"/>
        <s v="2579@fgc.cat"/>
        <s v="2580@imagenyarquitectura.com.mx"/>
        <s v="2581@yahoo.com"/>
        <s v="2582@ccaait.cat"/>
        <s v="2583@grupcarol.com"/>
        <s v="2584@sistemasdeenergia.es"/>
        <s v="2585@grupoelectrostocks.com"/>
        <s v="2586@saltoki.es"/>
        <s v="2587@picocompany.es"/>
        <s v="2588@fossic.es"/>
        <s v="2589@hotmail.com"/>
        <s v="2590@gmail.com"/>
        <s v="2591@gmail.com"/>
        <s v="2592@bsmsa.cat"/>
        <s v="2593@abcgrup.com"/>
        <s v="2594@gmail.com"/>
        <s v="2595@gmail.com"/>
        <s v="2596@simonelectrica.com"/>
        <s v="2597@3xakoenergi.com"/>
        <s v="2598@tecoel.es"/>
        <s v="2599@sazepi.com"/>
        <s v="2600@electrimega.es"/>
        <s v="2601@seituria.com"/>
        <s v="2602@saherlux.com"/>
        <s v="2603@guillenmotor.com"/>
        <s v="2604@hotelnelva.es"/>
        <s v="2605@gmail.com"/>
        <s v="2606@gmail.com"/>
        <s v="2607@hotmail.com"/>
        <s v="2608@zambongroup.com"/>
        <s v="2609@construccioicontrol.com"/>
        <s v="2610@orangecorreo.es"/>
        <s v="2611@gocsa.es"/>
        <s v="2612@ingenieriaconforma.com"/>
        <s v="2613@gmail.com"/>
        <s v="2614@rexel.es"/>
        <s v="2615@orbiumsolar.es"/>
        <s v="2616@prysmiangroup.com"/>
        <s v="2617@hotmail.com"/>
        <s v="2618@viegasefilhos.pt"/>
        <s v="2619@gmail.com"/>
        <s v="2620@icloud.com"/>
        <s v="2621@integralplm.com"/>
        <s v="2622@instavi.es"/>
        <s v="2623@mansel.es"/>
        <s v="2624@hotmail.com"/>
        <s v="2625@gmail.com"/>
        <s v="2626@proycoga.es"/>
        <s v="2627@aemsys.com"/>
        <s v="2628@telefonica.net"/>
        <s v="2629@hotmail.com"/>
        <s v="2630@gmail.com"/>
        <s v="2631@gmail.com"/>
        <s v="2632@felices.agency"/>
        <s v="2633@araelec.com"/>
        <s v="2634@hotmail.es"/>
        <s v="2635@ambginy.com"/>
        <s v="2636@sonepar.es"/>
        <s v="2637@metromadrid.es"/>
        <s v="2638@ativalles.com"/>
        <s v="2639@sanitariosbosco.es"/>
        <s v="2640@magserveis.com"/>
        <s v="2641@gmail.com"/>
        <s v="2642@mipelsa.es"/>
        <s v="2643@sansiga.com"/>
        <s v="2644@gmail.com"/>
        <s v="2645@hotmail.com"/>
        <s v="2646@gmail.com"/>
        <s v="2647@rexel.es"/>
        <s v="2648@electracaldense.com"/>
        <s v="2649@grupocuerva.com"/>
        <s v="2650@coac.net"/>
        <s v="2651@yntegraservicios.es"/>
        <s v="2652@tessai.es"/>
        <s v="2653@idiada.com"/>
        <s v="2654@edmcadiz.es"/>
        <s v="2655@getsa.es"/>
        <s v="2656@sonepar.es"/>
        <s v="2657@a4ingenieria.es"/>
        <s v="2658@gmail.com"/>
        <s v="2659@gmail.com"/>
        <s v="2660@gmail.com"/>
        <s v="2661@gmail.com"/>
        <s v="2662@gmail.com"/>
        <s v="2663@bitjerez.com"/>
        <s v="2664@gmail.com"/>
        <s v="2665@electroaldis.com"/>
        <s v="2666@gmail.com"/>
        <s v="2667@iselektric.com"/>
        <s v="2668@gmail.com"/>
        <s v="2669@electroidella.com"/>
        <s v="2670@gmail.com"/>
        <s v="2671@gmail.com"/>
        <s v="2672@gmail.com"/>
        <s v="2673@gamil.com"/>
        <s v="2674@coar.es"/>
        <s v="2675@grupoelectrostocks.com"/>
        <s v="2676@gmail.com"/>
        <s v="2677@gmail.com"/>
        <s v="2678@impact-al.com"/>
        <s v="2679@hotmail.com"/>
        <s v="2680@copitima.com"/>
        <s v="2681@sueprat.es"/>
        <s v="2682@dipucuenca.es"/>
        <s v="2683@live.fr"/>
        <s v="2684@hotmail.com"/>
        <s v="2685@orgaus.com"/>
        <s v="2686@kbingenieria.com"/>
        <s v="2687@serium.es"/>
        <s v="2688@hotmail.com"/>
        <s v="2689@edp-sl.com"/>
        <s v="2690@gmail.com"/>
        <s v="2691@magserveis.com"/>
        <s v="2692@gmail.com"/>
        <s v="2693@bextron.es"/>
        <s v="2694@gmail.com"/>
        <s v="2695@inelt.es"/>
        <s v="2696@1aingenieros.com"/>
        <s v="2697@digamel.com"/>
        <s v="2698@gmail.com"/>
        <s v="2699@gmail.com"/>
        <s v="2700@hotmail.com"/>
        <s v="2701@gmail.com"/>
        <s v="2702@digamel.com"/>
        <s v="2703@hotmail.com"/>
        <s v="2704@construciainstalaciones.com"/>
        <s v="2705@tmb.cat"/>
        <s v="2706@opportunity-one.com"/>
        <s v="2707@gmail.com"/>
        <s v="2708@meta-sidecar.com"/>
        <s v="2709@construciainstalaciones.com"/>
        <s v="2710@arbonapiza.com"/>
        <s v="2711@infinitypv.com"/>
        <s v="2712@gmail.com"/>
        <s v="2713@gmail.com"/>
        <s v="2714@gma.es"/>
        <s v="2715@gmail.com"/>
        <s v="2716@gmail.com"/>
        <s v="2717@gmail.com"/>
        <s v="2718@none.com"/>
        <s v="2719@saltoki.es"/>
        <s v="2720@grupoelectrostocks.com"/>
        <s v="2721@anpasa.es"/>
        <s v="2722@instalacionesyobrasdelrio.com"/>
        <s v="2723@hotmail.com"/>
        <s v="2724@gmeil.com"/>
        <s v="2725@hotmail.com"/>
        <s v="2726@sonepar.es"/>
        <s v="2727@gruponovelec.com"/>
        <s v="2728@gmail.com"/>
        <s v="2729@hotmail.com"/>
        <s v="2730@enzazaden.es"/>
        <s v="2731@gmail.com"/>
        <s v="2732@gmail.com"/>
        <s v="2733@sigmaenginyers.es"/>
        <s v="2734@gmail.com"/>
        <s v="2735@gmail.com"/>
        <s v="2736@gmail.com"/>
        <s v="2737@gmail.com"/>
        <s v="2738@conalepmex.edu.mx"/>
        <s v="2739@constructorasanjose.com"/>
        <s v="2740@gmail.com"/>
        <s v="2741@cruzroja.es"/>
        <s v="2742@mindual.com"/>
        <s v="2743@itaipu.gov.py"/>
        <s v="2744@simon.es"/>
        <s v="2745@urbanresilience.eu"/>
        <s v="2746@proinelec.com"/>
        <s v="2747@gmail.com"/>
        <s v="2748@nitlux.es"/>
        <s v="2749@gmail.com"/>
        <s v="2750@exavoltio.es"/>
        <s v="2751@gruponovelec.com"/>
        <s v="2752@ingener.net"/>
        <s v="2753@aurialux.com"/>
        <s v="2754@emgvlasrozas.org"/>
        <s v="2755@gmail.com"/>
        <s v="2756@gmail.com"/>
        <s v="2757@irradiaenergia.com"/>
        <s v="2758@gmail.com"/>
        <s v="2759@gmail.com"/>
        <s v="2760@yahoo.es"/>
        <s v="2761@stratum22.com"/>
        <s v="2762@gmail.com"/>
        <s v="2763@gmail.com"/>
        <s v="2764@gmail.com"/>
        <s v="2765@gmail.com"/>
        <s v="2766@telefonica.net"/>
        <s v="2767@gmail.com"/>
        <s v="2768@gmail.com"/>
        <s v="2769@gmail.com"/>
        <s v="2770@gmail.com"/>
        <s v="2771@gmail.com"/>
        <s v="2772@saltoki.es"/>
        <s v="2773@energiaactiva.es"/>
        <s v="2774@trensfm.com"/>
        <s v="2775@gmail.com"/>
        <s v="2776@pgiengineering.com"/>
        <s v="2777@huelva.es"/>
        <s v="2778@empretelco.es"/>
        <s v="2779@gmail.com"/>
        <s v="2780@abcgrup.com"/>
        <s v="2781@ahabana.co.cu"/>
        <s v="2782@gmail.com"/>
        <s v="2783@gmail.com"/>
        <s v="2784@coac.net"/>
        <s v="2785@climarubi.com"/>
        <s v="2786@metromadrid.es"/>
        <s v="2787@grupocematel.com"/>
        <s v="2788@eurocabos.es"/>
        <s v="2789@telefonica.net"/>
        <s v="2790@gmail.com"/>
        <s v="2791@pickdata.net"/>
        <s v="2792@ajcampos.org"/>
        <s v="2793@gmail.com"/>
        <s v="2794@efinetika.com"/>
        <s v="2795@gmail.com"/>
        <s v="2796@gmail.com"/>
        <s v="2797@gmail.com"/>
        <s v="2798@yahoo.es"/>
        <s v="2799@oceanim.es"/>
        <s v="2800@gmail.com"/>
        <s v="2801@eei-ingenieria.com"/>
        <s v="2802@gonzalezsme.com"/>
        <s v="2803@rodriguezromeu.com"/>
        <s v="2804@vtisl.com"/>
        <s v="2805@gmail.com"/>
        <s v="2806@jdingenieria.com"/>
        <s v="2807@jhfsystemcrane.com"/>
        <s v="2808@gmail.com"/>
        <s v="2809@solerteselen.cat"/>
        <s v="2810@sensorstecnics.net"/>
        <s v="2811@gmail.com"/>
        <s v="2812@martipala.com"/>
        <s v="2813@gmail.com"/>
        <s v="2814@vitrosep.com"/>
        <s v="2815@gmail.com"/>
        <s v="2816@hotmail.com"/>
        <s v="2817@hotmail.com"/>
        <s v="2818@gmail.com"/>
        <s v="2819@satydal.es"/>
        <s v="2820@sanitariosbosco.es"/>
        <s v="2821@gmail.com"/>
        <s v="2822@gmail.com"/>
        <s v="2823@mindual.com"/>
        <s v="2824@gmail.com"/>
        <s v="2825@gmail.com"/>
        <s v="2826@educacion.gob.es"/>
        <s v="2827@soltecgrupo.es"/>
        <s v="2828@coaatz.org"/>
        <s v="2829@sindel.es"/>
        <s v="2830@mequintana.com"/>
        <s v="2831@lantec.es"/>
        <s v="2832@energia.eiffage.es"/>
        <s v="2833@inelsa.com"/>
        <s v="2834@idom.com"/>
        <s v="2835@idom.com"/>
        <s v="2836@pgigrup.com"/>
        <s v="2837@gmail.com"/>
        <s v="2838@gmail.com"/>
        <s v="2839@esprosa.es"/>
        <s v="2840@onemons.es"/>
        <s v="2841@blaudrive.com"/>
        <s v="2842@yahoo.es"/>
        <s v="2843@gmail.com"/>
        <s v="2844@alamos.es"/>
        <s v="2845@araiz.es"/>
        <s v="2846@kubicat.com"/>
        <s v="2847@gmail.com"/>
        <s v="2848@telefonica.net"/>
        <s v="2849@gmail.com"/>
        <s v="2850@hotmail.com"/>
        <s v="2851@yahoo.es"/>
        <s v="2852@gmail.com"/>
        <s v="2853@gmail.com"/>
        <s v="2854@voltplus.es"/>
        <s v="2855@trc.es"/>
        <s v="2856@eurocabos.es"/>
        <s v="2857@gmail.com"/>
        <s v="2858@gmail.com"/>
        <s v="2859@hotmail.com"/>
        <s v="2860@soltecingenieros.com"/>
        <s v="2861@live.com"/>
        <s v="2862@gmail.com"/>
        <s v="2863@hibrielectric.com"/>
        <s v="2864@gmail.com"/>
        <s v="2865@gadisel.com"/>
        <s v="2866@hotmail.com"/>
        <s v="2867@jqadvisors.com"/>
        <s v="2868@cipfplacostera.com"/>
        <s v="2869@montajes-medyp.com"/>
        <s v="2870@yahoo.com"/>
        <s v="2871@assinsta.com"/>
        <s v="2872@hotmail.com"/>
        <s v="2873@gmail.com"/>
        <s v="2874@broa.net"/>
        <s v="2875@ulper.es"/>
        <s v="2876@gmail.com"/>
        <s v="2877@gammasg.com"/>
        <s v="2878@grupojab.es"/>
        <s v="2879@hbalcells.com"/>
        <s v="2880@alfasel.es"/>
        <s v="2881@hotmail.com"/>
        <s v="2882@secorsa.com"/>
        <s v="2883@acciona.com"/>
        <s v="2884@gmail.com"/>
        <s v="2885@instalacionessegura.es"/>
        <s v="2886@construroura.es"/>
        <s v="2887@indasasl.es"/>
        <s v="2888@proalingenieros.com"/>
        <s v="2889@eurocabos.es"/>
        <s v="2890@edu.xunta.es"/>
        <s v="2891@ingenibo.com"/>
        <s v="2892@gmail.com"/>
        <s v="2893@yahoo.com"/>
        <s v="2894@me.com"/>
        <s v="2895@mundoled.net"/>
        <s v="2896@energia.eiffage.es"/>
        <s v="2897@radytel.com"/>
        <s v="2898@simon.es"/>
        <s v="2899@gmail.com"/>
        <s v="2900@hotmail.com"/>
        <s v="2901@eneroptim.es"/>
        <s v="2902@gmail.com"/>
        <s v="2903@estudioelan.com"/>
        <s v="2904@gmail.com"/>
        <s v="2905@atoms.cat"/>
        <s v="2906@comb.cat"/>
        <s v="2907@generaeficiencia.com"/>
        <s v="2908@esplugues.cat"/>
        <s v="2909@ekoleds.com"/>
        <s v="2910@syocsa-inarsa.es"/>
        <s v="2911@grupocobra.com"/>
        <s v="2912@essatel.es"/>
        <s v="2913@gmail.com"/>
        <s v="2914@aldaproyectos.es"/>
        <s v="2915@crescencioperez.com"/>
        <s v="2916@diazrojo.com"/>
        <s v="2917@mastercentella.com"/>
        <s v="2918@gmail.com"/>
        <s v="2919@gmail.com"/>
        <s v="2920@prodelectric.es"/>
        <s v="2921@hotmail.com"/>
        <s v="2922@tecnicanorte.com"/>
        <s v="2923@gmail.com"/>
        <s v="2924@gmail.com"/>
        <s v="2925@gmail.com"/>
        <s v="2926@elherco.com"/>
        <s v="2927@interflex.es"/>
        <s v="2928@simon.es"/>
        <s v="2929@baurenginyers.cat"/>
        <s v="3292@movistar.es"/>
        <s v="3297@hotmail.com"/>
        <s v="2930@hotmail.com"/>
        <s v="2931@telefonica.net"/>
        <s v="2932@soldeser.com"/>
        <s v="2933@agenex.org"/>
        <s v="2934@gruponovelec.com"/>
        <s v="2935@hotellosllanos.es"/>
        <s v="2936@gmail.com"/>
        <s v="2937@gmail.com"/>
        <s v="2938@inemesa.com"/>
        <s v="2939@oscarcaselles.com"/>
        <s v="2940@xtec.cat"/>
        <s v="2941@gmail.com"/>
        <s v="2942@ragaluz.com"/>
        <s v="2943@agaeng.es"/>
        <s v="2944@prysmiangroup.com"/>
        <s v="2945@gmail.com"/>
        <s v="2946@gmail.com"/>
        <s v="2947@gmail.com"/>
        <s v="2948@gmail.com"/>
        <s v="2949@ignasiconillas.com"/>
        <s v="2950@telematel.com"/>
        <s v="2951@telman.es"/>
        <s v="2952@catrisse.net"/>
        <s v="2953@sinophosgroup.com"/>
        <s v="2954@gmail.com"/>
        <s v="2955@imamagnets.com"/>
        <s v="2956@engie.com"/>
        <s v="2957@doladoingenieria.es"/>
        <s v="2958@gmail.com"/>
        <s v="2959@instalacionesfb.com"/>
        <s v="2960@gmail.com"/>
        <s v="2961@mqrenovables.com"/>
        <s v="2962@gmail.com"/>
        <s v="2963@gmail.com"/>
        <s v="2964@duoarquitectura.es"/>
        <s v="2965@hotmail.com"/>
        <s v="2966@gmail.com"/>
        <s v="2967@gmail.com"/>
        <s v="2968@sueprat.es"/>
        <s v="2969@gmail.com"/>
        <s v="2970@sonepar.es"/>
        <s v="2971@gmail.com"/>
        <s v="2972@us.es"/>
        <s v="2973@rt105.es"/>
        <s v="2974@outlook.com"/>
        <s v="2975@gmail.com"/>
        <s v="2976@gmail.com"/>
        <s v="2977@gmail.com"/>
        <s v="2978@electroredes.com"/>
        <s v="2979@gmail.com"/>
        <s v="2980@live.com"/>
        <s v="2981@gmail.com"/>
        <s v="2982@hotmail.es"/>
        <s v="2983@hotmail.com"/>
        <s v="2984@hotmail.com"/>
        <s v="2985@gmail.com"/>
        <s v="2986@signum.cat"/>
        <s v="2987@comercialsis.com"/>
        <s v="2988@lopezona.com"/>
        <s v="2989@9chip.com"/>
        <s v="2990@gilten.es"/>
        <s v="2991@yahoo.es"/>
        <s v="2992@socidesel.es"/>
        <s v="2993@gmail.com"/>
        <s v="2994@hotmail.com"/>
        <s v="2995@suris.es"/>
        <s v="2996@hotmail.com"/>
        <s v="2997@bgm.pt"/>
        <s v="2998@dosreisinstalaciones.es"/>
        <s v="2999@gmail.com"/>
        <s v="3000@strongpoint.com"/>
        <s v="3001@gmail.com"/>
        <s v="3002@energiaactiva.es"/>
        <s v="3003@ingenieriabenimamet.com"/>
        <s v="3004@yahoo.es"/>
        <s v="3005@electroizas.es"/>
        <s v="3006@ingenieriajorpa.es"/>
        <s v="3007@gmail.com"/>
        <s v="3008@codime.es"/>
        <s v="3009@acciona.com"/>
        <s v="3010@eleko.es"/>
        <s v="3011@gmail.com"/>
        <m/>
      </sharedItems>
    </cacheField>
    <cacheField name="Email - optim" numFmtId="165">
      <sharedItems containsBlank="1">
        <s v="1@gmail.com"/>
        <s v="2@yahoo.es"/>
        <s v="3@gmail.com"/>
        <s v="4@gmail.com"/>
        <s v="5@infortel.es"/>
        <s v="6@yahoo.es"/>
        <s v="7@unizar.es"/>
        <s v="8@gomezmoreno.com"/>
        <s v="9@chacontch.com"/>
        <s v="10@hotmail.com"/>
        <s v="11@gmail.com"/>
        <s v="12@gmail.com"/>
        <s v="13@inel.es"/>
        <s v="14@enerparking.com"/>
        <s v="15@apba.es"/>
        <s v="16@cambrabcn.org"/>
        <s v="17@gmail.com"/>
        <s v="18@urv.cat"/>
        <s v="19@grupoespacioindustrial.com"/>
        <s v="20@gmail.com"/>
        <s v="21@iteser.com"/>
        <s v="22@gmail.com"/>
        <s v="23@gmail.com"/>
        <s v="24@gmail.com"/>
        <s v="25@gmail.com"/>
        <s v="26@mktg.com"/>
        <s v="27@hotmail.com"/>
        <s v="28@gmail.com"/>
        <s v="29@gmail.com"/>
        <s v="30@gmail.com"/>
        <s v="31@gmail.com"/>
        <s v="32@gmail.com"/>
        <s v="33@gmail.com"/>
        <s v="34@gmail.com"/>
        <s v="35@gmail.com"/>
        <s v="36@visaonomada.pt"/>
        <s v="37@intienergia.com"/>
        <s v="38@telefonica.net"/>
        <s v="39@idom.com"/>
        <s v="40@hotmail.com"/>
        <s v="41@gmail.com"/>
        <s v="42@gmail.com"/>
        <s v="43@electricidadjoselucas.com"/>
        <s v="44@gmail.com"/>
        <s v="45@acotech.es"/>
        <s v="46@hotmail.com"/>
        <s v="47@marpemac.com"/>
        <s v="48@legebiltzarra.eus"/>
        <s v="49@grupocaeiro.es"/>
        <s v="50@gmail.com"/>
        <s v="51@yahoo.es"/>
        <s v="52@tdi-sistemas.com"/>
        <s v="53@dicara.es"/>
        <s v="54@abengoa.com"/>
        <s v="55@hotmail.com"/>
        <s v="56@iesmurgi.org"/>
        <s v="57@gmail.com"/>
        <s v="58@gabyl.com"/>
        <s v="59@gmail.com"/>
        <s v="60@rocketmail.com"/>
        <s v="61@elektra-sa.es"/>
        <s v="62@hotmail.com"/>
        <s v="63@semael.com"/>
        <s v="64@gmail.com"/>
        <s v="65@copitima.com"/>
        <s v="66@dgingenieros.es"/>
        <s v="67@becibiza.es"/>
        <s v="68@ingeosolar.com"/>
        <s v="69@gmail.com"/>
        <s v="70@gmail.com"/>
        <s v="71@hotmail.com"/>
        <s v="72@grupoelectrostocks.com"/>
        <s v="73@hotmail.com"/>
        <s v="74@electricidadguerra.com"/>
        <s v="75@telefonica.net"/>
        <s v="76@gmail.com"/>
        <s v="77@comsa.com"/>
        <s v="78@gmail.com"/>
        <s v="79@sonepar.es"/>
        <s v="80@enginyerstarragona.cat"/>
        <s v="81@gmail.com"/>
        <s v="82@sedes.es"/>
        <s v="83@eduardoaleman.es"/>
        <s v="84@electromontajesroldan.com"/>
        <s v="85@gmail.com"/>
        <s v="86@ingbuero-group.de"/>
        <s v="87@comsa.com"/>
        <s v="88@ingenierosvigo.com"/>
        <s v="89@ipsumindustrial.com"/>
        <s v="90@telefonica.net"/>
        <s v="91@valmet.com"/>
        <s v="92@gmail.com"/>
        <s v="93@gmail.com"/>
        <s v="94@grupocobra.com"/>
        <s v="95@gmail.com"/>
        <s v="96@hotmail.com"/>
        <s v="97@igpingenieria.com"/>
        <s v="98@davidjdiaz.es"/>
        <s v="99@coitir.com"/>
        <s v="100@hotmail.com"/>
        <s v="101@coiirm.es"/>
        <s v="102@telefonica.net"/>
        <s v="103@ciccp.es"/>
        <s v="104@spiningenieros.com"/>
        <s v="105@gmail.com"/>
        <s v="106@ucm.es"/>
        <s v="107@dipucr.es"/>
        <s v="108@salesianos.edu"/>
        <s v="109@gmail.com"/>
        <s v="110@3epsilonsolutions.com"/>
        <s v="111@murciaeduca.es"/>
        <s v="112@gmail.com"/>
        <s v="113@gmail.com"/>
        <s v="114@hotmail.com"/>
        <s v="115@yahoo.es"/>
        <s v="116@sgs.com"/>
        <s v="117@telefonica.net"/>
        <s v="118@legebiltzarra.eus"/>
        <s v="119@ideaingenieria.es"/>
        <s v="120@yahoo.com"/>
        <s v="121@gmail.com"/>
        <s v="122@tecnimed.net"/>
        <s v="123@grupocuerva.com"/>
        <s v="124@betenergia.es"/>
        <s v="125@gmail.com"/>
        <s v="126@gmail.com"/>
        <s v="127@prevae.com"/>
        <s v="128@gmail.com"/>
        <s v="129@inypro.com"/>
        <s v="130@gmail.com"/>
        <s v="131@hotmail.com"/>
        <s v="132@gmail.com"/>
        <s v="133@fasfas.com"/>
        <s v="134@gmail.com"/>
        <s v="135@telefonica.net"/>
        <s v="136@gmail.com"/>
        <s v="137@alcar2000.com"/>
        <s v="138@grupocobra.com"/>
        <s v="139@yahoo.es"/>
        <s v="140@yahoo.es"/>
        <s v="141@gmail.com"/>
        <s v="142@gmail.com"/>
        <s v="143@gmail.com"/>
        <s v="144@gmail.com"/>
        <s v="145@coitihuelva.com"/>
        <s v="146@instalacionsigualada.com"/>
        <s v="147@hotmail.es"/>
        <s v="148@gmail.com"/>
        <s v="149@gmail.com"/>
        <s v="150@atla.es"/>
        <s v="151@gmail.com"/>
        <s v="152@gmail.com"/>
        <s v="153@telefonica.net"/>
        <s v="154@jorditamayo.com"/>
        <s v="155@arcbcn.cat"/>
        <s v="156@riosrenovables.com"/>
        <s v="157@hotmail.com"/>
        <s v="158@acollconsulting.es"/>
        <s v="159@gmail.com"/>
        <s v="160@hotmail.com"/>
        <s v="161@gmail.com"/>
        <s v="162@gmail.com"/>
        <s v="163@gmail.com"/>
        <s v="164@telefonica.net"/>
        <s v="165@dobontech.com"/>
        <s v="166@napols.net"/>
        <s v="167@me.com"/>
        <s v="168@hc-ingenieros.com"/>
        <s v="169@gmail.com"/>
        <s v="170@ciudaddelosmuchachos.com"/>
        <s v="171@gmail.com"/>
        <s v="172@ardisenginyeria.com"/>
        <s v="173@gmail.com"/>
        <s v="174@hotmail.com"/>
        <s v="175@gobesa.com"/>
        <s v="176@aia.cat"/>
        <s v="177@mobcn.org"/>
        <s v="178@tec-engineering.es"/>
        <s v="179@mundo-r.com"/>
        <s v="180@aquambiente.es"/>
        <s v="181@juntaex.es"/>
        <s v="182@usal.es"/>
        <s v="183@arquired.es"/>
        <s v="184@telefonica.net"/>
        <s v="185@asintec.info"/>
        <s v="186@msn.com"/>
        <s v="187@castelyfernandez.es"/>
        <s v="188@gmail.com"/>
        <s v="189@gmail.com"/>
        <s v="190@idom.com"/>
        <s v="191@gruposinelec.com"/>
        <s v="192@gmail.com"/>
        <s v="193@triangulo.com.es"/>
        <s v="194@hotmail.com"/>
        <s v="195@electricidadmadruga.com"/>
        <s v="196@gmail.com"/>
        <s v="197@enginyerstarragona.cat"/>
        <s v="198@hotmail.es"/>
        <s v="199@elektra-sa.es"/>
        <s v="200@smassa.eu"/>
        <s v="201@gmail.com"/>
        <s v="202@gmail.com"/>
        <s v="203@outlook.com"/>
        <s v="204@ebcn.cat"/>
        <s v="205@es.tuv.com"/>
        <s v="206@jgingenieros.es"/>
        <s v="207@tecnicasyrecursos.com"/>
        <s v="208@acortaenergia.com"/>
        <s v="209@azingenieria.es"/>
        <s v="null"/>
        <s v="211@elgremi.cat"/>
        <s v="212@gmail.com"/>
        <s v="213@guidogroup.com"/>
        <s v="214@gmail.com"/>
        <s v="215@enel.com"/>
        <s v="216@gmail.com"/>
        <s v="217@esypro.net"/>
        <s v="218@erasmil.com"/>
        <s v="219@gmail.com"/>
        <s v="220@istem.es"/>
        <s v="221@maganrenovables.com"/>
        <s v="222@jcgracia.es"/>
        <s v="223@gmail.com"/>
        <s v="224@hotmail.com"/>
        <s v="225@gmail.com"/>
        <s v="226@hotmail.com"/>
        <s v="227@gmail.com"/>
        <s v="228@erasmil.com"/>
        <s v="229@gmail.com"/>
        <s v="230@solsureste.com"/>
        <s v="231@gmail.com"/>
        <s v="232@mersa.es"/>
        <s v="233@gmail.com"/>
        <s v="234@pgiengineering.com"/>
        <s v="235@gmail.com"/>
        <s v="236@elecnor.com"/>
        <s v="237@idsa.es"/>
        <s v="238@engie.com"/>
        <s v="239@alfadesarrollo.com"/>
        <s v="240@hotmail.com"/>
        <s v="241@gmail.com"/>
        <s v="242@outlook.es"/>
        <s v="243@homcrea.fr"/>
        <s v="244@as.com"/>
        <s v="245@gmail.com"/>
        <s v="247@gmail.com"/>
        <s v="248@llachsoillum.cat"/>
        <s v="249@herreroingenieros.com"/>
        <s v="250@inacces.com"/>
        <s v="251@gmail.com"/>
        <s v="252@hotmail.com"/>
        <s v="253@putzmeister.com"/>
        <s v="254@hotmail.com"/>
        <s v="255@hotmail.com"/>
        <s v="256@mail.com"/>
        <s v="257@telefonica.net"/>
        <s v="258@jesnar2011.es"/>
        <s v="259@electricosaragon2000.com"/>
        <s v="260@hotmail.com"/>
        <s v="261@gmail.com"/>
        <s v="262@gmail.com"/>
        <s v="263@sueprat.es"/>
        <s v="264@edaie.com"/>
        <s v="265@gmail.com"/>
        <s v="266@hotmail.es"/>
        <s v="267@fiberlec.com"/>
        <s v="268@gmail.com"/>
        <s v="269@hotmail.com"/>
        <s v="270@gmail.com"/>
        <s v="271@pkcgroup.com"/>
        <s v="272@gmail.com"/>
        <s v="273@gmail.com"/>
        <s v="274@movistar.es"/>
        <s v="275@aransa.com"/>
        <s v="276@gmail.com"/>
        <s v="277@fcc.es"/>
        <s v="278@urbaser.com"/>
        <s v="279@vazquezconsuegra.com"/>
        <s v="280@susaeta.net"/>
        <s v="281@montajescastellon.com"/>
        <s v="282@comsa.com"/>
        <s v="283@occidentalhotels.com"/>
        <s v="284@telman.es"/>
        <s v="285@hotmail.com"/>
        <s v="286@icaluz.com"/>
        <s v="287@parcdesalutmar.cat"/>
        <s v="288@fcc.es"/>
        <s v="289@gmail.com"/>
        <s v="290@msn.com"/>
        <s v="291@yahoo.es"/>
        <s v="292@espe.edu.ec"/>
        <s v="293@hotmail.com"/>
        <s v="294@lumial.es"/>
        <s v="295@gmail.com"/>
        <s v="296@gmail.com"/>
        <s v="297@hotmail.com"/>
        <s v="298@ibielectric.com"/>
        <s v="299@vimasol.es"/>
        <s v="300@vimasol.es"/>
        <s v="301@vimasol.es"/>
        <s v="302@loalnet.com"/>
        <s v="305@wanadoo.es"/>
        <s v="306@gmail.com"/>
        <s v="307@yahoo.es"/>
        <s v="308@rexel.es"/>
        <s v="309@hotmail.com"/>
        <s v="310@outlook.com"/>
        <s v="311@tresa.volkswagen.es"/>
        <s v="312@telefonica.net"/>
        <s v="313@inelbo.eiffage.es"/>
        <s v="314@bitrir.es"/>
        <s v="315@bongrup.es"/>
        <s v="316@aymesa.com"/>
        <s v="317@portsdebalears.com"/>
        <s v="318@gmail.com"/>
        <s v="319@gmail.com"/>
        <s v="320@gmail.com"/>
        <s v="321@gmail.com"/>
        <s v="322@rutronik.com"/>
        <s v="323@hotmail.com"/>
        <s v="324@onsaze.es"/>
        <s v="325@sonepar.es"/>
        <s v="326@gmail.com"/>
        <s v="327@romovi.com"/>
        <s v="328@siemens.com"/>
        <s v="329@covama.es"/>
        <s v="330@hotmail.com"/>
        <s v="331@gmail.com"/>
        <s v="332@gmail.com"/>
        <s v="333@jbizcocho.es"/>
        <s v="334@mixmail.com"/>
        <s v="335@faepac.org"/>
        <s v="336@gmail.com"/>
        <s v="337@gmail.com"/>
        <s v="338@u220.es"/>
        <s v="339@emiliocueto.com"/>
        <s v="340@bizkaia.eu"/>
        <s v="341@enchufesolar.com"/>
        <s v="342@idesa.pro"/>
        <s v="343@gmail.com"/>
        <s v="344@hotmail.com"/>
        <s v="345@enerwatt.es"/>
        <s v="346@gmail.com"/>
        <s v="347@engie.com"/>
        <s v="348@telefonica.net"/>
        <s v="349@dipualba.es"/>
        <s v="350@talleresloam.com"/>
        <s v="351@cochele.com"/>
        <s v="352@live.com.mx"/>
        <s v="353@industrialgines.com"/>
        <s v="354@gmail.com"/>
        <s v="355@gmail.com"/>
        <s v="356@hotmail.com"/>
        <s v="357@cesvimap.com"/>
        <s v="358@suris.es"/>
        <s v="359@movistar.es"/>
        <s v="360@gmail.com"/>
        <s v="361@trabajosadomicilio.es"/>
        <s v="362@hotmail.com"/>
        <s v="363@gmail.com"/>
        <s v="364@telefonica.net"/>
        <s v="365@edu.xunta.es"/>
        <s v="366@gmail.com"/>
        <s v="367@yahoo.es"/>
        <s v="368@gmail.com"/>
        <s v="369@upc.edu"/>
        <s v="370@coac.es"/>
        <s v="371@hotmail.com"/>
        <s v="372@ub.edu"/>
        <s v="373@eling.es"/>
        <s v="374@copitima.com"/>
        <s v="375@gmail.com"/>
        <s v="376@gmail.com"/>
        <s v="377@nouges.es"/>
        <s v="378@mcrdielec.com"/>
        <s v="379@gmail.com"/>
        <s v="380@acp-level.es"/>
        <s v="381@mtcholding.ro"/>
        <s v="382@gmail.com"/>
        <s v="383@llamas.com.es"/>
        <s v="384@comsa.com"/>
        <s v="385@upc.edu"/>
        <s v="386@xtec.cat"/>
        <s v="387@gmail.com"/>
        <s v="388@gmail.com"/>
        <s v="389@yahoo.es"/>
        <s v="390@hotmail.com"/>
        <s v="391@gmail.com"/>
        <s v="392@gmail.com"/>
        <s v="393@gmail.com"/>
        <s v="394@yahoo.es"/>
        <s v="395@ajinstal.cat"/>
        <s v="396@gmail.com"/>
        <s v="397@orange.es"/>
        <s v="398@ciudaddelosmuchachos.com"/>
        <s v="399@gmail.com"/>
        <s v="400@arquired.es"/>
        <s v="401@hotmail.es"/>
        <s v="402@gmail.com"/>
        <s v="403@hotmail.com"/>
        <s v="404@hotmail.com"/>
        <s v="405@yahoo.es"/>
        <s v="406@gmail.com"/>
        <s v="407@romher.es"/>
        <s v="408@ic3sl.com"/>
        <s v="409@gruposinelec.com"/>
        <s v="410@gmail.com"/>
        <s v="411@proyectosdelhogar.com"/>
        <s v="412@seelectroled.com"/>
        <s v="413@emancha.com"/>
        <s v="414@gruptba.com"/>
        <s v="415@gmail.com"/>
        <s v="416@dominguezelectricidad.es"/>
        <s v="417@gmail.com"/>
        <s v="418@proyectosict.net"/>
        <s v="419@miscelec.com"/>
        <s v="420@covama.es"/>
        <s v="421@maelse.com"/>
        <s v="422@amena.com"/>
        <s v="423@me.com"/>
        <s v="424@ulmahandling.com"/>
        <s v="425@telefonica.net"/>
        <s v="426@gmail.com"/>
        <s v="427@gmail.com"/>
        <s v="428@hotmail.com"/>
        <s v="429@yahoo.es"/>
        <s v="430@urgon.es"/>
        <s v="431@hotmail.com"/>
        <s v="432@acacea.es"/>
        <s v="433@gmail.com"/>
        <s v="434@gmail.com"/>
        <s v="435@solucionesms.es"/>
        <s v="436@electrosoler.com"/>
        <s v="437@alrolasistemas.es"/>
        <s v="438@epla.es"/>
        <s v="439@edu.xunta.es"/>
        <s v="440@fedirbra.com"/>
        <s v="441@arquiem.es"/>
        <s v="442@hotmail.com"/>
        <s v="443@ingenia.es"/>
        <s v="444@dymiel.es"/>
        <s v="445@sueprat.es"/>
        <s v="446@atega.net"/>
        <s v="447@iescotesbaixes.org"/>
        <s v="448@gmail.com"/>
        <s v="449@urgon.es"/>
        <s v="450@gmail.com"/>
        <s v="451@ingelux.com"/>
        <s v="452@urgon.es"/>
        <s v="453@edelafuente.com"/>
        <s v="454@gmail.com"/>
        <s v="455@gmail.com"/>
        <s v="456@electricidadvilela.com"/>
        <s v="457@outlook.com"/>
        <s v="458@imel.es"/>
        <s v="459@sesetec.com"/>
        <s v="460@gmail.com"/>
        <s v="461@msn.com"/>
        <s v="462@gmail.com"/>
        <s v="463@gmail.com"/>
        <s v="464@hotmail.es"/>
        <s v="465@hotmail.com"/>
        <s v="466@gmail.com"/>
        <s v="467@gmail.com"/>
        <s v="468@yahoo.es"/>
        <s v="469@somorrostro.com"/>
        <s v="470@gmail.com"/>
        <s v="471@abengoa.com"/>
        <s v="472@ebcn.cat"/>
        <s v="473@inexo.es"/>
        <s v="474@tectram.com"/>
        <s v="475@hotmail.es"/>
        <s v="476@hotmail.com"/>
        <s v="477@gmail.com"/>
        <s v="478@gmail.com"/>
        <s v="479@gmail.com"/>
        <s v="480@gmail.com"/>
        <s v="481@gmail.com"/>
        <s v="482@pentamatik.com"/>
        <s v="483@arval.es"/>
        <s v="484@macegroup.com"/>
        <s v="485@hotmail.com"/>
        <s v="486@gmail.com"/>
        <s v="487@gmail.com"/>
        <s v="488@gmail.com"/>
        <s v="489@carbonellfigueras.com"/>
        <s v="490@idom.com"/>
        <s v="491@gmail.com"/>
        <s v="492@hotmail.com"/>
        <s v="493@gmail.com"/>
        <s v="494@protelec.es"/>
        <s v="495@boslan.com"/>
        <s v="496@gmail.com"/>
        <s v="497@6d-ingenieros.com"/>
        <s v="498@gmail.com"/>
        <s v="499@netcabo.pt"/>
        <s v="500@gmail.com"/>
        <s v="501@gmail.com"/>
        <s v="502@hotmail.com"/>
        <s v="503@ofp.cat"/>
        <s v="504@avilayhevia.com"/>
        <s v="505@mavipas.com"/>
        <s v="506@pina-ingenieria.com"/>
        <s v="507@eco-voltaica.com"/>
        <s v="508@gmail.com"/>
        <s v="509@hotmail.com"/>
        <s v="510@gmail.com"/>
        <s v="511@yahoo.es"/>
        <s v="512@hotmail.com"/>
        <s v="513@osmos.es"/>
        <s v="514@hotmail.com"/>
        <s v="515@torrepacheco.es"/>
        <s v="516@hotmail.es"/>
        <s v="517@palmersebastian.com"/>
        <s v="518@gmail.com"/>
        <s v="519@outlook.com"/>
        <s v="520@ecf-electricidad.com"/>
        <s v="521@gmail.com"/>
        <s v="522@siemens.com"/>
        <s v="523@gmail.com"/>
        <s v="524@gmail.com"/>
        <s v="525@comsa.com"/>
        <s v="526@gmail.com"/>
        <s v="527@yahoo.com.mx"/>
        <s v="528@gmail.com"/>
        <s v="529@gmail.com"/>
        <s v="530@trilegend.com"/>
        <s v="531@csisuministros.com"/>
        <s v="532@gmail.com"/>
        <s v="533@emconsulting.es"/>
        <s v="534@gmail.com"/>
        <s v="535@bgp.es"/>
        <s v="536@adymus.es"/>
        <s v="537@sonneingenieria.com"/>
        <s v="538@herquesa.com"/>
        <s v="539@cablenergia.com"/>
        <s v="540@hotmail.com"/>
        <s v="541@gmail.com"/>
        <s v="542@yahoo.es"/>
        <s v="543@andreumanteniment.com"/>
        <s v="544@telnor.es"/>
        <s v="545@serviciosenergeticoslp.es"/>
        <s v="546@gmail.com"/>
        <s v="547@grupocuerva.com"/>
        <s v="548@hotmail.com"/>
        <s v="549@gmail.com"/>
        <s v="550@activate2.com"/>
        <s v="551@mdvproyectos.es"/>
        <s v="552@engie.com"/>
        <s v="553@aenor.com"/>
        <s v="554@gngrup.com"/>
        <s v="555@yahoo.es"/>
        <s v="556@gmail.com"/>
        <s v="557@dip-badajoz.es"/>
        <s v="558@gmail.com"/>
        <s v="559@sygsa.com"/>
        <s v="560@gmail.com"/>
        <s v="561@aialmeingenieros.com"/>
        <s v="562@gmail.com"/>
        <s v="563@salesianospamplona.net"/>
        <s v="564@gmail.com"/>
        <s v="565@gmail.com"/>
        <s v="566@gmail.com"/>
        <s v="567@sonovatec.com"/>
        <s v="568@hotmail.com"/>
        <s v="569@hotmail.com"/>
        <s v="570@hotmail.com"/>
        <s v="571@outlook.com"/>
        <s v="572@gmail.com"/>
        <s v="573@gmail.com"/>
        <s v="574@tecuni.com"/>
        <s v="575@hotmail.com"/>
        <s v="576@gmail.com"/>
        <s v="577@electroalbors.com"/>
        <s v="578@gmail.com"/>
        <s v="579@gmail.com"/>
        <s v="580@gmail.com"/>
        <s v="581@gmail.com"/>
        <s v="582@gmail.com"/>
        <s v="583@iesmontsia.org"/>
        <s v="584@petronet24.net"/>
        <s v="585@hotmail.com"/>
        <s v="586@hotmail.com"/>
        <s v="587@gescogestio.com"/>
        <s v="588@gmail.com"/>
        <s v="589@freelight.es"/>
        <s v="590@hotmail.com"/>
        <s v="591@alterenergy.com.ar"/>
        <s v="592@garciacomas.com"/>
        <s v="593@sorigue.com"/>
        <s v="594@hotmail.com"/>
        <s v="595@centroasturianobarcelona.com"/>
        <s v="596@gmail.com"/>
        <s v="597@svingenieria.com.co"/>
        <s v="599@gmail.com"/>
        <s v="600@saltoki.es"/>
        <s v="601@gmail.com"/>
        <s v="602@gmail.com"/>
        <s v="603@tenmega.pt"/>
        <s v="604@goliathspain.es"/>
        <s v="605@hotmail.com"/>
        <s v="606@gmail.com"/>
        <s v="607@eficiona.com"/>
        <s v="608@sgingenieros.es"/>
        <s v="609@ritelecenergia.es"/>
        <s v="610@electricharger.com"/>
        <s v="611@santacruzdetenerife.es"/>
        <s v="612@gmail.com"/>
        <s v="613@proingo.es"/>
        <s v="614@valledeleste.es"/>
        <s v="615@iealcazar.com"/>
        <s v="616@a6ingenieria.es"/>
        <s v="617@energia.eiffage.es"/>
        <s v="618@ibil.es"/>
        <s v="619@movistar.es"/>
        <s v="620@loop-cn.com"/>
        <s v="621@gmail.com"/>
        <s v="622@icingenieros.es"/>
        <s v="623@gmail.com"/>
        <s v="624@inserty.net"/>
        <s v="625@hotmail.com"/>
        <s v="626@yahoo.es"/>
        <s v="627@gmail.com"/>
        <s v="628@inquo.es"/>
        <s v="629@gmail.com"/>
        <s v="630@melia.com"/>
        <s v="631@engie.com"/>
        <s v="632@gmail.com"/>
        <s v="633@outlook.com"/>
        <s v="634@easycharger.es"/>
        <s v="635@coneq.es"/>
        <s v="636@csisuministros.com"/>
        <s v="638@me.com"/>
        <s v="639@rolearmais.pt"/>
        <s v="641@bodai.es"/>
        <s v="642@ecoviv.eu"/>
        <s v="643@gmail.com"/>
        <s v="644@ebconsultores.com"/>
        <s v="645@confiplano.com"/>
        <s v="646@gmail.com"/>
        <s v="647@apis-ing.es"/>
        <s v="648@bcnovatecnics.com"/>
        <s v="649@yahoo.es"/>
        <s v="650@hotmail.com"/>
        <s v="651@coitim.es"/>
        <s v="652@miesasa.com"/>
        <s v="653@hotmail.com"/>
        <s v="654@staperpetua.cat"/>
        <s v="655@seproi.com"/>
        <s v="656@gmail.com"/>
        <s v="657@enaire.es"/>
        <s v="658@gmail.com"/>
        <s v="659@gleeds.es"/>
        <s v="660@unex.net"/>
        <s v="661@horus.es"/>
        <s v="662@3cid.es"/>
        <s v="663@hotmail.com"/>
        <s v="664@hotmail.es"/>
        <s v="665@gmail.com"/>
        <s v="666@ighmallorca.com"/>
        <s v="667@ces2010.es"/>
        <s v="668@dipucordoba.es"/>
        <s v="669@hotmail.com"/>
        <s v="670@nogawatio.es"/>
        <s v="671@csisuministros.com"/>
        <s v="672@gmail.com"/>
        <s v="673@gmail.com"/>
        <s v="674@coitt.es"/>
        <s v="675@aclingenieria.com"/>
        <s v="676@promec.es"/>
        <s v="677@gmail.com"/>
        <s v="678@nh-hotels.com"/>
        <s v="679@hotmail.com"/>
        <s v="680@chargeguru.com"/>
        <s v="681@electricidadbalaguer.es"/>
        <s v="682@gmail.com"/>
        <s v="683@hagergroup.com"/>
        <s v="684@gmail.com"/>
        <s v="685@climava.com"/>
        <s v="686@electro-h.es"/>
        <s v="687@outlook.es"/>
        <s v="688@legrandgroup.es"/>
        <s v="689@arbonapiza.com"/>
        <s v="690@dllgroup.com"/>
        <s v="691@cbre.com"/>
        <s v="692@gmail.com"/>
        <s v="693@yahoo.com.mx"/>
        <s v="694@gmail.com"/>
        <s v="695@gmail.com"/>
        <s v="696@rlinstalacioneselectricas.com"/>
        <s v="697@ingedomsl.com"/>
        <s v="698@gmail.com"/>
        <s v="699@unisystems.es"/>
        <s v="700@gmail.com"/>
        <s v="701@gmail.com"/>
        <s v="702@hotmail.com"/>
        <s v="703@gmail.com"/>
        <s v="704@gmail.com"/>
        <s v="705@gmail.com"/>
        <s v="706@juntaex.es"/>
        <s v="707@ufd.es"/>
        <s v="708@zaker.com"/>
        <s v="709@gmail.com"/>
        <s v="710@hotmail.com"/>
        <s v="711@hotmail.com"/>
        <s v="712@gjautomotive.com"/>
        <s v="713@gmail.com"/>
        <s v="714@hotmail.com"/>
        <s v="715@gmail.com"/>
        <s v="716@gmail.com"/>
        <s v="717@rtve.es"/>
        <s v="718@poweringcar.com"/>
        <s v="719@gmail.com"/>
        <s v="720@pgiengineering.com"/>
        <s v="721@gmail.com"/>
        <s v="722@gmail.com"/>
        <s v="723@gmail.com"/>
        <s v="724@gmail.com"/>
        <s v="725@gmail.com"/>
        <s v="726@gmail.com"/>
        <s v="727@membrives.es"/>
        <s v="728@calambre.net"/>
        <s v="729@gmail.com"/>
        <s v="730@hotmail.com"/>
        <s v="731@bonoboenergy.com"/>
        <s v="732@vcejudo.es"/>
        <s v="733@gmail.com"/>
        <s v="734@gmail.com"/>
        <s v="735@serveiskronier55.com"/>
        <s v="736@yahoo.com"/>
        <s v="737@lagingenieros.es"/>
        <s v="738@caatvalencia.es"/>
        <s v="739@isf-esp.com"/>
        <s v="740@cee.com.es"/>
        <s v="741@dieselsanchez.com"/>
        <s v="742@acoeman.com"/>
        <s v="743@bahiguell.com"/>
        <s v="744@gmail.com"/>
        <s v="745@geinstal.com"/>
        <s v="746@msn.com"/>
        <s v="747@tecnicas.es"/>
        <s v="748@gmail.com"/>
        <s v="749@gmail.com"/>
        <s v="750@germaniaweb.com"/>
        <s v="751@ecium.es"/>
        <s v="752@hotmail.com"/>
        <s v="753@arquinur.es"/>
        <s v="754@gmail.com"/>
        <s v="755@coitt.es"/>
        <s v="756@gsima.es"/>
        <s v="757@integra-sti.com"/>
        <s v="758@ingenieros.com"/>
        <s v="759@hotmail.com"/>
        <s v="760@hotmail.com"/>
        <s v="761@insfuert.es"/>
        <s v="762@hotmail.com"/>
        <s v="763@gmail.com"/>
        <s v="764@nova-electrica.com"/>
        <s v="765@gmail.com"/>
        <s v="766@hotmail.com"/>
        <s v="767@rexel.es"/>
        <s v="768@gmail.com"/>
        <s v="769@gmail.com"/>
        <s v="770@inmotiza.com"/>
        <s v="771@solutions30.com"/>
        <s v="772@faen.es"/>
        <s v="773@perequart.com"/>
        <s v="774@urgon.es"/>
        <s v="775@yahoo.es"/>
        <s v="776@entepi.com"/>
        <s v="777@onofflife.es"/>
        <s v="778@gmail.com"/>
        <s v="779@gmail.com"/>
        <s v="780@hotmail.com"/>
        <s v="781@gmail.com"/>
        <s v="782@gmail.com"/>
        <s v="783@diexfe.com"/>
        <s v="784@live.com"/>
        <s v="785@gabrielcorchero.org"/>
        <s v="786@grupoelectrostocks.com"/>
        <s v="787@electricidadoriagomez.com"/>
        <s v="788@casvicuatro.es"/>
        <s v="789@simsabdn.cat"/>
        <s v="790@yahoo.com.ar"/>
        <s v="791@hotmail.com"/>
        <s v="792@gva.es"/>
        <s v="793@gmail.com"/>
        <s v="794@somoselectricistas.com"/>
        <s v="795@lomosamovilidad.com"/>
        <s v="796@gmail.com"/>
        <s v="797@gmail.com"/>
        <s v="798@gmail.com"/>
        <s v="799@yahoo.es"/>
        <s v="800@taubertek.com"/>
        <s v="801@hotmail.es"/>
        <s v="802@hotmail.com"/>
        <s v="803@outlook.com"/>
        <s v="804@monrabal.net"/>
        <s v="805@gmail.com"/>
        <s v="806@gmail.com"/>
        <s v="807@gmail.com"/>
        <s v="808@ale.es"/>
        <s v="809@naturgy.com"/>
        <s v="810@arquired.es"/>
        <s v="811@proinsermant.com"/>
        <s v="812@invgrupo.com"/>
        <s v="813@kilovatiogalicia.com"/>
        <s v="814@interingenieria.com"/>
        <s v="815@uach.mx"/>
        <s v="816@energia.eiffage.es"/>
        <s v="817@gmail.com"/>
        <s v="818@galektra.es"/>
        <s v="819@hotmail.com"/>
        <s v="820@ebcn.cat"/>
        <s v="821@gmail.com"/>
        <s v="822@yahoo.fr"/>
        <s v="823@gmail.com"/>
        <s v="824@gmail.com"/>
        <s v="825@hotmail.com"/>
        <s v="826@gmail.com"/>
        <s v="827@coitiar.es"/>
        <s v="828@zf.com"/>
        <s v="829@gmail.com"/>
        <s v="830@gmail.com"/>
        <s v="831@gmail.com"/>
        <s v="832@suministradora.com"/>
        <s v="833@ofitecbp.com"/>
        <s v="834@gmail.com"/>
        <s v="835@gmail.com"/>
        <s v="837@gmail.com"/>
        <s v="838@sdin.es"/>
        <s v="839@fluidsa.com"/>
        <s v="840@gmail.com"/>
        <s v="841@gmail.com"/>
        <s v="842@fibramur.com"/>
        <s v="843@instalacionescueto.com"/>
        <s v="844@certis.cat"/>
        <s v="845@hotmail.com"/>
        <s v="846@hotmail.com"/>
        <s v="847@lodeal.es"/>
        <s v="848@sesaelec.com"/>
        <s v="849@gmail.com"/>
        <s v="850@gmail.com"/>
        <s v="851@arquitecto.com"/>
        <s v="852@grupviu.com"/>
        <s v="853@gmail.com"/>
        <s v="854@msn.com"/>
        <s v="855@msn.com"/>
        <s v="856@gmail.com"/>
        <s v="857@gmail.com"/>
        <s v="858@gmail.com"/>
        <s v="859@hotmail.com"/>
        <s v="860@gmail.com"/>
        <s v="861@outlook.com"/>
        <s v="862@fpcm.es"/>
        <s v="863@outlook.com"/>
        <s v="864@es.uazuay.edu.ec"/>
        <s v="865@asmoaingenieria.com"/>
        <s v="866@typsa.es"/>
        <s v="867@proyectosjamaras.es"/>
        <s v="868@gmail.com"/>
        <s v="869@yahoo.es"/>
        <s v="870@gmail.com"/>
        <s v="871@cefiner.com"/>
        <s v="872@gmail.com"/>
        <s v="873@eutikes.com"/>
        <s v="874@coac.net"/>
        <s v="875@orange.es"/>
        <s v="876@arquitectonica.cat"/>
        <s v="877@gmail.com"/>
        <s v="878@masteringenieria.com"/>
        <s v="879@sicoris.com"/>
        <s v="880@miquelnieto.com"/>
        <s v="881@hotmail.com"/>
        <s v="882@domotelelectric.com"/>
        <s v="883@hotmail.com"/>
        <s v="884@enersos.es"/>
        <s v="885@gmail.com"/>
        <s v="886@gmail.com"/>
        <s v="887@gmail.com"/>
        <s v="888@zivautomation.com"/>
        <s v="889@hotmail.com"/>
        <s v="890@hotmail.com"/>
        <s v="891@gmail.com"/>
        <s v="892@hotmail.com"/>
        <s v="893@krean.com"/>
        <s v="894@gmail.com"/>
        <s v="895@volumetric.eu"/>
        <s v="896@gmail.com"/>
        <s v="897@rtve.es"/>
        <s v="898@gmail.com"/>
        <s v="899@gmail.com"/>
        <s v="900@hirurok.eu"/>
        <s v="901@gmail.com"/>
        <s v="902@gmail.com"/>
        <s v="903@edirocsa.com"/>
        <s v="904@inboundcycle.com"/>
        <s v="905@yahoo.es"/>
        <s v="906@europrojectes.es"/>
        <s v="907@gmail.com"/>
        <s v="908@hotmail.com"/>
        <s v="909@gmail.com"/>
        <s v="910@sogesa.es"/>
        <s v="911@lusorede.pt"/>
        <s v="912@gmail.com"/>
        <s v="913@quorania.com"/>
        <s v="914@gmail.com"/>
        <s v="915@gmail.com"/>
        <s v="916@gcaarq.com"/>
        <s v="917@gmail.com"/>
        <s v="918@gmail.com"/>
        <s v="919@hotmail.com"/>
        <s v="920@meval.eu"/>
        <s v="921@gmail.com"/>
        <s v="922@ingenierosvigo.com"/>
        <s v="923@gmail.com"/>
        <s v="924@msn.com"/>
        <s v="925@eco-voltaica.com"/>
        <s v="926@electricidadyserviciosmontero.com"/>
        <s v="927@argionelectric.es"/>
        <s v="928@gmail.com"/>
        <s v="929@acciona.com"/>
        <s v="930@acciona.com"/>
        <s v="931@acciona.com"/>
        <s v="932@bellmasenginyers.cat"/>
        <s v="933@orsei.es"/>
        <s v="934@outlook.com"/>
        <s v="935@gmail.com"/>
        <s v="936@gmail.com"/>
        <s v="937@gmail.com"/>
        <s v="938@montegar.es"/>
        <s v="939@gmail.com"/>
        <s v="940@masojuando.com"/>
        <s v="941@gmail.com"/>
        <s v="942@r11arquitectos.com"/>
        <s v="943@gabyl.com"/>
        <s v="944@gmail.com"/>
        <s v="945@red.renault.es"/>
        <s v="946@gmail.com"/>
        <s v="947@clysema.com"/>
        <s v="948@gmail.com"/>
        <s v="949@cadielsa.com"/>
        <s v="950@grupocobra.com"/>
        <s v="951@tenerasa.es"/>
        <s v="953@mosancar.com"/>
        <s v="954@aiguesmanresa.cat"/>
        <s v="955@conras.es"/>
        <s v="956@mebaluz.es"/>
        <s v="957@germaniaweb.com"/>
        <s v="958@hotmail.es"/>
        <s v="959@mlopezarquitectos.com"/>
        <s v="960@aqelectric.es"/>
        <s v="961@gmail.com"/>
        <s v="962@electropla.cat"/>
        <s v="963@gmail.com"/>
        <s v="964@hotmail.com"/>
        <s v="965@gmail.com"/>
        <s v="966@miguelmoralesingenieros.com"/>
        <s v="967@lacsl.es"/>
        <s v="968@gmail.com"/>
        <s v="969@comercialsis.com"/>
        <s v="970@acelecsal.com"/>
        <s v="971@imagogestion.com"/>
        <s v="972@acelecsal.com"/>
        <s v="973@live.com"/>
        <s v="974@yahoo.es"/>
        <s v="975@yahoo.com"/>
        <s v="977@tarragona.cat"/>
        <s v="978@gmail.com"/>
        <s v="979@gmail.com"/>
        <s v="980@coiiar.org"/>
        <s v="981@gmail.com"/>
        <s v="982@gmail.com"/>
        <s v="983@elektracat.com"/>
        <s v="984@gmail.com"/>
        <s v="985@jesnar2011.es"/>
        <s v="986@hotmail.com"/>
        <s v="987@ginsa.cat"/>
        <s v="988@electromercantil.es"/>
        <s v="989@electricasllop.com"/>
        <s v="990@gmail.com"/>
        <s v="991@yahoo.es"/>
        <s v="992@yahoo.es"/>
        <s v="993@electricidadguerra.com"/>
        <s v="994@gruponovelec.com"/>
        <s v="995@telefonica.net"/>
        <s v="996@comb.cat"/>
        <s v="997@yahoo.es"/>
        <s v="998@damuvi.com"/>
        <s v="999@aeperez.es"/>
        <s v="1000@hotmail.com"/>
        <s v="1001@hotmail.com"/>
        <s v="1002@hotmail.com"/>
        <s v="1003@gmail.com"/>
        <s v="1004@telefonica.net"/>
        <s v="1005@allendearquitectos.com"/>
        <s v="1006@gmail.com"/>
        <s v="1007@yahoo.es"/>
        <s v="1008@olleo.es"/>
        <s v="1009@ccatlantico.com"/>
        <s v="1011@gmail.com"/>
        <s v="1012@formasymateriales.com"/>
        <s v="1013@hotmail.com"/>
        <s v="1014@gmail.com"/>
        <s v="1015@aziraelectricidad.com"/>
        <s v="1016@coitt.es"/>
        <s v="1017@tesnetwork.net"/>
        <s v="1018@esmassmart.com"/>
        <s v="1019@ingeralbaida.es"/>
        <s v="1020@deinrresa.es"/>
        <s v="1021@proturhotels.com"/>
        <s v="1022@uhu.es"/>
        <s v="1023@hotmail.com"/>
        <s v="1024@elecnor.com"/>
        <s v="1025@gmail.com"/>
        <s v="1026@aia.cat"/>
        <s v="1027@leanteam.es"/>
        <s v="1028@ingenierosvalladolid.es"/>
        <s v="1029@gmail.com"/>
        <s v="1030@inmaser-integral.es"/>
        <s v="1031@grupoitesa.com"/>
        <s v="1032@zioenginy.com"/>
        <s v="1033@gmail.com"/>
        <s v="1034@gmail.com"/>
        <s v="1035@gmail.com"/>
        <s v="1036@grupoelectrostocks.com"/>
        <s v="1037@gmail.com"/>
        <s v="1038@gmail.com"/>
        <s v="1039@yahoo.es"/>
        <s v="1040@gmail.com"/>
        <s v="1041@jordimoran.es"/>
        <s v="1042@alvae.es"/>
        <s v="1043@gmail.com"/>
        <s v="1044@hotmail.com"/>
        <s v="1045@coac.net"/>
        <s v="1046@gmail.com"/>
        <s v="1047@coag.es"/>
        <s v="1048@usc.es"/>
        <s v="1049@gmail.com"/>
        <s v="1050@hotmail.es"/>
        <s v="1051@gmail.com"/>
        <s v="1052@yahoo.es"/>
        <s v="1053@gmail.com"/>
        <s v="1054@isd-ingenieria.es"/>
        <s v="1055@gmail.com"/>
        <s v="1056@gmail.com"/>
        <s v="1057@gmsil.com"/>
        <s v="1058@gmail.com"/>
        <s v="1059@yahoo.es"/>
        <s v="1060@hotmail.com"/>
        <s v="1061@perezescribano.es"/>
        <s v="1062@hotmail.com"/>
        <s v="1063@gmail.com"/>
        <s v="1064@abxat.com"/>
        <s v="1065@movistar.es"/>
        <s v="1066@gmail.com"/>
        <s v="1067@gmail.com"/>
        <s v="1068@dominion.es"/>
        <s v="1069@agoitziru.es"/>
        <s v="1070@vamostelecom.es"/>
        <s v="1071@industrialgines.com"/>
        <s v="1072@gmail.com"/>
        <s v="1073@grupolasser.com"/>
        <s v="1074@hotmail.com"/>
        <s v="1075@gmail.com"/>
        <s v="1076@gmail.com"/>
        <s v="1077@hotmail.com"/>
        <s v="1078@gmail.com"/>
        <s v="1079@outlook.es"/>
        <s v="1080@levitec.es"/>
        <s v="1081@teideingenieros.com"/>
        <s v="1082@gmail.com"/>
        <s v="1083@hotmail.com"/>
        <s v="1084@gmail.com"/>
        <s v="1085@gmail.com"/>
        <s v="1086@gmail.com"/>
        <s v="1087@hotmail.com"/>
        <s v="1088@citemaing.com"/>
        <s v="1089@gmail.com"/>
        <s v="1090@hotmail.com"/>
        <s v="1092@cipfpcanastell.com"/>
        <s v="1093@edu.xunta.es"/>
        <s v="1094@hotmail.com"/>
        <s v="1095@gmail.com"/>
        <s v="1096@mpf-ingenieria.es"/>
        <s v="1097@santaeulalia.cat"/>
        <s v="1099@hotmail.com"/>
        <s v="1100@boffor.com"/>
        <s v="1101@hotmail.com"/>
        <s v="1102@gmail.com"/>
        <s v="1103@montajeselectricosfase.com"/>
        <s v="1104@gmail.com"/>
        <s v="1105@gmail.com"/>
        <s v="1106@gruponoria.com"/>
        <s v="1107@ryaingenieros.com"/>
        <s v="1108@enginyerstarragona.cat"/>
        <s v="1109@gmail.com"/>
        <s v="1110@gmail.com"/>
        <s v="1111@hotmail.com"/>
        <s v="1112@covama.es"/>
        <s v="1113@aurialux.com"/>
        <s v="1114@teclisa.com"/>
        <s v="1115@muntanerelectro.com"/>
        <s v="1116@suelba.com"/>
        <s v="1117@hotmail.com"/>
        <s v="1118@coitiar.es"/>
        <s v="1119@gmail.com"/>
        <s v="1120@sonepar.es"/>
        <s v="1121@gmail.com"/>
        <s v="1122@hotmail.es"/>
        <s v="1123@gmail.com"/>
        <s v="1124@energonrenovables.es"/>
        <s v="1125@rocaingenieros.com"/>
        <s v="1126@viveme.es"/>
        <s v="1127@telefonica.net"/>
        <s v="1128@fgingenieria.com"/>
        <s v="1129@eselfri.com"/>
        <s v="1130@kairsa.com"/>
        <s v="1131@gmail.com"/>
        <s v="1132@yahoo.es"/>
        <s v="1133@hotmail.com"/>
        <s v="1134@integratoledo.com"/>
        <s v="1135@gmail.com"/>
        <s v="1136@metalux.es"/>
        <s v="1137@eiasein.es"/>
        <s v="1138@arquired.es"/>
        <s v="1139@gmail.com"/>
        <s v="1140@fer.es"/>
        <s v="1141@coitim.es"/>
        <s v="1142@asmesl.es"/>
        <s v="1143@gmail.com"/>
        <s v="1144@idponline.net"/>
        <s v="1145@miretelectricidad.com"/>
        <s v="1146@hotmail.com"/>
        <s v="1147@magalux.es"/>
        <s v="1148@dipusevilla.es"/>
        <s v="1149@fillsdelluissureda.cat"/>
        <s v="1150@gmail.com"/>
        <s v="1151@telefonica.net"/>
        <s v="1152@lahidro.net"/>
        <s v="1153@hotmail.com"/>
        <s v="1154@gmail.com"/>
        <s v="1155@mapelsl.com"/>
        <s v="1156@berrilanbim.com"/>
        <s v="1157@himalayaclimatizacionycontrol.es"/>
        <s v="1158@hotmail.com"/>
        <s v="1159@birtes.com.tr"/>
        <s v="1160@copcisa.com"/>
        <s v="1161@sygsa.com"/>
        <s v="1162@gmail.com"/>
        <s v="1163@instalmasa.com"/>
        <s v="1164@projecat.com"/>
        <s v="1165@gmail.com"/>
        <s v="1166@hotmail.com"/>
        <s v="1167@tselsur.es"/>
        <s v="1168@renaultpineda.com"/>
        <s v="1169@gmail.com"/>
        <s v="1170@lahidro.net"/>
        <s v="1171@albaida.es"/>
        <s v="1172@sunkatel.com"/>
        <s v="1173@vifrisan.com"/>
        <s v="1174@alem.es"/>
        <s v="1175@gmail.com"/>
        <s v="1176@gmail.com"/>
        <s v="1177@imte.cat"/>
        <s v="1178@hotmail.com"/>
        <s v="1179@hotmail.com"/>
        <s v="1180@sonepar.es"/>
        <s v="1181@mapfre.com"/>
        <s v="1182@damm.es"/>
        <s v="1183@ddisl.com"/>
        <s v="1184@tecmotica.net"/>
        <s v="1185@lmretavi.es"/>
        <s v="1186@gmail.com"/>
        <s v="1187@gmail.com"/>
        <s v="1188@gmail.com"/>
        <s v="1189@gmail.com"/>
        <s v="1190@telecable.es"/>
        <s v="1191@tinet.fut.es"/>
        <s v="1192@toyota-canarias.es"/>
        <s v="1193@grupoelectrostocks.com"/>
        <s v="1194@hotmail.com"/>
        <s v="1195@gmail.com"/>
        <s v="1196@hotmail.com"/>
        <s v="1197@electricidadcelec.com"/>
        <s v="1198@hotmail.com"/>
        <s v="1199@qwerty.es"/>
        <s v="1200@gg.com"/>
        <s v="1201@yahoo.es"/>
        <s v="1202@gmail.com"/>
        <s v="1203@smarthaus.studio"/>
        <s v="1204@me.com"/>
        <s v="1205@telefonica.net"/>
        <s v="1206@gmail.com"/>
        <s v="1207@gmail.com"/>
        <s v="1208@gmail.com"/>
        <s v="1209@hotmail.es"/>
        <s v="1210@pepepower.es"/>
        <s v="1211@outlook.es"/>
        <s v="1212@hotmail.com"/>
        <s v="1213@hotmail.com"/>
        <s v="1214@gmail.com"/>
        <s v="1215@subis.cat"/>
        <s v="1216@gmail.com"/>
        <s v="1217@gmail.com"/>
        <s v="1218@gmail.com"/>
        <s v="1219@actluz.com"/>
        <s v="1220@sanitariosbosco.es"/>
        <s v="1221@gencat.cat"/>
        <s v="1222@hotmail.com"/>
        <s v="1223@proyecta79.com"/>
        <s v="1224@ipertec.es"/>
        <s v="1225@yahoo.es"/>
        <s v="1226@agiceringenieros.es"/>
        <s v="1227@telefonica.net"/>
        <s v="1228@entax.es"/>
        <s v="1229@yahoo.es"/>
        <s v="1230@gmail.com"/>
        <s v="1231@gmail.com"/>
        <s v="1232@planocaceres.com"/>
        <s v="1233@hotmail.com"/>
        <s v="1234@gmail.com"/>
        <s v="1235@gmail.com"/>
        <s v="1236@hotmail.com"/>
        <s v="1237@gmail.com"/>
        <s v="1238@gmail.com"/>
        <s v="1239@telefonica.net"/>
        <s v="1240@hotmail.com"/>
        <s v="1241@gmail.com"/>
        <s v="1242@hotmail.com"/>
        <s v="1243@educa.jcyl.es"/>
        <s v="1244@gmail.com"/>
        <s v="1245@hotmail.com"/>
        <s v="1246@ecoltan.org"/>
        <s v="1247@gmail.com"/>
        <s v="1248@gmail.com"/>
        <s v="1249@gmail.com"/>
        <s v="1250@telefonica.net"/>
        <s v="1251@gomurmya.com"/>
        <s v="1252@desarrollotecnico.com"/>
        <s v="1253@gmail.com"/>
        <s v="1254@gmail.com"/>
        <s v="1255@hotmail.com"/>
        <s v="1256@gmail.com"/>
        <s v="1257@carsbarcelona.es"/>
        <s v="1258@gmail.com"/>
        <s v="1259@radresa.com"/>
        <s v="1260@gdr.es"/>
        <s v="1261@e-copitile.es"/>
        <s v="1262@hotmail.com"/>
        <s v="1263@hotmail.com"/>
        <s v="1264@gmail.com"/>
        <s v="1265@hotmail.com"/>
        <s v="1266@gmail.com"/>
        <s v="1267@motor2000.net"/>
        <s v="1268@gamai.com"/>
        <s v="1269@kuartafase.com"/>
        <s v="1270@solcansl.com"/>
        <s v="1271@yahoo.es"/>
        <s v="1272@gmail.com"/>
        <s v="1273@telefonica.net"/>
        <s v="1274@gmail.com"/>
        <s v="1275@sonepar.es"/>
        <s v="1276@protomar.es"/>
        <s v="1277@sonepar.es"/>
        <s v="1278@gmail.com"/>
        <s v="1279@fccco.com"/>
        <s v="1280@coitiar.es"/>
        <s v="1281@albillos.com"/>
        <s v="1282@hotmail.com"/>
        <s v="1283@gmail.com"/>
        <s v="1284@gmail.com"/>
        <s v="1285@e3ingenieria.com"/>
        <s v="1286@instalacionespiru.es"/>
        <s v="1287@aytosalamanca.es"/>
        <s v="1288@serpel.es"/>
        <s v="1289@gmail.com"/>
        <s v="1290@tesma.es"/>
        <s v="1291@macegroup.com"/>
        <s v="1292@gmail.com"/>
        <s v="1293@gmail.com"/>
        <s v="1294@gmail.com"/>
        <s v="1295@hotmail.es"/>
        <s v="1296@gmail.com"/>
        <s v="1297@silmarinstalacions.com"/>
        <s v="1298@gmail.com"/>
        <s v="1299@sonepar.es"/>
        <s v="1300@movistar.es"/>
        <s v="1301@electricidadaldama.com"/>
        <s v="1302@alem.es"/>
        <s v="1303@hotmail.com"/>
        <s v="1304@ingenibo.com"/>
        <s v="1305@checa67.es"/>
        <s v="1306@instalacionesyobrasdelrio.com"/>
        <s v="1307@gmail.com"/>
        <s v="1308@tdgi.pt"/>
        <s v="1309@gmail.com"/>
        <s v="1310@hotmail.com"/>
        <s v="1311@gmail.com"/>
        <s v="1312@gmail.com"/>
        <s v="1313@adober.es"/>
        <s v="1314@jtelectricperu.com"/>
        <s v="1315@riello-tdl.com"/>
        <s v="1316@proyndust.es"/>
        <s v="1317@gmail.com"/>
        <s v="1318@inteleclamancha.com"/>
        <s v="1319@masfarne.info"/>
        <s v="1320@gmail.com"/>
        <s v="1321@gmail.com"/>
        <s v="1322@gmail.com"/>
        <s v="1323@gmail.com"/>
        <s v="1324@hotmail.com"/>
        <s v="1325@gmail.com"/>
        <s v="1326@saltoki.es"/>
        <s v="1327@tinet.org"/>
        <s v="1328@gmail.com"/>
        <s v="1329@gmail.com"/>
        <s v="1330@comb.cat"/>
        <s v="1331@gmail.com"/>
        <s v="1332@novarquia.es"/>
        <s v="1333@lantec.es"/>
        <s v="1334@hotmail.es"/>
        <s v="1335@santalucia.es"/>
        <s v="1336@yahoo.es"/>
        <s v="1337@grupoelectrostocks.com"/>
        <s v="1338@gmail.com"/>
        <s v="1339@electrogalmar.es"/>
        <s v="1340@silezgrup.com"/>
        <s v="1341@electricidadinstalvi.com"/>
        <s v="1342@ic3sl.com"/>
        <s v="1343@hotmail.com"/>
        <s v="1344@gmail.com"/>
        <s v="1345@telefonica.net"/>
        <s v="1346@boslan.com"/>
        <s v="1347@ormazabal.com"/>
        <s v="1348@gmail.com"/>
        <s v="1349@gmail.com"/>
        <s v="1350@gmail.com"/>
        <s v="1351@conselldemallorca.net"/>
        <s v="1352@autelec.net"/>
        <s v="1353@cairo.ad"/>
        <s v="1354@hotmail.com"/>
        <s v="1355@gmail.com"/>
        <s v="1356@hotmail.com"/>
        <s v="1357@gmail.com"/>
        <s v="1358@gmail.com"/>
        <s v="1359@grupotandal.com"/>
        <s v="1360@hotmail.com"/>
        <s v="1361@gmail.com"/>
        <s v="1362@gmail.com"/>
        <s v="1363@hotmail.com"/>
        <s v="1364@eirazola.com"/>
        <s v="1365@hotmail.com"/>
        <s v="1366@electroalco.es"/>
        <s v="1367@telecable.es"/>
        <s v="1368@baselec.es"/>
        <s v="1369@atribal.es"/>
        <s v="1370@hotmail.com"/>
        <s v="1371@gmail.com"/>
        <s v="1372@telefonica.net"/>
        <s v="1373@electrolucman.com"/>
        <s v="1374@autelec.net"/>
        <s v="1375@gmail.com"/>
        <s v="1376@telefonica.net"/>
        <s v="1377@hotmail.com"/>
        <s v="1378@electromat.com"/>
        <s v="1379@hotmail.com"/>
        <s v="1380@gmail.com"/>
        <s v="1381@msn.com"/>
        <s v="1382@gmail.com"/>
        <s v="1383@grupoazmont.com"/>
        <s v="1384@eringenieria.com"/>
        <s v="1385@telefonica.net"/>
        <s v="1386@grupoevc.es"/>
        <s v="1387@yahoo.com.mx"/>
        <s v="1388@covama.es"/>
        <s v="1389@hotmail.com"/>
        <s v="1390@gmail.com"/>
        <s v="1391@grupojab.es"/>
        <s v="1392@msn.com"/>
        <s v="1393@electricidadguerra.com"/>
        <s v="1394@gmail.com"/>
        <s v="1395@cenorma.com"/>
        <s v="1396@telefonica.net"/>
        <s v="1397@olibayas.net"/>
        <s v="1398@teclisa.com"/>
        <s v="1399@gmail.com"/>
        <s v="1400@apeh.org"/>
        <s v="1401@auditenergia.com"/>
        <s v="1402@gmail.com"/>
        <s v="1403@grupoelectrostocks.com"/>
        <s v="1404@eurocabos.es"/>
        <s v="1405@arreglosoluciones.com"/>
        <s v="1406@gmail.com"/>
        <s v="1407@gmail.com"/>
        <s v="1408@cepsa.com"/>
        <s v="1410@elecnor.es"/>
        <s v="1411@ujaen.es"/>
        <s v="1412@electryser.com"/>
        <s v="1413@gmail.com"/>
        <s v="1414@gmail.com"/>
        <s v="1415@coytesa.com"/>
        <s v="1416@edifesa.com"/>
        <s v="1417@gmail.com"/>
        <s v="1418@gmail.com"/>
        <s v="1419@gmail.com"/>
        <s v="1420@globalelectrica.com"/>
        <s v="1421@itesasl.com"/>
        <s v="1422@gmail.com"/>
        <s v="1423@telefonica.net"/>
        <s v="1424@gmail.com"/>
        <s v="1425@elezvi.com"/>
        <s v="1426@gmail.com"/>
        <s v="1427@hotmail.es"/>
        <s v="1428@gadeaingenieros.com"/>
        <s v="1429@yahoo.es"/>
        <s v="1430@outlook.es"/>
        <s v="1431@jgingenieros.es"/>
        <s v="1432@gmail.com"/>
        <s v="1433@apeme.es"/>
        <s v="1434@planamar.com"/>
        <s v="1435@serindex.es"/>
        <s v="1436@deerns.com"/>
        <s v="1437@indal-tec.com"/>
        <s v="1438@hotmail.com"/>
        <s v="1439@amingenieros.com"/>
        <s v="1440@hotmail.com"/>
        <s v="1441@gmail.com"/>
        <s v="1442@sonepar.es"/>
        <s v="1443@hotmail.com"/>
        <s v="1444@gmail.com"/>
        <s v="1445@gmail.com"/>
        <s v="1446@gmail.com"/>
        <s v="1447@galektra.es"/>
        <s v="1448@renowattandorra.com"/>
        <s v="1449@aseisa.es"/>
        <s v="1450@hotmail.com"/>
        <s v="1451@electrocuebar.com"/>
        <s v="1452@ricarsat.com"/>
        <s v="1453@ingenierosdecadiz.es"/>
        <s v="1454@yahoo.es"/>
        <s v="1455@gmail.com"/>
        <s v="1456@telefonica.net"/>
        <s v="1457@covama.es"/>
        <s v="1458@gmail.com"/>
        <s v="1459@mican.es"/>
        <s v="1460@gmail.com"/>
        <s v="1461@gmail.com"/>
        <s v="1462@cadlan.com"/>
        <s v="1463@sicarsl.es"/>
        <s v="1464@gmail.com"/>
        <s v="1465@guielec.es"/>
        <s v="1466@telegrado.es"/>
        <s v="1467@agave-broadcast.es"/>
        <s v="1468@gmail.com"/>
        <s v="1469@hotmail.com"/>
        <s v="1470@gmail.com"/>
        <s v="1471@tcasertec.com"/>
        <s v="1472@yahoo.es"/>
        <s v="1473@hotmail.com"/>
        <s v="1474@urgon.es"/>
        <s v="1475@electricidadreset.es"/>
        <s v="1476@sonepar.es"/>
        <s v="1477@sonepar.es"/>
        <s v="1478@gmail.com"/>
        <s v="1479@iespunyes.com"/>
        <s v="1480@coiim.es"/>
        <s v="1481@iesmercurio.es"/>
        <s v="1482@gmail.com"/>
        <s v="1483@gruponovelec.com"/>
        <s v="1484@r3recymed.com"/>
        <s v="1486@gmail.com"/>
        <s v="1487@gmail.com"/>
        <s v="1488@telefonica.net"/>
        <s v="1489@gmail.com"/>
        <s v="1490@hotmail.com"/>
        <s v="1491@donbany.com"/>
        <s v="1492@aurialux.com"/>
        <s v="1493@hotmail.com"/>
        <s v="1494@gmail.com"/>
        <s v="1495@grupcluster.com"/>
        <s v="1496@coitt.es"/>
        <s v="1497@covama.es"/>
        <s v="1498@gmail.com"/>
        <s v="1499@sonepar.es"/>
        <s v="1500@covama.es"/>
        <s v="1501@clientes.euskaltel.es"/>
        <s v="1502@educastur.org"/>
        <s v="1504@gmail.com"/>
        <s v="1505@gmail.com"/>
        <s v="1506@dhorma.com"/>
        <s v="1507@hotmail.com"/>
        <s v="1508@gmail.com"/>
        <s v="1509@xonxa.com"/>
        <s v="1510@adelanteenergia.es"/>
        <s v="1511@hotmail.com"/>
        <s v="1512@elecox.es"/>
        <s v="1514@hotmail.com"/>
        <s v="1515@expertline.es"/>
        <s v="1516@gmail.com"/>
        <s v="1517@hotmail.com"/>
        <s v="1518@gmail.com"/>
        <s v="1519@tadelec.com"/>
        <s v="1520@cebrinsa.es"/>
        <s v="1521@hotmail.com"/>
        <s v="1522@agad.cat"/>
        <s v="1523@ofitep.com"/>
        <s v="1524@suministrosserpis.es"/>
        <s v="1525@abcgrup.com"/>
        <s v="1526@gmail.com"/>
        <s v="1527@prodelec.es"/>
        <s v="1528@sitiaingenieria.com"/>
        <s v="1530@aller.es"/>
        <s v="1531@telefonica.net"/>
        <s v="1532@telefonica.net"/>
        <s v="1533@gmail.com"/>
        <s v="1534@gmail.com"/>
        <s v="1535@hotmail.com"/>
        <s v="1536@estudiosyproyectos.com"/>
        <s v="1537@prysmiangroup.com"/>
        <s v="1538@auditenergia.com"/>
        <s v="1539@hotmail.com"/>
        <s v="1540@heliopol.es"/>
        <s v="1541@acp-level.es"/>
        <s v="1542@meomsl.com"/>
        <s v="1543@cotpa.com"/>
        <s v="1544@hotmail.com"/>
        <s v="1545@hotmail.com"/>
        <s v="1546@gmail.com"/>
        <s v="1547@gmail.com"/>
        <s v="1548@gva.es"/>
        <s v="1549@urgon.es"/>
        <s v="1550@die.upv.es"/>
        <s v="1551@avatry.es"/>
        <s v="1552@yahoo.es"/>
        <s v="1553@arfecons.es"/>
        <s v="1555@marinstal.com"/>
        <s v="1556@electricidadguerra.com"/>
        <s v="1557@gmail.com"/>
        <s v="1558@gmail.com"/>
        <s v="1559@strong.es"/>
        <s v="1560@copitival.es"/>
        <s v="1561@elecvic.com"/>
        <s v="1562@gmail.com"/>
        <s v="1563@emtvalencia.es"/>
        <s v="1564@dimelsa.es"/>
        <s v="1566@elecparamos.com"/>
        <s v="1567@egarriga.com"/>
        <s v="1568@gmail.com"/>
        <s v="1569@ecag.es"/>
        <s v="1570@yahoo.es"/>
        <s v="1571@electrolid.es"/>
        <s v="1572@flotatsyasociados.com"/>
        <s v="1573@hotmail.com"/>
        <s v="1574@gmail.com"/>
        <s v="1575@gmail.com"/>
        <s v="1576@conrad.cat"/>
        <s v="1577@cimelsa.com"/>
        <s v="1578@covama.es"/>
        <s v="1579@inblau.es"/>
        <s v="1580@grupotesein.com"/>
        <s v="1581@arpeestudio.com"/>
        <s v="1582@edu.xunta.es"/>
        <s v="1583@hotmail.com"/>
        <s v="1584@gmail.com"/>
        <s v="1585@vialuz.es"/>
        <s v="1586@genserma.es"/>
        <s v="1587@naturgy.com"/>
        <s v="1588@jgingenieros.es"/>
        <s v="1589@gmail.com"/>
        <s v="1590@efik.cat"/>
        <s v="1591@gmail.com"/>
        <s v="1592@mesenergia.cat"/>
        <s v="1593@gmail.com"/>
        <s v="1594@jgingenieros.es"/>
        <s v="1595@gmail.com"/>
        <s v="1596@gruponovelec.com"/>
        <s v="1597@gmail.com"/>
        <s v="1598@coac.net"/>
        <s v="1599@conmasa.cat"/>
        <s v="1600@coelca.com"/>
        <s v="1601@yahoo.es"/>
        <s v="1602@gmail.com"/>
        <s v="1603@gmail.com"/>
        <s v="1604@geinstal.com"/>
        <s v="1605@recargamostucoche.com"/>
        <s v="1606@cesvimap.com"/>
        <s v="1607@talesingenieria.es"/>
        <s v="1608@grupolasser.com"/>
        <s v="1609@gmail.com"/>
        <s v="1610@gmail.com"/>
        <s v="1611@lasallesagradocorazon.es"/>
        <s v="1612@gmail.com"/>
        <s v="1613@muntanerelectro.com"/>
        <s v="1614@electronalon.es"/>
        <s v="1615@hotmail.es"/>
        <s v="1616@wct.es"/>
        <s v="1617@e-noses.com"/>
        <s v="1618@hotmail.com"/>
        <s v="1620@ciudaddelosmuchachos.com"/>
        <s v="1621@salicru.com"/>
        <s v="1622@electropla.cat"/>
        <s v="1623@gmail.com"/>
        <s v="1624@sistema1.es"/>
        <s v="1625@hotmail.com"/>
        <s v="1626@adaliaradio.com"/>
        <s v="1627@elec-matic.com"/>
        <s v="1628@solbesingenieros.com"/>
        <s v="1629@coac.net"/>
        <s v="1630@sertec.es"/>
        <s v="1631@sri.es"/>
        <s v="1632@iremael.com"/>
        <s v="1633@coam.es"/>
        <s v="1634@gmail.com"/>
        <s v="1635@arevoltapc.com"/>
        <s v="1636@yahoo.es"/>
        <s v="1637@gmail.com"/>
        <s v="1638@teclisa.com"/>
        <s v="1639@senae.es"/>
        <s v="1640@infonegocio.com"/>
        <s v="1641@gmail.com"/>
        <s v="1642@aytoguadalajara.es"/>
        <s v="1643@splitmania.net"/>
        <s v="1644@tevigrup.com"/>
        <s v="1645@gomezmoreno.com"/>
        <s v="1646@geserelectric.es"/>
        <s v="1647@telefonica.net"/>
        <s v="1648@gmail.com"/>
        <s v="1649@vamostelecom.es"/>
        <s v="1650@hotmail.com"/>
        <s v="1651@gmail.com"/>
        <s v="1652@skyclimber.es"/>
        <s v="1653@sonepar.es"/>
        <s v="1654@movinetenergia.com"/>
        <s v="1655@sonepar.es"/>
        <s v="1656@gmx.es"/>
        <s v="1657@pontosolar.com"/>
        <s v="1658@gmail.com"/>
        <s v="1659@orpoint.com"/>
        <s v="1660@relsa.es"/>
        <s v="1661@turelectric.com"/>
        <s v="1662@neinorhomes.com"/>
        <s v="1663@hotmail.com"/>
        <s v="1664@jgingenieros.es"/>
        <s v="1665@gmail.com"/>
        <s v="1666@coto.pro"/>
        <s v="1667@hotmail.com"/>
        <s v="1668@negratin.com"/>
        <s v="1669@gmail.com"/>
        <s v="1670@electricidadisla.com"/>
        <s v="1671@epc-industrial.com"/>
        <s v="1672@internoringenieros.es"/>
        <s v="1673@gailmafra.com"/>
        <s v="1674@gmail.com"/>
        <s v="1675@exinor.com"/>
        <s v="1676@unex.net"/>
        <s v="1679@levantinadecuadros.com"/>
        <s v="1680@trelec.es"/>
        <s v="1681@gmail.com"/>
        <s v="1682@hotmail.es"/>
        <s v="1683@eleccom.es"/>
        <s v="1684@climalec.com"/>
        <s v="1685@zuaznabar.com"/>
        <s v="1686@yahoo.com"/>
        <s v="1687@gestilar.com"/>
        <s v="1688@muringenieros.es"/>
        <s v="1689@jlgingenieria.com"/>
        <s v="1690@gruponovelec.com"/>
        <s v="1691@hotmail.com"/>
        <s v="1692@tecasol.net"/>
        <s v="1693@gmx.es"/>
        <s v="1694@gmail.com"/>
        <s v="1695@gruponortica.com"/>
        <s v="1696@gmail.com"/>
        <s v="1697@yahoo.es"/>
        <s v="1698@jgi.es"/>
        <s v="1699@panchofernandez.com"/>
        <s v="1700@padrao.com.pt"/>
        <s v="1701@insmarbella.com"/>
        <s v="1702@gestion-energetica.eu"/>
        <s v="1703@laelectrica.com"/>
        <s v="1704@hotmail.com"/>
        <s v="1705@sanehogar.com"/>
        <s v="1706@otp.cat"/>
        <s v="1707@lledosa.es"/>
        <s v="1708@gmail.com"/>
        <s v="1709@serium.es"/>
        <s v="1710@gmail.com"/>
        <s v="1712@gmail.com"/>
        <s v="1713@gmail.com"/>
        <s v="1714@cirima.es"/>
        <s v="1715@upv.es"/>
        <s v="1716@fuengiroluz.es"/>
        <s v="1717@soelvi.es"/>
        <s v="1718@yupcharge.com"/>
        <s v="1720@yahoo.es"/>
        <s v="1721@mafonsa.cat"/>
        <s v="1722@folgarona.com"/>
        <s v="1723@gmail.com"/>
        <s v="1724@arbonapiza.com"/>
        <s v="1725@coelbe.com"/>
        <s v="1726@quadrifoli.com"/>
        <s v="1727@grupojab.es"/>
        <s v="1728@gmail.com"/>
        <s v="1729@gmail.com"/>
        <s v="1730@armeriaeskola.eus"/>
        <s v="1731@inserty.net"/>
        <s v="1732@gmail.com"/>
        <s v="1733@ecm-partners.com"/>
        <s v="1734@ofintex.com"/>
        <s v="1735@gruponovelec.com"/>
        <s v="1736@electrovizcaya.com"/>
        <s v="1737@salesianos.edu"/>
        <s v="1738@msn.com"/>
        <s v="1739@jh-internacional.com"/>
        <s v="1740@doica.net"/>
        <s v="1741@grupoelectrostocks.com"/>
        <s v="1742@industrialgines.com"/>
        <s v="1743@ceymo.es"/>
        <s v="1744@gmail.com"/>
        <s v="1745@bod.es"/>
        <s v="1746@hotmail.es"/>
        <s v="1747@araiz.es"/>
        <s v="1748@salesianosatocha.es"/>
        <s v="1750@itecnal.com"/>
        <s v="1751@altener.es"/>
        <s v="1752@intec3.es"/>
        <s v="1753@arcadis.com"/>
        <s v="1754@gabyl.com"/>
        <s v="1755@pgiengineering.com"/>
        <s v="1756@gmail.com"/>
        <s v="1757@indair-genercasadevall.cat"/>
        <s v="1758@gmail.com"/>
        <s v="1759@galektra.es"/>
        <s v="1760@xtec.cat"/>
        <s v="1761@spiritingenieria.es"/>
        <s v="1762@adqa.com"/>
        <s v="1763@coacordoba.net"/>
        <s v="1764@gmail.com"/>
        <s v="1765@instalplus.es"/>
        <s v="1766@gmail.com"/>
        <s v="1767@gmail.com"/>
        <s v="1768@telefonica.net"/>
        <s v="1769@gmail.com"/>
        <s v="1770@hotmail.es"/>
        <s v="1771@gmail.com"/>
        <s v="1772@cosmoseguridad.com"/>
        <s v="1774@soloviov.es"/>
        <s v="1775@gmail.com"/>
        <s v="1776@incat.cat"/>
        <s v="1778@gmail.com"/>
        <s v="1779@barreu.com"/>
        <s v="1780@metromadrid.es"/>
        <s v="1781@autoradiomontijo.es"/>
        <s v="1783@telefonica.net"/>
        <s v="1784@coytesa.com"/>
        <s v="1785@arintec.com"/>
        <s v="1787@roigconstruccions.com"/>
        <s v="1788@hotmail.com"/>
        <s v="1789@electromat.com"/>
        <s v="1790@electricarius.com"/>
        <s v="1791@gmail.com"/>
        <s v="1792@incober.es"/>
        <s v="1793@gmail.com"/>
        <s v="1794@enchufing.com"/>
        <s v="1795@gmail.com"/>
        <s v="1796@sorigue.com"/>
        <s v="1797@icaingenieros.com"/>
        <s v="1798@eleccom.es"/>
        <s v="1799@wurth.es"/>
        <s v="1800@hotmail.com"/>
        <s v="1801@gmail.com"/>
        <s v="1802@hotmail.es"/>
        <s v="1803@ymcelectrica.com"/>
        <s v="1804@meguerra.com"/>
        <s v="1805@gmail.com"/>
        <s v="1806@aymesa.com"/>
        <s v="1807@saltoki.es"/>
        <s v="1808@gmail.com"/>
        <s v="1809@prodelec.es"/>
        <s v="1810@ebegroup.net"/>
        <s v="1811@ansiel.eu"/>
        <s v="1812@ext.mpsa.com"/>
        <s v="1813@gmail.com"/>
        <s v="1814@grupoetra.com"/>
        <s v="1815@grupojab.es"/>
        <s v="1816@petesan.es"/>
        <s v="1817@eurocabos.es"/>
        <s v="1818@electricidadpolop.es"/>
        <s v="1820@marveco.com"/>
        <s v="1821@construciainstalaciones.com"/>
        <s v="1822@diexfe.com"/>
        <s v="1823@saltoki.es"/>
        <s v="1824@selpri.pt"/>
        <s v="1825@digamel.com"/>
        <s v="1826@gestionservicios.com"/>
        <s v="1827@gmail.com"/>
        <s v="1828@econergia.es"/>
        <s v="1829@1aingenieros.com"/>
        <s v="1830@gmail.com"/>
        <s v="1831@monlau.com"/>
        <s v="1832@mhindustrias.com"/>
        <s v="1833@coitir.com"/>
        <s v="1834@valls.cat"/>
        <s v="1835@gmail.com"/>
        <s v="1836@biper.es"/>
        <s v="1837@cersanz.es"/>
        <s v="1838@gruponovelec.com"/>
        <s v="1839@gmail.com"/>
        <s v="1840@ingenierosvigo.com"/>
        <s v="1841@infova.es"/>
        <s v="1843@jovitel.com"/>
        <s v="1844@grupoelectrostocks.com"/>
        <s v="1845@hotmail.com"/>
        <s v="1846@gmail.com"/>
        <s v="1847@viegasefilhos.pt"/>
        <s v="1848@gmail.com"/>
        <s v="1849@minsait.com"/>
        <s v="1850@yahoo.com"/>
        <s v="1851@gmail.com"/>
        <s v="1852@gmail.com"/>
        <s v="1853@hotmail.com"/>
        <s v="1854@hotmail.com"/>
        <s v="1855@inboundcycle.com"/>
        <s v="1856@hotmail.com"/>
        <s v="1857@mantise.com"/>
        <s v="1858@yahoo.es"/>
        <s v="1859@gmail.com"/>
        <s v="1860@gmail.com"/>
        <s v="1861@gmail.com"/>
        <s v="1862@gmail.com"/>
        <s v="1863@hotmail.com"/>
        <s v="1864@gmail.com"/>
        <s v="1865@gmail.com"/>
        <s v="1866@inrobadajoz.com"/>
        <s v="1867@cbringenieria.es"/>
        <s v="1868@hotmail.com"/>
        <s v="1869@gmail.com"/>
        <s v="1870@marlexingenieria.com"/>
        <s v="1871@abc.gob.ar"/>
        <s v="1872@gmail.com"/>
        <s v="1873@rodosa.com"/>
        <s v="1874@gesel.ie.ufrj.br"/>
        <s v="1875@gmail.com"/>
        <s v="1876@gmail.com"/>
        <s v="1877@gmail.com"/>
        <s v="1878@gmail.com"/>
        <s v="1879@jafenginyeria.cat"/>
        <s v="1880@dipta.cat"/>
        <s v="1882@gmail.com"/>
        <s v="1883@adingenieros.es"/>
        <s v="1884@zuecoingenieria.com"/>
        <s v="1885@groupg4.com"/>
        <s v="1886@outlook.com"/>
        <s v="1887@gmail.com"/>
        <s v="1888@instalacionsgarmi.com"/>
        <s v="1889@cetim.cat"/>
        <s v="1890@setenergia.com"/>
        <s v="1891@ciudaddelosmuchachos.com"/>
        <s v="1892@soltecingenieros.com"/>
        <s v="1893@byguk.com"/>
        <s v="1894@arasolutions.es"/>
        <s v="1895@grupoarquitelia.com"/>
        <s v="1896@gmail.com"/>
        <s v="1897@hotmail.es"/>
        <s v="1898@navantia.es"/>
        <s v="1899@gmail.com"/>
        <s v="1900@hotmail.com"/>
        <s v="1901@gmail.com"/>
        <s v="1902@hotmail.com"/>
        <s v="1903@yahoo.es"/>
        <s v="1904@gmail.com"/>
        <s v="1905@gmail.com"/>
        <s v="1906@gmail.com"/>
        <s v="1907@yahoo.es"/>
        <s v="1908@enel.com"/>
        <s v="1909@gmail.com"/>
        <s v="1910@antelecat.com"/>
        <s v="1911@gmail.com"/>
        <s v="1912@gmail.com"/>
        <s v="1913@gmail.com"/>
        <s v="1915@zmingenieros.com"/>
        <s v="1916@gmail.com"/>
        <s v="1917@gmail.com"/>
        <s v="1918@sgx.cat"/>
        <s v="1920@gmail.com"/>
        <s v="1921@msn.com"/>
        <s v="1923@agosa.es"/>
        <s v="1924@merlosl.es"/>
        <s v="1925@elecnor.com"/>
        <s v="1926@elecam.com"/>
        <s v="1927@anbatel.com"/>
        <s v="1928@gmail.com"/>
        <s v="1929@hotmail.com"/>
        <s v="1930@gmail.com"/>
        <s v="1931@gmail.com"/>
        <s v="1932@cotelsa.com"/>
        <s v="1933@lujama.com"/>
        <s v="1934@ferrovial.com"/>
        <s v="1935@telefonica.net"/>
        <s v="1936@e2enginyeria.com"/>
        <s v="1937@gmail.com"/>
        <s v="1938@gmail.com"/>
        <s v="1940@electromercantil.es"/>
        <s v="1941@hotmail.com"/>
        <s v="1942@ciudaddelosmuchachos.com"/>
        <s v="1943@gmail.com"/>
        <s v="1944@didacticaformacion.es"/>
        <s v="1945@ip21ingenieria.com"/>
        <s v="1946@gmail.com"/>
        <s v="1947@gmail.com"/>
        <s v="1948@culmar.net"/>
        <s v="1949@suno.cat"/>
        <s v="1950@yahoo.es"/>
        <s v="1951@engimatica.com"/>
        <s v="1952@tinet.cat"/>
        <s v="1953@proyteczaragoza.com"/>
        <s v="1954@dicsl.com"/>
        <s v="1955@salesianos.edu"/>
        <s v="1956@gmail.com"/>
        <s v="1957@msn.com"/>
        <s v="1958@iebsl.com"/>
        <s v="1959@gmail.com"/>
        <s v="1960@ic3sl.com"/>
        <s v="1961@hotmail.com"/>
        <s v="1962@lliro.com"/>
        <s v="1963@atisistemas.com"/>
        <s v="1964@hotmail.com"/>
        <s v="1965@tienda-gasnatural.com"/>
        <s v="1966@gmail.com"/>
        <s v="1967@ferrovial.com"/>
        <s v="1968@gmail.com"/>
        <s v="1969@fundacionmasaveu.com"/>
        <s v="1970@electrificacionesparra.es"/>
        <s v="1971@tienda-gasnatural.com"/>
        <s v="1972@projecal.com"/>
        <s v="1973@ingekor.com"/>
        <s v="1974@proluxingenieros.com"/>
        <s v="1975@outlook.es"/>
        <s v="1976@electronavia.com"/>
        <s v="1977@gmail.com"/>
        <s v="1978@hotmail.com"/>
        <s v="1979@matcas.es"/>
        <s v="1980@hotmail.com"/>
        <s v="1981@gmail.com"/>
        <s v="1982@hotmail.com"/>
        <s v="1983@suno.cat"/>
        <s v="1984@hotmail.com"/>
        <s v="1985@tinet.org"/>
        <s v="1986@martipala.com"/>
        <s v="1988@lusorede.pt"/>
        <s v="1989@elecdomo.com"/>
        <s v="1990@gmail.com"/>
        <s v="1991@gmail.com"/>
        <s v="1992@proecoingenieria.com"/>
        <s v="1994@gmail.com"/>
        <s v="1995@gmail.com"/>
        <s v="1996@gmail.com"/>
        <s v="1997@comi-sl.com"/>
        <s v="1998@gmail.com"/>
        <s v="1999@obrelsa.com"/>
        <s v="2000@hotmail.com"/>
        <s v="2001@alainsa.com"/>
        <s v="2002@camarasaragon.com"/>
        <s v="2003@alainsa.com"/>
        <s v="2004@mcamps.es"/>
        <s v="2005@hotmail.com"/>
        <s v="2006@masteringenieria.com"/>
        <s v="2008@yahoo.es"/>
        <s v="2009@gmail.com"/>
        <s v="2010@incasl.com"/>
        <s v="2011@gmail.com"/>
        <s v="2012@gmail.com"/>
        <s v="2013@ecopimeprojects.com"/>
        <s v="2014@gmail.com"/>
        <s v="2015@hotmail.com"/>
        <s v="2017@sogesa.es"/>
        <s v="2018@mantise.com"/>
        <s v="2019@didacticaformacion.es"/>
        <s v="2020@forestaldelatlantico.com"/>
        <s v="2021@osnova.net"/>
        <s v="2022@solarinspain.com"/>
        <s v="2023@gmail.com"/>
        <s v="2024@grupooca.com"/>
        <s v="2025@gmail.com"/>
        <s v="2026@telefonica.net"/>
        <s v="2027@hotmail.com"/>
        <s v="2028@grupooca.com"/>
        <s v="2029@sonepar.es"/>
        <s v="2030@gmail.com"/>
        <s v="2031@electrofiloeste.es"/>
        <s v="2032@masalo.biz"/>
        <s v="2033@elmoelectric.com"/>
        <s v="2034@tienda-gasnatural.com"/>
        <s v="2035@yahoo.es"/>
        <s v="2036@sece.com"/>
        <s v="2037@agefred.es"/>
        <s v="2038@legomar.com"/>
        <s v="2039@antrelec.net"/>
        <s v="2040@grupsoler.com"/>
        <s v="2041@electromercantil.es"/>
        <s v="2042@gmail.com"/>
        <s v="2043@gmail.com"/>
        <s v="2044@orvi-s.es"/>
        <s v="2045@gmail.com"/>
        <s v="2046@gmail.com"/>
        <s v="2047@gmail.com"/>
        <s v="2048@visioelectric.es"/>
        <s v="2049@telefonica.net"/>
        <s v="2050@melecmor.com"/>
        <s v="2051@gmail.com"/>
        <s v="2053@sades.es"/>
        <s v="2055@gmail.com"/>
        <s v="2056@hotmail.com"/>
        <s v="2057@gmail.com"/>
        <s v="2058@sonepar.es"/>
        <s v="2059@gmail.com"/>
        <s v="2060@gmail.com"/>
        <s v="2061@hotmail.es"/>
        <s v="2062@euskalnet.net"/>
        <s v="2063@gmail.com"/>
        <s v="2064@hotmail.com"/>
        <s v="2065@gmail.com"/>
        <s v="2066@gmail.com"/>
        <s v="2067@gmail.com"/>
        <s v="2068@gencat.cat"/>
        <s v="2069@gmail.com"/>
        <s v="2070@hotmail.com"/>
        <s v="2071@gmail.com"/>
        <s v="2072@gmail.com"/>
        <s v="2073@gmail.com"/>
        <s v="2074@hotmail.com"/>
        <s v="2075@gmail.com"/>
        <s v="2076@gmail.com"/>
        <s v="2077@gmail.com"/>
        <s v="2078@gmail.com"/>
        <s v="2079@gmail.com"/>
        <s v="2080@grupoelectrostocks.com"/>
        <s v="2081@cymel.com"/>
        <s v="2082@hotmail.com"/>
        <s v="2083@gmail.com"/>
        <s v="2084@hcparquitectos.com"/>
        <s v="2085@gmail.com"/>
        <s v="2086@farelle.com"/>
        <s v="2087@hotmail.com"/>
        <s v="2088@gmail.com"/>
        <s v="2089@hotmail.com"/>
        <s v="2090@estabanell.cat"/>
        <s v="2091@gmail.com"/>
        <s v="2092@outlook.com"/>
        <s v="2093@gmail.com"/>
        <s v="2094@gmail.com"/>
        <s v="2095@hotmail.com"/>
        <s v="2096@formasymateriales.com"/>
        <s v="2097@hotmail.com"/>
        <s v="2099@grupoelectrostocks.com"/>
        <s v="2101@gmail.com"/>
        <s v="2102@gmail.com"/>
        <s v="2103@hotmail.com"/>
        <s v="2104@temarelectronica.es"/>
        <s v="2105@nauta.cu"/>
        <s v="2106@gmail.com"/>
        <s v="2107@danmur.es"/>
        <s v="2108@emvisesa.org"/>
        <s v="2109@huelvanorte.es"/>
        <s v="2110@ingeconsulting.com"/>
        <s v="2111@iraiaingenieros.com"/>
        <s v="2112@gmail.com"/>
        <s v="2113@gmail.com"/>
        <s v="2114@tecnoclimainstalaciones.com"/>
        <s v="2115@outlook.es"/>
        <s v="2116@gmail.com"/>
        <s v="2117@gmail.com"/>
        <s v="2118@hotmail.com"/>
        <s v="2119@gmail.com"/>
        <s v="2120@gmail.com"/>
        <s v="2121@gmail.com"/>
        <s v="2122@somains.com"/>
        <s v="2123@gmail.com"/>
        <s v="2124@gmail.com"/>
        <s v="2125@ctac.es"/>
        <s v="2126@gmail.com"/>
        <s v="2127@hotmail.com"/>
        <s v="2128@gmail.com"/>
        <s v="2129@gmail.com"/>
        <s v="2130@hotmail.com"/>
        <s v="2131@gmail.com"/>
        <s v="2132@hotmail.com"/>
        <s v="2133@gmail.com"/>
        <s v="2134@gmx.es"/>
        <s v="2135@gmail.com"/>
        <s v="2136@gmail.com"/>
        <s v="2137@hotmail.com"/>
        <s v="2138@gmail.com"/>
        <s v="2139@gmail.com"/>
        <s v="2140@gmail.com"/>
        <s v="2141@gmail.com"/>
        <s v="2143@gmail.com"/>
        <s v="2144@gmail.com"/>
        <s v="2145@gmail.com"/>
        <s v="2146@hotmail.es"/>
        <s v="2147@gmail.com"/>
        <s v="2148@gmail.com"/>
        <s v="2149@gmail.com"/>
        <s v="2150@yahoo.es"/>
        <s v="2151@gmail.com"/>
        <s v="2152@igkarratu.com"/>
        <s v="2153@gmail.com"/>
        <s v="2154@gmail.com"/>
        <s v="2155@gmail.com"/>
        <s v="2156@gmail.com"/>
        <s v="2157@hotmail.com"/>
        <s v="2158@gmail.com"/>
        <s v="2159@hotmail.com"/>
        <s v="2160@yahoo.es"/>
        <s v="2161@hotmail.com"/>
        <s v="2162@gienergygroup.com"/>
        <s v="2163@hotmail.com"/>
        <s v="2164@macegroup.com"/>
        <s v="2165@orangemail.es"/>
        <s v="2166@gmail.com"/>
        <s v="2167@outlook.es"/>
        <s v="2169@gmail.com"/>
        <s v="2170@reparatuequipo.es"/>
        <s v="2171@gmail.com"/>
        <s v="2172@gmail.com"/>
        <s v="2173@menendezygamonal.com"/>
        <s v="2174@wurth.es"/>
        <s v="2175@canogarcia.es"/>
        <s v="2176@hotmail.com"/>
        <s v="2177@yahoo.es"/>
        <s v="2178@altair.edu.es"/>
        <s v="2179@gmail.com"/>
        <s v="2180@hotmail.com"/>
        <s v="2181@gmail.com"/>
        <s v="2182@hotmail.com"/>
        <s v="2183@gmail.com"/>
        <s v="2184@suris.es"/>
        <s v="2185@gmail.com"/>
        <s v="2186@grupoelectrostocks.com"/>
        <s v="2187@hotmail.com"/>
        <s v="2188@gmail.com"/>
        <s v="2189@infova.es"/>
        <s v="2190@hotmail.com"/>
        <s v="2191@hotmail.es"/>
        <s v="2192@itcl.es"/>
        <s v="2193@gmail.com"/>
        <s v="2194@mesado.es"/>
        <s v="2195@yahoo.es"/>
        <s v="2196@telefonica.net"/>
        <s v="2197@outlook.es"/>
        <s v="2198@gmail.com"/>
        <s v="2199@gmail.com"/>
        <s v="2200@gmail.com"/>
        <s v="2201@4fils.es"/>
        <s v="2202@sanjosetecno.com"/>
        <s v="2203@gmail.com"/>
        <s v="2204@hotmail.es"/>
        <s v="2205@gmail.com"/>
        <s v="2206@gmail.com"/>
        <s v="2207@gmail.com"/>
        <s v="2208@wp.pl"/>
        <s v="2209@elecem.es"/>
        <s v="2210@hotmail.com"/>
        <s v="2211@hotmail.com"/>
        <s v="2212@pgiengineering.com"/>
        <s v="2213@gmail.com"/>
        <s v="2214@hotmail.com"/>
        <s v="2215@gmail.com"/>
        <s v="2216@bladis.com"/>
        <s v="2217@gmail.com"/>
        <s v="2218@gmx.es"/>
        <s v="2219@teigatmi.es"/>
        <s v="2220@hotmail.com"/>
        <s v="2221@hotmail.com"/>
        <s v="2222@gmail.com"/>
        <s v="2223@hotmail.com"/>
        <s v="2224@gmail.com"/>
        <s v="2225@evectra.es"/>
        <s v="2226@hotmail.com"/>
        <s v="2227@gmail.com"/>
        <s v="2228@gmail.com"/>
        <s v="2229@enerluz.es"/>
        <s v="2230@hotmail.com"/>
        <s v="2231@hotmail.com"/>
        <s v="2232@gmail.com"/>
        <s v="2233@gmail.com"/>
        <s v="2234@hotmail.com"/>
        <s v="2235@hotmail.com"/>
        <s v="2236@hotmail.com"/>
        <s v="2238@hotmail.es"/>
        <s v="2239@gmail.com"/>
        <s v="2240@coac.net"/>
        <s v="2241@outlook.com"/>
        <s v="2242@eurogestiones.com"/>
        <s v="2243@gmail.com"/>
        <s v="2244@outlook.com"/>
        <s v="2245@gmail.com"/>
        <s v="2246@eleko.es"/>
        <s v="2247@gmail.com"/>
        <s v="2248@telefonica.net"/>
        <s v="2249@politecnicomalaga.com"/>
        <s v="2250@gmail.com"/>
        <s v="2251@gmail.com"/>
        <s v="2252@energestic.es"/>
        <s v="2253@hotmail.com"/>
        <s v="2254@gmail.com"/>
        <s v="2255@yahoo.es"/>
        <s v="2256@gmail.com"/>
        <s v="2257@hotmail.com"/>
        <s v="2258@fercansa.es"/>
        <s v="2259@gmail.com"/>
        <s v="2260@gmail.com"/>
        <s v="2261@grupoefelec.com"/>
        <s v="2262@hotmail.com"/>
        <s v="2263@gmail.com"/>
        <s v="2264@gmail.com"/>
        <s v="2265@gmail.com"/>
        <s v="2266@gmail.com"/>
        <s v="2267@gmail.com"/>
        <s v="2268@gmail.com"/>
        <s v="2269@qq.com"/>
        <s v="2270@hotmail.com"/>
        <s v="2271@gmail.com"/>
        <s v="2272@tiempobbdo.es"/>
        <s v="2273@telefonica.net"/>
        <s v="2274@fersitec.com"/>
        <s v="2275@rccyp.com"/>
        <s v="2276@hotmail.com"/>
        <s v="2277@gmail.com"/>
        <s v="2278@gmail.com"/>
        <s v="2279@gmail.com"/>
        <s v="2280@gmail.com"/>
        <s v="2281@hotmail.com"/>
        <s v="2282@gmail.com"/>
        <s v="2283@hotmail.com"/>
        <s v="2284@gmail.com"/>
        <s v="2285@hotmail.com"/>
        <s v="2286@hotmail.com"/>
        <s v="2287@sonepar.es"/>
        <s v="2288@yahoo.es"/>
        <s v="2289@hotmail.com"/>
        <s v="2290@atmos.link"/>
        <s v="2291@fegime.es"/>
        <s v="2292@gmail.com"/>
        <s v="2293@usa.com"/>
        <s v="2294@gmail.com"/>
        <s v="2295@msn.com"/>
        <s v="2296@gmail.com"/>
        <s v="2297@sece.com"/>
        <s v="2298@sonepar.es"/>
        <s v="2299@protele.es"/>
        <s v="2300@grupoelectrostocks.com"/>
        <s v="2301@sonepar.es"/>
        <s v="2302@agosa.es"/>
        <s v="2303@industrialgines.com"/>
        <s v="2304@gmail.com"/>
        <s v="2305@hotmail.com"/>
        <s v="2306@somosemotion.es"/>
        <s v="2307@gmail.com"/>
        <s v="2308@gmail.com"/>
        <s v="2309@hotmail.com"/>
        <s v="2310@yahoo.es"/>
        <s v="2311@deluxson.com"/>
        <s v="2312@yahoo.es"/>
        <s v="2313@gmail.com"/>
        <s v="2314@gmail.com"/>
        <s v="2315@electricidadguerra.com"/>
        <s v="2316@telecable.es"/>
        <s v="2317@eimetropolitana.com"/>
        <s v="2318@grupo-jarama.com"/>
        <s v="2319@gmail.com"/>
        <s v="2320@electrovizcaya.com"/>
        <s v="2321@coto.pro"/>
        <s v="2322@hotmail.com"/>
        <s v="2323@gmail.com"/>
        <s v="2324@gmail.com"/>
        <s v="2325@ingenierosvalladolid.es"/>
        <s v="2326@gmail.com"/>
        <s v="2327@gmail.com"/>
        <s v="2328@gmail.com"/>
        <s v="2329@hotmail.com"/>
        <s v="2330@gmail.com"/>
        <s v="2331@gmail.com"/>
        <s v="2332@gmail.com"/>
        <s v="2333@gmail.com"/>
        <s v="2334@grupoelectrostocks.com"/>
        <s v="2335@gmail.com"/>
        <s v="2336@gmail.com"/>
        <s v="2337@msn.com"/>
        <s v="2338@gmail.com"/>
        <s v="2339@monlau.com"/>
        <s v="2340@yahoo.es"/>
        <s v="2341@hotmail.com"/>
        <s v="2342@inescoconstructora.es"/>
        <s v="2343@gmail.com"/>
        <s v="2344@tecmagenil.es"/>
        <s v="2345@yahoo.es"/>
        <s v="2346@grupoetra.com"/>
        <s v="2347@visaonomada.pt"/>
        <s v="2348@ya.com"/>
        <s v="2349@belsanz.com"/>
        <s v="2350@gmail.com"/>
        <s v="2351@gmail.com"/>
        <s v="2352@gmail.com"/>
        <s v="2353@conecta-sistemas.com"/>
        <s v="2354@gmail.com"/>
        <s v="2355@gmail.com"/>
        <s v="2356@infova.es"/>
        <s v="2357@gmail.com"/>
        <s v="2358@hotmail.es"/>
        <s v="2359@hotmail.com"/>
        <s v="2360@viplaro.com"/>
        <s v="2361@gmail.com"/>
        <s v="2362@telefonica.net"/>
        <s v="2363@hotmail.com"/>
        <s v="2364@agmundet.es"/>
        <s v="2365@jazzfree.com"/>
        <s v="2366@energies.cat"/>
        <s v="2367@yahoo.es"/>
        <s v="2368@gmail.com"/>
        <s v="2369@cataliaga.com"/>
        <s v="2370@gmail.com"/>
        <s v="2371@fhiguero.es"/>
        <s v="2372@gmail.com"/>
        <s v="2373@grupoelectrostocks.com"/>
        <s v="2374@yahoo.com"/>
        <s v="2375@m4servicios.es"/>
        <s v="2376@gmail.com"/>
        <s v="2377@conmasa.cat"/>
        <s v="2378@montajesjep.com"/>
        <s v="2379@erf.cat"/>
        <s v="2380@gmail.com"/>
        <s v="2381@outlook.com"/>
        <s v="2382@hotmail.com"/>
        <s v="2383@fff.com"/>
        <s v="2384@kapsch.net"/>
        <s v="2385@gg.com"/>
        <s v="2386@agosa.es"/>
        <s v="2387@yahoo.es"/>
        <s v="2388@gmail.com"/>
        <s v="2389@gruponovelec.com"/>
        <s v="2390@gmail.com"/>
        <s v="2391@casamarquez.es"/>
        <s v="2392@gmail.com"/>
        <s v="2393@gmail.com"/>
        <s v="2394@bladis.com"/>
        <s v="2395@gruponovelec.com"/>
        <s v="2396@sonepar.es"/>
        <s v="2397@a2bingenieros.com"/>
        <s v="2398@hotmail.com"/>
        <s v="2399@teclisa.com"/>
        <s v="2400@ormazabal.com"/>
        <s v="2401@hotmail.com"/>
        <s v="2402@adtel.es"/>
        <s v="2403@gmail.com"/>
        <s v="2404@gmail.com"/>
        <s v="2406@gmail.com"/>
        <s v="2407@msn.com"/>
        <s v="2408@me.com"/>
        <s v="2409@eufon.com"/>
        <s v="2410@me.com"/>
        <s v="2411@hotmail.com"/>
        <s v="2412@conmasa.cat"/>
        <s v="2413@siemensgamesa.com"/>
        <s v="2414@saenzdesanpedro.com"/>
        <s v="2415@gmail.com"/>
        <s v="2416@veolia.com"/>
        <s v="2417@rexel.es"/>
        <s v="2418@ompsl.com"/>
        <s v="2419@aiguesdebarcelona.cat"/>
        <s v="2420@gmail.com"/>
        <s v="2421@rexel.es"/>
        <s v="2422@hotmail.com"/>
        <s v="2423@jccifuentes.com"/>
        <s v="2424@sonepar.es"/>
        <s v="2425@hotmail.com"/>
        <s v="2426@gmail.com"/>
        <s v="2427@valnu.es"/>
        <s v="2428@saltoki.es"/>
        <s v="2429@hotmail.com"/>
        <s v="2430@tenmega.pt"/>
        <s v="2431@gmail.com"/>
        <s v="2432@telefonica.net"/>
        <s v="2433@sonepar.es"/>
        <s v="2434@gmail.com"/>
        <s v="2435@indasasl.es"/>
        <s v="2436@ydrolia.com"/>
        <s v="2437@dos-atf.es"/>
        <s v="2438@gmail.com"/>
        <s v="2439@hotmail.com"/>
        <s v="2440@imanzanera.com"/>
        <s v="2441@berdin.com"/>
        <s v="2442@gmail.com"/>
        <s v="2443@gmail.com"/>
        <s v="2444@gmail.com"/>
        <s v="2445@wallbox.com"/>
        <s v="2446@hotmail.com"/>
        <s v="2447@etecnic.es"/>
        <s v="2448@uvigo.es"/>
        <s v="2449@magtel.es"/>
        <s v="2450@sonepar.es"/>
        <s v="2451@gmail.com"/>
        <s v="2452@fi-group.com"/>
        <s v="2453@insitecaingenieros.com"/>
        <s v="2454@gmail.com"/>
        <s v="2455@gmail.com"/>
        <s v="2456@serlujua.com"/>
        <s v="2457@gmail.com"/>
        <s v="2458@gmail.com"/>
        <s v="2459@grupoelectrostocks.com"/>
        <s v="2460@gmail.com"/>
        <s v="2461@yahoo.es"/>
        <s v="2462@gmail.com"/>
        <s v="2463@ise40.com"/>
        <s v="2464@pas.uned.es"/>
        <s v="2465@gmail.com"/>
        <s v="2466@hotmail.com"/>
        <s v="2467@gmail.com"/>
        <s v="2468@gmail.com"/>
        <s v="2469@yca.es"/>
        <s v="2470@gmail.com"/>
        <s v="2471@gmail.com"/>
        <s v="2472@gmail.com"/>
        <s v="2473@hotmail.com"/>
        <s v="2474@sehusol.com"/>
        <s v="2475@berdin.com"/>
        <s v="2476@dimces.com"/>
        <s v="2477@moralesyartigasabogados.com"/>
        <s v="2478@gmail.com"/>
        <s v="2479@hotmail.es"/>
        <s v="2481@apogeaconsulting.com"/>
        <s v="2482@etelnoga.com"/>
        <s v="2483@gmail.com"/>
        <s v="2484@grupo-jarama.com"/>
        <s v="2485@saergy.com"/>
        <s v="2486@hotmail.com"/>
        <s v="2487@telefonica.net"/>
        <s v="2488@gmail.com"/>
        <s v="2489@proytecenergia.com"/>
        <s v="2490@mantenencies.com"/>
        <s v="2491@saltoki.es"/>
        <s v="2492@gmail.com"/>
        <s v="2493@gmail.com"/>
        <s v="2494@gmail.com"/>
        <s v="2495@gmail.com"/>
        <s v="2496@grupoelectrostocks.com"/>
        <s v="2497@gmail.com"/>
        <s v="2498@adtelcom.es"/>
        <s v="2499@hotmail.com"/>
        <s v="2500@sonepar.es"/>
        <s v="2501@gmail.com"/>
        <s v="2502@yahoo.es"/>
        <s v="2503@grupoiicsa.com"/>
        <s v="2504@gmail.com"/>
        <s v="2505@gmail.com"/>
        <s v="2506@es.issworld.com"/>
        <s v="2507@victorperezsl.com"/>
        <s v="2508@solardelvalle.es"/>
        <s v="2509@elecnor.es"/>
        <s v="2510@sermicro.com"/>
        <s v="2511@gmail.com"/>
        <s v="2512@hotmail.com"/>
        <s v="2513@gmail.com"/>
        <s v="2514@coitialicante.com"/>
        <s v="2516@isega.es"/>
        <s v="2517@ineleeg.es"/>
        <s v="2518@solardelvalle.es"/>
        <s v="2519@hotmail.com"/>
        <s v="2520@jspelectrotecnia.com"/>
        <s v="2521@amisur.es"/>
        <s v="2522@gmail.com"/>
        <s v="2523@ipae.es"/>
        <s v="2524@me.com"/>
        <s v="2525@gmail.com"/>
        <s v="2526@reparacioneslsanchez.es"/>
        <s v="2527@gmail.com"/>
        <s v="2528@leing.es"/>
        <s v="2529@upc.edu"/>
        <s v="2530@galimar.com.es"/>
        <s v="2531@arquitecturaygestion.com"/>
        <s v="2532@gmail.com"/>
        <s v="2533@hotmail.com"/>
        <s v="2534@gmail.com"/>
        <s v="2535@hotmail.com"/>
        <s v="2536@telefonica.net"/>
        <s v="2537@electram.es"/>
        <s v="2538@elcorteingles.es"/>
        <s v="2539@gmail.com"/>
        <s v="2540@gmail.com"/>
        <s v="2541@gmail.com"/>
        <s v="2542@tecnica4.com"/>
        <s v="2543@eltec-servicios.com"/>
        <s v="2544@hotmail.com"/>
        <s v="2545@telefonica.net"/>
        <s v="2546@tecnovap.es"/>
        <s v="2547@gmail.com"/>
        <s v="2548@gmail.com"/>
        <s v="2549@gmail.com"/>
        <s v="2550@energema.com"/>
        <s v="2551@inelsa.com"/>
        <s v="2552@gmail.com"/>
        <s v="2553@telefonica.net"/>
        <s v="2554@telefonica.net"/>
        <s v="2555@gmail.com"/>
        <s v="2556@hotmail.com"/>
        <s v="2557@hotmail.com"/>
        <s v="2558@gmail.com"/>
        <s v="2560@gmail.com"/>
        <s v="2561@gmail.com"/>
        <s v="2562@artesolar.com"/>
        <s v="2563@hotmail.com"/>
        <s v="2564@ctv.masaveu.com"/>
        <s v="2565@hotmail.com"/>
        <s v="2566@casadoguia.com"/>
        <s v="2567@hotmail.com"/>
        <s v="2568@email.com"/>
        <s v="2569@gmail.com"/>
        <s v="2570@telefonica.net"/>
        <s v="2571@dival.es"/>
        <s v="2572@sesaelec.com"/>
        <s v="2573@edetcotecnics.com"/>
        <s v="2574@telefonica.net"/>
        <s v="2575@gruposti.com"/>
        <s v="2576@construciainstalaciones.com"/>
        <s v="2577@gmail.com"/>
        <s v="2578@hotmail.com"/>
        <s v="2579@fgc.cat"/>
        <s v="2580@imagenyarquitectura.com.mx"/>
        <s v="2581@yahoo.com"/>
        <s v="2582@ccaait.cat"/>
        <s v="2583@grupcarol.com"/>
        <s v="2584@sistemasdeenergia.es"/>
        <s v="2585@grupoelectrostocks.com"/>
        <s v="2586@saltoki.es"/>
        <s v="2587@picocompany.es"/>
        <s v="2588@fossic.es"/>
        <s v="2589@hotmail.com"/>
        <s v="2590@gmail.com"/>
        <s v="2591@gmail.com"/>
        <s v="2592@bsmsa.cat"/>
        <s v="2593@abcgrup.com"/>
        <s v="2594@gmail.com"/>
        <s v="2595@gmail.com"/>
        <s v="2597@3xakoenergi.com"/>
        <s v="2598@tecoel.es"/>
        <s v="2599@sazepi.com"/>
        <s v="2600@electrimega.es"/>
        <s v="2601@seituria.com"/>
        <s v="2602@saherlux.com"/>
        <s v="2603@guillenmotor.com"/>
        <s v="2604@hotelnelva.es"/>
        <s v="2605@gmail.com"/>
        <s v="2606@gmail.com"/>
        <s v="2607@hotmail.com"/>
        <s v="2608@zambongroup.com"/>
        <s v="2609@construccioicontrol.com"/>
        <s v="2610@orangecorreo.es"/>
        <s v="2611@gocsa.es"/>
        <s v="2612@ingenieriaconforma.com"/>
        <s v="2613@gmail.com"/>
        <s v="2614@rexel.es"/>
        <s v="2615@orbiumsolar.es"/>
        <s v="2616@prysmiangroup.com"/>
        <s v="2617@hotmail.com"/>
        <s v="2618@viegasefilhos.pt"/>
        <s v="2619@gmail.com"/>
        <s v="2620@icloud.com"/>
        <s v="2621@integralplm.com"/>
        <s v="2622@instavi.es"/>
        <s v="2623@mansel.es"/>
        <s v="2624@hotmail.com"/>
        <s v="2625@gmail.com"/>
        <s v="2626@proycoga.es"/>
        <s v="2627@aemsys.com"/>
        <s v="2628@telefonica.net"/>
        <s v="2629@hotmail.com"/>
        <s v="2630@gmail.com"/>
        <s v="2631@gmail.com"/>
        <s v="2632@felices.agency"/>
        <s v="2633@araelec.com"/>
        <s v="2634@hotmail.es"/>
        <s v="2635@ambginy.com"/>
        <s v="2636@sonepar.es"/>
        <s v="2637@metromadrid.es"/>
        <s v="2638@ativalles.com"/>
        <s v="2639@sanitariosbosco.es"/>
        <s v="2640@magserveis.com"/>
        <s v="2641@gmail.com"/>
        <s v="2642@mipelsa.es"/>
        <s v="2643@sansiga.com"/>
        <s v="2644@gmail.com"/>
        <s v="2645@hotmail.com"/>
        <s v="2646@gmail.com"/>
        <s v="2647@rexel.es"/>
        <s v="2648@electracaldense.com"/>
        <s v="2649@grupocuerva.com"/>
        <s v="2650@coac.net"/>
        <s v="2651@yntegraservicios.es"/>
        <s v="2652@tessai.es"/>
        <s v="2653@idiada.com"/>
        <s v="2654@edmcadiz.es"/>
        <s v="2655@getsa.es"/>
        <s v="2656@sonepar.es"/>
        <s v="2657@a4ingenieria.es"/>
        <s v="2658@gmail.com"/>
        <s v="2659@gmail.com"/>
        <s v="2660@gmail.com"/>
        <s v="2661@gmail.com"/>
        <s v="2662@gmail.com"/>
        <s v="2663@bitjerez.com"/>
        <s v="2664@gmail.com"/>
        <s v="2665@electroaldis.com"/>
        <s v="2666@gmail.com"/>
        <s v="2667@iselektric.com"/>
        <s v="2668@gmail.com"/>
        <s v="2669@electroidella.com"/>
        <s v="2670@gmail.com"/>
        <s v="2671@gmail.com"/>
        <s v="2672@gmail.com"/>
        <s v="2673@gamil.com"/>
        <s v="2674@coar.es"/>
        <s v="2675@grupoelectrostocks.com"/>
        <s v="2676@gmail.com"/>
        <s v="2677@gmail.com"/>
        <s v="2678@impact-al.com"/>
        <s v="2679@hotmail.com"/>
        <s v="2680@copitima.com"/>
        <s v="2681@sueprat.es"/>
        <s v="2682@dipucuenca.es"/>
        <s v="2683@live.fr"/>
        <s v="2684@hotmail.com"/>
        <s v="2685@orgaus.com"/>
        <s v="2686@kbingenieria.com"/>
        <s v="2687@serium.es"/>
        <s v="2688@hotmail.com"/>
        <s v="2689@edp-sl.com"/>
        <s v="2690@gmail.com"/>
        <s v="2691@magserveis.com"/>
        <s v="2692@gmail.com"/>
        <s v="2693@bextron.es"/>
        <s v="2694@gmail.com"/>
        <s v="2695@inelt.es"/>
        <s v="2696@1aingenieros.com"/>
        <s v="2697@digamel.com"/>
        <s v="2698@gmail.com"/>
        <s v="2699@gmail.com"/>
        <s v="2700@hotmail.com"/>
        <s v="2701@gmail.com"/>
        <s v="2702@digamel.com"/>
        <s v="2703@hotmail.com"/>
        <s v="2704@construciainstalaciones.com"/>
        <s v="2705@tmb.cat"/>
        <s v="2706@opportunity-one.com"/>
        <s v="2707@gmail.com"/>
        <s v="2708@meta-sidecar.com"/>
        <s v="2709@construciainstalaciones.com"/>
        <s v="2710@arbonapiza.com"/>
        <s v="2711@infinitypv.com"/>
        <s v="2712@gmail.com"/>
        <s v="2713@gmail.com"/>
        <s v="2714@gma.es"/>
        <s v="2715@gmail.com"/>
        <s v="2716@gmail.com"/>
        <s v="2717@gmail.com"/>
        <s v="2718@none.com"/>
        <s v="2719@saltoki.es"/>
        <s v="2720@grupoelectrostocks.com"/>
        <s v="2721@anpasa.es"/>
        <s v="2722@instalacionesyobrasdelrio.com"/>
        <s v="2723@hotmail.com"/>
        <s v="2724@gmeil.com"/>
        <s v="2725@hotmail.com"/>
        <s v="2726@sonepar.es"/>
        <s v="2727@gruponovelec.com"/>
        <s v="2728@gmail.com"/>
        <s v="2729@hotmail.com"/>
        <s v="2730@enzazaden.es"/>
        <s v="2731@gmail.com"/>
        <s v="2732@gmail.com"/>
        <s v="2733@sigmaenginyers.es"/>
        <s v="2734@gmail.com"/>
        <s v="2735@gmail.com"/>
        <s v="2736@gmail.com"/>
        <s v="2737@gmail.com"/>
        <s v="2738@conalepmex.edu.mx"/>
        <s v="2739@constructorasanjose.com"/>
        <s v="2740@gmail.com"/>
        <s v="2741@cruzroja.es"/>
        <s v="2742@mindual.com"/>
        <s v="2743@itaipu.gov.py"/>
        <s v="2745@urbanresilience.eu"/>
        <s v="2746@proinelec.com"/>
        <s v="2747@gmail.com"/>
        <s v="2748@nitlux.es"/>
        <s v="2749@gmail.com"/>
        <s v="2750@exavoltio.es"/>
        <s v="2751@gruponovelec.com"/>
        <s v="2752@ingener.net"/>
        <s v="2753@aurialux.com"/>
        <s v="2754@emgvlasrozas.org"/>
        <s v="2755@gmail.com"/>
        <s v="2756@gmail.com"/>
        <s v="2757@irradiaenergia.com"/>
        <s v="2758@gmail.com"/>
        <s v="2759@gmail.com"/>
        <s v="2760@yahoo.es"/>
        <s v="2761@stratum22.com"/>
        <s v="2762@gmail.com"/>
        <s v="2763@gmail.com"/>
        <s v="2764@gmail.com"/>
        <s v="2765@gmail.com"/>
        <s v="2766@telefonica.net"/>
        <s v="2767@gmail.com"/>
        <s v="2768@gmail.com"/>
        <s v="2769@gmail.com"/>
        <s v="2770@gmail.com"/>
        <s v="2771@gmail.com"/>
        <s v="2772@saltoki.es"/>
        <s v="2773@energiaactiva.es"/>
        <s v="2774@trensfm.com"/>
        <s v="2775@gmail.com"/>
        <s v="2776@pgiengineering.com"/>
        <s v="2777@huelva.es"/>
        <s v="2778@empretelco.es"/>
        <s v="2779@gmail.com"/>
        <s v="2780@abcgrup.com"/>
        <s v="2781@ahabana.co.cu"/>
        <s v="2782@gmail.com"/>
        <s v="2783@gmail.com"/>
        <s v="2784@coac.net"/>
        <s v="2785@climarubi.com"/>
        <s v="2786@metromadrid.es"/>
        <s v="2787@grupocematel.com"/>
        <s v="2788@eurocabos.es"/>
        <s v="2789@telefonica.net"/>
        <s v="2790@gmail.com"/>
        <s v="2791@pickdata.net"/>
        <s v="2792@ajcampos.org"/>
        <s v="2793@gmail.com"/>
        <s v="2794@efinetika.com"/>
        <s v="2795@gmail.com"/>
        <s v="2796@gmail.com"/>
        <s v="2797@gmail.com"/>
        <s v="2798@yahoo.es"/>
        <s v="2799@oceanim.es"/>
        <s v="2800@gmail.com"/>
        <s v="2801@eei-ingenieria.com"/>
        <s v="2802@gonzalezsme.com"/>
        <s v="2803@rodriguezromeu.com"/>
        <s v="2804@vtisl.com"/>
        <s v="2805@gmail.com"/>
        <s v="2806@jdingenieria.com"/>
        <s v="2807@jhfsystemcrane.com"/>
        <s v="2808@gmail.com"/>
        <s v="2809@solerteselen.cat"/>
        <s v="2810@sensorstecnics.net"/>
        <s v="2811@gmail.com"/>
        <s v="2812@martipala.com"/>
        <s v="2813@gmail.com"/>
        <s v="2814@vitrosep.com"/>
        <s v="2815@gmail.com"/>
        <s v="2816@hotmail.com"/>
        <s v="2817@hotmail.com"/>
        <s v="2818@gmail.com"/>
        <s v="2819@satydal.es"/>
        <s v="2820@sanitariosbosco.es"/>
        <s v="2821@gmail.com"/>
        <s v="2822@gmail.com"/>
        <s v="2823@mindual.com"/>
        <s v="2824@gmail.com"/>
        <s v="2825@gmail.com"/>
        <s v="2826@educacion.gob.es"/>
        <s v="2827@soltecgrupo.es"/>
        <s v="2828@coaatz.org"/>
        <s v="2829@sindel.es"/>
        <s v="2830@mequintana.com"/>
        <s v="2831@lantec.es"/>
        <s v="2832@energia.eiffage.es"/>
        <s v="2833@inelsa.com"/>
        <s v="2834@idom.com"/>
        <s v="2835@idom.com"/>
        <s v="2836@pgigrup.com"/>
        <s v="2837@gmail.com"/>
        <s v="2838@gmail.com"/>
        <s v="2839@esprosa.es"/>
        <s v="2840@onemons.es"/>
        <s v="2841@blaudrive.com"/>
        <s v="2842@yahoo.es"/>
        <s v="2843@gmail.com"/>
        <s v="2844@alamos.es"/>
        <s v="2845@araiz.es"/>
        <s v="2846@kubicat.com"/>
        <s v="2847@gmail.com"/>
        <s v="2848@telefonica.net"/>
        <s v="2849@gmail.com"/>
        <s v="2850@hotmail.com"/>
        <s v="2851@yahoo.es"/>
        <s v="2852@gmail.com"/>
        <s v="2853@gmail.com"/>
        <s v="2854@voltplus.es"/>
        <s v="2855@trc.es"/>
        <s v="2856@eurocabos.es"/>
        <s v="2857@gmail.com"/>
        <s v="2858@gmail.com"/>
        <s v="2859@hotmail.com"/>
        <s v="2860@soltecingenieros.com"/>
        <s v="2861@live.com"/>
        <s v="2862@gmail.com"/>
        <s v="2863@hibrielectric.com"/>
        <s v="2864@gmail.com"/>
        <s v="2865@gadisel.com"/>
        <s v="2866@hotmail.com"/>
        <s v="2867@jqadvisors.com"/>
        <s v="2868@cipfplacostera.com"/>
        <s v="2869@montajes-medyp.com"/>
        <s v="2870@yahoo.com"/>
        <s v="2871@assinsta.com"/>
        <s v="2872@hotmail.com"/>
        <s v="2873@gmail.com"/>
        <s v="2874@broa.net"/>
        <s v="2875@ulper.es"/>
        <s v="2876@gmail.com"/>
        <s v="2877@gammasg.com"/>
        <s v="2878@grupojab.es"/>
        <s v="2879@hbalcells.com"/>
        <s v="2880@alfasel.es"/>
        <s v="2881@hotmail.com"/>
        <s v="2882@secorsa.com"/>
        <s v="2883@acciona.com"/>
        <s v="2884@gmail.com"/>
        <s v="2885@instalacionessegura.es"/>
        <s v="2886@construroura.es"/>
        <s v="2887@indasasl.es"/>
        <s v="2888@proalingenieros.com"/>
        <s v="2889@eurocabos.es"/>
        <s v="2890@edu.xunta.es"/>
        <s v="2891@ingenibo.com"/>
        <s v="2892@gmail.com"/>
        <s v="2893@yahoo.com"/>
        <s v="2894@me.com"/>
        <s v="2895@mundoled.net"/>
        <s v="2896@energia.eiffage.es"/>
        <s v="2897@radytel.com"/>
        <s v="2899@gmail.com"/>
        <s v="2900@hotmail.com"/>
        <s v="2901@eneroptim.es"/>
        <s v="2902@gmail.com"/>
        <s v="2903@estudioelan.com"/>
        <s v="2904@gmail.com"/>
        <s v="2905@atoms.cat"/>
        <s v="2906@comb.cat"/>
        <s v="2907@generaeficiencia.com"/>
        <s v="2908@esplugues.cat"/>
        <s v="2909@ekoleds.com"/>
        <s v="2910@syocsa-inarsa.es"/>
        <s v="2911@grupocobra.com"/>
        <s v="2912@essatel.es"/>
        <s v="2913@gmail.com"/>
        <s v="2914@aldaproyectos.es"/>
        <s v="2915@crescencioperez.com"/>
        <s v="2916@diazrojo.com"/>
        <s v="2917@mastercentella.com"/>
        <s v="2918@gmail.com"/>
        <s v="2919@gmail.com"/>
        <s v="2920@prodelectric.es"/>
        <s v="2921@hotmail.com"/>
        <s v="2922@tecnicanorte.com"/>
        <s v="2923@gmail.com"/>
        <s v="2924@gmail.com"/>
        <s v="2925@gmail.com"/>
        <s v="2926@elherco.com"/>
        <s v="2927@interflex.es"/>
        <s v="2929@baurenginyers.cat"/>
        <s v="3292@movistar.es"/>
        <s v="3297@hotmail.com"/>
        <s v="2930@hotmail.com"/>
        <s v="2931@telefonica.net"/>
        <s v="2932@soldeser.com"/>
        <s v="2933@agenex.org"/>
        <s v="2934@gruponovelec.com"/>
        <s v="2935@hotellosllanos.es"/>
        <s v="2936@gmail.com"/>
        <s v="2937@gmail.com"/>
        <s v="2938@inemesa.com"/>
        <s v="2939@oscarcaselles.com"/>
        <s v="2940@xtec.cat"/>
        <s v="2941@gmail.com"/>
        <s v="2942@ragaluz.com"/>
        <s v="2943@agaeng.es"/>
        <s v="2944@prysmiangroup.com"/>
        <s v="2945@gmail.com"/>
        <s v="2946@gmail.com"/>
        <s v="2947@gmail.com"/>
        <s v="2948@gmail.com"/>
        <s v="2949@ignasiconillas.com"/>
        <s v="2950@telematel.com"/>
        <s v="2951@telman.es"/>
        <s v="2952@catrisse.net"/>
        <s v="2953@sinophosgroup.com"/>
        <s v="2954@gmail.com"/>
        <s v="2955@imamagnets.com"/>
        <s v="2956@engie.com"/>
        <s v="2957@doladoingenieria.es"/>
        <s v="2958@gmail.com"/>
        <s v="2959@instalacionesfb.com"/>
        <s v="2960@gmail.com"/>
        <s v="2961@mqrenovables.com"/>
        <s v="2962@gmail.com"/>
        <s v="2963@gmail.com"/>
        <s v="2964@duoarquitectura.es"/>
        <s v="2965@hotmail.com"/>
        <s v="2966@gmail.com"/>
        <s v="2967@gmail.com"/>
        <s v="2968@sueprat.es"/>
        <s v="2969@gmail.com"/>
        <s v="2970@sonepar.es"/>
        <s v="2971@gmail.com"/>
        <s v="2972@us.es"/>
        <s v="2973@rt105.es"/>
        <s v="2974@outlook.com"/>
        <s v="2975@gmail.com"/>
        <s v="2976@gmail.com"/>
        <s v="2977@gmail.com"/>
        <s v="2978@electroredes.com"/>
        <s v="2979@gmail.com"/>
        <s v="2980@live.com"/>
        <s v="2981@gmail.com"/>
        <s v="2982@hotmail.es"/>
        <s v="2983@hotmail.com"/>
        <s v="2984@hotmail.com"/>
        <s v="2985@gmail.com"/>
        <s v="2986@signum.cat"/>
        <s v="2987@comercialsis.com"/>
        <s v="2988@lopezona.com"/>
        <s v="2989@9chip.com"/>
        <s v="2990@gilten.es"/>
        <s v="2991@yahoo.es"/>
        <s v="2992@socidesel.es"/>
        <s v="2993@gmail.com"/>
        <s v="2994@hotmail.com"/>
        <s v="2995@suris.es"/>
        <s v="2996@hotmail.com"/>
        <s v="2997@bgm.pt"/>
        <s v="2998@dosreisinstalaciones.es"/>
        <s v="2999@gmail.com"/>
        <s v="3000@strongpoint.com"/>
        <s v="3001@gmail.com"/>
        <s v="3002@energiaactiva.es"/>
        <s v="3003@ingenieriabenimamet.com"/>
        <s v="3004@yahoo.es"/>
        <s v="3005@electroizas.es"/>
        <s v="3006@ingenieriajorpa.es"/>
        <s v="3007@gmail.com"/>
        <s v="3008@codime.es"/>
        <s v="3009@acciona.com"/>
        <s v="3010@eleko.es"/>
        <s v="3011@gmail.com"/>
        <m/>
      </sharedItems>
    </cacheField>
    <cacheField name="Date">
      <sharedItems containsDate="1" containsBlank="1" containsMixedTypes="1">
        <d v="2020-06-30T00:00:00Z"/>
        <d v="2020-06-29T00:00:00Z"/>
        <d v="2020-06-28T00:00:00Z"/>
        <d v="2020-06-27T00:00:00Z"/>
        <d v="2020-06-26T00:00:00Z"/>
        <d v="2020-06-25T00:00:00Z"/>
        <d v="2020-06-24T00:00:00Z"/>
        <d v="2020-06-23T00:00:00Z"/>
        <d v="2020-06-22T00:00:00Z"/>
        <d v="2020-06-21T00:00:00Z"/>
        <d v="2020-06-20T00:00:00Z"/>
        <d v="2020-06-19T00:00:00Z"/>
        <d v="2020-06-18T00:00:00Z"/>
        <s v="null"/>
        <d v="2020-06-17T00:00:00Z"/>
        <d v="2020-06-16T00:00:00Z"/>
        <d v="2020-06-15T00:00:00Z"/>
        <d v="2020-06-14T00:00:00Z"/>
        <d v="2020-06-13T00:00:00Z"/>
        <d v="2020-06-12T00:00:00Z"/>
        <d v="2020-06-11T00:00:00Z"/>
        <d v="2020-06-10T00:00:00Z"/>
        <d v="2020-06-09T00:00:00Z"/>
        <d v="2020-06-08T00:00:00Z"/>
        <d v="2020-06-07T00:00:00Z"/>
        <d v="2020-06-06T00:00:00Z"/>
        <d v="2020-06-05T00:00:00Z"/>
        <d v="2020-06-04T00:00:00Z"/>
        <d v="2020-06-03T00:00:00Z"/>
        <d v="2020-06-02T00:00:00Z"/>
        <d v="2020-06-01T00:00:00Z"/>
        <d v="2020-05-31T00:00:00Z"/>
        <d v="2020-05-30T00:00:00Z"/>
        <d v="2020-05-29T00:00:00Z"/>
        <d v="2020-05-28T00:00:00Z"/>
        <d v="2020-05-27T00:00:00Z"/>
        <d v="2020-05-26T00:00:00Z"/>
        <d v="2020-05-25T00:00:00Z"/>
        <d v="2020-05-24T00:00:00Z"/>
        <d v="2020-05-23T00:00:00Z"/>
        <d v="2020-05-22T00:00:00Z"/>
        <d v="2020-05-21T00:00:00Z"/>
        <d v="2020-05-20T00:00:00Z"/>
        <d v="2020-05-19T00:00:00Z"/>
        <d v="2020-05-18T00:00:00Z"/>
        <d v="2020-05-17T00:00:00Z"/>
        <d v="2020-05-16T00:00:00Z"/>
        <d v="2020-05-15T00:00:00Z"/>
        <d v="2020-05-14T00:00:00Z"/>
        <d v="2020-05-13T00:00:00Z"/>
        <d v="2020-05-12T00:00:00Z"/>
        <d v="2020-05-11T00:00:00Z"/>
        <d v="2020-05-10T00:00:00Z"/>
        <d v="2020-05-09T00:00:00Z"/>
        <d v="2020-05-08T00:00:00Z"/>
        <d v="2020-05-07T00:00:00Z"/>
        <d v="2020-05-06T00:00:00Z"/>
        <d v="2020-05-05T00:00:00Z"/>
        <d v="2020-05-04T00:00:00Z"/>
        <d v="2020-05-03T00:00:00Z"/>
        <d v="2020-05-02T00:00:00Z"/>
        <d v="2020-05-01T00:00:00Z"/>
        <d v="2020-04-30T00:00:00Z"/>
        <d v="2020-04-29T00:00:00Z"/>
        <d v="2020-04-28T00:00:00Z"/>
        <d v="2020-04-27T00:00:00Z"/>
        <d v="2020-04-26T00:00:00Z"/>
        <d v="2020-04-25T00:00:00Z"/>
        <d v="2020-04-24T00:00:00Z"/>
        <d v="2020-04-23T00:00:00Z"/>
        <d v="2020-04-22T00:00:00Z"/>
        <d v="2020-04-21T00:00:00Z"/>
        <d v="2020-04-20T00:00:00Z"/>
        <d v="2020-04-19T00:00:00Z"/>
        <d v="2020-04-18T00:00:00Z"/>
        <d v="2020-04-17T00:00:00Z"/>
        <d v="2020-04-16T00:00:00Z"/>
        <d v="2020-04-15T00:00:00Z"/>
        <d v="2020-04-14T00:00:00Z"/>
        <d v="2020-04-13T00:00:00Z"/>
        <d v="2020-04-12T00:00:00Z"/>
        <d v="2020-04-11T00:00:00Z"/>
        <d v="2020-04-10T00:00:00Z"/>
        <d v="2020-04-09T00:00:00Z"/>
        <d v="2020-04-08T00:00:00Z"/>
        <d v="2020-04-07T00:00:00Z"/>
        <d v="2020-04-06T00:00:00Z"/>
        <d v="2020-04-05T00:00:00Z"/>
        <d v="2020-04-04T00:00:00Z"/>
        <d v="2020-04-03T00:00:00Z"/>
        <d v="2020-04-02T00:00:00Z"/>
        <d v="2020-04-01T00:00:00Z"/>
        <d v="2020-03-31T00:00:00Z"/>
        <d v="2020-03-30T00:00:00Z"/>
        <d v="2020-03-29T00:00:00Z"/>
        <d v="2020-03-28T00:00:00Z"/>
        <d v="2020-03-27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  <d v="2020-03-19T00:00:00Z"/>
        <d v="2020-03-18T00:00:00Z"/>
        <d v="2020-03-17T00:00:00Z"/>
        <d v="2020-03-16T00:00:00Z"/>
        <d v="2020-03-14T00:00:00Z"/>
        <d v="2020-03-13T00:00:00Z"/>
        <d v="2020-03-12T00:00:00Z"/>
        <d v="2020-03-11T00:00:00Z"/>
        <d v="2020-03-10T00:00:00Z"/>
        <d v="2020-03-09T00:00:00Z"/>
        <d v="2020-03-08T00:00:00Z"/>
        <d v="2020-03-07T00:00:00Z"/>
        <d v="2020-03-06T00:00:00Z"/>
        <d v="2020-03-05T00:00:00Z"/>
        <d v="2020-03-04T00:00:00Z"/>
        <d v="2020-03-03T00:00:00Z"/>
        <d v="2020-03-02T00:00:00Z"/>
        <d v="2020-03-01T00:00:00Z"/>
        <d v="2020-02-29T00:00:00Z"/>
        <d v="2020-02-28T00:00:00Z"/>
        <d v="2020-02-27T00:00:00Z"/>
        <d v="2020-02-26T00:00:00Z"/>
        <d v="2020-02-25T00:00:00Z"/>
        <d v="2020-02-24T00:00:00Z"/>
        <d v="2020-02-23T00:00:00Z"/>
        <d v="2020-02-22T00:00:00Z"/>
        <d v="2020-02-21T00:00:00Z"/>
        <d v="2020-02-20T00:00:00Z"/>
        <d v="2020-02-19T00:00:00Z"/>
        <d v="2020-02-18T00:00:00Z"/>
        <d v="2020-02-17T00:00:00Z"/>
        <d v="2020-02-16T00:00:00Z"/>
        <d v="2020-02-15T00:00:00Z"/>
        <d v="2020-02-14T00:00:00Z"/>
        <d v="2020-02-13T00:00:00Z"/>
        <d v="2020-02-12T00:00:00Z"/>
        <d v="2020-02-11T00:00:00Z"/>
        <d v="2020-02-10T00:00:00Z"/>
        <d v="2020-02-09T00:00:00Z"/>
        <d v="2020-02-08T00:00:00Z"/>
        <d v="2020-02-07T00:00:00Z"/>
        <d v="2020-02-06T00:00:00Z"/>
        <d v="2020-02-05T00:00:00Z"/>
        <d v="2020-02-04T00:00:00Z"/>
        <d v="2020-02-03T00:00:00Z"/>
        <d v="2020-02-02T00:00:00Z"/>
        <d v="2020-02-01T00:00:00Z"/>
        <d v="2020-01-31T00:00:00Z"/>
        <d v="2020-01-30T00:00:00Z"/>
        <d v="2020-01-29T00:00:00Z"/>
        <d v="2020-01-28T00:00:00Z"/>
        <d v="2020-01-27T00:00:00Z"/>
        <d v="2020-01-26T00:00:00Z"/>
        <d v="2020-01-24T00:00:00Z"/>
        <d v="2020-01-23T00:00:00Z"/>
        <d v="2020-01-22T00:00:00Z"/>
        <d v="2020-01-21T00:00:00Z"/>
        <d v="2020-01-20T00:00:00Z"/>
        <d v="2020-01-19T00:00:00Z"/>
        <d v="2020-01-18T00:00:00Z"/>
        <d v="2020-01-17T00:00:00Z"/>
        <d v="2020-01-16T00:00:00Z"/>
        <d v="2020-01-15T00:00:00Z"/>
        <d v="2020-01-14T00:00:00Z"/>
        <d v="2020-01-13T00:00:00Z"/>
        <d v="2020-01-12T00:00:00Z"/>
        <d v="2020-01-11T00:00:00Z"/>
        <d v="2020-01-10T00:00:00Z"/>
        <d v="2020-01-09T00:00:00Z"/>
        <d v="2020-01-08T00:00:00Z"/>
        <d v="2020-01-07T00:00:00Z"/>
        <d v="2020-01-06T00:00:00Z"/>
        <d v="2020-01-05T00:00:00Z"/>
        <d v="2020-01-04T00:00:00Z"/>
        <d v="2020-01-03T00:00:00Z"/>
        <d v="2020-01-02T00:00:00Z"/>
        <d v="2020-01-01T00:00:00Z"/>
        <m/>
      </sharedItems>
    </cacheField>
    <cacheField name="Conversion Page" numFmtId="0">
      <sharedItems containsBlank="1">
        <s v="https://resources.simonelectric.com/simon-ebook-vehiculo-electrico"/>
        <s v="https://resources.simonelectric.com/simon-catalogo-vehiculo-electrico"/>
        <s v="https://resources.simonelectric.com/simon-material-formativo-vehiculo-electrico"/>
        <s v="https://resources.simonelectric.com/simon-ebook-vehiculo-electrico-ppc"/>
        <s v="https://resources.simonelectric.com/simon-ebook-vehiculo-electrico-0"/>
        <s v="https://resources.simonelectric.com/simon-ebook-vehiculo-electrico-tw"/>
        <m/>
      </sharedItems>
    </cacheField>
    <cacheField name="mail optimizado - def" numFmtId="164">
      <sharedItems containsBlank="1">
        <s v="1@gmail.com"/>
        <s v="2@yahoo.es"/>
        <s v="3@gmail.com"/>
        <s v="4@gmail.com"/>
        <s v="5@infortel.es"/>
        <s v="6@yahoo.es"/>
        <s v="7@unizar.es"/>
        <s v="8@gomezmoreno.com"/>
        <s v="9@chacontch.com"/>
        <s v="10@hotmail.com"/>
        <s v="11@gmail.com"/>
        <s v="12@gmail.com"/>
        <s v="13@inel.es"/>
        <s v="14@enerparking.com"/>
        <s v="15@apba.es"/>
        <s v="16@cambrabcn.org"/>
        <s v="17@gmail.com"/>
        <s v="18@urv.cat"/>
        <s v="19@grupoespacioindustrial.com"/>
        <s v="20@gmail.com"/>
        <s v="21@iteser.com"/>
        <s v="22@gmail.com"/>
        <s v="23@gmail.com"/>
        <s v="24@gmail.com"/>
        <s v="25@gmail.com"/>
        <s v="26@mktg.com"/>
        <s v="27@hotmail.com"/>
        <s v="28@gmail.com"/>
        <s v="29@gmail.com"/>
        <s v="30@gmail.com"/>
        <s v="31@gmail.com"/>
        <s v="32@gmail.com"/>
        <s v="33@gmail.com"/>
        <s v="34@gmail.com"/>
        <s v="35@gmail.com"/>
        <s v="36@visaonomada.pt"/>
        <s v="37@intienergia.com"/>
        <s v="38@telefonica.net"/>
        <s v="39@idom.com"/>
        <s v="40@hotmail.com"/>
        <s v="41@gmail.com"/>
        <s v="42@gmail.com"/>
        <s v="43@electricidadjoselucas.com"/>
        <s v="44@gmail.com"/>
        <s v="45@acotech.es"/>
        <s v="46@hotmail.com"/>
        <s v="47@marpemac.com"/>
        <s v="48@legebiltzarra.eus"/>
        <s v="49@grupocaeiro.es"/>
        <s v="50@gmail.com"/>
        <s v="51@yahoo.es"/>
        <s v="52@tdi-sistemas.com"/>
        <s v="53@dicara.es"/>
        <s v="54@abengoa.com"/>
        <s v="55@hotmail.com"/>
        <s v="56@iesmurgi.org"/>
        <s v="57@gmail.com"/>
        <s v="58@gabyl.com"/>
        <s v="59@gmail.com"/>
        <s v="60@rocketmail.com"/>
        <s v="61@elektra-sa.es"/>
        <s v="62@hotmail.com"/>
        <s v="63@semael.com"/>
        <s v="64@gmail.com"/>
        <s v="65@copitima.com"/>
        <s v="66@dgingenieros.es"/>
        <s v="67@becibiza.es"/>
        <s v="68@ingeosolar.com"/>
        <s v="69@gmail.com"/>
        <s v="70@gmail.com"/>
        <s v="71@hotmail.com"/>
        <s v="72@grupoelectrostocks.com"/>
        <s v="73@hotmail.com"/>
        <s v="74@electricidadguerra.com"/>
        <s v="75@telefonica.net"/>
        <s v="76@gmail.com"/>
        <s v="77@comsa.com"/>
        <s v="78@gmail.com"/>
        <s v="79@sonepar.es"/>
        <s v="80@enginyerstarragona.cat"/>
        <s v="81@gmail.com"/>
        <s v="82@sedes.es"/>
        <s v="83@eduardoaleman.es"/>
        <s v="84@electromontajesroldan.com"/>
        <s v="85@gmail.com"/>
        <s v="86@ingbuero-group.de"/>
        <s v="87@comsa.com"/>
        <s v="88@ingenierosvigo.com"/>
        <s v="89@ipsumindustrial.com"/>
        <s v="90@telefonica.net"/>
        <s v="91@valmet.com"/>
        <s v="92@gmail.com"/>
        <s v="93@gmail.com"/>
        <s v="94@grupocobra.com"/>
        <s v="95@gmail.com"/>
        <s v="96@hotmail.com"/>
        <s v="97@igpingenieria.com"/>
        <s v="98@davidjdiaz.es"/>
        <s v="99@coitir.com"/>
        <s v="100@hotmail.com"/>
        <s v="101@coiirm.es"/>
        <s v="102@telefonica.net"/>
        <s v="103@ciccp.es"/>
        <s v="104@spiningenieros.com"/>
        <s v="105@gmail.com"/>
        <s v="106@ucm.es"/>
        <s v="107@dipucr.es"/>
        <s v="108@salesianos.edu"/>
        <s v="109@gmail.com"/>
        <s v="110@3epsilonsolutions.com"/>
        <s v="111@murciaeduca.es"/>
        <s v="112@gmail.com"/>
        <s v="113@gmail.com"/>
        <s v="114@hotmail.com"/>
        <s v="115@yahoo.es"/>
        <s v="116@sgs.com"/>
        <s v="117@telefonica.net"/>
        <s v="118@legebiltzarra.eus"/>
        <s v="119@ideaingenieria.es"/>
        <s v="120@yahoo.com"/>
        <s v="121@gmail.com"/>
        <s v="122@tecnimed.net"/>
        <s v="123@grupocuerva.com"/>
        <s v="124@betenergia.es"/>
        <s v="125@gmail.com"/>
        <s v="126@gmail.com"/>
        <s v="127@prevae.com"/>
        <s v="128@gmail.com"/>
        <s v="129@inypro.com"/>
        <s v="130@gmail.com"/>
        <s v="131@hotmail.com"/>
        <s v="132@gmail.com"/>
        <s v="133@fasfas.com"/>
        <s v="134@gmail.com"/>
        <s v="135@telefonica.net"/>
        <s v="136@gmail.com"/>
        <s v="137@alcar2000.com"/>
        <s v="138@grupocobra.com"/>
        <s v="139@yahoo.es"/>
        <s v="140@yahoo.es"/>
        <s v="141@gmail.com"/>
        <s v="142@gmail.com"/>
        <s v="143@gmail.com"/>
        <s v="144@gmail.com"/>
        <s v="145@coitihuelva.com"/>
        <s v="146@instalacionsigualada.com"/>
        <s v="147@hotmail.es"/>
        <s v="148@gmail.com"/>
        <s v="149@gmail.com"/>
        <s v="150@atla.es"/>
        <s v="151@gmail.com"/>
        <s v="152@gmail.com"/>
        <s v="153@telefonica.net"/>
        <s v="154@jorditamayo.com"/>
        <s v="155@arcbcn.cat"/>
        <s v="156@riosrenovables.com"/>
        <s v="157@hotmail.com"/>
        <s v="158@acollconsulting.es"/>
        <s v="159@gmail.com"/>
        <s v="160@hotmail.com"/>
        <s v="161@gmail.com"/>
        <s v="162@gmail.com"/>
        <s v="163@gmail.com"/>
        <s v="164@telefonica.net"/>
        <s v="165@dobontech.com"/>
        <s v="166@napols.net"/>
        <s v="167@me.com"/>
        <s v="168@hc-ingenieros.com"/>
        <s v="169@gmail.com"/>
        <s v="170@ciudaddelosmuchachos.com"/>
        <s v="171@gmail.com"/>
        <s v="172@ardisenginyeria.com"/>
        <s v="173@gmail.com"/>
        <s v="174@hotmail.com"/>
        <s v="175@gobesa.com"/>
        <s v="176@aia.cat"/>
        <s v="177@mobcn.org"/>
        <s v="178@tec-engineering.es"/>
        <s v="179@mundo-r.com"/>
        <s v="180@aquambiente.es"/>
        <s v="181@juntaex.es"/>
        <s v="182@usal.es"/>
        <s v="183@arquired.es"/>
        <s v="184@telefonica.net"/>
        <s v="185@asintec.info"/>
        <s v="186@msn.com"/>
        <s v="187@castelyfernandez.es"/>
        <s v="188@gmail.com"/>
        <s v="189@gmail.com"/>
        <s v="190@idom.com"/>
        <s v="191@gruposinelec.com"/>
        <s v="192@gmail.com"/>
        <s v="193@triangulo.com.es"/>
        <s v="194@hotmail.com"/>
        <s v="195@electricidadmadruga.com"/>
        <s v="196@gmail.com"/>
        <s v="197@enginyerstarragona.cat"/>
        <s v="198@hotmail.es"/>
        <s v="199@elektra-sa.es"/>
        <s v="200@smassa.eu"/>
        <s v="201@gmail.com"/>
        <s v="202@gmail.com"/>
        <s v="203@outlook.com"/>
        <s v="204@ebcn.cat"/>
        <s v="205@es.tuv.com"/>
        <s v="206@jgingenieros.es"/>
        <s v="207@tecnicasyrecursos.com"/>
        <s v="208@acortaenergia.com"/>
        <s v="209@azingenieria.es"/>
        <s v=""/>
        <s v="211@elgremi.cat"/>
        <s v="212@gmail.com"/>
        <s v="213@guidogroup.com"/>
        <s v="214@gmail.com"/>
        <s v="215@enel.com"/>
        <s v="216@gmail.com"/>
        <s v="217@esypro.net"/>
        <s v="218@erasmil.com"/>
        <s v="219@gmail.com"/>
        <s v="220@istem.es"/>
        <s v="221@maganrenovables.com"/>
        <s v="222@jcgracia.es"/>
        <s v="223@gmail.com"/>
        <s v="224@hotmail.com"/>
        <s v="225@gmail.com"/>
        <s v="226@hotmail.com"/>
        <s v="227@gmail.com"/>
        <s v="228@erasmil.com"/>
        <s v="229@gmail.com"/>
        <s v="230@solsureste.com"/>
        <s v="231@gmail.com"/>
        <s v="232@mersa.es"/>
        <s v="233@gmail.com"/>
        <s v="234@pgiengineering.com"/>
        <s v="235@gmail.com"/>
        <s v="236@elecnor.com"/>
        <s v="237@idsa.es"/>
        <s v="238@engie.com"/>
        <s v="239@alfadesarrollo.com"/>
        <s v="240@hotmail.com"/>
        <s v="241@gmail.com"/>
        <s v="242@outlook.es"/>
        <s v="243@homcrea.fr"/>
        <s v="244@as.com"/>
        <s v="245@gmail.com"/>
        <s v="247@gmail.com"/>
        <s v="248@llachsoillum.cat"/>
        <s v="249@herreroingenieros.com"/>
        <s v="250@inacces.com"/>
        <s v="251@gmail.com"/>
        <s v="252@hotmail.com"/>
        <s v="253@putzmeister.com"/>
        <s v="254@hotmail.com"/>
        <s v="255@hotmail.com"/>
        <s v="256@mail.com"/>
        <s v="257@telefonica.net"/>
        <s v="258@jesnar2011.es"/>
        <s v="259@electricosaragon2000.com"/>
        <s v="260@hotmail.com"/>
        <s v="261@gmail.com"/>
        <s v="262@gmail.com"/>
        <s v="263@sueprat.es"/>
        <s v="264@edaie.com"/>
        <s v="265@gmail.com"/>
        <s v="266@hotmail.es"/>
        <s v="267@fiberlec.com"/>
        <s v="268@gmail.com"/>
        <s v="269@hotmail.com"/>
        <s v="270@gmail.com"/>
        <s v="271@pkcgroup.com"/>
        <s v="272@gmail.com"/>
        <s v="273@gmail.com"/>
        <s v="274@movistar.es"/>
        <s v="275@aransa.com"/>
        <s v="276@gmail.com"/>
        <s v="277@fcc.es"/>
        <s v="278@urbaser.com"/>
        <s v="279@vazquezconsuegra.com"/>
        <s v="280@susaeta.net"/>
        <s v="281@montajescastellon.com"/>
        <s v="282@comsa.com"/>
        <s v="283@occidentalhotels.com"/>
        <s v="284@telman.es"/>
        <s v="285@hotmail.com"/>
        <s v="286@icaluz.com"/>
        <s v="287@parcdesalutmar.cat"/>
        <s v="288@fcc.es"/>
        <s v="289@gmail.com"/>
        <s v="290@msn.com"/>
        <s v="291@yahoo.es"/>
        <s v="292@espe.edu.ec"/>
        <s v="293@hotmail.com"/>
        <s v="294@lumial.es"/>
        <s v="295@gmail.com"/>
        <s v="296@gmail.com"/>
        <s v="297@hotmail.com"/>
        <s v="298@ibielectric.com"/>
        <s v="299@vimasol.es"/>
        <s v="300@vimasol.es"/>
        <s v="301@vimasol.es"/>
        <s v="302@loalnet.com"/>
        <s v="305@wanadoo.es"/>
        <s v="306@gmail.com"/>
        <s v="307@yahoo.es"/>
        <s v="308@rexel.es"/>
        <s v="309@hotmail.com"/>
        <s v="310@outlook.com"/>
        <s v="311@tresa.volkswagen.es"/>
        <s v="312@telefonica.net"/>
        <s v="313@inelbo.eiffage.es"/>
        <s v="314@bitrir.es"/>
        <s v="315@bongrup.es"/>
        <s v="316@aymesa.com"/>
        <s v="317@portsdebalears.com"/>
        <s v="318@gmail.com"/>
        <s v="319@gmail.com"/>
        <s v="320@gmail.com"/>
        <s v="321@gmail.com"/>
        <s v="322@rutronik.com"/>
        <s v="323@hotmail.com"/>
        <s v="324@onsaze.es"/>
        <s v="325@sonepar.es"/>
        <s v="326@gmail.com"/>
        <s v="327@romovi.com"/>
        <s v="328@siemens.com"/>
        <s v="329@covama.es"/>
        <s v="330@hotmail.com"/>
        <s v="331@gmail.com"/>
        <s v="332@gmail.com"/>
        <s v="333@jbizcocho.es"/>
        <s v="334@mixmail.com"/>
        <s v="335@faepac.org"/>
        <s v="336@gmail.com"/>
        <s v="337@gmail.com"/>
        <s v="338@u220.es"/>
        <s v="339@emiliocueto.com"/>
        <s v="340@bizkaia.eu"/>
        <s v="341@enchufesolar.com"/>
        <s v="342@idesa.pro"/>
        <s v="343@gmail.com"/>
        <s v="344@hotmail.com"/>
        <s v="345@enerwatt.es"/>
        <s v="346@gmail.com"/>
        <s v="347@engie.com"/>
        <s v="348@telefonica.net"/>
        <s v="349@dipualba.es"/>
        <s v="350@talleresloam.com"/>
        <s v="351@cochele.com"/>
        <s v="352@live.com.mx"/>
        <s v="353@industrialgines.com"/>
        <s v="354@gmail.com"/>
        <s v="355@gmail.com"/>
        <s v="356@hotmail.com"/>
        <s v="357@cesvimap.com"/>
        <s v="358@suris.es"/>
        <s v="359@movistar.es"/>
        <s v="360@gmail.com"/>
        <s v="361@trabajosadomicilio.es"/>
        <s v="362@hotmail.com"/>
        <s v="363@gmail.com"/>
        <s v="364@telefonica.net"/>
        <s v="365@edu.xunta.es"/>
        <s v="366@gmail.com"/>
        <s v="367@yahoo.es"/>
        <s v="368@gmail.com"/>
        <s v="369@upc.edu"/>
        <s v="370@coac.es"/>
        <s v="371@hotmail.com"/>
        <s v="372@ub.edu"/>
        <s v="373@eling.es"/>
        <s v="374@copitima.com"/>
        <s v="375@gmail.com"/>
        <s v="376@gmail.com"/>
        <s v="377@nouges.es"/>
        <s v="378@mcrdielec.com"/>
        <s v="379@gmail.com"/>
        <s v="380@acp-level.es"/>
        <s v="381@mtcholding.ro"/>
        <s v="382@gmail.com"/>
        <s v="383@llamas.com.es"/>
        <s v="384@comsa.com"/>
        <s v="385@upc.edu"/>
        <s v="386@xtec.cat"/>
        <s v="387@gmail.com"/>
        <s v="388@gmail.com"/>
        <s v="389@yahoo.es"/>
        <s v="390@hotmail.com"/>
        <s v="391@gmail.com"/>
        <s v="392@gmail.com"/>
        <s v="393@gmail.com"/>
        <s v="394@yahoo.es"/>
        <s v="395@ajinstal.cat"/>
        <s v="396@gmail.com"/>
        <s v="397@orange.es"/>
        <s v="398@ciudaddelosmuchachos.com"/>
        <s v="399@gmail.com"/>
        <s v="400@arquired.es"/>
        <s v="401@hotmail.es"/>
        <s v="402@gmail.com"/>
        <s v="403@hotmail.com"/>
        <s v="404@hotmail.com"/>
        <s v="405@yahoo.es"/>
        <s v="406@gmail.com"/>
        <s v="407@romher.es"/>
        <s v="408@ic3sl.com"/>
        <s v="409@gruposinelec.com"/>
        <s v="410@gmail.com"/>
        <s v="411@proyectosdelhogar.com"/>
        <s v="412@seelectroled.com"/>
        <s v="413@emancha.com"/>
        <s v="414@gruptba.com"/>
        <s v="415@gmail.com"/>
        <s v="416@dominguezelectricidad.es"/>
        <s v="417@gmail.com"/>
        <s v="418@proyectosict.net"/>
        <s v="419@miscelec.com"/>
        <s v="420@covama.es"/>
        <s v="421@maelse.com"/>
        <s v="422@amena.com"/>
        <s v="423@me.com"/>
        <s v="424@ulmahandling.com"/>
        <s v="425@telefonica.net"/>
        <s v="426@gmail.com"/>
        <s v="427@gmail.com"/>
        <s v="428@hotmail.com"/>
        <s v="429@yahoo.es"/>
        <s v="430@urgon.es"/>
        <s v="431@hotmail.com"/>
        <s v="432@acacea.es"/>
        <s v="433@gmail.com"/>
        <s v="434@gmail.com"/>
        <s v="435@solucionesms.es"/>
        <s v="436@electrosoler.com"/>
        <s v="437@alrolasistemas.es"/>
        <s v="438@epla.es"/>
        <s v="439@edu.xunta.es"/>
        <s v="440@fedirbra.com"/>
        <s v="441@arquiem.es"/>
        <s v="442@hotmail.com"/>
        <s v="443@ingenia.es"/>
        <s v="444@dymiel.es"/>
        <s v="445@sueprat.es"/>
        <s v="446@atega.net"/>
        <s v="447@iescotesbaixes.org"/>
        <s v="448@gmail.com"/>
        <s v="449@urgon.es"/>
        <s v="450@gmail.com"/>
        <s v="451@ingelux.com"/>
        <s v="452@urgon.es"/>
        <s v="453@edelafuente.com"/>
        <s v="454@gmail.com"/>
        <s v="455@gmail.com"/>
        <s v="456@electricidadvilela.com"/>
        <s v="457@outlook.com"/>
        <s v="458@imel.es"/>
        <s v="459@sesetec.com"/>
        <s v="460@gmail.com"/>
        <s v="461@msn.com"/>
        <s v="462@gmail.com"/>
        <s v="463@gmail.com"/>
        <s v="464@hotmail.es"/>
        <s v="465@hotmail.com"/>
        <s v="466@gmail.com"/>
        <s v="467@gmail.com"/>
        <s v="468@yahoo.es"/>
        <s v="469@somorrostro.com"/>
        <s v="470@gmail.com"/>
        <s v="471@abengoa.com"/>
        <s v="472@ebcn.cat"/>
        <s v="473@inexo.es"/>
        <s v="474@tectram.com"/>
        <s v="475@hotmail.es"/>
        <s v="476@hotmail.com"/>
        <s v="477@gmail.com"/>
        <s v="478@gmail.com"/>
        <s v="479@gmail.com"/>
        <s v="480@gmail.com"/>
        <s v="481@gmail.com"/>
        <s v="482@pentamatik.com"/>
        <s v="483@arval.es"/>
        <s v="484@macegroup.com"/>
        <s v="485@hotmail.com"/>
        <s v="486@gmail.com"/>
        <s v="487@gmail.com"/>
        <s v="488@gmail.com"/>
        <s v="489@carbonellfigueras.com"/>
        <s v="490@idom.com"/>
        <s v="491@gmail.com"/>
        <s v="492@hotmail.com"/>
        <s v="493@gmail.com"/>
        <s v="494@protelec.es"/>
        <s v="495@boslan.com"/>
        <s v="496@gmail.com"/>
        <s v="497@6d-ingenieros.com"/>
        <s v="498@gmail.com"/>
        <s v="499@netcabo.pt"/>
        <s v="500@gmail.com"/>
        <s v="501@gmail.com"/>
        <s v="502@hotmail.com"/>
        <s v="503@ofp.cat"/>
        <s v="504@avilayhevia.com"/>
        <s v="505@mavipas.com"/>
        <s v="506@pina-ingenieria.com"/>
        <s v="507@eco-voltaica.com"/>
        <s v="508@gmail.com"/>
        <s v="509@hotmail.com"/>
        <s v="510@gmail.com"/>
        <s v="511@yahoo.es"/>
        <s v="512@hotmail.com"/>
        <s v="513@osmos.es"/>
        <s v="514@hotmail.com"/>
        <s v="515@torrepacheco.es"/>
        <s v="516@hotmail.es"/>
        <s v="517@palmersebastian.com"/>
        <s v="518@gmail.com"/>
        <s v="519@outlook.com"/>
        <s v="520@ecf-electricidad.com"/>
        <s v="521@gmail.com"/>
        <s v="522@siemens.com"/>
        <s v="523@gmail.com"/>
        <s v="524@gmail.com"/>
        <s v="525@comsa.com"/>
        <s v="526@gmail.com"/>
        <s v="527@yahoo.com.mx"/>
        <s v="528@gmail.com"/>
        <s v="529@gmail.com"/>
        <s v="530@trilegend.com"/>
        <s v="531@csisuministros.com"/>
        <s v="532@gmail.com"/>
        <s v="533@emconsulting.es"/>
        <s v="534@gmail.com"/>
        <s v="535@bgp.es"/>
        <s v="536@adymus.es"/>
        <s v="537@sonneingenieria.com"/>
        <s v="538@herquesa.com"/>
        <s v="539@cablenergia.com"/>
        <s v="540@hotmail.com"/>
        <s v="541@gmail.com"/>
        <s v="542@yahoo.es"/>
        <s v="543@andreumanteniment.com"/>
        <s v="544@telnor.es"/>
        <s v="545@serviciosenergeticoslp.es"/>
        <s v="546@gmail.com"/>
        <s v="547@grupocuerva.com"/>
        <s v="548@hotmail.com"/>
        <s v="549@gmail.com"/>
        <s v="550@activate2.com"/>
        <s v="551@mdvproyectos.es"/>
        <s v="552@engie.com"/>
        <s v="553@aenor.com"/>
        <s v="554@gngrup.com"/>
        <s v="555@yahoo.es"/>
        <s v="556@gmail.com"/>
        <s v="557@dip-badajoz.es"/>
        <s v="558@gmail.com"/>
        <s v="559@sygsa.com"/>
        <s v="560@gmail.com"/>
        <s v="561@aialmeingenieros.com"/>
        <s v="562@gmail.com"/>
        <s v="563@salesianospamplona.net"/>
        <s v="564@gmail.com"/>
        <s v="565@gmail.com"/>
        <s v="566@gmail.com"/>
        <s v="567@sonovatec.com"/>
        <s v="568@hotmail.com"/>
        <s v="569@hotmail.com"/>
        <s v="570@hotmail.com"/>
        <s v="571@outlook.com"/>
        <s v="572@gmail.com"/>
        <s v="573@gmail.com"/>
        <s v="574@tecuni.com"/>
        <s v="575@hotmail.com"/>
        <s v="576@gmail.com"/>
        <s v="577@electroalbors.com"/>
        <s v="578@gmail.com"/>
        <s v="579@gmail.com"/>
        <s v="580@gmail.com"/>
        <s v="581@gmail.com"/>
        <s v="582@gmail.com"/>
        <s v="583@iesmontsia.org"/>
        <s v="584@petronet24.net"/>
        <s v="585@hotmail.com"/>
        <s v="586@hotmail.com"/>
        <s v="587@gescogestio.com"/>
        <s v="588@gmail.com"/>
        <s v="589@freelight.es"/>
        <s v="590@hotmail.com"/>
        <s v="591@alterenergy.com.ar"/>
        <s v="592@garciacomas.com"/>
        <s v="593@sorigue.com"/>
        <s v="594@hotmail.com"/>
        <s v="595@centroasturianobarcelona.com"/>
        <s v="596@gmail.com"/>
        <s v="597@svingenieria.com.co"/>
        <s v="599@gmail.com"/>
        <s v="600@saltoki.es"/>
        <s v="601@gmail.com"/>
        <s v="602@gmail.com"/>
        <s v="603@tenmega.pt"/>
        <s v="604@goliathspain.es"/>
        <s v="605@hotmail.com"/>
        <s v="606@gmail.com"/>
        <s v="607@eficiona.com"/>
        <s v="608@sgingenieros.es"/>
        <s v="609@ritelecenergia.es"/>
        <s v="610@electricharger.com"/>
        <s v="611@santacruzdetenerife.es"/>
        <s v="612@gmail.com"/>
        <s v="613@proingo.es"/>
        <s v="614@valledeleste.es"/>
        <s v="615@iealcazar.com"/>
        <s v="616@a6ingenieria.es"/>
        <s v="617@energia.eiffage.es"/>
        <s v="618@ibil.es"/>
        <s v="619@movistar.es"/>
        <s v="620@loop-cn.com"/>
        <s v="621@gmail.com"/>
        <s v="622@icingenieros.es"/>
        <s v="623@gmail.com"/>
        <s v="624@inserty.net"/>
        <s v="625@hotmail.com"/>
        <s v="626@yahoo.es"/>
        <s v="627@gmail.com"/>
        <s v="628@inquo.es"/>
        <s v="629@gmail.com"/>
        <s v="630@melia.com"/>
        <s v="631@engie.com"/>
        <s v="632@gmail.com"/>
        <s v="633@outlook.com"/>
        <s v="634@easycharger.es"/>
        <s v="635@coneq.es"/>
        <s v="636@csisuministros.com"/>
        <s v="638@me.com"/>
        <s v="639@rolearmais.pt"/>
        <s v="641@bodai.es"/>
        <s v="642@ecoviv.eu"/>
        <s v="643@gmail.com"/>
        <s v="644@ebconsultores.com"/>
        <s v="645@confiplano.com"/>
        <s v="646@gmail.com"/>
        <s v="647@apis-ing.es"/>
        <s v="648@bcnovatecnics.com"/>
        <s v="649@yahoo.es"/>
        <s v="650@hotmail.com"/>
        <s v="651@coitim.es"/>
        <s v="652@miesasa.com"/>
        <s v="653@hotmail.com"/>
        <s v="654@staperpetua.cat"/>
        <s v="655@seproi.com"/>
        <s v="656@gmail.com"/>
        <s v="657@enaire.es"/>
        <s v="658@gmail.com"/>
        <s v="659@gleeds.es"/>
        <s v="660@unex.net"/>
        <s v="661@horus.es"/>
        <s v="662@3cid.es"/>
        <s v="663@hotmail.com"/>
        <s v="664@hotmail.es"/>
        <s v="665@gmail.com"/>
        <s v="666@ighmallorca.com"/>
        <s v="667@ces2010.es"/>
        <s v="668@dipucordoba.es"/>
        <s v="669@hotmail.com"/>
        <s v="670@nogawatio.es"/>
        <s v="671@csisuministros.com"/>
        <s v="672@gmail.com"/>
        <s v="673@gmail.com"/>
        <s v="674@coitt.es"/>
        <s v="675@aclingenieria.com"/>
        <s v="676@promec.es"/>
        <s v="677@gmail.com"/>
        <s v="678@nh-hotels.com"/>
        <s v="679@hotmail.com"/>
        <s v="680@chargeguru.com"/>
        <s v="681@electricidadbalaguer.es"/>
        <s v="682@gmail.com"/>
        <s v="683@hagergroup.com"/>
        <s v="684@gmail.com"/>
        <s v="685@climava.com"/>
        <s v="686@electro-h.es"/>
        <s v="687@outlook.es"/>
        <s v="688@legrandgroup.es"/>
        <s v="689@arbonapiza.com"/>
        <s v="690@dllgroup.com"/>
        <s v="691@cbre.com"/>
        <s v="692@gmail.com"/>
        <s v="693@yahoo.com.mx"/>
        <s v="694@gmail.com"/>
        <s v="695@gmail.com"/>
        <s v="696@rlinstalacioneselectricas.com"/>
        <s v="697@ingedomsl.com"/>
        <s v="698@gmail.com"/>
        <s v="699@unisystems.es"/>
        <s v="700@gmail.com"/>
        <s v="701@gmail.com"/>
        <s v="702@hotmail.com"/>
        <s v="703@gmail.com"/>
        <s v="704@gmail.com"/>
        <s v="705@gmail.com"/>
        <s v="706@juntaex.es"/>
        <s v="707@ufd.es"/>
        <s v="708@zaker.com"/>
        <s v="709@gmail.com"/>
        <s v="710@hotmail.com"/>
        <s v="711@hotmail.com"/>
        <s v="712@gjautomotive.com"/>
        <s v="713@gmail.com"/>
        <s v="714@hotmail.com"/>
        <s v="715@gmail.com"/>
        <s v="716@gmail.com"/>
        <s v="717@rtve.es"/>
        <s v="718@poweringcar.com"/>
        <s v="719@gmail.com"/>
        <s v="720@pgiengineering.com"/>
        <s v="721@gmail.com"/>
        <s v="722@gmail.com"/>
        <s v="723@gmail.com"/>
        <s v="724@gmail.com"/>
        <s v="725@gmail.com"/>
        <s v="726@gmail.com"/>
        <s v="727@membrives.es"/>
        <s v="728@calambre.net"/>
        <s v="729@gmail.com"/>
        <s v="730@hotmail.com"/>
        <s v="731@bonoboenergy.com"/>
        <s v="732@vcejudo.es"/>
        <s v="733@gmail.com"/>
        <s v="734@gmail.com"/>
        <s v="735@serveiskronier55.com"/>
        <s v="736@yahoo.com"/>
        <s v="737@lagingenieros.es"/>
        <s v="738@caatvalencia.es"/>
        <s v="739@isf-esp.com"/>
        <s v="740@cee.com.es"/>
        <s v="741@dieselsanchez.com"/>
        <s v="742@acoeman.com"/>
        <s v="743@bahiguell.com"/>
        <s v="744@gmail.com"/>
        <s v="745@geinstal.com"/>
        <s v="746@msn.com"/>
        <s v="747@tecnicas.es"/>
        <s v="748@gmail.com"/>
        <s v="749@gmail.com"/>
        <s v="750@germaniaweb.com"/>
        <s v="751@ecium.es"/>
        <s v="752@hotmail.com"/>
        <s v="753@arquinur.es"/>
        <s v="754@gmail.com"/>
        <s v="755@coitt.es"/>
        <s v="756@gsima.es"/>
        <s v="757@integra-sti.com"/>
        <s v="758@ingenieros.com"/>
        <s v="759@hotmail.com"/>
        <s v="760@hotmail.com"/>
        <s v="761@insfuert.es"/>
        <s v="762@hotmail.com"/>
        <s v="763@gmail.com"/>
        <s v="764@nova-electrica.com"/>
        <s v="765@gmail.com"/>
        <s v="766@hotmail.com"/>
        <s v="767@rexel.es"/>
        <s v="768@gmail.com"/>
        <s v="769@gmail.com"/>
        <s v="770@inmotiza.com"/>
        <s v="771@solutions30.com"/>
        <s v="772@faen.es"/>
        <s v="773@perequart.com"/>
        <s v="774@urgon.es"/>
        <s v="775@yahoo.es"/>
        <s v="776@entepi.com"/>
        <s v="777@onofflife.es"/>
        <s v="778@gmail.com"/>
        <s v="779@gmail.com"/>
        <s v="780@hotmail.com"/>
        <s v="781@gmail.com"/>
        <s v="782@gmail.com"/>
        <s v="783@diexfe.com"/>
        <s v="784@live.com"/>
        <s v="785@gabrielcorchero.org"/>
        <s v="786@grupoelectrostocks.com"/>
        <s v="787@electricidadoriagomez.com"/>
        <s v="788@casvicuatro.es"/>
        <s v="789@simsabdn.cat"/>
        <s v="790@yahoo.com.ar"/>
        <s v="791@hotmail.com"/>
        <s v="792@gva.es"/>
        <s v="793@gmail.com"/>
        <s v="794@somoselectricistas.com"/>
        <s v="795@lomosamovilidad.com"/>
        <s v="796@gmail.com"/>
        <s v="797@gmail.com"/>
        <s v="798@gmail.com"/>
        <s v="799@yahoo.es"/>
        <s v="800@taubertek.com"/>
        <s v="801@hotmail.es"/>
        <s v="802@hotmail.com"/>
        <s v="803@outlook.com"/>
        <s v="804@monrabal.net"/>
        <s v="805@gmail.com"/>
        <s v="806@gmail.com"/>
        <s v="807@gmail.com"/>
        <s v="808@ale.es"/>
        <s v="809@naturgy.com"/>
        <s v="810@arquired.es"/>
        <s v="811@proinsermant.com"/>
        <s v="812@invgrupo.com"/>
        <s v="813@kilovatiogalicia.com"/>
        <s v="814@interingenieria.com"/>
        <s v="815@uach.mx"/>
        <s v="816@energia.eiffage.es"/>
        <s v="817@gmail.com"/>
        <s v="818@galektra.es"/>
        <s v="819@hotmail.com"/>
        <s v="820@ebcn.cat"/>
        <s v="821@gmail.com"/>
        <s v="822@yahoo.fr"/>
        <s v="823@gmail.com"/>
        <s v="824@gmail.com"/>
        <s v="825@hotmail.com"/>
        <s v="826@gmail.com"/>
        <s v="827@coitiar.es"/>
        <s v="828@zf.com"/>
        <s v="829@gmail.com"/>
        <s v="830@gmail.com"/>
        <s v="831@gmail.com"/>
        <s v="832@suministradora.com"/>
        <s v="833@ofitecbp.com"/>
        <s v="834@gmail.com"/>
        <s v="835@gmail.com"/>
        <s v="837@gmail.com"/>
        <s v="838@sdin.es"/>
        <s v="839@fluidsa.com"/>
        <s v="840@gmail.com"/>
        <s v="841@gmail.com"/>
        <s v="842@fibramur.com"/>
        <s v="843@instalacionescueto.com"/>
        <s v="844@certis.cat"/>
        <s v="845@hotmail.com"/>
        <s v="846@hotmail.com"/>
        <s v="847@lodeal.es"/>
        <s v="848@sesaelec.com"/>
        <s v="849@gmail.com"/>
        <s v="850@gmail.com"/>
        <s v="851@arquitecto.com"/>
        <s v="852@grupviu.com"/>
        <s v="853@gmail.com"/>
        <s v="854@msn.com"/>
        <s v="855@msn.com"/>
        <s v="856@gmail.com"/>
        <s v="857@gmail.com"/>
        <s v="858@gmail.com"/>
        <s v="859@hotmail.com"/>
        <s v="860@gmail.com"/>
        <s v="861@outlook.com"/>
        <s v="862@fpcm.es"/>
        <s v="863@outlook.com"/>
        <s v="864@es.uazuay.edu.ec"/>
        <s v="865@asmoaingenieria.com"/>
        <s v="866@typsa.es"/>
        <s v="867@proyectosjamaras.es"/>
        <s v="868@gmail.com"/>
        <s v="869@yahoo.es"/>
        <s v="870@gmail.com"/>
        <s v="871@cefiner.com"/>
        <s v="872@gmail.com"/>
        <s v="873@eutikes.com"/>
        <s v="874@coac.net"/>
        <s v="875@orange.es"/>
        <s v="876@arquitectonica.cat"/>
        <s v="877@gmail.com"/>
        <s v="878@masteringenieria.com"/>
        <s v="879@sicoris.com"/>
        <s v="880@miquelnieto.com"/>
        <s v="881@hotmail.com"/>
        <s v="882@domotelelectric.com"/>
        <s v="883@hotmail.com"/>
        <s v="884@enersos.es"/>
        <s v="885@gmail.com"/>
        <s v="886@gmail.com"/>
        <s v="887@gmail.com"/>
        <s v="888@zivautomation.com"/>
        <s v="889@hotmail.com"/>
        <s v="890@hotmail.com"/>
        <s v="891@gmail.com"/>
        <s v="892@hotmail.com"/>
        <s v="893@krean.com"/>
        <s v="894@gmail.com"/>
        <s v="895@volumetric.eu"/>
        <s v="896@gmail.com"/>
        <s v="897@rtve.es"/>
        <s v="898@gmail.com"/>
        <s v="899@gmail.com"/>
        <s v="900@hirurok.eu"/>
        <s v="901@gmail.com"/>
        <s v="902@gmail.com"/>
        <s v="903@edirocsa.com"/>
        <s v="904@inboundcycle.com"/>
        <s v="905@yahoo.es"/>
        <s v="906@europrojectes.es"/>
        <s v="907@gmail.com"/>
        <s v="908@hotmail.com"/>
        <s v="909@gmail.com"/>
        <s v="910@sogesa.es"/>
        <s v="911@lusorede.pt"/>
        <s v="912@gmail.com"/>
        <s v="913@quorania.com"/>
        <s v="914@gmail.com"/>
        <s v="915@gmail.com"/>
        <s v="916@gcaarq.com"/>
        <s v="917@gmail.com"/>
        <s v="918@gmail.com"/>
        <s v="919@hotmail.com"/>
        <s v="920@meval.eu"/>
        <s v="921@gmail.com"/>
        <s v="922@ingenierosvigo.com"/>
        <s v="923@gmail.com"/>
        <s v="924@msn.com"/>
        <s v="925@eco-voltaica.com"/>
        <s v="926@electricidadyserviciosmontero.com"/>
        <s v="927@argionelectric.es"/>
        <s v="928@gmail.com"/>
        <s v="929@acciona.com"/>
        <s v="930@acciona.com"/>
        <s v="931@acciona.com"/>
        <s v="932@bellmasenginyers.cat"/>
        <s v="933@orsei.es"/>
        <s v="934@outlook.com"/>
        <s v="935@gmail.com"/>
        <s v="936@gmail.com"/>
        <s v="937@gmail.com"/>
        <s v="938@montegar.es"/>
        <s v="939@gmail.com"/>
        <s v="940@masojuando.com"/>
        <s v="941@gmail.com"/>
        <s v="942@r11arquitectos.com"/>
        <s v="943@gabyl.com"/>
        <s v="944@gmail.com"/>
        <s v="945@red.renault.es"/>
        <s v="946@gmail.com"/>
        <s v="947@clysema.com"/>
        <s v="948@gmail.com"/>
        <s v="949@cadielsa.com"/>
        <s v="950@grupocobra.com"/>
        <s v="951@tenerasa.es"/>
        <s v="953@mosancar.com"/>
        <s v="954@aiguesmanresa.cat"/>
        <s v="955@conras.es"/>
        <s v="956@mebaluz.es"/>
        <s v="957@germaniaweb.com"/>
        <s v="958@hotmail.es"/>
        <s v="959@mlopezarquitectos.com"/>
        <s v="960@aqelectric.es"/>
        <s v="961@gmail.com"/>
        <s v="962@electropla.cat"/>
        <s v="963@gmail.com"/>
        <s v="964@hotmail.com"/>
        <s v="965@gmail.com"/>
        <s v="966@miguelmoralesingenieros.com"/>
        <s v="967@lacsl.es"/>
        <s v="968@gmail.com"/>
        <s v="969@comercialsis.com"/>
        <s v="970@acelecsal.com"/>
        <s v="971@imagogestion.com"/>
        <s v="972@acelecsal.com"/>
        <s v="973@live.com"/>
        <s v="974@yahoo.es"/>
        <s v="975@yahoo.com"/>
        <s v="977@tarragona.cat"/>
        <s v="978@gmail.com"/>
        <s v="979@gmail.com"/>
        <s v="980@coiiar.org"/>
        <s v="981@gmail.com"/>
        <s v="982@gmail.com"/>
        <s v="983@elektracat.com"/>
        <s v="984@gmail.com"/>
        <s v="985@jesnar2011.es"/>
        <s v="986@hotmail.com"/>
        <s v="987@ginsa.cat"/>
        <s v="988@electromercantil.es"/>
        <s v="989@electricasllop.com"/>
        <s v="990@gmail.com"/>
        <s v="991@yahoo.es"/>
        <s v="992@yahoo.es"/>
        <s v="993@electricidadguerra.com"/>
        <s v="994@gruponovelec.com"/>
        <s v="995@telefonica.net"/>
        <s v="996@comb.cat"/>
        <s v="997@yahoo.es"/>
        <s v="998@damuvi.com"/>
        <s v="999@aeperez.es"/>
        <s v="1000@hotmail.com"/>
        <s v="1001@hotmail.com"/>
        <s v="1002@hotmail.com"/>
        <s v="1003@gmail.com"/>
        <s v="1004@telefonica.net"/>
        <s v="1005@allendearquitectos.com"/>
        <s v="1006@gmail.com"/>
        <s v="1007@yahoo.es"/>
        <s v="1008@olleo.es"/>
        <s v="1009@ccatlantico.com"/>
        <s v="1011@gmail.com"/>
        <s v="1012@formasymateriales.com"/>
        <s v="1013@hotmail.com"/>
        <s v="1014@gmail.com"/>
        <s v="1015@aziraelectricidad.com"/>
        <s v="1016@coitt.es"/>
        <s v="1017@tesnetwork.net"/>
        <s v="1018@esmassmart.com"/>
        <s v="1019@ingeralbaida.es"/>
        <s v="1020@deinrresa.es"/>
        <s v="1021@proturhotels.com"/>
        <s v="1022@uhu.es"/>
        <s v="1023@hotmail.com"/>
        <s v="1024@elecnor.com"/>
        <s v="1025@gmail.com"/>
        <s v="1026@aia.cat"/>
        <s v="1027@leanteam.es"/>
        <s v="1028@ingenierosvalladolid.es"/>
        <s v="1029@gmail.com"/>
        <s v="1030@inmaser-integral.es"/>
        <s v="1031@grupoitesa.com"/>
        <s v="1032@zioenginy.com"/>
        <s v="1033@gmail.com"/>
        <s v="1034@gmail.com"/>
        <s v="1035@gmail.com"/>
        <s v="1036@grupoelectrostocks.com"/>
        <s v="1037@gmail.com"/>
        <s v="1038@gmail.com"/>
        <s v="1039@yahoo.es"/>
        <s v="1040@gmail.com"/>
        <s v="1041@jordimoran.es"/>
        <s v="1042@alvae.es"/>
        <s v="1043@gmail.com"/>
        <s v="1044@hotmail.com"/>
        <s v="1045@coac.net"/>
        <s v="1046@gmail.com"/>
        <s v="1047@coag.es"/>
        <s v="1048@usc.es"/>
        <s v="1049@gmail.com"/>
        <s v="1050@hotmail.es"/>
        <s v="1051@gmail.com"/>
        <s v="1052@yahoo.es"/>
        <s v="1053@gmail.com"/>
        <s v="1054@isd-ingenieria.es"/>
        <s v="1055@gmail.com"/>
        <s v="1056@gmail.com"/>
        <s v="1057@gmsil.com"/>
        <s v="1058@gmail.com"/>
        <s v="1059@yahoo.es"/>
        <s v="1060@hotmail.com"/>
        <s v="1061@perezescribano.es"/>
        <s v="1062@hotmail.com"/>
        <s v="1063@gmail.com"/>
        <s v="1064@abxat.com"/>
        <s v="1065@movistar.es"/>
        <s v="1066@gmail.com"/>
        <s v="1067@gmail.com"/>
        <s v="1068@dominion.es"/>
        <s v="1069@agoitziru.es"/>
        <s v="1070@vamostelecom.es"/>
        <s v="1071@industrialgines.com"/>
        <s v="1072@gmail.com"/>
        <s v="1073@grupolasser.com"/>
        <s v="1074@hotmail.com"/>
        <s v="1075@gmail.com"/>
        <s v="1076@gmail.com"/>
        <s v="1077@hotmail.com"/>
        <s v="1078@gmail.com"/>
        <s v="1079@outlook.es"/>
        <s v="1080@levitec.es"/>
        <s v="1081@teideingenieros.com"/>
        <s v="1082@gmail.com"/>
        <s v="1083@hotmail.com"/>
        <s v="1084@gmail.com"/>
        <s v="1085@gmail.com"/>
        <s v="1086@gmail.com"/>
        <s v="1087@hotmail.com"/>
        <s v="1088@citemaing.com"/>
        <s v="1089@gmail.com"/>
        <s v="1090@hotmail.com"/>
        <s v="1092@cipfpcanastell.com"/>
        <s v="1093@edu.xunta.es"/>
        <s v="1094@hotmail.com"/>
        <s v="1095@gmail.com"/>
        <s v="1096@mpf-ingenieria.es"/>
        <s v="1097@santaeulalia.cat"/>
        <s v="1099@hotmail.com"/>
        <s v="1100@boffor.com"/>
        <s v="1101@hotmail.com"/>
        <s v="1102@gmail.com"/>
        <s v="1103@montajeselectricosfase.com"/>
        <s v="1104@gmail.com"/>
        <s v="1105@gmail.com"/>
        <s v="1106@gruponoria.com"/>
        <s v="1107@ryaingenieros.com"/>
        <s v="1108@enginyerstarragona.cat"/>
        <s v="1109@gmail.com"/>
        <s v="1110@gmail.com"/>
        <s v="1111@hotmail.com"/>
        <s v="1112@covama.es"/>
        <s v="1113@aurialux.com"/>
        <s v="1114@teclisa.com"/>
        <s v="1115@muntanerelectro.com"/>
        <s v="1116@suelba.com"/>
        <s v="1117@hotmail.com"/>
        <s v="1118@coitiar.es"/>
        <s v="1119@gmail.com"/>
        <s v="1120@sonepar.es"/>
        <s v="1121@gmail.com"/>
        <s v="1122@hotmail.es"/>
        <s v="1123@gmail.com"/>
        <s v="1124@energonrenovables.es"/>
        <s v="1125@rocaingenieros.com"/>
        <s v="1126@viveme.es"/>
        <s v="1127@telefonica.net"/>
        <s v="1128@fgingenieria.com"/>
        <s v="1129@eselfri.com"/>
        <s v="1130@kairsa.com"/>
        <s v="1131@gmail.com"/>
        <s v="1132@yahoo.es"/>
        <s v="1133@hotmail.com"/>
        <s v="1134@integratoledo.com"/>
        <s v="1135@gmail.com"/>
        <s v="1136@metalux.es"/>
        <s v="1137@eiasein.es"/>
        <s v="1138@arquired.es"/>
        <s v="1139@gmail.com"/>
        <s v="1140@fer.es"/>
        <s v="1141@coitim.es"/>
        <s v="1142@asmesl.es"/>
        <s v="1143@gmail.com"/>
        <s v="1144@idponline.net"/>
        <s v="1145@miretelectricidad.com"/>
        <s v="1146@hotmail.com"/>
        <s v="1147@magalux.es"/>
        <s v="1148@dipusevilla.es"/>
        <s v="1149@fillsdelluissureda.cat"/>
        <s v="1150@gmail.com"/>
        <s v="1151@telefonica.net"/>
        <s v="1152@lahidro.net"/>
        <s v="1153@hotmail.com"/>
        <s v="1154@gmail.com"/>
        <s v="1155@mapelsl.com"/>
        <s v="1156@berrilanbim.com"/>
        <s v="1157@himalayaclimatizacionycontrol.es"/>
        <s v="1158@hotmail.com"/>
        <s v="1159@birtes.com.tr"/>
        <s v="1160@copcisa.com"/>
        <s v="1161@sygsa.com"/>
        <s v="1162@gmail.com"/>
        <s v="1163@instalmasa.com"/>
        <s v="1164@projecat.com"/>
        <s v="1165@gmail.com"/>
        <s v="1166@hotmail.com"/>
        <s v="1167@tselsur.es"/>
        <s v="1168@renaultpineda.com"/>
        <s v="1169@gmail.com"/>
        <s v="1170@lahidro.net"/>
        <s v="1171@albaida.es"/>
        <s v="1172@sunkatel.com"/>
        <s v="1173@vifrisan.com"/>
        <s v="1174@alem.es"/>
        <s v="1175@gmail.com"/>
        <s v="1176@gmail.com"/>
        <s v="1177@imte.cat"/>
        <s v="1178@hotmail.com"/>
        <s v="1179@hotmail.com"/>
        <s v="1180@sonepar.es"/>
        <s v="1181@mapfre.com"/>
        <s v="1182@damm.es"/>
        <s v="1183@ddisl.com"/>
        <s v="1184@tecmotica.net"/>
        <s v="1185@lmretavi.es"/>
        <s v="1186@gmail.com"/>
        <s v="1187@gmail.com"/>
        <s v="1188@gmail.com"/>
        <s v="1189@gmail.com"/>
        <s v="1190@telecable.es"/>
        <s v="1191@tinet.fut.es"/>
        <s v="1192@toyota-canarias.es"/>
        <s v="1193@grupoelectrostocks.com"/>
        <s v="1194@hotmail.com"/>
        <s v="1195@gmail.com"/>
        <s v="1196@hotmail.com"/>
        <s v="1197@electricidadcelec.com"/>
        <s v="1198@hotmail.com"/>
        <s v="1199@qwerty.es"/>
        <s v="1200@gg.com"/>
        <s v="1201@yahoo.es"/>
        <s v="1202@gmail.com"/>
        <s v="1203@smarthaus.studio"/>
        <s v="1204@me.com"/>
        <s v="1205@telefonica.net"/>
        <s v="1206@gmail.com"/>
        <s v="1207@gmail.com"/>
        <s v="1208@gmail.com"/>
        <s v="1209@hotmail.es"/>
        <s v="1210@pepepower.es"/>
        <s v="1211@outlook.es"/>
        <s v="1212@hotmail.com"/>
        <s v="1213@hotmail.com"/>
        <s v="1214@gmail.com"/>
        <s v="1215@subis.cat"/>
        <s v="1216@gmail.com"/>
        <s v="1217@gmail.com"/>
        <s v="1218@gmail.com"/>
        <s v="1219@actluz.com"/>
        <s v="1220@sanitariosbosco.es"/>
        <s v="1221@gencat.cat"/>
        <s v="1222@hotmail.com"/>
        <s v="1223@proyecta79.com"/>
        <s v="1224@ipertec.es"/>
        <s v="1225@yahoo.es"/>
        <s v="1226@agiceringenieros.es"/>
        <s v="1227@telefonica.net"/>
        <s v="1228@entax.es"/>
        <s v="1229@yahoo.es"/>
        <s v="1230@gmail.com"/>
        <s v="1231@gmail.com"/>
        <s v="1232@planocaceres.com"/>
        <s v="1233@hotmail.com"/>
        <s v="1234@gmail.com"/>
        <s v="1235@gmail.com"/>
        <s v="1236@hotmail.com"/>
        <s v="1237@gmail.com"/>
        <s v="1238@gmail.com"/>
        <s v="1239@telefonica.net"/>
        <s v="1240@hotmail.com"/>
        <s v="1241@gmail.com"/>
        <s v="1242@hotmail.com"/>
        <s v="1243@educa.jcyl.es"/>
        <s v="1244@gmail.com"/>
        <s v="1245@hotmail.com"/>
        <s v="1246@ecoltan.org"/>
        <s v="1247@gmail.com"/>
        <s v="1248@gmail.com"/>
        <s v="1249@gmail.com"/>
        <s v="1250@telefonica.net"/>
        <s v="1251@gomurmya.com"/>
        <s v="1252@desarrollotecnico.com"/>
        <s v="1253@gmail.com"/>
        <s v="1254@gmail.com"/>
        <s v="1255@hotmail.com"/>
        <s v="1256@gmail.com"/>
        <s v="1257@carsbarcelona.es"/>
        <s v="1258@gmail.com"/>
        <s v="1259@radresa.com"/>
        <s v="1260@gdr.es"/>
        <s v="1261@e-copitile.es"/>
        <s v="1262@hotmail.com"/>
        <s v="1263@hotmail.com"/>
        <s v="1264@gmail.com"/>
        <s v="1265@hotmail.com"/>
        <s v="1266@gmail.com"/>
        <s v="1267@motor2000.net"/>
        <s v="1268@gamai.com"/>
        <s v="1269@kuartafase.com"/>
        <s v="1270@solcansl.com"/>
        <s v="1271@yahoo.es"/>
        <s v="1272@gmail.com"/>
        <s v="1273@telefonica.net"/>
        <s v="1274@gmail.com"/>
        <s v="1275@sonepar.es"/>
        <s v="1276@protomar.es"/>
        <s v="1277@sonepar.es"/>
        <s v="1278@gmail.com"/>
        <s v="1279@fccco.com"/>
        <s v="1280@coitiar.es"/>
        <s v="1281@albillos.com"/>
        <s v="1282@hotmail.com"/>
        <s v="1283@gmail.com"/>
        <s v="1284@gmail.com"/>
        <s v="1285@e3ingenieria.com"/>
        <s v="1286@instalacionespiru.es"/>
        <s v="1287@aytosalamanca.es"/>
        <s v="1288@serpel.es"/>
        <s v="1289@gmail.com"/>
        <s v="1290@tesma.es"/>
        <s v="1291@macegroup.com"/>
        <s v="1292@gmail.com"/>
        <s v="1293@gmail.com"/>
        <s v="1294@gmail.com"/>
        <s v="1295@hotmail.es"/>
        <s v="1296@gmail.com"/>
        <s v="1297@silmarinstalacions.com"/>
        <s v="1298@gmail.com"/>
        <s v="1299@sonepar.es"/>
        <s v="1300@movistar.es"/>
        <s v="1301@electricidadaldama.com"/>
        <s v="1302@alem.es"/>
        <s v="1303@hotmail.com"/>
        <s v="1304@ingenibo.com"/>
        <s v="1305@checa67.es"/>
        <s v="1306@instalacionesyobrasdelrio.com"/>
        <s v="1307@gmail.com"/>
        <s v="1308@tdgi.pt"/>
        <s v="1309@gmail.com"/>
        <s v="1310@hotmail.com"/>
        <s v="1311@gmail.com"/>
        <s v="1312@gmail.com"/>
        <s v="1313@adober.es"/>
        <s v="1314@jtelectricperu.com"/>
        <s v="1315@riello-tdl.com"/>
        <s v="1316@proyndust.es"/>
        <s v="1317@gmail.com"/>
        <s v="1318@inteleclamancha.com"/>
        <s v="1319@masfarne.info"/>
        <s v="1320@gmail.com"/>
        <s v="1321@gmail.com"/>
        <s v="1322@gmail.com"/>
        <s v="1323@gmail.com"/>
        <s v="1324@hotmail.com"/>
        <s v="1325@gmail.com"/>
        <s v="1326@saltoki.es"/>
        <s v="1327@tinet.org"/>
        <s v="1328@gmail.com"/>
        <s v="1329@gmail.com"/>
        <s v="1330@comb.cat"/>
        <s v="1331@gmail.com"/>
        <s v="1332@novarquia.es"/>
        <s v="1333@lantec.es"/>
        <s v="1334@hotmail.es"/>
        <s v="1335@santalucia.es"/>
        <s v="1336@yahoo.es"/>
        <s v="1337@grupoelectrostocks.com"/>
        <s v="1338@gmail.com"/>
        <s v="1339@electrogalmar.es"/>
        <s v="1340@silezgrup.com"/>
        <s v="1341@electricidadinstalvi.com"/>
        <s v="1342@ic3sl.com"/>
        <s v="1343@hotmail.com"/>
        <s v="1344@gmail.com"/>
        <s v="1345@telefonica.net"/>
        <s v="1346@boslan.com"/>
        <s v="1347@ormazabal.com"/>
        <s v="1348@gmail.com"/>
        <s v="1349@gmail.com"/>
        <s v="1350@gmail.com"/>
        <s v="1351@conselldemallorca.net"/>
        <s v="1352@autelec.net"/>
        <s v="1353@cairo.ad"/>
        <s v="1354@hotmail.com"/>
        <s v="1355@gmail.com"/>
        <s v="1356@hotmail.com"/>
        <s v="1357@gmail.com"/>
        <s v="1358@gmail.com"/>
        <s v="1359@grupotandal.com"/>
        <s v="1360@hotmail.com"/>
        <s v="1361@gmail.com"/>
        <s v="1362@gmail.com"/>
        <s v="1363@hotmail.com"/>
        <s v="1364@eirazola.com"/>
        <s v="1365@hotmail.com"/>
        <s v="1366@electroalco.es"/>
        <s v="1367@telecable.es"/>
        <s v="1368@baselec.es"/>
        <s v="1369@atribal.es"/>
        <s v="1370@hotmail.com"/>
        <s v="1371@gmail.com"/>
        <s v="1372@telefonica.net"/>
        <s v="1373@electrolucman.com"/>
        <s v="1374@autelec.net"/>
        <s v="1375@gmail.com"/>
        <s v="1376@telefonica.net"/>
        <s v="1377@hotmail.com"/>
        <s v="1378@electromat.com"/>
        <s v="1379@hotmail.com"/>
        <s v="1380@gmail.com"/>
        <s v="1381@msn.com"/>
        <s v="1382@gmail.com"/>
        <s v="1383@grupoazmont.com"/>
        <s v="1384@eringenieria.com"/>
        <s v="1385@telefonica.net"/>
        <s v="1386@grupoevc.es"/>
        <s v="1387@yahoo.com.mx"/>
        <s v="1388@covama.es"/>
        <s v="1389@hotmail.com"/>
        <s v="1390@gmail.com"/>
        <s v="1391@grupojab.es"/>
        <s v="1392@msn.com"/>
        <s v="1393@electricidadguerra.com"/>
        <s v="1394@gmail.com"/>
        <s v="1395@cenorma.com"/>
        <s v="1396@telefonica.net"/>
        <s v="1397@olibayas.net"/>
        <s v="1398@teclisa.com"/>
        <s v="1399@gmail.com"/>
        <s v="1400@apeh.org"/>
        <s v="1401@auditenergia.com"/>
        <s v="1402@gmail.com"/>
        <s v="1403@grupoelectrostocks.com"/>
        <s v="1404@eurocabos.es"/>
        <s v="1405@arreglosoluciones.com"/>
        <s v="1406@gmail.com"/>
        <s v="1407@gmail.com"/>
        <s v="1408@cepsa.com"/>
        <s v="1410@elecnor.es"/>
        <s v="1411@ujaen.es"/>
        <s v="1412@electryser.com"/>
        <s v="1413@gmail.com"/>
        <s v="1414@gmail.com"/>
        <s v="1415@coytesa.com"/>
        <s v="1416@edifesa.com"/>
        <s v="1417@gmail.com"/>
        <s v="1418@gmail.com"/>
        <s v="1419@gmail.com"/>
        <s v="1420@globalelectrica.com"/>
        <s v="1421@itesasl.com"/>
        <s v="1422@gmail.com"/>
        <s v="1423@telefonica.net"/>
        <s v="1424@gmail.com"/>
        <s v="1425@elezvi.com"/>
        <s v="1426@gmail.com"/>
        <s v="1427@hotmail.es"/>
        <s v="1428@gadeaingenieros.com"/>
        <s v="1429@yahoo.es"/>
        <s v="1430@outlook.es"/>
        <s v="1431@jgingenieros.es"/>
        <s v="1432@gmail.com"/>
        <s v="1433@apeme.es"/>
        <s v="1434@planamar.com"/>
        <s v="1435@serindex.es"/>
        <s v="1436@deerns.com"/>
        <s v="1437@indal-tec.com"/>
        <s v="1438@hotmail.com"/>
        <s v="1439@amingenieros.com"/>
        <s v="1440@hotmail.com"/>
        <s v="1441@gmail.com"/>
        <s v="1442@sonepar.es"/>
        <s v="1443@hotmail.com"/>
        <s v="1444@gmail.com"/>
        <s v="1445@gmail.com"/>
        <s v="1446@gmail.com"/>
        <s v="1447@galektra.es"/>
        <s v="1448@renowattandorra.com"/>
        <s v="1449@aseisa.es"/>
        <s v="1450@hotmail.com"/>
        <s v="1451@electrocuebar.com"/>
        <s v="1452@ricarsat.com"/>
        <s v="1453@ingenierosdecadiz.es"/>
        <s v="1454@yahoo.es"/>
        <s v="1455@gmail.com"/>
        <s v="1456@telefonica.net"/>
        <s v="1457@covama.es"/>
        <s v="1458@gmail.com"/>
        <s v="1459@mican.es"/>
        <s v="1460@gmail.com"/>
        <s v="1461@gmail.com"/>
        <s v="1462@cadlan.com"/>
        <s v="1463@sicarsl.es"/>
        <s v="1464@gmail.com"/>
        <s v="1465@guielec.es"/>
        <s v="1466@telegrado.es"/>
        <s v="1467@agave-broadcast.es"/>
        <s v="1468@gmail.com"/>
        <s v="1469@hotmail.com"/>
        <s v="1470@gmail.com"/>
        <s v="1471@tcasertec.com"/>
        <s v="1472@yahoo.es"/>
        <s v="1473@hotmail.com"/>
        <s v="1474@urgon.es"/>
        <s v="1475@electricidadreset.es"/>
        <s v="1476@sonepar.es"/>
        <s v="1477@sonepar.es"/>
        <s v="1478@gmail.com"/>
        <s v="1479@iespunyes.com"/>
        <s v="1480@coiim.es"/>
        <s v="1481@iesmercurio.es"/>
        <s v="1482@gmail.com"/>
        <s v="1483@gruponovelec.com"/>
        <s v="1484@r3recymed.com"/>
        <s v="1486@gmail.com"/>
        <s v="1487@gmail.com"/>
        <s v="1488@telefonica.net"/>
        <s v="1489@gmail.com"/>
        <s v="1490@hotmail.com"/>
        <s v="1491@donbany.com"/>
        <s v="1492@aurialux.com"/>
        <s v="1493@hotmail.com"/>
        <s v="1494@gmail.com"/>
        <s v="1495@grupcluster.com"/>
        <s v="1496@coitt.es"/>
        <s v="1497@covama.es"/>
        <s v="1498@gmail.com"/>
        <s v="1499@sonepar.es"/>
        <s v="1500@covama.es"/>
        <s v="1501@clientes.euskaltel.es"/>
        <s v="1502@educastur.org"/>
        <s v="1504@gmail.com"/>
        <s v="1505@gmail.com"/>
        <s v="1506@dhorma.com"/>
        <s v="1507@hotmail.com"/>
        <s v="1508@gmail.com"/>
        <s v="1509@xonxa.com"/>
        <s v="1510@adelanteenergia.es"/>
        <s v="1511@hotmail.com"/>
        <s v="1512@elecox.es"/>
        <s v="1514@hotmail.com"/>
        <s v="1515@expertline.es"/>
        <s v="1516@gmail.com"/>
        <s v="1517@hotmail.com"/>
        <s v="1518@gmail.com"/>
        <s v="1519@tadelec.com"/>
        <s v="1520@cebrinsa.es"/>
        <s v="1521@hotmail.com"/>
        <s v="1522@agad.cat"/>
        <s v="1523@ofitep.com"/>
        <s v="1524@suministrosserpis.es"/>
        <s v="1525@abcgrup.com"/>
        <s v="1526@gmail.com"/>
        <s v="1527@prodelec.es"/>
        <s v="1528@sitiaingenieria.com"/>
        <s v="1530@aller.es"/>
        <s v="1531@telefonica.net"/>
        <s v="1532@telefonica.net"/>
        <s v="1533@gmail.com"/>
        <s v="1534@gmail.com"/>
        <s v="1535@hotmail.com"/>
        <s v="1536@estudiosyproyectos.com"/>
        <s v="1537@prysmiangroup.com"/>
        <s v="1538@auditenergia.com"/>
        <s v="1539@hotmail.com"/>
        <s v="1540@heliopol.es"/>
        <s v="1541@acp-level.es"/>
        <s v="1542@meomsl.com"/>
        <s v="1543@cotpa.com"/>
        <s v="1544@hotmail.com"/>
        <s v="1545@hotmail.com"/>
        <s v="1546@gmail.com"/>
        <s v="1547@gmail.com"/>
        <s v="1548@gva.es"/>
        <s v="1549@urgon.es"/>
        <s v="1550@die.upv.es"/>
        <s v="1551@avatry.es"/>
        <s v="1552@yahoo.es"/>
        <s v="1553@arfecons.es"/>
        <s v="1555@marinstal.com"/>
        <s v="1556@electricidadguerra.com"/>
        <s v="1557@gmail.com"/>
        <s v="1558@gmail.com"/>
        <s v="1559@strong.es"/>
        <s v="1560@copitival.es"/>
        <s v="1561@elecvic.com"/>
        <s v="1562@gmail.com"/>
        <s v="1563@emtvalencia.es"/>
        <s v="1564@dimelsa.es"/>
        <s v="1566@elecparamos.com"/>
        <s v="1567@egarriga.com"/>
        <s v="1568@gmail.com"/>
        <s v="1569@ecag.es"/>
        <s v="1570@yahoo.es"/>
        <s v="1571@electrolid.es"/>
        <s v="1572@flotatsyasociados.com"/>
        <s v="1573@hotmail.com"/>
        <s v="1574@gmail.com"/>
        <s v="1575@gmail.com"/>
        <s v="1576@conrad.cat"/>
        <s v="1577@cimelsa.com"/>
        <s v="1578@covama.es"/>
        <s v="1579@inblau.es"/>
        <s v="1580@grupotesein.com"/>
        <s v="1581@arpeestudio.com"/>
        <s v="1582@edu.xunta.es"/>
        <s v="1583@hotmail.com"/>
        <s v="1584@gmail.com"/>
        <s v="1585@vialuz.es"/>
        <s v="1586@genserma.es"/>
        <s v="1587@naturgy.com"/>
        <s v="1588@jgingenieros.es"/>
        <s v="1589@gmail.com"/>
        <s v="1590@efik.cat"/>
        <s v="1591@gmail.com"/>
        <s v="1592@mesenergia.cat"/>
        <s v="1593@gmail.com"/>
        <s v="1594@jgingenieros.es"/>
        <s v="1595@gmail.com"/>
        <s v="1596@gruponovelec.com"/>
        <s v="1597@gmail.com"/>
        <s v="1598@coac.net"/>
        <s v="1599@conmasa.cat"/>
        <s v="1600@coelca.com"/>
        <s v="1601@yahoo.es"/>
        <s v="1602@gmail.com"/>
        <s v="1603@gmail.com"/>
        <s v="1604@geinstal.com"/>
        <s v="1605@recargamostucoche.com"/>
        <s v="1606@cesvimap.com"/>
        <s v="1607@talesingenieria.es"/>
        <s v="1608@grupolasser.com"/>
        <s v="1609@gmail.com"/>
        <s v="1610@gmail.com"/>
        <s v="1611@lasallesagradocorazon.es"/>
        <s v="1612@gmail.com"/>
        <s v="1613@muntanerelectro.com"/>
        <s v="1614@electronalon.es"/>
        <s v="1615@hotmail.es"/>
        <s v="1616@wct.es"/>
        <s v="1617@e-noses.com"/>
        <s v="1618@hotmail.com"/>
        <s v="1620@ciudaddelosmuchachos.com"/>
        <s v="1621@salicru.com"/>
        <s v="1622@electropla.cat"/>
        <s v="1623@gmail.com"/>
        <s v="1624@sistema1.es"/>
        <s v="1625@hotmail.com"/>
        <s v="1626@adaliaradio.com"/>
        <s v="1627@elec-matic.com"/>
        <s v="1628@solbesingenieros.com"/>
        <s v="1629@coac.net"/>
        <s v="1630@sertec.es"/>
        <s v="1631@sri.es"/>
        <s v="1632@iremael.com"/>
        <s v="1633@coam.es"/>
        <s v="1634@gmail.com"/>
        <s v="1635@arevoltapc.com"/>
        <s v="1636@yahoo.es"/>
        <s v="1637@gmail.com"/>
        <s v="1638@teclisa.com"/>
        <s v="1639@senae.es"/>
        <s v="1640@infonegocio.com"/>
        <s v="1641@gmail.com"/>
        <s v="1642@aytoguadalajara.es"/>
        <s v="1643@splitmania.net"/>
        <s v="1644@tevigrup.com"/>
        <s v="1645@gomezmoreno.com"/>
        <s v="1646@geserelectric.es"/>
        <s v="1647@telefonica.net"/>
        <s v="1648@gmail.com"/>
        <s v="1649@vamostelecom.es"/>
        <s v="1650@hotmail.com"/>
        <s v="1651@gmail.com"/>
        <s v="1652@skyclimber.es"/>
        <s v="1653@sonepar.es"/>
        <s v="1654@movinetenergia.com"/>
        <s v="1655@sonepar.es"/>
        <s v="1656@gmx.es"/>
        <s v="1657@pontosolar.com"/>
        <s v="1658@gmail.com"/>
        <s v="1659@orpoint.com"/>
        <s v="1660@relsa.es"/>
        <s v="1661@turelectric.com"/>
        <s v="1662@neinorhomes.com"/>
        <s v="1663@hotmail.com"/>
        <s v="1664@jgingenieros.es"/>
        <s v="1665@gmail.com"/>
        <s v="1666@coto.pro"/>
        <s v="1667@hotmail.com"/>
        <s v="1668@negratin.com"/>
        <s v="1669@gmail.com"/>
        <s v="1670@electricidadisla.com"/>
        <s v="1671@epc-industrial.com"/>
        <s v="1672@internoringenieros.es"/>
        <s v="1673@gailmafra.com"/>
        <s v="1674@gmail.com"/>
        <s v="1675@exinor.com"/>
        <s v="1676@unex.net"/>
        <s v="1679@levantinadecuadros.com"/>
        <s v="1680@trelec.es"/>
        <s v="1681@gmail.com"/>
        <s v="1682@hotmail.es"/>
        <s v="1683@eleccom.es"/>
        <s v="1684@climalec.com"/>
        <s v="1685@zuaznabar.com"/>
        <s v="1686@yahoo.com"/>
        <s v="1687@gestilar.com"/>
        <s v="1688@muringenieros.es"/>
        <s v="1689@jlgingenieria.com"/>
        <s v="1690@gruponovelec.com"/>
        <s v="1691@hotmail.com"/>
        <s v="1692@tecasol.net"/>
        <s v="1693@gmx.es"/>
        <s v="1694@gmail.com"/>
        <s v="1695@gruponortica.com"/>
        <s v="1696@gmail.com"/>
        <s v="1697@yahoo.es"/>
        <s v="1698@jgi.es"/>
        <s v="1699@panchofernandez.com"/>
        <s v="1700@padrao.com.pt"/>
        <s v="1701@insmarbella.com"/>
        <s v="1702@gestion-energetica.eu"/>
        <s v="1703@laelectrica.com"/>
        <s v="1704@hotmail.com"/>
        <s v="1705@sanehogar.com"/>
        <s v="1706@otp.cat"/>
        <s v="1707@lledosa.es"/>
        <s v="1708@gmail.com"/>
        <s v="1709@serium.es"/>
        <s v="1710@gmail.com"/>
        <s v="1712@gmail.com"/>
        <s v="1713@gmail.com"/>
        <s v="1714@cirima.es"/>
        <s v="1715@upv.es"/>
        <s v="1716@fuengiroluz.es"/>
        <s v="1717@soelvi.es"/>
        <s v="1718@yupcharge.com"/>
        <s v="1720@yahoo.es"/>
        <s v="1721@mafonsa.cat"/>
        <s v="1722@folgarona.com"/>
        <s v="1723@gmail.com"/>
        <s v="1724@arbonapiza.com"/>
        <s v="1725@coelbe.com"/>
        <s v="1726@quadrifoli.com"/>
        <s v="1727@grupojab.es"/>
        <s v="1728@gmail.com"/>
        <s v="1729@gmail.com"/>
        <s v="1730@armeriaeskola.eus"/>
        <s v="1731@inserty.net"/>
        <s v="1732@gmail.com"/>
        <s v="1733@ecm-partners.com"/>
        <s v="1734@ofintex.com"/>
        <s v="1735@gruponovelec.com"/>
        <s v="1736@electrovizcaya.com"/>
        <s v="1737@salesianos.edu"/>
        <s v="1738@msn.com"/>
        <s v="1739@jh-internacional.com"/>
        <s v="1740@doica.net"/>
        <s v="1741@grupoelectrostocks.com"/>
        <s v="1742@industrialgines.com"/>
        <s v="1743@ceymo.es"/>
        <s v="1744@gmail.com"/>
        <s v="1745@bod.es"/>
        <s v="1746@hotmail.es"/>
        <s v="1747@araiz.es"/>
        <s v="1748@salesianosatocha.es"/>
        <s v="1750@itecnal.com"/>
        <s v="1751@altener.es"/>
        <s v="1752@intec3.es"/>
        <s v="1753@arcadis.com"/>
        <s v="1754@gabyl.com"/>
        <s v="1755@pgiengineering.com"/>
        <s v="1756@gmail.com"/>
        <s v="1757@indair-genercasadevall.cat"/>
        <s v="1758@gmail.com"/>
        <s v="1759@galektra.es"/>
        <s v="1760@xtec.cat"/>
        <s v="1761@spiritingenieria.es"/>
        <s v="1762@adqa.com"/>
        <s v="1763@coacordoba.net"/>
        <s v="1764@gmail.com"/>
        <s v="1765@instalplus.es"/>
        <s v="1766@gmail.com"/>
        <s v="1767@gmail.com"/>
        <s v="1768@telefonica.net"/>
        <s v="1769@gmail.com"/>
        <s v="1770@hotmail.es"/>
        <s v="1771@gmail.com"/>
        <s v="1772@cosmoseguridad.com"/>
        <s v="1774@soloviov.es"/>
        <s v="1775@gmail.com"/>
        <s v="1776@incat.cat"/>
        <s v="1778@gmail.com"/>
        <s v="1779@barreu.com"/>
        <s v="1780@metromadrid.es"/>
        <s v="1781@autoradiomontijo.es"/>
        <s v="1783@telefonica.net"/>
        <s v="1784@coytesa.com"/>
        <s v="1785@arintec.com"/>
        <s v="1787@roigconstruccions.com"/>
        <s v="1788@hotmail.com"/>
        <s v="1789@electromat.com"/>
        <s v="1790@electricarius.com"/>
        <s v="1791@gmail.com"/>
        <s v="1792@incober.es"/>
        <s v="1793@gmail.com"/>
        <s v="1794@enchufing.com"/>
        <s v="1795@gmail.com"/>
        <s v="1796@sorigue.com"/>
        <s v="1797@icaingenieros.com"/>
        <s v="1798@eleccom.es"/>
        <s v="1799@wurth.es"/>
        <s v="1800@hotmail.com"/>
        <s v="1801@gmail.com"/>
        <s v="1802@hotmail.es"/>
        <s v="1803@ymcelectrica.com"/>
        <s v="1804@meguerra.com"/>
        <s v="1805@gmail.com"/>
        <s v="1806@aymesa.com"/>
        <s v="1807@saltoki.es"/>
        <s v="1808@gmail.com"/>
        <s v="1809@prodelec.es"/>
        <s v="1810@ebegroup.net"/>
        <s v="1811@ansiel.eu"/>
        <s v="1812@ext.mpsa.com"/>
        <s v="1813@gmail.com"/>
        <s v="1814@grupoetra.com"/>
        <s v="1815@grupojab.es"/>
        <s v="1816@petesan.es"/>
        <s v="1817@eurocabos.es"/>
        <s v="1818@electricidadpolop.es"/>
        <s v="1820@marveco.com"/>
        <s v="1821@construciainstalaciones.com"/>
        <s v="1822@diexfe.com"/>
        <s v="1823@saltoki.es"/>
        <s v="1824@selpri.pt"/>
        <s v="1825@digamel.com"/>
        <s v="1826@gestionservicios.com"/>
        <s v="1827@gmail.com"/>
        <s v="1828@econergia.es"/>
        <s v="1829@1aingenieros.com"/>
        <s v="1830@gmail.com"/>
        <s v="1831@monlau.com"/>
        <s v="1832@mhindustrias.com"/>
        <s v="1833@coitir.com"/>
        <s v="1834@valls.cat"/>
        <s v="1835@gmail.com"/>
        <s v="1836@biper.es"/>
        <s v="1837@cersanz.es"/>
        <s v="1838@gruponovelec.com"/>
        <s v="1839@gmail.com"/>
        <s v="1840@ingenierosvigo.com"/>
        <s v="1841@infova.es"/>
        <s v="1843@jovitel.com"/>
        <s v="1844@grupoelectrostocks.com"/>
        <s v="1845@hotmail.com"/>
        <s v="1846@gmail.com"/>
        <s v="1847@viegasefilhos.pt"/>
        <s v="1848@gmail.com"/>
        <s v="1849@minsait.com"/>
        <s v="1850@yahoo.com"/>
        <s v="1851@gmail.com"/>
        <s v="1852@gmail.com"/>
        <s v="1853@hotmail.com"/>
        <s v="1854@hotmail.com"/>
        <s v="1855@inboundcycle.com"/>
        <s v="1856@hotmail.com"/>
        <s v="1857@mantise.com"/>
        <s v="1858@yahoo.es"/>
        <s v="1859@gmail.com"/>
        <s v="1860@gmail.com"/>
        <s v="1861@gmail.com"/>
        <s v="1862@gmail.com"/>
        <s v="1863@hotmail.com"/>
        <s v="1864@gmail.com"/>
        <s v="1865@gmail.com"/>
        <s v="1866@inrobadajoz.com"/>
        <s v="1867@cbringenieria.es"/>
        <s v="1868@hotmail.com"/>
        <s v="1869@gmail.com"/>
        <s v="1870@marlexingenieria.com"/>
        <s v="1871@abc.gob.ar"/>
        <s v="1872@gmail.com"/>
        <s v="1873@rodosa.com"/>
        <s v="1874@gesel.ie.ufrj.br"/>
        <s v="1875@gmail.com"/>
        <s v="1876@gmail.com"/>
        <s v="1877@gmail.com"/>
        <s v="1878@gmail.com"/>
        <s v="1879@jafenginyeria.cat"/>
        <s v="1880@dipta.cat"/>
        <s v="1882@gmail.com"/>
        <s v="1883@adingenieros.es"/>
        <s v="1884@zuecoingenieria.com"/>
        <s v="1885@groupg4.com"/>
        <s v="1886@outlook.com"/>
        <s v="1887@gmail.com"/>
        <s v="1888@instalacionsgarmi.com"/>
        <s v="1889@cetim.cat"/>
        <s v="1890@setenergia.com"/>
        <s v="1891@ciudaddelosmuchachos.com"/>
        <s v="1892@soltecingenieros.com"/>
        <s v="1893@byguk.com"/>
        <s v="1894@arasolutions.es"/>
        <s v="1895@grupoarquitelia.com"/>
        <s v="1896@gmail.com"/>
        <s v="1897@hotmail.es"/>
        <s v="1898@navantia.es"/>
        <s v="1899@gmail.com"/>
        <s v="1900@hotmail.com"/>
        <s v="1901@gmail.com"/>
        <s v="1902@hotmail.com"/>
        <s v="1903@yahoo.es"/>
        <s v="1904@gmail.com"/>
        <s v="1905@gmail.com"/>
        <s v="1906@gmail.com"/>
        <s v="1907@yahoo.es"/>
        <s v="1908@enel.com"/>
        <s v="1909@gmail.com"/>
        <s v="1910@antelecat.com"/>
        <s v="1911@gmail.com"/>
        <s v="1912@gmail.com"/>
        <s v="1913@gmail.com"/>
        <s v="1915@zmingenieros.com"/>
        <s v="1916@gmail.com"/>
        <s v="1917@gmail.com"/>
        <s v="1918@sgx.cat"/>
        <s v="1920@gmail.com"/>
        <s v="1921@msn.com"/>
        <s v="1923@agosa.es"/>
        <s v="1924@merlosl.es"/>
        <s v="1925@elecnor.com"/>
        <s v="1926@elecam.com"/>
        <s v="1927@anbatel.com"/>
        <s v="1928@gmail.com"/>
        <s v="1929@hotmail.com"/>
        <s v="1930@gmail.com"/>
        <s v="1931@gmail.com"/>
        <s v="1932@cotelsa.com"/>
        <s v="1933@lujama.com"/>
        <s v="1934@ferrovial.com"/>
        <s v="1935@telefonica.net"/>
        <s v="1936@e2enginyeria.com"/>
        <s v="1937@gmail.com"/>
        <s v="1938@gmail.com"/>
        <s v="1940@electromercantil.es"/>
        <s v="1941@hotmail.com"/>
        <s v="1942@ciudaddelosmuchachos.com"/>
        <s v="1943@gmail.com"/>
        <s v="1944@didacticaformacion.es"/>
        <s v="1945@ip21ingenieria.com"/>
        <s v="1946@gmail.com"/>
        <s v="1947@gmail.com"/>
        <s v="1948@culmar.net"/>
        <s v="1949@suno.cat"/>
        <s v="1950@yahoo.es"/>
        <s v="1951@engimatica.com"/>
        <s v="1952@tinet.cat"/>
        <s v="1953@proyteczaragoza.com"/>
        <s v="1954@dicsl.com"/>
        <s v="1955@salesianos.edu"/>
        <s v="1956@gmail.com"/>
        <s v="1957@msn.com"/>
        <s v="1958@iebsl.com"/>
        <s v="1959@gmail.com"/>
        <s v="1960@ic3sl.com"/>
        <s v="1961@hotmail.com"/>
        <s v="1962@lliro.com"/>
        <s v="1963@atisistemas.com"/>
        <s v="1964@hotmail.com"/>
        <s v="1965@tienda-gasnatural.com"/>
        <s v="1966@gmail.com"/>
        <s v="1967@ferrovial.com"/>
        <s v="1968@gmail.com"/>
        <s v="1969@fundacionmasaveu.com"/>
        <s v="1970@electrificacionesparra.es"/>
        <s v="1971@tienda-gasnatural.com"/>
        <s v="1972@projecal.com"/>
        <s v="1973@ingekor.com"/>
        <s v="1974@proluxingenieros.com"/>
        <s v="1975@outlook.es"/>
        <s v="1976@electronavia.com"/>
        <s v="1977@gmail.com"/>
        <s v="1978@hotmail.com"/>
        <s v="1979@matcas.es"/>
        <s v="1980@hotmail.com"/>
        <s v="1981@gmail.com"/>
        <s v="1982@hotmail.com"/>
        <s v="1983@suno.cat"/>
        <s v="1984@hotmail.com"/>
        <s v="1985@tinet.org"/>
        <s v="1986@martipala.com"/>
        <s v="1988@lusorede.pt"/>
        <s v="1989@elecdomo.com"/>
        <s v="1990@gmail.com"/>
        <s v="1991@gmail.com"/>
        <s v="1992@proecoingenieria.com"/>
        <s v="1994@gmail.com"/>
        <s v="1995@gmail.com"/>
        <s v="1996@gmail.com"/>
        <s v="1997@comi-sl.com"/>
        <s v="1998@gmail.com"/>
        <s v="1999@obrelsa.com"/>
        <s v="2000@hotmail.com"/>
        <s v="2001@alainsa.com"/>
        <s v="2002@camarasaragon.com"/>
        <s v="2003@alainsa.com"/>
        <s v="2004@mcamps.es"/>
        <s v="2005@hotmail.com"/>
        <s v="2006@masteringenieria.com"/>
        <s v="2008@yahoo.es"/>
        <s v="2009@gmail.com"/>
        <s v="2010@incasl.com"/>
        <s v="2011@gmail.com"/>
        <s v="2012@gmail.com"/>
        <s v="2013@ecopimeprojects.com"/>
        <s v="2014@gmail.com"/>
        <s v="2015@hotmail.com"/>
        <s v="2017@sogesa.es"/>
        <s v="2018@mantise.com"/>
        <s v="2019@didacticaformacion.es"/>
        <s v="2020@forestaldelatlantico.com"/>
        <s v="2021@osnova.net"/>
        <s v="2022@solarinspain.com"/>
        <s v="2023@gmail.com"/>
        <s v="2024@grupooca.com"/>
        <s v="2025@gmail.com"/>
        <s v="2026@telefonica.net"/>
        <s v="2027@hotmail.com"/>
        <s v="2028@grupooca.com"/>
        <s v="2029@sonepar.es"/>
        <s v="2030@gmail.com"/>
        <s v="2031@electrofiloeste.es"/>
        <s v="2032@masalo.biz"/>
        <s v="2033@elmoelectric.com"/>
        <s v="2034@tienda-gasnatural.com"/>
        <s v="2035@yahoo.es"/>
        <s v="2036@sece.com"/>
        <s v="2037@agefred.es"/>
        <s v="2038@legomar.com"/>
        <s v="2039@antrelec.net"/>
        <s v="2040@grupsoler.com"/>
        <s v="2041@electromercantil.es"/>
        <s v="2042@gmail.com"/>
        <s v="2043@gmail.com"/>
        <s v="2044@orvi-s.es"/>
        <s v="2045@gmail.com"/>
        <s v="2046@gmail.com"/>
        <s v="2047@gmail.com"/>
        <s v="2048@visioelectric.es"/>
        <s v="2049@telefonica.net"/>
        <s v="2050@melecmor.com"/>
        <s v="2051@gmail.com"/>
        <s v="2053@sades.es"/>
        <s v="2055@gmail.com"/>
        <s v="2056@hotmail.com"/>
        <s v="2057@gmail.com"/>
        <s v="2058@sonepar.es"/>
        <s v="2059@gmail.com"/>
        <s v="2060@gmail.com"/>
        <s v="2061@hotmail.es"/>
        <s v="2062@euskalnet.net"/>
        <s v="2063@gmail.com"/>
        <s v="2064@hotmail.com"/>
        <s v="2065@gmail.com"/>
        <s v="2066@gmail.com"/>
        <s v="2067@gmail.com"/>
        <s v="2068@gencat.cat"/>
        <s v="2069@gmail.com"/>
        <s v="2070@hotmail.com"/>
        <s v="2071@gmail.com"/>
        <s v="2072@gmail.com"/>
        <s v="2073@gmail.com"/>
        <s v="2074@hotmail.com"/>
        <s v="2075@gmail.com"/>
        <s v="2076@gmail.com"/>
        <s v="2077@gmail.com"/>
        <s v="2078@gmail.com"/>
        <s v="2079@gmail.com"/>
        <s v="2080@grupoelectrostocks.com"/>
        <s v="2081@cymel.com"/>
        <s v="2082@hotmail.com"/>
        <s v="2083@gmail.com"/>
        <s v="2084@hcparquitectos.com"/>
        <s v="2085@gmail.com"/>
        <s v="2086@farelle.com"/>
        <s v="2087@hotmail.com"/>
        <s v="2088@gmail.com"/>
        <s v="2089@hotmail.com"/>
        <s v="2090@estabanell.cat"/>
        <s v="2091@gmail.com"/>
        <s v="2092@outlook.com"/>
        <s v="2093@gmail.com"/>
        <s v="2094@gmail.com"/>
        <s v="2095@hotmail.com"/>
        <s v="2096@formasymateriales.com"/>
        <s v="2097@hotmail.com"/>
        <s v="2099@grupoelectrostocks.com"/>
        <s v="2101@gmail.com"/>
        <s v="2102@gmail.com"/>
        <s v="2103@hotmail.com"/>
        <s v="2104@temarelectronica.es"/>
        <s v="2105@nauta.cu"/>
        <s v="2106@gmail.com"/>
        <s v="2107@danmur.es"/>
        <s v="2108@emvisesa.org"/>
        <s v="2109@huelvanorte.es"/>
        <s v="2110@ingeconsulting.com"/>
        <s v="2111@iraiaingenieros.com"/>
        <s v="2112@gmail.com"/>
        <s v="2113@gmail.com"/>
        <s v="2114@tecnoclimainstalaciones.com"/>
        <s v="2115@outlook.es"/>
        <s v="2116@gmail.com"/>
        <s v="2117@gmail.com"/>
        <s v="2118@hotmail.com"/>
        <s v="2119@gmail.com"/>
        <s v="2120@gmail.com"/>
        <s v="2121@gmail.com"/>
        <s v="2122@somains.com"/>
        <s v="2123@gmail.com"/>
        <s v="2124@gmail.com"/>
        <s v="2125@ctac.es"/>
        <s v="2126@gmail.com"/>
        <s v="2127@hotmail.com"/>
        <s v="2128@gmail.com"/>
        <s v="2129@gmail.com"/>
        <s v="2130@hotmail.com"/>
        <s v="2131@gmail.com"/>
        <s v="2132@hotmail.com"/>
        <s v="2133@gmail.com"/>
        <s v="2134@gmx.es"/>
        <s v="2135@gmail.com"/>
        <s v="2136@gmail.com"/>
        <s v="2137@hotmail.com"/>
        <s v="2138@gmail.com"/>
        <s v="2139@gmail.com"/>
        <s v="2140@gmail.com"/>
        <s v="2141@gmail.com"/>
        <s v="2143@gmail.com"/>
        <s v="2144@gmail.com"/>
        <s v="2145@gmail.com"/>
        <s v="2146@hotmail.es"/>
        <s v="2147@gmail.com"/>
        <s v="2148@gmail.com"/>
        <s v="2149@gmail.com"/>
        <s v="2150@yahoo.es"/>
        <s v="2151@gmail.com"/>
        <s v="2152@igkarratu.com"/>
        <s v="2153@gmail.com"/>
        <s v="2154@gmail.com"/>
        <s v="2155@gmail.com"/>
        <s v="2156@gmail.com"/>
        <s v="2157@hotmail.com"/>
        <s v="2158@gmail.com"/>
        <s v="2159@hotmail.com"/>
        <s v="2160@yahoo.es"/>
        <s v="2161@hotmail.com"/>
        <s v="2162@gienergygroup.com"/>
        <s v="2163@hotmail.com"/>
        <s v="2164@macegroup.com"/>
        <s v="2165@orangemail.es"/>
        <s v="2166@gmail.com"/>
        <s v="2167@outlook.es"/>
        <s v="2169@gmail.com"/>
        <s v="2170@reparatuequipo.es"/>
        <s v="2171@gmail.com"/>
        <s v="2172@gmail.com"/>
        <s v="2173@menendezygamonal.com"/>
        <s v="2174@wurth.es"/>
        <s v="2175@canogarcia.es"/>
        <s v="2176@hotmail.com"/>
        <s v="2177@yahoo.es"/>
        <s v="2178@altair.edu.es"/>
        <s v="2179@gmail.com"/>
        <s v="2180@hotmail.com"/>
        <s v="2181@gmail.com"/>
        <s v="2182@hotmail.com"/>
        <s v="2183@gmail.com"/>
        <s v="2184@suris.es"/>
        <s v="2185@gmail.com"/>
        <s v="2186@grupoelectrostocks.com"/>
        <s v="2187@hotmail.com"/>
        <s v="2188@gmail.com"/>
        <s v="2189@infova.es"/>
        <s v="2190@hotmail.com"/>
        <s v="2191@hotmail.es"/>
        <s v="2192@itcl.es"/>
        <s v="2193@gmail.com"/>
        <s v="2194@mesado.es"/>
        <s v="2195@yahoo.es"/>
        <s v="2196@telefonica.net"/>
        <s v="2197@outlook.es"/>
        <s v="2198@gmail.com"/>
        <s v="2199@gmail.com"/>
        <s v="2200@gmail.com"/>
        <s v="2201@4fils.es"/>
        <s v="2202@sanjosetecno.com"/>
        <s v="2203@gmail.com"/>
        <s v="2204@hotmail.es"/>
        <s v="2205@gmail.com"/>
        <s v="2206@gmail.com"/>
        <s v="2207@gmail.com"/>
        <s v="2208@wp.pl"/>
        <s v="2209@elecem.es"/>
        <s v="2210@hotmail.com"/>
        <s v="2211@hotmail.com"/>
        <s v="2212@pgiengineering.com"/>
        <s v="2213@gmail.com"/>
        <s v="2214@hotmail.com"/>
        <s v="2215@gmail.com"/>
        <s v="2216@bladis.com"/>
        <s v="2217@gmail.com"/>
        <s v="2218@gmx.es"/>
        <s v="2219@teigatmi.es"/>
        <s v="2220@hotmail.com"/>
        <s v="2221@hotmail.com"/>
        <s v="2222@gmail.com"/>
        <s v="2223@hotmail.com"/>
        <s v="2224@gmail.com"/>
        <s v="2225@evectra.es"/>
        <s v="2226@hotmail.com"/>
        <s v="2227@gmail.com"/>
        <s v="2228@gmail.com"/>
        <s v="2229@enerluz.es"/>
        <s v="2230@hotmail.com"/>
        <s v="2231@hotmail.com"/>
        <s v="2232@gmail.com"/>
        <s v="2233@gmail.com"/>
        <s v="2234@hotmail.com"/>
        <s v="2235@hotmail.com"/>
        <s v="2236@hotmail.com"/>
        <s v="2238@hotmail.es"/>
        <s v="2239@gmail.com"/>
        <s v="2240@coac.net"/>
        <s v="2241@outlook.com"/>
        <s v="2242@eurogestiones.com"/>
        <s v="2243@gmail.com"/>
        <s v="2244@outlook.com"/>
        <s v="2245@gmail.com"/>
        <s v="2246@eleko.es"/>
        <s v="2247@gmail.com"/>
        <s v="2248@telefonica.net"/>
        <s v="2249@politecnicomalaga.com"/>
        <s v="2250@gmail.com"/>
        <s v="2251@gmail.com"/>
        <s v="2252@energestic.es"/>
        <s v="2253@hotmail.com"/>
        <s v="2254@gmail.com"/>
        <s v="2255@yahoo.es"/>
        <s v="2256@gmail.com"/>
        <s v="2257@hotmail.com"/>
        <s v="2258@fercansa.es"/>
        <s v="2259@gmail.com"/>
        <s v="2260@gmail.com"/>
        <s v="2261@grupoefelec.com"/>
        <s v="2262@hotmail.com"/>
        <s v="2263@gmail.com"/>
        <s v="2264@gmail.com"/>
        <s v="2265@gmail.com"/>
        <s v="2266@gmail.com"/>
        <s v="2267@gmail.com"/>
        <s v="2268@gmail.com"/>
        <s v="2269@qq.com"/>
        <s v="2270@hotmail.com"/>
        <s v="2271@gmail.com"/>
        <s v="2272@tiempobbdo.es"/>
        <s v="2273@telefonica.net"/>
        <s v="2274@fersitec.com"/>
        <s v="2275@rccyp.com"/>
        <s v="2276@hotmail.com"/>
        <s v="2277@gmail.com"/>
        <s v="2278@gmail.com"/>
        <s v="2279@gmail.com"/>
        <s v="2280@gmail.com"/>
        <s v="2281@hotmail.com"/>
        <s v="2282@gmail.com"/>
        <s v="2283@hotmail.com"/>
        <s v="2284@gmail.com"/>
        <s v="2285@hotmail.com"/>
        <s v="2286@hotmail.com"/>
        <s v="2287@sonepar.es"/>
        <s v="2288@yahoo.es"/>
        <s v="2289@hotmail.com"/>
        <s v="2290@atmos.link"/>
        <s v="2291@fegime.es"/>
        <s v="2292@gmail.com"/>
        <s v="2293@usa.com"/>
        <s v="2294@gmail.com"/>
        <s v="2295@msn.com"/>
        <s v="2296@gmail.com"/>
        <s v="2297@sece.com"/>
        <s v="2298@sonepar.es"/>
        <s v="2299@protele.es"/>
        <s v="2300@grupoelectrostocks.com"/>
        <s v="2301@sonepar.es"/>
        <s v="2302@agosa.es"/>
        <s v="2303@industrialgines.com"/>
        <s v="2304@gmail.com"/>
        <s v="2305@hotmail.com"/>
        <s v="2306@somosemotion.es"/>
        <s v="2307@gmail.com"/>
        <s v="2308@gmail.com"/>
        <s v="2309@hotmail.com"/>
        <s v="2310@yahoo.es"/>
        <s v="2311@deluxson.com"/>
        <s v="2312@yahoo.es"/>
        <s v="2313@gmail.com"/>
        <s v="2314@gmail.com"/>
        <s v="2315@electricidadguerra.com"/>
        <s v="2316@telecable.es"/>
        <s v="2317@eimetropolitana.com"/>
        <s v="2318@grupo-jarama.com"/>
        <s v="2319@gmail.com"/>
        <s v="2320@electrovizcaya.com"/>
        <s v="2321@coto.pro"/>
        <s v="2322@hotmail.com"/>
        <s v="2323@gmail.com"/>
        <s v="2324@gmail.com"/>
        <s v="2325@ingenierosvalladolid.es"/>
        <s v="2326@gmail.com"/>
        <s v="2327@gmail.com"/>
        <s v="2328@gmail.com"/>
        <s v="2329@hotmail.com"/>
        <s v="2330@gmail.com"/>
        <s v="2331@gmail.com"/>
        <s v="2332@gmail.com"/>
        <s v="2333@gmail.com"/>
        <s v="2334@grupoelectrostocks.com"/>
        <s v="2335@gmail.com"/>
        <s v="2336@gmail.com"/>
        <s v="2337@msn.com"/>
        <s v="2338@gmail.com"/>
        <s v="2339@monlau.com"/>
        <s v="2340@yahoo.es"/>
        <s v="2341@hotmail.com"/>
        <s v="2342@inescoconstructora.es"/>
        <s v="2343@gmail.com"/>
        <s v="2344@tecmagenil.es"/>
        <s v="2345@yahoo.es"/>
        <s v="2346@grupoetra.com"/>
        <s v="2347@visaonomada.pt"/>
        <s v="2348@ya.com"/>
        <s v="2349@belsanz.com"/>
        <s v="2350@gmail.com"/>
        <s v="2351@gmail.com"/>
        <s v="2352@gmail.com"/>
        <s v="2353@conecta-sistemas.com"/>
        <s v="2354@gmail.com"/>
        <s v="2355@gmail.com"/>
        <s v="2356@infova.es"/>
        <s v="2357@gmail.com"/>
        <s v="2358@hotmail.es"/>
        <s v="2359@hotmail.com"/>
        <s v="2360@viplaro.com"/>
        <s v="2361@gmail.com"/>
        <s v="2362@telefonica.net"/>
        <s v="2363@hotmail.com"/>
        <s v="2364@agmundet.es"/>
        <s v="2365@jazzfree.com"/>
        <s v="2366@energies.cat"/>
        <s v="2367@yahoo.es"/>
        <s v="2368@gmail.com"/>
        <s v="2369@cataliaga.com"/>
        <s v="2370@gmail.com"/>
        <s v="2371@fhiguero.es"/>
        <s v="2372@gmail.com"/>
        <s v="2373@grupoelectrostocks.com"/>
        <s v="2374@yahoo.com"/>
        <s v="2375@m4servicios.es"/>
        <s v="2376@gmail.com"/>
        <s v="2377@conmasa.cat"/>
        <s v="2378@montajesjep.com"/>
        <s v="2379@erf.cat"/>
        <s v="2380@gmail.com"/>
        <s v="2381@outlook.com"/>
        <s v="2382@hotmail.com"/>
        <s v="2383@fff.com"/>
        <s v="2384@kapsch.net"/>
        <s v="2385@gg.com"/>
        <s v="2386@agosa.es"/>
        <s v="2387@yahoo.es"/>
        <s v="2388@gmail.com"/>
        <s v="2389@gruponovelec.com"/>
        <s v="2390@gmail.com"/>
        <s v="2391@casamarquez.es"/>
        <s v="2392@gmail.com"/>
        <s v="2393@gmail.com"/>
        <s v="2394@bladis.com"/>
        <s v="2395@gruponovelec.com"/>
        <s v="2396@sonepar.es"/>
        <s v="2397@a2bingenieros.com"/>
        <s v="2398@hotmail.com"/>
        <s v="2399@teclisa.com"/>
        <s v="2400@ormazabal.com"/>
        <s v="2401@hotmail.com"/>
        <s v="2402@adtel.es"/>
        <s v="2403@gmail.com"/>
        <s v="2404@gmail.com"/>
        <s v="2406@gmail.com"/>
        <s v="2407@msn.com"/>
        <s v="2408@me.com"/>
        <s v="2409@eufon.com"/>
        <s v="2410@me.com"/>
        <s v="2411@hotmail.com"/>
        <s v="2412@conmasa.cat"/>
        <s v="2413@siemensgamesa.com"/>
        <s v="2414@saenzdesanpedro.com"/>
        <s v="2415@gmail.com"/>
        <s v="2416@veolia.com"/>
        <s v="2417@rexel.es"/>
        <s v="2418@ompsl.com"/>
        <s v="2419@aiguesdebarcelona.cat"/>
        <s v="2420@gmail.com"/>
        <s v="2421@rexel.es"/>
        <s v="2422@hotmail.com"/>
        <s v="2423@jccifuentes.com"/>
        <s v="2424@sonepar.es"/>
        <s v="2425@hotmail.com"/>
        <s v="2426@gmail.com"/>
        <s v="2427@valnu.es"/>
        <s v="2428@saltoki.es"/>
        <s v="2429@hotmail.com"/>
        <s v="2430@tenmega.pt"/>
        <s v="2431@gmail.com"/>
        <s v="2432@telefonica.net"/>
        <s v="2433@sonepar.es"/>
        <s v="2434@gmail.com"/>
        <s v="2435@indasasl.es"/>
        <s v="2436@ydrolia.com"/>
        <s v="2437@dos-atf.es"/>
        <s v="2438@gmail.com"/>
        <s v="2439@hotmail.com"/>
        <s v="2440@imanzanera.com"/>
        <s v="2441@berdin.com"/>
        <s v="2442@gmail.com"/>
        <s v="2443@gmail.com"/>
        <s v="2444@gmail.com"/>
        <s v="2445@wallbox.com"/>
        <s v="2446@hotmail.com"/>
        <s v="2447@etecnic.es"/>
        <s v="2448@uvigo.es"/>
        <s v="2449@magtel.es"/>
        <s v="2450@sonepar.es"/>
        <s v="2451@gmail.com"/>
        <s v="2452@fi-group.com"/>
        <s v="2453@insitecaingenieros.com"/>
        <s v="2454@gmail.com"/>
        <s v="2455@gmail.com"/>
        <s v="2456@serlujua.com"/>
        <s v="2457@gmail.com"/>
        <s v="2458@gmail.com"/>
        <s v="2459@grupoelectrostocks.com"/>
        <s v="2460@gmail.com"/>
        <s v="2461@yahoo.es"/>
        <s v="2462@gmail.com"/>
        <s v="2463@ise40.com"/>
        <s v="2464@pas.uned.es"/>
        <s v="2465@gmail.com"/>
        <s v="2466@hotmail.com"/>
        <s v="2467@gmail.com"/>
        <s v="2468@gmail.com"/>
        <s v="2469@yca.es"/>
        <s v="2470@gmail.com"/>
        <s v="2471@gmail.com"/>
        <s v="2472@gmail.com"/>
        <s v="2473@hotmail.com"/>
        <s v="2474@sehusol.com"/>
        <s v="2475@berdin.com"/>
        <s v="2476@dimces.com"/>
        <s v="2477@moralesyartigasabogados.com"/>
        <s v="2478@gmail.com"/>
        <s v="2479@hotmail.es"/>
        <s v="2481@apogeaconsulting.com"/>
        <s v="2482@etelnoga.com"/>
        <s v="2483@gmail.com"/>
        <s v="2484@grupo-jarama.com"/>
        <s v="2485@saergy.com"/>
        <s v="2486@hotmail.com"/>
        <s v="2487@telefonica.net"/>
        <s v="2488@gmail.com"/>
        <s v="2489@proytecenergia.com"/>
        <s v="2490@mantenencies.com"/>
        <s v="2491@saltoki.es"/>
        <s v="2492@gmail.com"/>
        <s v="2493@gmail.com"/>
        <s v="2494@gmail.com"/>
        <s v="2495@gmail.com"/>
        <s v="2496@grupoelectrostocks.com"/>
        <s v="2497@gmail.com"/>
        <s v="2498@adtelcom.es"/>
        <s v="2499@hotmail.com"/>
        <s v="2500@sonepar.es"/>
        <s v="2501@gmail.com"/>
        <s v="2502@yahoo.es"/>
        <s v="2503@grupoiicsa.com"/>
        <s v="2504@gmail.com"/>
        <s v="2505@gmail.com"/>
        <s v="2506@es.issworld.com"/>
        <s v="2507@victorperezsl.com"/>
        <s v="2508@solardelvalle.es"/>
        <s v="2509@elecnor.es"/>
        <s v="2510@sermicro.com"/>
        <s v="2511@gmail.com"/>
        <s v="2512@hotmail.com"/>
        <s v="2513@gmail.com"/>
        <s v="2514@coitialicante.com"/>
        <s v="2516@isega.es"/>
        <s v="2517@ineleeg.es"/>
        <s v="2518@solardelvalle.es"/>
        <s v="2519@hotmail.com"/>
        <s v="2520@jspelectrotecnia.com"/>
        <s v="2521@amisur.es"/>
        <s v="2522@gmail.com"/>
        <s v="2523@ipae.es"/>
        <s v="2524@me.com"/>
        <s v="2525@gmail.com"/>
        <s v="2526@reparacioneslsanchez.es"/>
        <s v="2527@gmail.com"/>
        <s v="2528@leing.es"/>
        <s v="2529@upc.edu"/>
        <s v="2530@galimar.com.es"/>
        <s v="2531@arquitecturaygestion.com"/>
        <s v="2532@gmail.com"/>
        <s v="2533@hotmail.com"/>
        <s v="2534@gmail.com"/>
        <s v="2535@hotmail.com"/>
        <s v="2536@telefonica.net"/>
        <s v="2537@electram.es"/>
        <s v="2538@elcorteingles.es"/>
        <s v="2539@gmail.com"/>
        <s v="2540@gmail.com"/>
        <s v="2541@gmail.com"/>
        <s v="2542@tecnica4.com"/>
        <s v="2543@eltec-servicios.com"/>
        <s v="2544@hotmail.com"/>
        <s v="2545@telefonica.net"/>
        <s v="2546@tecnovap.es"/>
        <s v="2547@gmail.com"/>
        <s v="2548@gmail.com"/>
        <s v="2549@gmail.com"/>
        <s v="2550@energema.com"/>
        <s v="2551@inelsa.com"/>
        <s v="2552@gmail.com"/>
        <s v="2553@telefonica.net"/>
        <s v="2554@telefonica.net"/>
        <s v="2555@gmail.com"/>
        <s v="2556@hotmail.com"/>
        <s v="2557@hotmail.com"/>
        <s v="2558@gmail.com"/>
        <s v="2560@gmail.com"/>
        <s v="2561@gmail.com"/>
        <s v="2562@artesolar.com"/>
        <s v="2563@hotmail.com"/>
        <s v="2564@ctv.masaveu.com"/>
        <s v="2565@hotmail.com"/>
        <s v="2566@casadoguia.com"/>
        <s v="2567@hotmail.com"/>
        <s v="2568@email.com"/>
        <s v="2569@gmail.com"/>
        <s v="2570@telefonica.net"/>
        <s v="2571@dival.es"/>
        <s v="2572@sesaelec.com"/>
        <s v="2573@edetcotecnics.com"/>
        <s v="2574@telefonica.net"/>
        <s v="2575@gruposti.com"/>
        <s v="2576@construciainstalaciones.com"/>
        <s v="2577@gmail.com"/>
        <s v="2578@hotmail.com"/>
        <s v="2579@fgc.cat"/>
        <s v="2580@imagenyarquitectura.com.mx"/>
        <s v="2581@yahoo.com"/>
        <s v="2582@ccaait.cat"/>
        <s v="2583@grupcarol.com"/>
        <s v="2584@sistemasdeenergia.es"/>
        <s v="2585@grupoelectrostocks.com"/>
        <s v="2586@saltoki.es"/>
        <s v="2587@picocompany.es"/>
        <s v="2588@fossic.es"/>
        <s v="2589@hotmail.com"/>
        <s v="2590@gmail.com"/>
        <s v="2591@gmail.com"/>
        <s v="2592@bsmsa.cat"/>
        <s v="2593@abcgrup.com"/>
        <s v="2594@gmail.com"/>
        <s v="2595@gmail.com"/>
        <s v="2597@3xakoenergi.com"/>
        <s v="2598@tecoel.es"/>
        <s v="2599@sazepi.com"/>
        <s v="2600@electrimega.es"/>
        <s v="2601@seituria.com"/>
        <s v="2602@saherlux.com"/>
        <s v="2603@guillenmotor.com"/>
        <s v="2604@hotelnelva.es"/>
        <s v="2605@gmail.com"/>
        <s v="2606@gmail.com"/>
        <s v="2607@hotmail.com"/>
        <s v="2608@zambongroup.com"/>
        <s v="2609@construccioicontrol.com"/>
        <s v="2610@orangecorreo.es"/>
        <s v="2611@gocsa.es"/>
        <s v="2612@ingenieriaconforma.com"/>
        <s v="2613@gmail.com"/>
        <s v="2614@rexel.es"/>
        <s v="2615@orbiumsolar.es"/>
        <s v="2616@prysmiangroup.com"/>
        <s v="2617@hotmail.com"/>
        <s v="2618@viegasefilhos.pt"/>
        <s v="2619@gmail.com"/>
        <s v="2620@icloud.com"/>
        <s v="2621@integralplm.com"/>
        <s v="2622@instavi.es"/>
        <s v="2623@mansel.es"/>
        <s v="2624@hotmail.com"/>
        <s v="2625@gmail.com"/>
        <s v="2626@proycoga.es"/>
        <s v="2627@aemsys.com"/>
        <s v="2628@telefonica.net"/>
        <s v="2629@hotmail.com"/>
        <s v="2630@gmail.com"/>
        <s v="2631@gmail.com"/>
        <s v="2632@felices.agency"/>
        <s v="2633@araelec.com"/>
        <s v="2634@hotmail.es"/>
        <s v="2635@ambginy.com"/>
        <s v="2636@sonepar.es"/>
        <s v="2637@metromadrid.es"/>
        <s v="2638@ativalles.com"/>
        <s v="2639@sanitariosbosco.es"/>
        <s v="2640@magserveis.com"/>
        <s v="2641@gmail.com"/>
        <s v="2642@mipelsa.es"/>
        <s v="2643@sansiga.com"/>
        <s v="2644@gmail.com"/>
        <s v="2645@hotmail.com"/>
        <s v="2646@gmail.com"/>
        <s v="2647@rexel.es"/>
        <s v="2648@electracaldense.com"/>
        <s v="2649@grupocuerva.com"/>
        <s v="2650@coac.net"/>
        <s v="2651@yntegraservicios.es"/>
        <s v="2652@tessai.es"/>
        <s v="2653@idiada.com"/>
        <s v="2654@edmcadiz.es"/>
        <s v="2655@getsa.es"/>
        <s v="2656@sonepar.es"/>
        <s v="2657@a4ingenieria.es"/>
        <s v="2658@gmail.com"/>
        <s v="2659@gmail.com"/>
        <s v="2660@gmail.com"/>
        <s v="2661@gmail.com"/>
        <s v="2662@gmail.com"/>
        <s v="2663@bitjerez.com"/>
        <s v="2664@gmail.com"/>
        <s v="2665@electroaldis.com"/>
        <s v="2666@gmail.com"/>
        <s v="2667@iselektric.com"/>
        <s v="2668@gmail.com"/>
        <s v="2669@electroidella.com"/>
        <s v="2670@gmail.com"/>
        <s v="2671@gmail.com"/>
        <s v="2672@gmail.com"/>
        <s v="2673@gamil.com"/>
        <s v="2674@coar.es"/>
        <s v="2675@grupoelectrostocks.com"/>
        <s v="2676@gmail.com"/>
        <s v="2677@gmail.com"/>
        <s v="2678@impact-al.com"/>
        <s v="2679@hotmail.com"/>
        <s v="2680@copitima.com"/>
        <s v="2681@sueprat.es"/>
        <s v="2682@dipucuenca.es"/>
        <s v="2683@live.fr"/>
        <s v="2684@hotmail.com"/>
        <s v="2685@orgaus.com"/>
        <s v="2686@kbingenieria.com"/>
        <s v="2687@serium.es"/>
        <s v="2688@hotmail.com"/>
        <s v="2689@edp-sl.com"/>
        <s v="2690@gmail.com"/>
        <s v="2691@magserveis.com"/>
        <s v="2692@gmail.com"/>
        <s v="2693@bextron.es"/>
        <s v="2694@gmail.com"/>
        <s v="2695@inelt.es"/>
        <s v="2696@1aingenieros.com"/>
        <s v="2697@digamel.com"/>
        <s v="2698@gmail.com"/>
        <s v="2699@gmail.com"/>
        <s v="2700@hotmail.com"/>
        <s v="2701@gmail.com"/>
        <s v="2702@digamel.com"/>
        <s v="2703@hotmail.com"/>
        <s v="2704@construciainstalaciones.com"/>
        <s v="2705@tmb.cat"/>
        <s v="2706@opportunity-one.com"/>
        <s v="2707@gmail.com"/>
        <s v="2708@meta-sidecar.com"/>
        <s v="2709@construciainstalaciones.com"/>
        <s v="2710@arbonapiza.com"/>
        <s v="2711@infinitypv.com"/>
        <s v="2712@gmail.com"/>
        <s v="2713@gmail.com"/>
        <s v="2714@gma.es"/>
        <s v="2715@gmail.com"/>
        <s v="2716@gmail.com"/>
        <s v="2717@gmail.com"/>
        <s v="2718@none.com"/>
        <s v="2719@saltoki.es"/>
        <s v="2720@grupoelectrostocks.com"/>
        <s v="2721@anpasa.es"/>
        <s v="2722@instalacionesyobrasdelrio.com"/>
        <s v="2723@hotmail.com"/>
        <s v="2724@gmeil.com"/>
        <s v="2725@hotmail.com"/>
        <s v="2726@sonepar.es"/>
        <s v="2727@gruponovelec.com"/>
        <s v="2728@gmail.com"/>
        <s v="2729@hotmail.com"/>
        <s v="2730@enzazaden.es"/>
        <s v="2731@gmail.com"/>
        <s v="2732@gmail.com"/>
        <s v="2733@sigmaenginyers.es"/>
        <s v="2734@gmail.com"/>
        <s v="2735@gmail.com"/>
        <s v="2736@gmail.com"/>
        <s v="2737@gmail.com"/>
        <s v="2738@conalepmex.edu.mx"/>
        <s v="2739@constructorasanjose.com"/>
        <s v="2740@gmail.com"/>
        <s v="2741@cruzroja.es"/>
        <s v="2742@mindual.com"/>
        <s v="2743@itaipu.gov.py"/>
        <s v="2745@urbanresilience.eu"/>
        <s v="2746@proinelec.com"/>
        <s v="2747@gmail.com"/>
        <s v="2748@nitlux.es"/>
        <s v="2749@gmail.com"/>
        <s v="2750@exavoltio.es"/>
        <s v="2751@gruponovelec.com"/>
        <s v="2752@ingener.net"/>
        <s v="2753@aurialux.com"/>
        <s v="2754@emgvlasrozas.org"/>
        <s v="2755@gmail.com"/>
        <s v="2756@gmail.com"/>
        <s v="2757@irradiaenergia.com"/>
        <s v="2758@gmail.com"/>
        <s v="2759@gmail.com"/>
        <s v="2760@yahoo.es"/>
        <s v="2761@stratum22.com"/>
        <s v="2762@gmail.com"/>
        <s v="2763@gmail.com"/>
        <s v="2764@gmail.com"/>
        <s v="2765@gmail.com"/>
        <s v="2766@telefonica.net"/>
        <s v="2767@gmail.com"/>
        <s v="2768@gmail.com"/>
        <s v="2769@gmail.com"/>
        <s v="2770@gmail.com"/>
        <s v="2771@gmail.com"/>
        <s v="2772@saltoki.es"/>
        <s v="2773@energiaactiva.es"/>
        <s v="2774@trensfm.com"/>
        <s v="2775@gmail.com"/>
        <s v="2776@pgiengineering.com"/>
        <s v="2777@huelva.es"/>
        <s v="2778@empretelco.es"/>
        <s v="2779@gmail.com"/>
        <s v="2780@abcgrup.com"/>
        <s v="2781@ahabana.co.cu"/>
        <s v="2782@gmail.com"/>
        <s v="2783@gmail.com"/>
        <s v="2784@coac.net"/>
        <s v="2785@climarubi.com"/>
        <s v="2786@metromadrid.es"/>
        <s v="2787@grupocematel.com"/>
        <s v="2788@eurocabos.es"/>
        <s v="2789@telefonica.net"/>
        <s v="2790@gmail.com"/>
        <s v="2791@pickdata.net"/>
        <s v="2792@ajcampos.org"/>
        <s v="2793@gmail.com"/>
        <s v="2794@efinetika.com"/>
        <s v="2795@gmail.com"/>
        <s v="2796@gmail.com"/>
        <s v="2797@gmail.com"/>
        <s v="2798@yahoo.es"/>
        <s v="2799@oceanim.es"/>
        <s v="2800@gmail.com"/>
        <s v="2801@eei-ingenieria.com"/>
        <s v="2802@gonzalezsme.com"/>
        <s v="2803@rodriguezromeu.com"/>
        <s v="2804@vtisl.com"/>
        <s v="2805@gmail.com"/>
        <s v="2806@jdingenieria.com"/>
        <s v="2807@jhfsystemcrane.com"/>
        <s v="2808@gmail.com"/>
        <s v="2809@solerteselen.cat"/>
        <s v="2810@sensorstecnics.net"/>
        <s v="2811@gmail.com"/>
        <s v="2812@martipala.com"/>
        <s v="2813@gmail.com"/>
        <s v="2814@vitrosep.com"/>
        <s v="2815@gmail.com"/>
        <s v="2816@hotmail.com"/>
        <s v="2817@hotmail.com"/>
        <s v="2818@gmail.com"/>
        <s v="2819@satydal.es"/>
        <s v="2820@sanitariosbosco.es"/>
        <s v="2821@gmail.com"/>
        <s v="2822@gmail.com"/>
        <s v="2823@mindual.com"/>
        <s v="2824@gmail.com"/>
        <s v="2825@gmail.com"/>
        <s v="2826@educacion.gob.es"/>
        <s v="2827@soltecgrupo.es"/>
        <s v="2828@coaatz.org"/>
        <s v="2829@sindel.es"/>
        <s v="2830@mequintana.com"/>
        <s v="2831@lantec.es"/>
        <s v="2832@energia.eiffage.es"/>
        <s v="2833@inelsa.com"/>
        <s v="2834@idom.com"/>
        <s v="2835@idom.com"/>
        <s v="2836@pgigrup.com"/>
        <s v="2837@gmail.com"/>
        <s v="2838@gmail.com"/>
        <s v="2839@esprosa.es"/>
        <s v="2840@onemons.es"/>
        <s v="2841@blaudrive.com"/>
        <s v="2842@yahoo.es"/>
        <s v="2843@gmail.com"/>
        <s v="2844@alamos.es"/>
        <s v="2845@araiz.es"/>
        <s v="2846@kubicat.com"/>
        <s v="2847@gmail.com"/>
        <s v="2848@telefonica.net"/>
        <s v="2849@gmail.com"/>
        <s v="2850@hotmail.com"/>
        <s v="2851@yahoo.es"/>
        <s v="2852@gmail.com"/>
        <s v="2853@gmail.com"/>
        <s v="2854@voltplus.es"/>
        <s v="2855@trc.es"/>
        <s v="2856@eurocabos.es"/>
        <s v="2857@gmail.com"/>
        <s v="2858@gmail.com"/>
        <s v="2859@hotmail.com"/>
        <s v="2860@soltecingenieros.com"/>
        <s v="2861@live.com"/>
        <s v="2862@gmail.com"/>
        <s v="2863@hibrielectric.com"/>
        <s v="2864@gmail.com"/>
        <s v="2865@gadisel.com"/>
        <s v="2866@hotmail.com"/>
        <s v="2867@jqadvisors.com"/>
        <s v="2868@cipfplacostera.com"/>
        <s v="2869@montajes-medyp.com"/>
        <s v="2870@yahoo.com"/>
        <s v="2871@assinsta.com"/>
        <s v="2872@hotmail.com"/>
        <s v="2873@gmail.com"/>
        <s v="2874@broa.net"/>
        <s v="2875@ulper.es"/>
        <s v="2876@gmail.com"/>
        <s v="2877@gammasg.com"/>
        <s v="2878@grupojab.es"/>
        <s v="2879@hbalcells.com"/>
        <s v="2880@alfasel.es"/>
        <s v="2881@hotmail.com"/>
        <s v="2882@secorsa.com"/>
        <s v="2883@acciona.com"/>
        <s v="2884@gmail.com"/>
        <s v="2885@instalacionessegura.es"/>
        <s v="2886@construroura.es"/>
        <s v="2887@indasasl.es"/>
        <s v="2888@proalingenieros.com"/>
        <s v="2889@eurocabos.es"/>
        <s v="2890@edu.xunta.es"/>
        <s v="2891@ingenibo.com"/>
        <s v="2892@gmail.com"/>
        <s v="2893@yahoo.com"/>
        <s v="2894@me.com"/>
        <s v="2895@mundoled.net"/>
        <s v="2896@energia.eiffage.es"/>
        <s v="2897@radytel.com"/>
        <s v="2899@gmail.com"/>
        <s v="2900@hotmail.com"/>
        <s v="2901@eneroptim.es"/>
        <s v="2902@gmail.com"/>
        <s v="2903@estudioelan.com"/>
        <s v="2904@gmail.com"/>
        <s v="2905@atoms.cat"/>
        <s v="2906@comb.cat"/>
        <s v="2907@generaeficiencia.com"/>
        <s v="2908@esplugues.cat"/>
        <s v="2909@ekoleds.com"/>
        <s v="2910@syocsa-inarsa.es"/>
        <s v="2911@grupocobra.com"/>
        <s v="2912@essatel.es"/>
        <s v="2913@gmail.com"/>
        <s v="2914@aldaproyectos.es"/>
        <s v="2915@crescencioperez.com"/>
        <s v="2916@diazrojo.com"/>
        <s v="2917@mastercentella.com"/>
        <s v="2918@gmail.com"/>
        <s v="2919@gmail.com"/>
        <s v="2920@prodelectric.es"/>
        <s v="2921@hotmail.com"/>
        <s v="2922@tecnicanorte.com"/>
        <s v="2923@gmail.com"/>
        <s v="2924@gmail.com"/>
        <s v="2925@gmail.com"/>
        <s v="2926@elherco.com"/>
        <s v="2927@interflex.es"/>
        <s v="2929@baurenginyers.cat"/>
        <s v="3292@movistar.es"/>
        <s v="3297@hotmail.com"/>
        <s v="2930@hotmail.com"/>
        <s v="2931@telefonica.net"/>
        <s v="2932@soldeser.com"/>
        <s v="2933@agenex.org"/>
        <s v="2934@gruponovelec.com"/>
        <s v="2935@hotellosllanos.es"/>
        <s v="2936@gmail.com"/>
        <s v="2937@gmail.com"/>
        <s v="2938@inemesa.com"/>
        <s v="2939@oscarcaselles.com"/>
        <s v="2940@xtec.cat"/>
        <s v="2941@gmail.com"/>
        <s v="2942@ragaluz.com"/>
        <s v="2943@agaeng.es"/>
        <s v="2944@prysmiangroup.com"/>
        <s v="2945@gmail.com"/>
        <s v="2946@gmail.com"/>
        <s v="2947@gmail.com"/>
        <s v="2948@gmail.com"/>
        <s v="2949@ignasiconillas.com"/>
        <s v="2950@telematel.com"/>
        <s v="2951@telman.es"/>
        <s v="2952@catrisse.net"/>
        <s v="2953@sinophosgroup.com"/>
        <s v="2954@gmail.com"/>
        <s v="2955@imamagnets.com"/>
        <s v="2956@engie.com"/>
        <s v="2957@doladoingenieria.es"/>
        <s v="2958@gmail.com"/>
        <s v="2959@instalacionesfb.com"/>
        <s v="2960@gmail.com"/>
        <s v="2961@mqrenovables.com"/>
        <s v="2962@gmail.com"/>
        <s v="2963@gmail.com"/>
        <s v="2964@duoarquitectura.es"/>
        <s v="2965@hotmail.com"/>
        <s v="2966@gmail.com"/>
        <s v="2967@gmail.com"/>
        <s v="2968@sueprat.es"/>
        <s v="2969@gmail.com"/>
        <s v="2970@sonepar.es"/>
        <s v="2971@gmail.com"/>
        <s v="2972@us.es"/>
        <s v="2973@rt105.es"/>
        <s v="2974@outlook.com"/>
        <s v="2975@gmail.com"/>
        <s v="2976@gmail.com"/>
        <s v="2977@gmail.com"/>
        <s v="2978@electroredes.com"/>
        <s v="2979@gmail.com"/>
        <s v="2980@live.com"/>
        <s v="2981@gmail.com"/>
        <s v="2982@hotmail.es"/>
        <s v="2983@hotmail.com"/>
        <s v="2984@hotmail.com"/>
        <s v="2985@gmail.com"/>
        <s v="2986@signum.cat"/>
        <s v="2987@comercialsis.com"/>
        <s v="2988@lopezona.com"/>
        <s v="2989@9chip.com"/>
        <s v="2990@gilten.es"/>
        <s v="2991@yahoo.es"/>
        <s v="2992@socidesel.es"/>
        <s v="2993@gmail.com"/>
        <s v="2994@hotmail.com"/>
        <s v="2995@suris.es"/>
        <s v="2996@hotmail.com"/>
        <s v="2997@bgm.pt"/>
        <s v="2998@dosreisinstalaciones.es"/>
        <s v="2999@gmail.com"/>
        <s v="3000@strongpoint.com"/>
        <s v="3001@gmail.com"/>
        <s v="3002@energiaactiva.es"/>
        <s v="3003@ingenieriabenimamet.com"/>
        <s v="3004@yahoo.es"/>
        <s v="3005@electroizas.es"/>
        <s v="3006@ingenieriajorpa.es"/>
        <s v="3007@gmail.com"/>
        <s v="3008@codime.es"/>
        <s v="3009@acciona.com"/>
        <s v="3010@eleko.es"/>
        <s v="3011@gmail.com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D2020" sheet="Registros - Estados"/>
  </cacheSource>
  <cacheFields>
    <cacheField name="Email" numFmtId="168">
      <sharedItems containsBlank="1">
        <s v="1@gmail.com"/>
        <s v="3@gmail.com"/>
        <s v="6@yahoo.es"/>
        <s v="7@unizar.es"/>
        <s v="12@gmail.com"/>
        <s v="14@enerparking.com"/>
        <s v="15@apba.es"/>
        <s v="16@cambrabcn.org"/>
        <s v="17@gmail.com"/>
        <s v="20@gmail.com"/>
        <s v="26@mktg.com"/>
        <s v="27@hotmail.com"/>
        <s v="28@gmail.com"/>
        <s v="9@chacontch.com"/>
        <s v="29@gmail.com"/>
        <s v="30@gmail.com"/>
        <s v="31@gmail.com"/>
        <s v="32@gmail.com"/>
        <s v="33@gmail.com"/>
        <s v="40@hotmail.com"/>
        <s v="41@gmail.com"/>
        <s v="19@grupoespacioindustrial.com"/>
        <s v="49@grupocaeiro.es"/>
        <s v="39@idom.com"/>
        <s v="53@dicara.es"/>
        <s v="54@abengoa.com"/>
        <s v="57@gmail.com"/>
        <s v="59@gmail.com"/>
        <s v="60@rocketmail.com"/>
        <s v="65@copitima.com"/>
        <s v="68@ingeosolar.com"/>
        <s v="69@gmail.com"/>
        <s v="71@hotmail.com"/>
        <s v="48@legebiltzarra.eus"/>
        <s v="78@gmail.com"/>
        <s v="80@enginyerstarragona.cat"/>
        <s v="45@acotech.es"/>
        <s v="84@electromontajesroldan.com"/>
        <s v="83@eduardoaleman.es"/>
        <s v="126@gmail.com"/>
        <s v="3012@diegodiazlopez.com"/>
        <s v="127@prevae.com"/>
        <s v="128@gmail.com"/>
        <s v="129@inypro.com"/>
        <s v="130@gmail.com"/>
        <s v="131@hotmail.com"/>
        <s v="37@intienergia.com"/>
        <s v="132@gmail.com"/>
        <s v="133@fasfas.com"/>
        <s v="135@telefonica.net"/>
        <s v="138@grupocobra.com"/>
        <s v="50@gmail.com"/>
        <s v="139@yahoo.es"/>
        <s v="56@iesmurgi.org"/>
        <s v="140@yahoo.es"/>
        <s v="142@gmail.com"/>
        <s v="70@gmail.com"/>
        <s v="144@gmail.com"/>
        <s v="145@coitihuelva.com"/>
        <s v="147@hotmail.es"/>
        <s v="148@gmail.com"/>
        <s v="95@gmail.com"/>
        <s v="151@gmail.com"/>
        <s v="156@riosrenovables.com"/>
        <s v="91@valmet.com"/>
        <s v="157@hotmail.com"/>
        <s v="159@gmail.com"/>
        <s v="113@gmail.com"/>
        <s v="161@gmail.com"/>
        <s v="163@gmail.com"/>
        <s v="165@dobontech.com"/>
        <s v="168@hc-ingenieros.com"/>
        <s v="66@dgingenieros.es"/>
        <s v="88@ingenierosvigo.com"/>
        <s v="85@gmail.com"/>
        <s v="3013@gmail.com"/>
        <s v="111@murciaeduca.es"/>
        <s v="102@telefonica.net"/>
        <s v="46@hotmail.com"/>
        <s v="167@me.com"/>
        <s v="3014@gmail.com"/>
        <s v="110@3epsilonsolutions.com"/>
        <s v="3015@cetill.cat"/>
        <s v="81@gmail.com"/>
        <s v="77@comsa.com"/>
        <s v="3016@arrow.com"/>
        <s v="107@dipucr.es"/>
        <s v="97@igpingenieria.com"/>
        <s v="118@legebiltzarra.eus"/>
        <s v="123@grupocuerva.com"/>
        <s v="3017@hotmail.com"/>
        <s v="105@gmail.com"/>
        <s v="96@hotmail.com"/>
        <s v="183@arquired.es"/>
        <s v="184@telefonica.net"/>
        <s v="185@asintec.info"/>
        <s v="90@telefonica.net"/>
        <s v="106@ucm.es"/>
        <s v="93@gmail.com"/>
        <s v="188@gmail.com"/>
        <s v="190@idom.com"/>
        <s v="108@salesianos.edu"/>
        <s v="192@gmail.com"/>
        <s v="193@triangulo.com.es"/>
        <s v="75@telefonica.net"/>
        <s v="194@hotmail.com"/>
        <s v="196@gmail.com"/>
        <s v="197@enginyerstarragona.cat"/>
        <s v="200@smassa.eu"/>
        <s v="18@urv.cat"/>
        <s v="86@ingbuero-group.de"/>
        <s v="201@gmail.com"/>
        <s v="103@ciccp.es"/>
        <s v="205@es.tuv.com"/>
        <s v="212@gmail.com"/>
        <s v="213@guidogroup.com"/>
        <s v="101@coiirm.es"/>
        <s v="216@gmail.com"/>
        <s v="214@gmail.com"/>
        <s v="218@erasmil.com"/>
        <s v="92@gmail.com"/>
        <s v="117@telefonica.net"/>
        <s v="104@spiningenieros.com"/>
        <s v="21@iteser.com"/>
        <s v="220@istem.es"/>
        <s v="223@gmail.com"/>
        <s v="222@jcgracia.es"/>
        <s v="67@becibiza.es"/>
        <s v="224@hotmail.com"/>
        <s v="109@gmail.com"/>
        <s v="225@gmail.com"/>
        <s v="229@gmail.com"/>
        <s v="227@gmail.com"/>
        <s v="228@erasmil.com"/>
        <s v="119@ideaingenieria.es"/>
        <s v="230@solsureste.com"/>
        <s v="3018@hotmail.com"/>
        <s v="116@sgs.com"/>
        <s v="99@coitir.com"/>
        <s v="233@gmail.com"/>
        <s v="112@gmail.com"/>
        <s v="121@gmail.com"/>
        <s v="94@grupocobra.com"/>
        <s v="100@hotmail.com"/>
        <s v="237@idsa.es"/>
        <s v="240@hotmail.com"/>
        <s v="236@elecnor.com"/>
        <s v="98@davidjdiaz.es"/>
        <s v="124@betenergia.es"/>
        <s v="120@yahoo.com"/>
        <s v="242@outlook.es"/>
        <s v="243@homcrea.fr"/>
        <s v="245@gmail.com"/>
        <s v="247@gmail.com"/>
        <s v="248@llachsoillum.cat"/>
        <s v="249@herreroingenieros.com"/>
        <s v="251@gmail.com"/>
        <s v="252@hotmail.com"/>
        <s v="253@putzmeister.com"/>
        <s v="254@hotmail.com"/>
        <s v="255@hotmail.com"/>
        <s v="73@hotmail.com"/>
        <s v="256@mail.com"/>
        <s v="257@telefonica.net"/>
        <s v="259@electricosaragon2000.com"/>
        <s v="250@inacces.com"/>
        <s v="265@gmail.com"/>
        <s v="272@gmail.com"/>
        <s v="273@gmail.com"/>
        <s v="125@gmail.com"/>
        <s v="3019@gmail.com"/>
        <s v="292@espe.edu.ec"/>
        <s v="293@hotmail.com"/>
        <s v="3020@gesluz.es"/>
        <s v="295@gmail.com"/>
        <s v="3021@gmail.com"/>
        <s v="286@icaluz.com"/>
        <s v="281@montajescastellon.com"/>
        <s v="299@vimasol.es"/>
        <s v="300@vimasol.es"/>
        <s v="301@vimasol.es"/>
        <s v="305@wanadoo.es"/>
        <s v="308@rexel.es"/>
        <s v="309@hotmail.com"/>
        <s v="310@outlook.com"/>
        <s v="311@tresa.volkswagen.es"/>
        <s v="312@telefonica.net"/>
        <s v="317@portsdebalears.com"/>
        <s v="318@gmail.com"/>
        <s v="241@gmail.com"/>
        <s v="323@hotmail.com"/>
        <s v="324@onsaze.es"/>
        <s v="332@gmail.com"/>
        <s v="333@jbizcocho.es"/>
        <s v="203@outlook.com"/>
        <s v="336@gmail.com"/>
        <s v="337@gmail.com"/>
        <s v="338@u220.es"/>
        <s v="339@emiliocueto.com"/>
        <s v="341@enchufesolar.com"/>
        <s v="342@idesa.pro"/>
        <s v="345@enerwatt.es"/>
        <s v="348@telefonica.net"/>
        <s v="350@talleresloam.com"/>
        <s v="361@trabajosadomicilio.es"/>
        <s v="360@gmail.com"/>
        <s v="325@sonepar.es"/>
        <s v="382@gmail.com"/>
        <s v="328@siemens.com"/>
        <s v="429@yahoo.es"/>
        <s v="435@solucionesms.es"/>
        <s v="459@sesetec.com"/>
        <s v="460@gmail.com"/>
        <s v="461@msn.com"/>
        <s v="462@gmail.com"/>
        <s v="465@hotmail.com"/>
        <s v="467@gmail.com"/>
        <s v="469@somorrostro.com"/>
        <s v="470@gmail.com"/>
        <s v="471@abengoa.com"/>
        <s v="454@gmail.com"/>
        <s v="477@gmail.com"/>
        <s v="480@gmail.com"/>
        <s v="482@pentamatik.com"/>
        <s v="483@arval.es"/>
        <s v="485@hotmail.com"/>
        <s v="489@carbonellfigueras.com"/>
        <s v="490@idom.com"/>
        <s v="491@gmail.com"/>
        <s v="466@gmail.com"/>
        <s v="372@ub.edu"/>
        <s v="494@protelec.es"/>
        <s v="496@gmail.com"/>
        <s v="497@6d-ingenieros.com"/>
        <s v="501@gmail.com"/>
        <s v="502@hotmail.com"/>
        <s v="504@avilayhevia.com"/>
        <s v="505@mavipas.com"/>
        <s v="3022@gmail.com"/>
        <s v="468@yahoo.es"/>
        <s v="457@outlook.com"/>
        <s v="509@hotmail.com"/>
        <s v="510@gmail.com"/>
        <s v="513@osmos.es"/>
        <s v="514@hotmail.com"/>
        <s v="515@torrepacheco.es"/>
        <s v="3023@hotmail.com"/>
        <s v="518@gmail.com"/>
        <s v="523@gmail.com"/>
        <s v="532@gmail.com"/>
        <s v="540@hotmail.com"/>
        <s v="564@gmail.com"/>
        <s v="565@gmail.com"/>
        <s v="568@hotmail.com"/>
        <s v="566@gmail.com"/>
        <s v="388@gmail.com"/>
        <s v="570@hotmail.com"/>
        <s v="573@gmail.com"/>
        <s v="574@tecuni.com"/>
        <s v="579@gmail.com"/>
        <s v="546@gmail.com"/>
        <s v="583@iesmontsia.org"/>
        <s v="584@petronet24.net"/>
        <s v="585@hotmail.com"/>
        <s v="692@gmail.com"/>
        <s v="693@yahoo.com.mx"/>
        <s v="694@gmail.com"/>
        <s v="289@gmail.com"/>
        <s v="697@ingedomsl.com"/>
        <s v="698@gmail.com"/>
        <s v="481@gmail.com"/>
        <s v="575@hotmail.com"/>
        <s v="3024@pina-ingenieria.com"/>
        <s v="711@hotmail.com"/>
        <s v="347@engie.com"/>
        <s v="357@cesvimap.com"/>
        <s v="720@pgiengineering.com"/>
        <s v="539@cablenergia.com"/>
        <s v="706@juntaex.es"/>
        <s v="344@hotmail.com"/>
        <s v="678@nh-hotels.com"/>
        <s v="535@bgp.es"/>
        <s v="352@live.com.mx"/>
        <s v="3025@ingenierosvigo.com"/>
        <s v="661@horus.es"/>
        <s v="732@vcejudo.es"/>
        <s v="3026@gmail.com"/>
        <s v="548@hotmail.com"/>
        <s v="736@yahoo.com"/>
        <s v="737@lagingenieros.es"/>
        <s v="618@ibil.es"/>
        <s v="3027@liabeny.com"/>
        <s v="608@sgingenieros.es"/>
        <s v="742@acoeman.com"/>
        <s v="716@gmail.com"/>
        <s v="3028@gmail.com"/>
        <s v="553@aenor.com"/>
        <s v="3029@electricidad-galindo.com"/>
        <s v="744@gmail.com"/>
        <s v="743@bahiguell.com"/>
        <s v="335@faepac.org"/>
        <s v="747@tecnicas.es"/>
        <s v="748@gmail.com"/>
        <s v="493@gmail.com"/>
        <s v="605@hotmail.com"/>
        <s v="592@garciacomas.com"/>
        <s v="712@gjautomotive.com"/>
        <s v="671@csisuministros.com"/>
        <s v="755@coitt.es"/>
        <s v="756@gsima.es"/>
        <s v="759@hotmail.com"/>
        <s v="79@sonepar.es"/>
        <s v="596@gmail.com"/>
        <s v="684@gmail.com"/>
        <s v="760@hotmail.com"/>
        <s v="3030@a6ingenieria.es"/>
        <s v="533@emconsulting.es"/>
        <s v="557@dip-badajoz.es"/>
        <s v="761@insfuert.es"/>
        <s v="762@hotmail.com"/>
        <s v="763@gmail.com"/>
        <s v="3031@grupojab.es"/>
        <s v="267@fiberlec.com"/>
        <s v="538@herquesa.com"/>
        <s v="560@gmail.com"/>
        <s v="705@gmail.com"/>
        <s v="634@easycharger.es"/>
        <s v="3032@gmail.com"/>
        <s v="4@gmail.com"/>
        <s v="770@inmotiza.com"/>
        <s v="729@gmail.com"/>
        <s v="541@gmail.com"/>
        <s v="773@perequart.com"/>
        <s v="771@solutions30.com"/>
        <s v="772@faen.es"/>
        <s v="24@gmail.com"/>
        <s v="601@gmail.com"/>
        <s v="775@yahoo.es"/>
        <s v="367@yahoo.es"/>
        <s v="733@gmail.com"/>
        <s v="638@me.com"/>
        <s v="688@legrandgroup.es"/>
        <s v="683@hagergroup.com"/>
        <s v="516@hotmail.es"/>
        <s v="714@hotmail.com"/>
        <s v="498@gmail.com"/>
        <s v="536@adymus.es"/>
        <s v="689@arbonapiza.com"/>
        <s v="672@gmail.com"/>
        <s v="778@gmail.com"/>
        <s v="779@gmail.com"/>
        <s v="550@activate2.com"/>
        <s v="781@gmail.com"/>
        <s v="782@gmail.com"/>
        <s v="580@gmail.com"/>
        <s v="787@electricidadoriagomez.com"/>
        <s v="160@hotmail.com"/>
        <s v="529@gmail.com"/>
        <s v="547@grupocuerva.com"/>
        <s v="680@chargeguru.com"/>
        <s v="282@comsa.com"/>
        <s v="630@melia.com"/>
        <s v="235@gmail.com"/>
        <s v="793@gmail.com"/>
        <s v="745@geinstal.com"/>
        <s v="794@somoselectricistas.com"/>
        <s v="266@hotmail.es"/>
        <s v="624@inserty.net"/>
        <s v="525@comsa.com"/>
        <s v="3033@gmail.com"/>
        <s v="718@poweringcar.com"/>
        <s v="13@inel.es"/>
        <s v="351@cochele.com"/>
        <s v="3034@gmail.com"/>
        <s v="3035@ingenieriaspi.com"/>
        <s v="554@gngrup.com"/>
        <s v="556@gmail.com"/>
        <s v="158@acollconsulting.es"/>
        <s v="3036@romeroycantalejo.com"/>
        <s v="577@electroalbors.com"/>
        <s v="545@serviciosenergeticoslp.es"/>
        <s v="810@arquired.es"/>
        <s v="815@uach.mx"/>
        <s v="475@hotmail.es"/>
        <s v="819@hotmail.com"/>
        <s v="820@ebcn.cat"/>
        <s v="821@gmail.com"/>
        <s v="571@outlook.com"/>
        <s v="591@alterenergy.com.ar"/>
        <s v="822@yahoo.fr"/>
        <s v="522@siemens.com"/>
        <s v="751@ecium.es"/>
        <s v="825@hotmail.com"/>
        <s v="3037@gmail.com"/>
        <s v="828@zf.com"/>
        <s v="826@gmail.com"/>
        <s v="830@gmail.com"/>
        <s v="831@gmail.com"/>
        <s v="838@sdin.es"/>
        <s v="814@interingenieria.com"/>
        <s v="3038@hotmail.com"/>
        <s v="846@hotmail.com"/>
        <s v="657@enaire.es"/>
        <s v="551@mdvproyectos.es"/>
        <s v="488@gmail.com"/>
        <s v="849@gmail.com"/>
        <s v="850@gmail.com"/>
        <s v="851@arquitecto.com"/>
        <s v="621@gmail.com"/>
        <s v="805@gmail.com"/>
        <s v="852@grupviu.com"/>
        <s v="853@gmail.com"/>
        <s v="854@msn.com"/>
        <s v="334@mixmail.com"/>
        <s v="478@gmail.com"/>
        <s v="855@msn.com"/>
        <s v="856@gmail.com"/>
        <s v="857@gmail.com"/>
        <s v="858@gmail.com"/>
        <s v="863@outlook.com"/>
        <s v="864@es.uazuay.edu.ec"/>
        <s v="3039@normatica.es"/>
        <s v="866@typsa.es"/>
        <s v="868@gmail.com"/>
        <s v="559@sygsa.com"/>
        <s v="871@cefiner.com"/>
        <s v="872@gmail.com"/>
        <s v="881@hotmail.com"/>
        <s v="378@mcrdielec.com"/>
        <s v="883@hotmail.com"/>
        <s v="884@enersos.es"/>
        <s v="886@gmail.com"/>
        <s v="841@gmail.com"/>
        <s v="887@gmail.com"/>
        <s v="889@hotmail.com"/>
        <s v="890@hotmail.com"/>
        <s v="891@gmail.com"/>
        <s v="892@hotmail.com"/>
        <s v="3040@icloud.com"/>
        <s v="893@krean.com"/>
        <s v="894@gmail.com"/>
        <s v="895@volumetric.eu"/>
        <s v="896@gmail.com"/>
        <s v="487@gmail.com"/>
        <s v="898@gmail.com"/>
        <s v="899@gmail.com"/>
        <s v="901@gmail.com"/>
        <s v="902@gmail.com"/>
        <s v="903@edirocsa.com"/>
        <s v="905@yahoo.es"/>
        <s v="906@europrojectes.es"/>
        <s v="912@gmail.com"/>
        <s v="874@coac.net"/>
        <s v="879@sicoris.com"/>
        <s v="876@arquitectonica.cat"/>
        <s v="913@quorania.com"/>
        <s v="880@miquelnieto.com"/>
        <s v="914@gmail.com"/>
        <s v="918@gmail.com"/>
        <s v="919@hotmail.com"/>
        <s v="735@serveiskronier55.com"/>
        <s v="922@ingenierosvigo.com"/>
        <s v="923@gmail.com"/>
        <s v="924@msn.com"/>
        <s v="933@orsei.es"/>
        <s v="934@outlook.com"/>
        <s v="935@gmail.com"/>
        <s v="936@gmail.com"/>
        <s v="937@gmail.com"/>
        <s v="938@montegar.es"/>
        <s v="939@gmail.com"/>
        <s v="941@gmail.com"/>
        <s v="945@red.renault.es"/>
        <s v="530@trilegend.com"/>
        <s v="948@gmail.com"/>
        <s v="950@grupocobra.com"/>
        <s v="953@mosancar.com"/>
        <s v="957@germaniaweb.com"/>
        <s v="958@hotmail.es"/>
        <s v="960@aqelectric.es"/>
        <s v="964@hotmail.com"/>
        <s v="955@conras.es"/>
        <s v="930@acciona.com"/>
        <s v="966@miguelmoralesingenieros.com"/>
        <s v="967@lacsl.es"/>
        <s v="288@fcc.es"/>
        <s v="974@yahoo.es"/>
        <s v="975@yahoo.com"/>
        <s v="977@tarragona.cat"/>
        <s v="3041@hotmail.com"/>
        <s v="985@jesnar2011.es"/>
        <s v="987@ginsa.cat"/>
        <s v="996@comb.cat"/>
        <s v="997@yahoo.es"/>
        <s v="998@damuvi.com"/>
        <s v="833@ofitecbp.com"/>
        <s v="1005@allendearquitectos.com"/>
        <s v="1007@yahoo.es"/>
        <s v="264@edaie.com"/>
        <s v="1012@formasymateriales.com"/>
        <s v="1013@hotmail.com"/>
        <s v="1023@hotmail.com"/>
        <s v="811@proinsermant.com"/>
        <s v="917@gmail.com"/>
        <s v="1034@gmail.com"/>
        <s v="1037@gmail.com"/>
        <s v="1038@gmail.com"/>
        <s v="1039@yahoo.es"/>
        <s v="1040@gmail.com"/>
        <s v="1041@jordimoran.es"/>
        <s v="1043@gmail.com"/>
        <s v="1044@hotmail.com"/>
        <s v="1046@gmail.com"/>
        <s v="1052@yahoo.es"/>
        <s v="1055@gmail.com"/>
        <s v="1057@gmsil.com"/>
        <s v="1058@gmail.com"/>
        <s v="978@gmail.com"/>
        <s v="1002@hotmail.com"/>
        <s v="1061@perezescribano.es"/>
        <s v="1064@abxat.com"/>
        <s v="1066@gmail.com"/>
        <s v="1067@gmail.com"/>
        <s v="999@aeperez.es"/>
        <s v="673@gmail.com"/>
        <s v="1072@gmail.com"/>
        <s v="835@gmail.com"/>
        <s v="1075@gmail.com"/>
        <s v="1076@gmail.com"/>
        <s v="1077@hotmail.com"/>
        <s v="1078@gmail.com"/>
        <s v="1082@gmail.com"/>
        <s v="1083@hotmail.com"/>
        <s v="1084@gmail.com"/>
        <s v="1090@hotmail.com"/>
        <s v="1095@gmail.com"/>
        <s v="984@gmail.com"/>
        <s v="1101@hotmail.com"/>
        <s v="1102@gmail.com"/>
        <s v="1103@montajeselectricosfase.com"/>
        <s v="1107@ryaingenieros.com"/>
        <s v="1110@gmail.com"/>
        <s v="1114@teclisa.com"/>
        <s v="1117@hotmail.com"/>
        <s v="1119@gmail.com"/>
        <s v="320@gmail.com"/>
        <s v="1127@telefonica.net"/>
        <s v="1129@eselfri.com"/>
        <s v="1134@integratoledo.com"/>
        <s v="1137@eiasein.es"/>
        <s v="1143@gmail.com"/>
        <s v="209@azingenieria.es"/>
        <s v="1151@telefonica.net"/>
        <s v="959@mlopezarquitectos.com"/>
        <s v="1156@berrilanbim.com"/>
        <s v="1162@gmail.com"/>
        <s v="992@yahoo.es"/>
        <s v="1165@gmail.com"/>
        <s v="1166@hotmail.com"/>
        <s v="1167@tselsur.es"/>
        <s v="1168@renaultpineda.com"/>
        <s v="1173@vifrisan.com"/>
        <s v="1174@alem.es"/>
        <s v="1176@gmail.com"/>
        <s v="1177@imte.cat"/>
        <s v="1003@gmail.com"/>
        <s v="1185@lmretavi.es"/>
        <s v="1186@gmail.com"/>
        <s v="1191@tinet.fut.es"/>
        <s v="1192@toyota-canarias.es"/>
        <s v="1196@hotmail.com"/>
        <s v="1197@electricidadcelec.com"/>
        <s v="1199@qwerty.es"/>
        <s v="1205@telefonica.net"/>
        <s v="1209@hotmail.es"/>
        <s v="1210@pepepower.es"/>
        <s v="1216@gmail.com"/>
        <s v="1219@actluz.com"/>
        <s v="1223@proyecta79.com"/>
        <s v="1224@ipertec.es"/>
        <s v="1222@hotmail.com"/>
        <s v="1229@yahoo.es"/>
        <s v="1230@gmail.com"/>
        <s v="1234@gmail.com"/>
        <s v="1238@gmail.com"/>
        <s v="1239@telefonica.net"/>
        <s v="1243@educa.jcyl.es"/>
        <s v="1248@gmail.com"/>
        <s v="1251@gomurmya.com"/>
        <s v="1252@desarrollotecnico.com"/>
        <s v="1253@gmail.com"/>
        <s v="1261@e-copitile.es"/>
        <s v="1264@gmail.com"/>
        <s v="1265@hotmail.com"/>
        <s v="1269@kuartafase.com"/>
        <s v="2@yahoo.es"/>
        <s v="613@proingo.es"/>
        <s v="1279@fccco.com"/>
        <s v="1287@aytosalamanca.es"/>
        <s v="1291@macegroup.com"/>
        <s v="1294@gmail.com"/>
        <s v="1297@silmarinstalacions.com"/>
        <s v="1300@movistar.es"/>
        <s v="1026@aia.cat"/>
        <s v="238@engie.com"/>
        <s v="3042@gmail.com"/>
        <s v="1304@ingenibo.com"/>
        <s v="1305@checa67.es"/>
        <s v="991@yahoo.es"/>
        <s v="1311@gmail.com"/>
        <s v="1312@gmail.com"/>
        <s v="1320@gmail.com"/>
        <s v="1325@gmail.com"/>
        <s v="1328@gmail.com"/>
        <s v="1332@novarquia.es"/>
        <s v="1339@electrogalmar.es"/>
        <s v="1349@gmail.com"/>
        <s v="1352@autelec.net"/>
        <s v="1351@conselldemallorca.net"/>
        <s v="1354@hotmail.com"/>
        <s v="1358@gmail.com"/>
        <s v="1361@gmail.com"/>
        <s v="1367@telecable.es"/>
        <s v="1369@atribal.es"/>
        <s v="1371@gmail.com"/>
        <s v="1374@autelec.net"/>
        <s v="921@gmail.com"/>
        <s v="1383@grupoazmont.com"/>
        <s v="1386@grupoevc.es"/>
        <s v="963@gmail.com"/>
        <s v="1389@hotmail.com"/>
        <s v="1388@covama.es"/>
        <s v="1390@gmail.com"/>
        <s v="1016@coitt.es"/>
        <s v="1396@telefonica.net"/>
        <s v="1400@apeh.org"/>
        <s v="1417@gmail.com"/>
        <s v="581@gmail.com"/>
        <s v="1421@itesasl.com"/>
        <s v="1430@outlook.es"/>
        <s v="1428@gadeaingenieros.com"/>
        <s v="1429@yahoo.es"/>
        <s v="1436@deerns.com"/>
        <s v="1437@indal-tec.com"/>
        <s v="1438@hotmail.com"/>
        <s v="187@castelyfernandez.es"/>
        <s v="1445@gmail.com"/>
        <s v="1451@electrocuebar.com"/>
        <s v="1452@ricarsat.com"/>
        <s v="217@esypro.net"/>
        <s v="1453@ingenierosdecadiz.es"/>
        <s v="1457@covama.es"/>
        <s v="1460@gmail.com"/>
        <s v="1461@gmail.com"/>
        <s v="1462@cadlan.com"/>
        <s v="1466@telegrado.es"/>
        <s v="1468@gmail.com"/>
        <s v="1473@hotmail.com"/>
        <s v="1478@gmail.com"/>
        <s v="951@tenerasa.es"/>
        <s v="1019@ingeralbaida.es"/>
        <s v="3043@yahoo.es"/>
        <s v="973@live.com"/>
        <s v="297@hotmail.com"/>
        <s v="1509@xonxa.com"/>
        <s v="374@copitima.com"/>
        <s v="1028@ingenierosvalladolid.es"/>
        <s v="1519@tadelec.com"/>
        <s v="873@eutikes.com"/>
        <s v="1520@cebrinsa.es"/>
        <s v="1521@hotmail.com"/>
        <s v="1523@ofitep.com"/>
        <s v="1528@sitiaingenieria.com"/>
        <s v="1022@uhu.es"/>
        <s v="1530@aller.es"/>
        <s v="1536@estudiosyproyectos.com"/>
        <s v="1539@hotmail.com"/>
        <s v="1542@meomsl.com"/>
        <s v="1546@gmail.com"/>
        <s v="877@gmail.com"/>
        <s v="1551@avatry.es"/>
        <s v="1552@yahoo.es"/>
        <s v="1561@elecvic.com"/>
        <s v="1564@dimelsa.es"/>
        <s v="1567@egarriga.com"/>
        <s v="1573@hotmail.com"/>
        <s v="1577@cimelsa.com"/>
        <s v="1578@covama.es"/>
        <s v="329@covama.es"/>
        <s v="1586@genserma.es"/>
        <s v="1011@gmail.com"/>
        <s v="1592@mesenergia.cat"/>
        <s v="1588@jgingenieros.es"/>
        <s v="875@orange.es"/>
        <s v="1004@telefonica.net"/>
        <s v="1612@gmail.com"/>
        <s v="1614@electronalon.es"/>
        <s v="642@ecoviv.eu"/>
        <s v="1631@sri.es"/>
        <s v="1636@yahoo.es"/>
        <s v="1646@geserelectric.es"/>
        <s v="1651@gmail.com"/>
        <s v="1015@aziraelectricidad.com"/>
        <s v="1656@gmx.es"/>
        <s v="1664@jgingenieros.es"/>
        <s v="1668@negratin.com"/>
        <s v="1009@ccatlantico.com"/>
        <s v="1674@gmail.com"/>
        <s v="1680@trelec.es"/>
        <s v="1689@jlgingenieria.com"/>
        <s v="1688@muringenieros.es"/>
        <s v="990@gmail.com"/>
        <s v="1699@panchofernandez.com"/>
        <s v="1701@insmarbella.com"/>
        <s v="1703@laelectrica.com"/>
        <s v="1716@fuengiroluz.es"/>
        <s v="1710@gmail.com"/>
        <s v="1722@folgarona.com"/>
        <s v="1723@gmail.com"/>
        <s v="1728@gmail.com"/>
        <s v="1725@coelbe.com"/>
        <s v="1739@jh-internacional.com"/>
        <s v="1743@ceymo.es"/>
        <s v="1738@msn.com"/>
        <s v="1750@itecnal.com"/>
        <s v="1766@gmail.com"/>
        <s v="1767@gmail.com"/>
        <s v="1772@cosmoseguridad.com"/>
        <s v="1030@inmaser-integral.es"/>
        <s v="1769@gmail.com"/>
        <s v="980@coiiar.org"/>
        <s v="1778@gmail.com"/>
        <s v="1781@autoradiomontijo.es"/>
        <s v="1783@telefonica.net"/>
        <s v="1792@incober.es"/>
        <s v="1812@ext.mpsa.com"/>
        <s v="1829@1aingenieros.com"/>
        <s v="1830@gmail.com"/>
        <s v="1840@ingenierosvigo.com"/>
        <s v="1848@gmail.com"/>
        <s v="1849@minsait.com"/>
        <s v="1852@gmail.com"/>
        <s v="1853@hotmail.com"/>
        <s v="1854@hotmail.com"/>
        <s v="1073@grupolasser.com"/>
        <s v="1856@hotmail.com"/>
        <s v="1424@gmail.com"/>
        <s v="1533@gmail.com"/>
        <s v="1861@gmail.com"/>
        <s v="1862@gmail.com"/>
        <s v="1865@gmail.com"/>
        <s v="1867@cbringenieria.es"/>
        <s v="1868@hotmail.com"/>
        <s v="1871@abc.gob.ar"/>
        <s v="1873@rodosa.com"/>
        <s v="1874@gesel.ie.ufrj.br"/>
        <s v="1875@gmail.com"/>
        <s v="1887@gmail.com"/>
        <s v="1893@byguk.com"/>
        <s v="1896@gmail.com"/>
        <s v="1897@hotmail.es"/>
        <s v="1899@gmail.com"/>
        <s v="1900@hotmail.com"/>
        <s v="346@gmail.com"/>
        <s v="1901@gmail.com"/>
        <s v="1902@hotmail.com"/>
        <s v="986@hotmail.com"/>
        <s v="1905@gmail.com"/>
        <s v="1907@yahoo.es"/>
        <s v="1735@gruponovelec.com"/>
        <s v="1908@enel.com"/>
        <s v="1909@gmail.com"/>
        <s v="1911@gmail.com"/>
        <s v="1918@sgx.cat"/>
        <s v="1920@gmail.com"/>
        <s v="1921@msn.com"/>
        <s v="1401@auditenergia.com"/>
        <s v="809@naturgy.com"/>
        <s v="211@elgremi.cat"/>
        <s v="1924@merlosl.es"/>
        <s v="1926@elecam.com"/>
        <s v="701@gmail.com"/>
        <s v="1031@grupoitesa.com"/>
        <s v="1928@gmail.com"/>
        <s v="1929@hotmail.com"/>
        <s v="1930@gmail.com"/>
        <s v="1882@gmail.com"/>
        <s v="1931@gmail.com"/>
        <s v="1932@cotelsa.com"/>
        <s v="1487@gmail.com"/>
        <s v="1880@dipta.cat"/>
        <s v="1933@lujama.com"/>
        <s v="1934@ferrovial.com"/>
        <s v="260@hotmail.com"/>
        <s v="1935@telefonica.net"/>
        <s v="1889@cetim.cat"/>
        <s v="1675@exinor.com"/>
        <s v="1940@electromercantil.es"/>
        <s v="1941@hotmail.com"/>
        <s v="1604@geinstal.com"/>
        <s v="1942@ciudaddelosmuchachos.com"/>
        <s v="1945@ip21ingenieria.com"/>
        <s v="1946@gmail.com"/>
        <s v="1953@proyteczaragoza.com"/>
        <s v="1951@engimatica.com"/>
        <s v="1956@gmail.com"/>
        <s v="1696@gmail.com"/>
        <s v="1228@entax.es"/>
        <s v="1948@culmar.net"/>
        <s v="1947@gmail.com"/>
        <s v="1955@salesianos.edu"/>
        <s v="1957@msn.com"/>
        <s v="1959@gmail.com"/>
        <s v="1949@suno.cat"/>
        <s v="1944@didacticaformacion.es"/>
        <s v="1952@tinet.cat"/>
        <s v="1969@fundacionmasaveu.com"/>
        <s v="1961@hotmail.com"/>
        <s v="1872@gmail.com"/>
        <s v="1164@projecat.com"/>
        <s v="1966@gmail.com"/>
        <s v="1963@atisistemas.com"/>
        <s v="1943@gmail.com"/>
        <s v="1968@gmail.com"/>
        <s v="1967@ferrovial.com"/>
        <s v="1876@gmail.com"/>
        <s v="1962@lliro.com"/>
        <s v="1858@yahoo.es"/>
        <s v="1954@dicsl.com"/>
        <s v="1811@ansiel.eu"/>
        <s v="954@aiguesmanresa.cat"/>
        <s v="1878@gmail.com"/>
        <s v="1965@tienda-gasnatural.com"/>
        <s v="1976@electronavia.com"/>
        <s v="1036@grupoelectrostocks.com"/>
        <s v="1884@zuecoingenieria.com"/>
        <s v="1978@hotmail.com"/>
        <s v="1866@inrobadajoz.com"/>
        <s v="1983@suno.cat"/>
        <s v="1991@gmail.com"/>
        <s v="1748@salesianosatocha.es"/>
        <s v="1996@gmail.com"/>
        <s v="1995@gmail.com"/>
        <s v="1877@gmail.com"/>
        <s v="910@sogesa.es"/>
        <s v="1883@adingenieros.es"/>
        <s v="1994@gmail.com"/>
        <s v="2001@alainsa.com"/>
        <s v="1859@gmail.com"/>
        <s v="2002@camarasaragon.com"/>
        <s v="1980@hotmail.com"/>
        <s v="2004@mcamps.es"/>
        <s v="1992@proecoingenieria.com"/>
        <s v="1971@tienda-gasnatural.com"/>
        <s v="1894@arasolutions.es"/>
        <s v="2010@incasl.com"/>
        <s v="2006@masteringenieria.com"/>
        <s v="2009@gmail.com"/>
        <s v="563@salesianospamplona.net"/>
        <s v="2012@gmail.com"/>
        <s v="1327@tinet.org"/>
        <s v="2008@yahoo.es"/>
        <s v="2013@ecopimeprojects.com"/>
        <s v="2011@gmail.com"/>
        <s v="2019@didacticaformacion.es"/>
        <s v="1986@martipala.com"/>
        <s v="1324@hotmail.com"/>
        <s v="1886@outlook.com"/>
        <s v="1870@marlexingenieria.com"/>
        <s v="2021@osnova.net"/>
        <s v="1999@obrelsa.com"/>
        <s v="1108@enginyerstarragona.cat"/>
        <s v="2020@forestaldelatlantico.com"/>
        <s v="2024@grupooca.com"/>
        <s v="1891@ciudaddelosmuchachos.com"/>
        <s v="1892@soltecingenieros.com"/>
        <s v="1890@setenergia.com"/>
        <s v="2036@sece.com"/>
        <s v="2025@gmail.com"/>
        <s v="2030@gmail.com"/>
        <s v="2023@gmail.com"/>
        <s v="2022@solarinspain.com"/>
        <s v="1869@gmail.com"/>
        <s v="2027@hotmail.com"/>
        <s v="1879@jafenginyeria.cat"/>
        <s v="1985@tinet.org"/>
        <s v="2037@agefred.es"/>
        <s v="2041@electromercantil.es"/>
        <s v="2035@yahoo.es"/>
        <s v="2000@hotmail.com"/>
        <s v="1998@gmail.com"/>
        <s v="2028@grupooca.com"/>
        <s v="1970@electrificacionesparra.es"/>
        <s v="2042@gmail.com"/>
        <s v="2045@gmail.com"/>
        <s v="2046@gmail.com"/>
        <s v="1118@coitiar.es"/>
        <s v="1676@unex.net"/>
        <s v="2049@telefonica.net"/>
        <s v="1972@projecal.com"/>
        <s v="2047@gmail.com"/>
        <s v="1834@valls.cat"/>
        <s v="2048@visioelectric.es"/>
        <s v="1543@cotpa.com"/>
        <s v="406@gmail.com"/>
        <s v="2014@gmail.com"/>
        <s v="2034@tienda-gasnatural.com"/>
        <s v="2053@sades.es"/>
        <s v="1990@gmail.com"/>
        <s v="1973@ingekor.com"/>
        <s v="2055@gmail.com"/>
        <s v="2056@hotmail.com"/>
        <s v="2057@gmail.com"/>
        <s v="1355@gmail.com"/>
        <s v="55@hotmail.com"/>
        <s v="2059@gmail.com"/>
        <s v="2060@gmail.com"/>
        <s v="2061@hotmail.es"/>
        <s v="837@gmail.com"/>
        <s v="2063@gmail.com"/>
        <s v="1535@hotmail.com"/>
        <s v="2064@hotmail.com"/>
        <s v="2065@gmail.com"/>
        <s v="152@gmail.com"/>
        <s v="1982@hotmail.com"/>
        <s v="2068@gencat.cat"/>
        <s v="2070@hotmail.com"/>
        <s v="2071@gmail.com"/>
        <s v="180@aquambiente.es"/>
        <s v="1927@anbatel.com"/>
        <s v="476@hotmail.com"/>
        <s v="2072@gmail.com"/>
        <s v="2073@gmail.com"/>
        <s v="2076@gmail.com"/>
        <s v="1441@gmail.com"/>
        <s v="543@andreumanteniment.com"/>
        <s v="2079@gmail.com"/>
        <s v="2080@grupoelectrostocks.com"/>
        <s v="2082@hotmail.com"/>
        <s v="2086@farelle.com"/>
        <s v="2087@hotmail.com"/>
        <s v="2088@gmail.com"/>
        <s v="2089@hotmail.com"/>
        <s v="2090@estabanell.cat"/>
        <s v="2091@gmail.com"/>
        <s v="2092@outlook.com"/>
        <s v="2093@gmail.com"/>
        <s v="3044@electricidadaldama.com"/>
        <s v="2095@hotmail.com"/>
        <s v="2096@formasymateriales.com"/>
        <s v="2099@grupoelectrostocks.com"/>
        <s v="2097@hotmail.com"/>
        <s v="2101@gmail.com"/>
        <s v="2103@hotmail.com"/>
        <s v="2105@nauta.cu"/>
        <s v="2108@emvisesa.org"/>
        <s v="2109@huelvanorte.es"/>
        <s v="2110@ingeconsulting.com"/>
        <s v="400@arquired.es"/>
        <s v="2112@gmail.com"/>
        <s v="2113@gmail.com"/>
        <s v="1418@gmail.com"/>
        <s v="3045@donbany.com"/>
        <s v="2115@outlook.es"/>
        <s v="2116@gmail.com"/>
        <s v="2117@gmail.com"/>
        <s v="2118@hotmail.com"/>
        <s v="2120@gmail.com"/>
        <s v="2121@gmail.com"/>
        <s v="2122@somains.com"/>
        <s v="2123@gmail.com"/>
        <s v="2062@euskalnet.net"/>
        <s v="1845@hotmail.com"/>
        <s v="2127@hotmail.com"/>
        <s v="799@yahoo.es"/>
        <s v="2128@gmail.com"/>
        <s v="2131@gmail.com"/>
        <s v="3046@gmail.com"/>
        <s v="2132@hotmail.com"/>
        <s v="2133@gmail.com"/>
        <s v="2134@gmx.es"/>
        <s v="1157@himalayaclimatizacionycontrol.es"/>
        <s v="2135@gmail.com"/>
        <s v="2136@gmail.com"/>
        <s v="2137@hotmail.com"/>
        <s v="2138@gmail.com"/>
        <s v="2139@gmail.com"/>
        <s v="2125@ctac.es"/>
        <s v="2143@gmail.com"/>
        <s v="2144@gmail.com"/>
        <s v="2145@gmail.com"/>
        <s v="2141@gmail.com"/>
        <s v="2147@gmail.com"/>
        <s v="2148@gmail.com"/>
        <s v="2149@gmail.com"/>
        <s v="1202@gmail.com"/>
        <s v="2150@yahoo.es"/>
        <s v="2151@gmail.com"/>
        <s v="1764@gmail.com"/>
        <s v="2153@gmail.com"/>
        <s v="2154@gmail.com"/>
        <s v="2155@gmail.com"/>
        <s v="2156@gmail.com"/>
        <s v="2157@hotmail.com"/>
        <s v="278@urbaser.com"/>
        <s v="2158@gmail.com"/>
        <s v="2159@hotmail.com"/>
        <s v="2160@yahoo.es"/>
        <s v="1018@esmassmart.com"/>
        <s v="2152@igkarratu.com"/>
        <s v="2162@gienergygroup.com"/>
        <s v="355@gmail.com"/>
        <s v="2163@hotmail.com"/>
        <s v="2164@macegroup.com"/>
        <s v="366@gmail.com"/>
        <s v="2165@orangemail.es"/>
        <s v="2166@gmail.com"/>
        <s v="291@yahoo.es"/>
        <s v="2169@gmail.com"/>
        <s v="3047@gmail.com"/>
        <s v="2173@menendezygamonal.com"/>
        <s v="1558@gmail.com"/>
        <s v="791@hotmail.com"/>
        <s v="1860@gmail.com"/>
        <s v="947@clysema.com"/>
        <s v="1550@die.upv.es"/>
        <s v="2175@canogarcia.es"/>
        <s v="2176@hotmail.com"/>
        <s v="2178@altair.edu.es"/>
        <s v="2180@hotmail.com"/>
        <s v="2182@hotmail.com"/>
        <s v="844@certis.cat"/>
        <s v="2184@suris.es"/>
        <s v="2185@gmail.com"/>
        <s v="2189@infova.es"/>
        <s v="2190@hotmail.com"/>
        <s v="2191@hotmail.es"/>
        <s v="2192@itcl.es"/>
        <s v="2193@gmail.com"/>
        <s v="2194@mesado.es"/>
        <s v="2195@yahoo.es"/>
        <s v="2196@telefonica.net"/>
        <s v="2198@gmail.com"/>
        <s v="2199@gmail.com"/>
        <s v="2140@gmail.com"/>
        <s v="2200@gmail.com"/>
        <s v="2201@4fils.es"/>
        <s v="307@yahoo.es"/>
        <s v="2203@gmail.com"/>
        <s v="2204@hotmail.es"/>
        <s v="2205@gmail.com"/>
        <s v="2206@gmail.com"/>
        <s v="2207@gmail.com"/>
        <s v="2208@wp.pl"/>
        <s v="2210@hotmail.com"/>
        <s v="2197@outlook.es"/>
        <s v="2212@pgiengineering.com"/>
        <s v="2214@hotmail.com"/>
        <s v="2215@gmail.com"/>
        <s v="2217@gmail.com"/>
        <s v="2219@teigatmi.es"/>
        <s v="2220@hotmail.com"/>
        <s v="2221@hotmail.com"/>
        <s v="2223@hotmail.com"/>
        <s v="2224@gmail.com"/>
        <s v="2225@evectra.es"/>
        <s v="3048@ferrovial.com"/>
        <s v="198@hotmail.es"/>
        <s v="2226@hotmail.com"/>
        <s v="2077@gmail.com"/>
        <s v="2228@gmail.com"/>
        <s v="2229@enerluz.es"/>
        <s v="2230@hotmail.com"/>
        <s v="2231@hotmail.com"/>
        <s v="2233@gmail.com"/>
        <s v="2234@hotmail.com"/>
        <s v="2235@hotmail.com"/>
        <s v="2236@hotmail.com"/>
        <s v="2238@hotmail.es"/>
        <s v="2239@gmail.com"/>
        <s v="2240@coac.net"/>
        <s v="1681@gmail.com"/>
        <s v="2243@gmail.com"/>
        <s v="2069@gmail.com"/>
        <s v="2244@outlook.com"/>
        <s v="2124@gmail.com"/>
        <s v="3049@suris.es"/>
        <s v="2213@gmail.com"/>
        <s v="2247@gmail.com"/>
        <s v="199@elektra-sa.es"/>
        <s v="2250@gmail.com"/>
        <s v="1850@yahoo.com"/>
        <s v="2253@hotmail.com"/>
        <s v="2254@gmail.com"/>
        <s v="392@gmail.com"/>
        <s v="2256@gmail.com"/>
        <s v="2257@hotmail.com"/>
        <s v="137@alcar2000.com"/>
        <s v="1443@hotmail.com"/>
        <s v="2261@grupoefelec.com"/>
        <s v="3050@gmail.com"/>
        <s v="3051@hotmail.es"/>
        <s v="3052@elecnor.com"/>
        <s v="3053@gmail.com"/>
        <s v="3054@autosvaliente.net"/>
        <s v="2263@gmail.com"/>
        <s v="3055@gatlantica.com"/>
        <s v="595@centroasturianobarcelona.com"/>
        <s v="3056@hotmail.com"/>
        <s v="2264@gmail.com"/>
        <s v="2265@gmail.com"/>
        <s v="1584@gmail.com"/>
        <s v="3057@gmail.com"/>
        <s v="1863@hotmail.com"/>
        <s v="3058@hotmail.es"/>
        <s v="3059@gmail.com"/>
        <s v="3060@hotmail.com"/>
        <s v="3061@gmail.com"/>
        <s v="2266@gmail.com"/>
        <s v="1100@boffor.com"/>
        <s v="2270@hotmail.com"/>
        <s v="296@gmail.com"/>
        <s v="3062@gmail.com"/>
        <s v="404@hotmail.com"/>
        <s v="3063@gmail.com"/>
        <s v="2188@gmail.com"/>
        <s v="2248@telefonica.net"/>
        <s v="280@susaeta.net"/>
        <s v="3064@upm.es"/>
        <s v="463@gmail.com"/>
        <s v="2129@gmail.com"/>
        <s v="389@yahoo.es"/>
        <s v="143@gmail.com"/>
        <s v="262@gmail.com"/>
        <s v="3065@sarria.salesians.cat"/>
        <s v="368@gmail.com"/>
        <s v="1402@gmail.com"/>
        <s v="403@hotmail.com"/>
        <s v="3066@gmail.com"/>
        <s v="2066@gmail.com"/>
        <s v="2280@gmail.com"/>
        <s v="3067@gmail.com"/>
        <s v="364@telefonica.net"/>
        <s v="270@gmail.com"/>
        <s v="1218@gmail.com"/>
        <s v="1093@edu.xunta.es"/>
        <s v="2255@yahoo.es"/>
        <s v="1913@gmail.com"/>
        <s v="271@pkcgroup.com"/>
        <s v="177@mobcn.org"/>
        <s v="276@gmail.com"/>
        <s v="3068@irakasle.net"/>
        <s v="3069@coitim.es"/>
        <s v="2268@gmail.com"/>
        <s v="3070@gmail.com"/>
        <s v="3071@garridoinstalaciones.com"/>
        <s v="3072@hotmail.com"/>
        <s v="3073@gmail.com"/>
        <s v="2289@hotmail.com"/>
        <s v="2297@sece.com"/>
        <s v="2300@grupoelectrostocks.com"/>
        <s v="2302@agosa.es"/>
        <s v="2306@somosemotion.es"/>
        <s v="2308@gmail.com"/>
        <s v="3074@gmail.com"/>
        <s v="2316@telecable.es"/>
        <s v="2318@grupo-jarama.com"/>
        <s v="2320@electrovizcaya.com"/>
        <s v="2321@coto.pro"/>
        <s v="2325@ingenierosvalladolid.es"/>
        <s v="2327@gmail.com"/>
        <s v="3075@hotmail.com"/>
        <s v="3076@gmail.com"/>
        <s v="2338@gmail.com"/>
        <s v="2339@monlau.com"/>
        <s v="1938@gmail.com"/>
        <s v="2347@visaonomada.pt"/>
        <s v="2353@conecta-sistemas.com"/>
        <s v="2356@infova.es"/>
        <s v="2366@energies.cat"/>
        <s v="2368@gmail.com"/>
        <s v="3077@gmail.co"/>
        <s v="3078@hotmail.com"/>
        <s v="2373@grupoelectrostocks.com"/>
        <s v="2379@erf.cat"/>
        <s v="2382@hotmail.com"/>
        <s v="2174@wurth.es"/>
        <s v="2216@bladis.com"/>
        <s v="2406@gmail.com"/>
        <s v="2408@me.com"/>
        <s v="3079@yahoo.es"/>
        <s v="3080@gmail.com"/>
        <s v="3081@yahoo.com"/>
        <s v="1233@hotmail.com"/>
        <s v="3082@gmail.com"/>
        <s v="3083@hotmail.com"/>
        <s v="3084@hotmail.com"/>
        <s v="1687@gestilar.com"/>
        <s v="3085@gmail.com"/>
        <s v="3086@gmail.com"/>
        <s v="2358@hotmail.es"/>
        <s v="3087@gmail.com"/>
        <s v="2187@hotmail.com"/>
        <s v="3088@grupoelectrostocks.com"/>
        <s v="3089@yahoo.es"/>
        <s v="3090@hotmail.com"/>
        <s v="3091@hotmail.com"/>
        <s v="3092@hotmail.com"/>
        <s v="1411@ujaen.es"/>
        <s v="2444@gmail.com"/>
        <s v="3093@gmail.com"/>
        <s v="2446@hotmail.com"/>
        <s v="2447@etecnic.es"/>
        <s v="2448@uvigo.es"/>
        <s v="3094@hotmail.com"/>
        <s v="3095@wallbox.com"/>
        <s v="2449@magtel.es"/>
        <s v="3096@hotmail.com"/>
        <s v="561@aialmeingenieros.com"/>
        <s v="3097@hotmail.com"/>
        <s v="2452@fi-group.com"/>
        <s v="3098@soc.redcitroen.com"/>
        <s v="3099@hotmail.com"/>
        <s v="2453@insitecaingenieros.com"/>
        <s v="2443@gmail.com"/>
        <s v="2454@gmail.com"/>
        <s v="2455@gmail.com"/>
        <s v="415@gmail.com"/>
        <s v="2456@serlujua.com"/>
        <s v="2458@gmail.com"/>
        <s v="3100@cold-facilities.com"/>
        <s v="2281@hotmail.com"/>
        <s v="2462@gmail.com"/>
        <s v="3101@hotmail.com"/>
        <s v="3102@gmail.com"/>
        <s v="3103@gmail.com"/>
        <s v="3104@hotmail.com"/>
        <s v="3105@tecnoantena.es"/>
        <s v="3106@hotmail.com"/>
        <s v="3107@gmail.com"/>
        <s v="2457@gmail.com"/>
        <s v="3108@gmail.com"/>
        <s v="3109@gmail.com"/>
        <s v="3110@gmail.com"/>
        <s v="2029@sonepar.es"/>
        <s v="3111@hotmail.com"/>
        <s v="1632@iremael.com"/>
        <s v="3112@moinpro.es"/>
        <s v="1144@idponline.net"/>
        <s v="1188@gmail.com"/>
        <s v="1974@proluxingenieros.com"/>
        <s v="2468@gmail.com"/>
        <s v="3113@gmail.com"/>
        <s v="2470@gmail.com"/>
        <s v="749@gmail.com"/>
        <s v="3114@hotmail.com"/>
        <s v="2286@hotmail.com"/>
        <s v="2477@moralesyartigasabogados.com"/>
        <s v="2478@gmail.com"/>
        <s v="3115@gmail.com"/>
        <s v="2167@outlook.es"/>
        <s v="2481@apogeaconsulting.com"/>
        <s v="654@staperpetua.cat"/>
        <s v="687@outlook.es"/>
        <s v="3116@msn.com"/>
        <s v="2486@hotmail.com"/>
        <s v="3117@gmail.com"/>
        <s v="2437@dos-atf.es"/>
        <s v="2488@gmail.com"/>
        <s v="2489@proytecenergia.com"/>
        <s v="2490@mantenencies.com"/>
        <s v="2491@saltoki.es"/>
        <s v="3118@gmail.com"/>
        <s v="3119@hotmail.com"/>
        <s v="2469@yca.es"/>
        <s v="2495@gmail.com"/>
        <s v="3120@pine.zimacorp.es"/>
        <s v="3121@hotmail.com"/>
        <s v="153@telefonica.net"/>
        <s v="2498@adtelcom.es"/>
        <s v="3122@gmail.com"/>
        <s v="3123@hotmail.com"/>
        <s v="3124@dtas.es"/>
        <s v="38@telefonica.net"/>
        <s v="2508@solardelvalle.es"/>
        <s v="3125@galansat.es"/>
        <s v="2497@gmail.com"/>
        <s v="3126@gmail.com"/>
        <s v="3127@gmail.com"/>
        <s v="3128@gmail.com"/>
        <s v="2483@gmail.com"/>
        <s v="3129@gmail.com"/>
        <s v="3130@gmail.com"/>
        <s v="2512@hotmail.com"/>
        <s v="3131@gmail.com"/>
        <s v="3132@gmail.com"/>
        <s v="3133@danfar.com"/>
        <s v="362@hotmail.com"/>
        <s v="3134@gmail.com"/>
        <s v="2519@hotmail.com"/>
        <s v="1805@gmail.com"/>
        <s v="3135@salesianospizarrales.com"/>
        <s v="2523@ipae.es"/>
        <s v="2524@me.com"/>
        <s v="2525@gmail.com"/>
        <s v="2472@gmail.com"/>
        <s v="3136@ineleeg.es"/>
        <s v="2527@gmail.com"/>
        <s v="1001@hotmail.com"/>
        <s v="2246@eleko.es"/>
        <s v="2531@arquitecturaygestion.com"/>
        <s v="1377@hotmail.com"/>
        <s v="572@gmail.com"/>
        <s v="3137@gmail.com"/>
        <s v="2434@gmail.com"/>
        <s v="3138@hotmail.com"/>
        <s v="2542@tecnica4.com"/>
        <s v="3139@coitt.es"/>
        <s v="3140@yahoo.es"/>
        <s v="2545@telefonica.net"/>
        <s v="3141@hotmail.com"/>
        <s v="398@ciudaddelosmuchachos.com"/>
        <s v="2551@inelsa.com"/>
        <s v="3142@yahoo.es"/>
        <s v="2549@gmail.com"/>
        <s v="2558@gmail.com"/>
        <s v="2562@artesolar.com"/>
        <s v="3143@gmail.com"/>
        <s v="2579@fgc.cat"/>
        <s v="1510@adelanteenergia.es"/>
        <s v="2599@sazepi.com"/>
        <s v="2620@icloud.com"/>
        <s v="2513@gmail.com"/>
        <s v="178@tec-engineering.es"/>
        <s v="2657@a4ingenieria.es"/>
        <s v="2659@gmail.com"/>
        <s v="2664@gmail.com"/>
        <s v="2260@gmail.com"/>
        <s v="3144@fundacionfunme.org"/>
        <s v="3145@email.com"/>
        <s v="2461@yahoo.es"/>
        <s v="2670@gmail.com"/>
        <s v="2671@gmail.com"/>
        <s v="2672@gmail.com"/>
        <s v="3146@gmail.com"/>
        <s v="3147@hotmail.com"/>
        <s v="3148@gmail.com"/>
        <s v="1109@gmail.com"/>
        <s v="3149@gmail.com"/>
        <s v="2676@gmail.com"/>
        <s v="2473@hotmail.com"/>
        <s v="3150@gmail.com"/>
        <s v="3151@gmail.com"/>
        <s v="3152@aceuve.com"/>
        <s v="2677@gmail.com"/>
        <s v="3153@gmail.com"/>
        <s v="3154@hotmail.com"/>
        <s v="2678@impact-al.com"/>
        <s v="1289@gmail.com"/>
        <s v="709@gmail.com"/>
        <s v="3155@gmail.com"/>
        <s v="3156@gmail.com"/>
        <s v="3157@hotmail.com"/>
        <s v="2681@sueprat.es"/>
        <s v="3158@ofintec.es"/>
        <s v="1160@copcisa.com"/>
        <s v="2683@live.fr"/>
        <s v="3159@gmail.com"/>
        <s v="3160@yahoo.com"/>
        <s v="3161@hotmail.com"/>
        <s v="3162@hotmail.com"/>
        <s v="2684@hotmail.com"/>
        <s v="2686@kbingenieria.com"/>
        <s v="3163@hotmail.com"/>
        <s v="3164@gmail.com"/>
        <s v="2688@hotmail.com"/>
        <s v="2635@ambginy.com"/>
        <s v="3165@hotmail.com"/>
        <s v="3166@enrelec.com"/>
        <s v="2692@gmail.com"/>
        <s v="2694@gmail.com"/>
        <s v="3167@gmail.com"/>
        <s v="2695@inelt.es"/>
        <s v="1665@gmail.com"/>
        <s v="1249@gmail.com"/>
        <s v="1482@gmail.com"/>
        <s v="2698@gmail.com"/>
        <s v="3168@hotmail.com"/>
        <s v="3169@hotmail.com"/>
        <s v="2700@hotmail.com"/>
        <s v="3170@hotmail.com"/>
        <s v="3171@rivadulla.cat"/>
        <s v="1089@gmail.com"/>
        <s v="2701@gmail.com"/>
        <s v="2682@dipucuenca.es"/>
        <s v="2703@hotmail.com"/>
        <s v="3172@solardelvalle.es"/>
        <s v="2705@tmb.cat"/>
        <s v="2662@gmail.com"/>
        <s v="3173@hotmail.com"/>
        <s v="3174@hotmail.com"/>
        <s v="2706@opportunity-one.com"/>
        <s v="2707@gmail.com"/>
        <s v="3175@hotmail.com"/>
        <s v="2709@construciainstalaciones.com"/>
        <s v="2711@infinitypv.com"/>
        <s v="2712@gmail.com"/>
        <s v="3176@hotmail.com"/>
        <s v="2713@gmail.com"/>
        <s v="2714@gma.es"/>
        <s v="2715@gmail.com"/>
        <s v="3177@hotmail.com"/>
        <s v="2716@gmail.com"/>
        <s v="2577@gmail.com"/>
        <s v="3178@hotmail.com"/>
        <s v="3179@gmail.com"/>
        <s v="3180@hotmail.com"/>
        <s v="3181@gmail.com"/>
        <s v="2717@gmail.com"/>
        <s v="2718@none.com"/>
        <s v="649@yahoo.es"/>
        <s v="3182@hormail.com"/>
        <s v="2719@saltoki.es"/>
        <s v="3183@gmail.com"/>
        <s v="3184@gmail.com"/>
        <s v="3185@gmail.com"/>
        <s v="171@gmail.com"/>
        <s v="2723@hotmail.com"/>
        <s v="2370@gmail.com"/>
        <s v="2725@hotmail.com"/>
        <s v="995@telefonica.net"/>
        <s v="3186@gmail.com"/>
        <s v="2727@gruponovelec.com"/>
        <s v="321@gmail.com"/>
        <s v="3187@gmail.com"/>
        <s v="2729@hotmail.com"/>
        <s v="2730@enzazaden.es"/>
        <s v="3188@hotmail.com"/>
        <s v="2732@gmail.com"/>
        <s v="2733@sigmaenginyers.es"/>
        <s v="2736@gmail.com"/>
        <s v="3189@ambling.es"/>
        <s v="2737@gmail.com"/>
        <s v="2739@constructorasanjose.com"/>
        <s v="2740@gmail.com"/>
        <s v="2741@cruzroja.es"/>
        <s v="3190@aprenergia.es"/>
        <s v="2743@itaipu.gov.py"/>
        <s v="1642@aytoguadalajara.es"/>
        <s v="2745@urbanresilience.eu"/>
        <s v="3191@gmail.com"/>
        <s v="2748@nitlux.es"/>
        <s v="920@meval.eu"/>
        <s v="2177@yahoo.es"/>
        <s v="3192@ingenierosdecadiz.es"/>
        <s v="2749@gmail.com"/>
        <s v="2114@tecnoclimainstalaciones.com"/>
        <s v="1682@hotmail.es"/>
        <s v="2752@ingener.net"/>
        <s v="2708@meta-sidecar.com"/>
        <s v="2754@emgvlasrozas.org"/>
        <s v="1295@hotmail.es"/>
        <s v="2756@gmail.com"/>
        <s v="2757@irradiaenergia.com"/>
        <s v="2758@gmail.com"/>
        <s v="2759@gmail.com"/>
        <s v="2760@yahoo.es"/>
        <s v="2762@gmail.com"/>
        <s v="3193@metalux.es"/>
        <s v="2764@gmail.com"/>
        <s v="3194@hotmail.es"/>
        <s v="1692@tecasol.net"/>
        <s v="2766@telefonica.net"/>
        <s v="2767@gmail.com"/>
        <s v="2768@gmail.com"/>
        <s v="3195@hotmail.com"/>
        <s v="2640@magserveis.com"/>
        <s v="3196@gmail.com"/>
        <s v="2769@gmail.com"/>
        <s v="3197@gmail.com"/>
        <s v="3198@gmail.com"/>
        <s v="2770@gmail.com"/>
        <s v="3199@gmail.com"/>
        <s v="2771@gmail.com"/>
        <s v="2735@gmail.com"/>
        <s v="3200@gmail.com"/>
        <s v="2774@trensfm.com"/>
        <s v="2775@gmail.com"/>
        <s v="1729@gmail.com"/>
        <s v="2776@pgiengineering.com"/>
        <s v="2777@huelva.es"/>
        <s v="3201@sub-vidayfoto.com"/>
        <s v="3202@msn.com"/>
        <s v="2780@abcgrup.com"/>
        <s v="3203@gmail.com"/>
        <s v="834@gmail.com"/>
        <s v="3204@gmail.com"/>
        <s v="3205@gmail.com"/>
        <s v="2782@gmail.com"/>
        <s v="2750@exavoltio.es"/>
        <s v="2783@gmail.com"/>
        <s v="439@edu.xunta.es"/>
        <s v="3206@hotmail.com"/>
        <s v="2784@coac.net"/>
        <s v="641@bodai.es"/>
        <s v="2786@metromadrid.es"/>
        <s v="2785@climarubi.com"/>
        <s v="1187@gmail.com"/>
        <s v="2728@gmail.com"/>
        <s v="2789@telefonica.net"/>
        <s v="2790@gmail.com"/>
        <s v="2792@ajcampos.org"/>
        <s v="3207@gmail.com"/>
        <s v="2793@gmail.com"/>
        <s v="2794@efinetika.com"/>
        <s v="2795@gmail.com"/>
        <s v="2796@gmail.com"/>
        <s v="2797@gmail.com"/>
        <s v="2798@yahoo.es"/>
        <s v="1221@gencat.cat"/>
        <s v="2799@oceanim.es"/>
        <s v="2800@gmail.com"/>
        <s v="2801@eei-ingenieria.com"/>
        <s v="1724@arbonapiza.com"/>
        <s v="2438@gmail.com"/>
        <s v="3208@hotmail.com"/>
        <s v="3209@gmail.com"/>
        <s v="2802@gonzalezsme.com"/>
        <s v="2533@hotmail.com"/>
        <s v="1697@yahoo.es"/>
        <s v="2074@hotmail.com"/>
        <s v="1079@outlook.es"/>
        <s v="2804@vtisl.com"/>
        <s v="888@zivautomation.com"/>
        <s v="2807@jhfsystemcrane.com"/>
        <s v="2269@qq.com"/>
        <s v="294@lumial.es"/>
        <s v="2810@sensorstecnics.net"/>
        <s v="2811@gmail.com"/>
        <s v="2812@martipala.com"/>
        <s v="3210@gmail.com"/>
        <s v="2813@gmail.com"/>
        <s v="2814@vitrosep.com"/>
        <s v="3211@gmail.com"/>
        <s v="3212@sharklasers.com"/>
        <s v="2440@imanzanera.com"/>
        <s v="3213@ucm.es"/>
        <s v="1475@electricidadreset.es"/>
        <s v="2815@gmail.com"/>
        <s v="2817@hotmail.com"/>
        <s v="2819@satydal.es"/>
        <s v="3214@msn.com"/>
        <s v="968@gmail.com"/>
        <s v="2821@gmail.com"/>
        <s v="2822@gmail.com"/>
        <s v="2471@gmail.com"/>
        <s v="2309@hotmail.com"/>
        <s v="3215@gmail.com"/>
        <s v="2634@hotmail.es"/>
        <s v="2479@hotmail.es"/>
        <s v="2824@gmail.com"/>
        <s v="2532@gmail.com"/>
        <s v="2602@saherlux.com"/>
        <s v="1757@indair-genercasadevall.cat"/>
        <s v="2505@gmail.com"/>
        <s v="3216@gmail.com"/>
        <s v="646@gmail.com"/>
        <s v="3217@hotmail.com"/>
        <s v="3218@hotmail.com"/>
        <s v="484@macegroup.com"/>
        <s v="1615@hotmail.es"/>
        <s v="204@ebcn.cat"/>
        <s v="3219@me.com"/>
        <s v="2778@empretelco.es"/>
        <s v="3220@gmail.com"/>
        <s v="3221@hotmail.es"/>
        <s v="2837@gmail.com"/>
        <s v="416@dominguezelectricidad.es"/>
        <s v="2809@solerteselen.cat"/>
        <s v="2622@instavi.es"/>
        <s v="3222@casagrandexanceda.com"/>
        <s v="3223@hotmail.com"/>
        <s v="3224@seidor.es"/>
        <s v="3225@gmail.com"/>
        <s v="2841@blaudrive.com"/>
        <s v="1794@enchufing.com"/>
        <s v="927@argionelectric.es"/>
        <s v="319@gmail.com"/>
        <s v="1302@alem.es"/>
        <s v="965@gmail.com"/>
        <s v="730@hotmail.com"/>
        <s v="2779@gmail.com"/>
        <s v="1266@gmail.com"/>
        <s v="668@dipucordoba.es"/>
        <s v="2540@gmail.com"/>
        <s v="2846@kubicat.com"/>
        <s v="3226@yahoo.es"/>
        <s v="3227@gmail.com"/>
        <s v="2847@gmail.com"/>
        <s v="3228@gmail.com"/>
        <s v="3229@hotmail.com"/>
        <s v="3230@gmial.com"/>
        <s v="2587@picocompany.es"/>
        <s v="3231@anframa.com"/>
        <s v="3232@ufd.es"/>
        <s v="3233@gmail.com"/>
        <s v="3234@hotmail.com"/>
        <s v="3235@hotmail.com"/>
        <s v="2849@gmail.com"/>
        <s v="3236@enzazaden.es"/>
        <s v="3237@gmail.com"/>
        <s v="3238@optimainfraestructuras.com"/>
        <s v="2852@gmail.com"/>
        <s v="2853@gmail.com"/>
        <s v="2854@voltplus.es"/>
        <s v="1763@coacordoba.net"/>
        <s v="2808@gmail.com"/>
        <s v="2679@hotmail.com"/>
        <s v="2857@gmail.com"/>
        <s v="2858@gmail.com"/>
        <s v="1147@magalux.es"/>
        <s v="3239@gmail.com"/>
        <s v="2863@hibrielectric.com"/>
        <s v="2862@gmail.com"/>
        <s v="2864@gmail.com"/>
        <s v="315@bongrup.es"/>
        <s v="3240@gmail.com"/>
        <s v="3241@gmx.es"/>
        <s v="3242@gmail.com"/>
        <s v="3243@gmail.com"/>
        <s v="1021@proturhotels.com"/>
        <s v="2828@coaatz.org"/>
        <s v="232@mersa.es"/>
        <s v="2866@hotmail.com"/>
        <s v="3244@hotmail.com"/>
        <s v="3245@gmail.com"/>
        <s v="3246@gmail.com"/>
        <s v="3247@hotmail.com"/>
        <s v="2867@jqadvisors.com"/>
        <s v="2869@montajes-medyp.com"/>
        <s v="3248@hormail.com"/>
        <s v="3249@gmail.com"/>
        <s v="3250@gmail.com"/>
        <s v="3251@gmail.com"/>
        <s v="2871@assinsta.com"/>
        <s v="675@aclingenieria.com"/>
        <s v="2874@broa.net"/>
        <s v="2876@gmail.com"/>
        <s v="534@gmail.com"/>
        <s v="1293@gmail.com"/>
        <s v="1649@vamostelecom.es"/>
        <s v="2879@hbalcells.com"/>
        <s v="3252@gmail.com"/>
        <s v="3253@hotmail.es"/>
        <s v="2818@gmail.com"/>
        <s v="3254@gmail.com"/>
        <s v="3255@gmail.com"/>
        <s v="2344@tecmagenil.es"/>
        <s v="1122@hotmail.es"/>
        <s v="394@yahoo.es"/>
        <s v="2881@hotmail.com"/>
        <s v="2882@secorsa.com"/>
        <s v="3256@gmail.com"/>
        <s v="2883@acciona.com"/>
        <s v="2884@gmail.com"/>
        <s v="3257@hotmail.es"/>
        <s v="2181@gmail.com"/>
        <s v="3258@gmail.com"/>
        <s v="3259@gmail.com"/>
        <s v="3260@gmail.co."/>
        <s v="2885@instalacionessegura.es"/>
        <s v="1776@incat.cat"/>
        <s v="2859@hotmail.com"/>
        <s v="3261@gikasl.es"/>
        <s v="2850@hotmail.com"/>
        <s v="2888@proalingenieros.com"/>
        <s v="3262@gmail.com"/>
        <s v="2509@elecnor.es"/>
        <s v="2107@danmur.es"/>
        <s v="2892@gmail.com"/>
        <s v="2842@yahoo.es"/>
        <s v="2893@yahoo.com"/>
        <s v="3263@gmail.com"/>
        <s v="3264@vila-real.es"/>
        <s v="3265@gmail.com"/>
        <s v="2894@me.com"/>
        <s v="832@suministradora.com"/>
        <s v="2896@energia.eiffage.es"/>
        <s v="2755@gmail.com"/>
        <s v="2899@gmail.com"/>
        <s v="207@tecnicasyrecursos.com"/>
        <s v="2886@construroura.es"/>
        <s v="3266@hotmail.com"/>
        <s v="2075@gmail.com"/>
        <s v="3267@gmail.com"/>
        <s v="3268@gmail.com"/>
        <s v="2868@cipfplacostera.com"/>
        <s v="3269@hotmail.com"/>
        <s v="3270@gmail.com"/>
        <s v="2906@comb.cat"/>
        <s v="3271@yahoo.es"/>
        <s v="3272@iesarxiduc.net"/>
        <s v="3273@gmail.com"/>
        <s v="2307@gmail.com"/>
        <s v="3274@telefonica.net"/>
        <s v="2907@generaeficiencia.com"/>
        <s v="1182@damm.es"/>
        <s v="3275@hotmail.com"/>
        <s v="2909@ekoleds.com"/>
        <s v="2823@mindual.com"/>
        <s v="1344@gmail.com"/>
        <s v="3276@telefonica.net"/>
        <s v="3277@cyeservicios.es"/>
        <s v="1068@dominion.es"/>
        <s v="2877@gammasg.com"/>
        <s v="2917@mastercentella.com"/>
        <s v="3278@gmail.com"/>
        <s v="2873@gmail.com"/>
        <s v="3279@ya.com"/>
        <s v="3280@outlook.es"/>
        <s v="3281@gmail.com"/>
        <s v="2919@gmail.com"/>
        <s v="3282@armentalis.es"/>
        <s v="3283@hotmail.com"/>
        <s v="1203@smarthaus.studio"/>
        <s v="3284@efimarket.com"/>
        <s v="1413@gmail.com"/>
        <s v="2924@gmail.com"/>
        <s v="2441@berdin.com"/>
        <s v="2926@elherco.com"/>
        <s v="3285@gmail.com"/>
        <s v="1751@altener.es"/>
        <s v="3286@anticimex.com.es"/>
        <s v="2927@interflex.es"/>
        <s v="2929@baurenginyers.cat"/>
        <s v="3287@gmail.com"/>
        <s v="3288@gmail.com"/>
        <s v="3289@gmail.com"/>
        <s v="3290@hotmail.com"/>
        <s v="806@gmail.com"/>
        <s v="3291@sara-07.es"/>
        <s v="3292@movistar.es"/>
        <s v="3293@hotmail.es"/>
        <s v="3294@gmail.com"/>
        <s v="3295@telefonica.net"/>
        <s v="1323@gmail.com"/>
        <s v="3296@canillos.com"/>
        <s v="3297@hotmail.com"/>
        <s v="3298@hotmail.com"/>
        <s v="3299@hotmail.com"/>
        <s v="3300@hotmail.com"/>
        <s v="1097@santaeulalia.cat"/>
        <s v="3301@gmail.com"/>
        <s v="3302@gmail.com"/>
        <s v="2522@gmail.com"/>
        <s v="2931@telefonica.net"/>
        <s v="3303@gmail.com"/>
        <s v="2922@tecnicanorte.com"/>
        <s v="2934@gruponovelec.com"/>
        <s v="3304@gmail.com"/>
        <s v="3305@hotmail.es"/>
        <s v="3306@gmail.com"/>
        <s v="314@bitrir.es"/>
        <s v="2937@gmail.com"/>
        <s v="442@hotmail.com"/>
        <s v="2939@oscarcaselles.com"/>
        <s v="3307@tica.es"/>
        <s v="929@acciona.com"/>
        <s v="3308@gmail.com"/>
        <s v="3309@covisa.cat"/>
        <s v="3310@gmail.com"/>
        <s v="3311@gmail.com"/>
        <s v="2941@gmail.com"/>
        <s v="2942@ragaluz.com"/>
        <s v="3312@gmail.com"/>
        <s v="3313@gmail.com"/>
        <s v="3314@hotmail.com"/>
        <s v="2944@prysmiangroup.com"/>
        <s v="3315@hotmail.com"/>
        <s v="2947@gmail.com"/>
        <s v="2950@telematel.com"/>
        <s v="1556@electricidadguerra.com"/>
        <s v="2953@sinophosgroup.com"/>
        <s v="3316@hotmail.com"/>
        <s v="3317@bonetcars.com"/>
        <s v="2955@imamagnets.com"/>
        <s v="3318@gmail.com"/>
        <s v="3319@gmail.com"/>
        <s v="3320@googlemail.com"/>
        <s v="3321@gmail.com"/>
        <s v="2958@gmail.com"/>
        <s v="3322@gmail.com"/>
        <s v="3323@gmail.com"/>
        <s v="3324@gmail.com"/>
        <s v="3325@gmail.com"/>
        <s v="3326@laosoler.com"/>
        <s v="2360@viplaro.com"/>
        <s v="2961@mqrenovables.com"/>
        <s v="2960@gmail.com"/>
        <s v="2962@gmail.com"/>
        <s v="3327@hotmail.com"/>
        <s v="3328@gmail.com"/>
        <s v="3329@hotmail.es"/>
        <s v="2963@gmail.com"/>
        <s v="3330@aplicaciones.com"/>
        <s v="3331@hotmail.com"/>
        <s v="3332@gmail.com"/>
        <s v="428@hotmail.com"/>
        <s v="3333@gmail.com"/>
        <s v="2972@us.es"/>
        <s v="2975@gmail.com"/>
        <s v="2983@hotmail.com"/>
        <s v="3334@fundacionmetal.org"/>
        <s v="1434@planamar.com"/>
        <s v="2313@gmail.com"/>
        <s v="2973@rt105.es"/>
        <s v="1498@gmail.com"/>
        <s v="2998@dosreisinstalaciones.es"/>
        <s v="3335@igrenergeticos.es"/>
        <m/>
      </sharedItems>
    </cacheField>
    <cacheField name="date" numFmtId="164">
      <sharedItems containsNonDate="0" containsDate="1" containsString="0" containsBlank="1" minDate="2020-01-02T08:22:00Z" maxDate="2020-07-01T16:15:00Z">
        <d v="2020-06-30T16:15:00Z"/>
        <d v="2020-06-30T12:44:00Z"/>
        <d v="2020-06-30T11:54:00Z"/>
        <d v="2020-06-30T09:58:00Z"/>
        <d v="2020-06-30T06:44:00Z"/>
        <d v="2020-06-29T15:18:00Z"/>
        <d v="2020-06-29T14:46:00Z"/>
        <d v="2020-06-29T13:23:00Z"/>
        <d v="2020-06-29T09:55:00Z"/>
        <d v="2020-06-29T08:52:00Z"/>
        <d v="2020-06-28T16:09:00Z"/>
        <d v="2020-06-27T23:33:00Z"/>
        <d v="2020-06-27T17:16:00Z"/>
        <d v="2020-06-27T15:44:00Z"/>
        <d v="2020-06-27T11:30:00Z"/>
        <d v="2020-06-27T08:58:00Z"/>
        <d v="2020-06-27T03:10:00Z"/>
        <d v="2020-06-26T23:32:00Z"/>
        <d v="2020-06-26T17:22:00Z"/>
        <d v="2020-06-26T07:23:00Z"/>
        <d v="2020-06-25T13:59:00Z"/>
        <d v="2020-06-25T12:03:00Z"/>
        <d v="2020-06-25T07:25:00Z"/>
        <d v="2020-06-24T07:44:00Z"/>
        <d v="2020-06-23T19:23:00Z"/>
        <d v="2020-06-23T17:59:00Z"/>
        <d v="2020-06-23T14:58:00Z"/>
        <d v="2020-06-23T12:44:00Z"/>
        <d v="2020-06-23T12:43:00Z"/>
        <d v="2020-06-23T10:47:00Z"/>
        <d v="2020-06-23T06:40:00Z"/>
        <d v="2020-06-23T03:39:00Z"/>
        <d v="2020-06-22T23:58:00Z"/>
        <d v="2020-06-22T14:04:00Z"/>
        <d v="2020-06-22T13:43:00Z"/>
        <d v="2020-06-22T13:23:00Z"/>
        <d v="2020-06-22T12:23:00Z"/>
        <d v="2020-06-22T11:55:00Z"/>
        <d v="2020-06-22T11:52:00Z"/>
        <d v="2020-06-21T21:00:00Z"/>
        <d v="2020-06-21T17:05:00Z"/>
        <d v="2020-06-21T16:43:00Z"/>
        <d v="2020-06-21T13:56:00Z"/>
        <d v="2020-06-21T13:20:00Z"/>
        <d v="2020-06-21T10:41:00Z"/>
        <d v="2020-06-21T09:58:00Z"/>
        <d v="2020-06-21T09:45:00Z"/>
        <d v="2020-06-21T09:17:00Z"/>
        <d v="2020-06-20T22:18:00Z"/>
        <d v="2020-06-20T17:41:00Z"/>
        <d v="2020-06-20T10:06:00Z"/>
        <d v="2020-06-20T09:50:00Z"/>
        <d v="2020-06-20T09:29:00Z"/>
        <d v="2020-06-20T09:28:00Z"/>
        <d v="2020-06-19T23:40:00Z"/>
        <d v="2020-06-19T22:55:00Z"/>
        <d v="2020-06-19T22:47:00Z"/>
        <d v="2020-06-19T21:36:00Z"/>
        <d v="2020-06-19T20:37:00Z"/>
        <d v="2020-06-19T19:00:00Z"/>
        <d v="2020-06-19T18:34:00Z"/>
        <d v="2020-06-19T18:20:00Z"/>
        <d v="2020-06-19T16:14:00Z"/>
        <d v="2020-06-19T13:57:00Z"/>
        <d v="2020-06-19T13:53:00Z"/>
        <d v="2020-06-19T13:48:00Z"/>
        <d v="2020-06-19T13:01:00Z"/>
        <d v="2020-06-19T12:34:00Z"/>
        <d v="2020-06-19T12:17:00Z"/>
        <d v="2020-06-19T11:58:00Z"/>
        <d v="2020-06-19T11:07:00Z"/>
        <d v="2020-06-19T10:49:00Z"/>
        <d v="2020-06-19T10:48:00Z"/>
        <d v="2020-06-19T10:46:00Z"/>
        <d v="2020-06-19T10:25:00Z"/>
        <d v="2020-06-19T10:15:00Z"/>
        <d v="2020-06-19T09:42:00Z"/>
        <d v="2020-06-19T09:30:00Z"/>
        <d v="2020-06-19T09:22:00Z"/>
        <d v="2020-06-19T09:14:00Z"/>
        <d v="2020-06-19T09:12:00Z"/>
        <d v="2020-06-19T09:11:00Z"/>
        <d v="2020-06-19T09:10:00Z"/>
        <d v="2020-06-19T08:59:00Z"/>
        <d v="2020-06-19T08:49:00Z"/>
        <d v="2020-06-19T08:47:00Z"/>
        <d v="2020-06-19T08:35:00Z"/>
        <d v="2020-06-19T08:09:00Z"/>
        <d v="2020-06-19T08:03:00Z"/>
        <d v="2020-06-19T08:00:00Z"/>
        <d v="2020-06-18T23:20:00Z"/>
        <d v="2020-06-18T23:11:00Z"/>
        <d v="2020-06-18T23:01:00Z"/>
        <d v="2020-06-18T22:08:00Z"/>
        <d v="2020-06-18T21:57:00Z"/>
        <d v="2020-06-18T21:17:00Z"/>
        <d v="2020-06-18T20:49:00Z"/>
        <d v="2020-06-18T19:53:00Z"/>
        <d v="2020-06-18T19:35:00Z"/>
        <d v="2020-06-18T19:28:00Z"/>
        <d v="2020-06-18T18:54:00Z"/>
        <d v="2020-06-18T18:44:00Z"/>
        <d v="2020-06-18T18:42:00Z"/>
        <d v="2020-06-18T18:39:00Z"/>
        <d v="2020-06-18T18:34:00Z"/>
        <d v="2020-06-18T18:18:00Z"/>
        <d v="2020-06-18T18:15:00Z"/>
        <d v="2020-06-18T18:08:00Z"/>
        <d v="2020-06-18T18:07:00Z"/>
        <d v="2020-06-18T18:03:00Z"/>
        <d v="2020-06-18T17:56:00Z"/>
        <d v="2020-06-18T17:55:00Z"/>
        <d v="2020-06-18T17:44:00Z"/>
        <d v="2020-06-18T17:29:00Z"/>
        <d v="2020-06-18T17:25:00Z"/>
        <d v="2020-06-18T17:24:00Z"/>
        <d v="2020-06-18T17:23:00Z"/>
        <d v="2020-06-18T17:22:00Z"/>
        <d v="2020-06-18T17:21:00Z"/>
        <d v="2020-06-18T17:20:00Z"/>
        <d v="2020-06-18T17:09:00Z"/>
        <d v="2020-06-18T17:02:00Z"/>
        <d v="2020-06-18T16:57:00Z"/>
        <d v="2020-06-18T16:56:00Z"/>
        <d v="2020-06-18T16:55:00Z"/>
        <d v="2020-06-18T16:51:00Z"/>
        <d v="2020-06-18T16:50:00Z"/>
        <d v="2020-06-18T16:43:00Z"/>
        <d v="2020-06-18T16:42:00Z"/>
        <d v="2020-06-18T16:40:00Z"/>
        <d v="2020-06-18T16:37:00Z"/>
        <d v="2020-06-18T16:35:00Z"/>
        <d v="2020-06-18T16:32:00Z"/>
        <d v="2020-06-18T16:30:00Z"/>
        <d v="2020-06-18T16:28:00Z"/>
        <d v="2020-06-18T16:26:00Z"/>
        <d v="2020-06-18T16:25:00Z"/>
        <d v="2020-06-18T16:23:00Z"/>
        <d v="2020-06-18T14:16:00Z"/>
        <d v="2020-06-18T13:13:00Z"/>
        <d v="2020-06-18T09:12:00Z"/>
        <d v="2020-06-17T13:19:00Z"/>
        <d v="2020-06-17T13:14:00Z"/>
        <d v="2020-06-17T12:06:00Z"/>
        <d v="2020-06-17T10:44:00Z"/>
        <d v="2020-06-17T10:04:00Z"/>
        <d v="2020-06-17T00:27:00Z"/>
        <d v="2020-06-16T20:42:00Z"/>
        <d v="2020-06-16T19:27:00Z"/>
        <d v="2020-06-16T18:44:00Z"/>
        <d v="2020-06-16T17:37:00Z"/>
        <d v="2020-06-16T16:11:00Z"/>
        <d v="2020-06-16T11:20:00Z"/>
        <d v="2020-06-16T11:18:00Z"/>
        <d v="2020-06-15T21:32:00Z"/>
        <d v="2020-06-15T15:29:00Z"/>
        <d v="2020-06-15T13:39:00Z"/>
        <d v="2020-06-15T07:41:00Z"/>
        <d v="2020-06-14T17:55:00Z"/>
        <d v="2020-06-13T17:38:00Z"/>
        <d v="2020-06-13T12:19:00Z"/>
        <d v="2020-06-12T14:20:00Z"/>
        <d v="2020-06-12T12:52:00Z"/>
        <d v="2020-06-12T12:43:00Z"/>
        <d v="2020-06-12T12:03:00Z"/>
        <d v="2020-06-12T10:33:00Z"/>
        <d v="2020-06-12T10:01:00Z"/>
        <d v="2020-06-12T09:26:00Z"/>
        <d v="2020-06-12T09:25:00Z"/>
        <d v="2020-06-11T01:28:00Z"/>
        <d v="2020-06-10T08:24:00Z"/>
        <d v="2020-06-10T06:57:00Z"/>
        <d v="2020-06-10T06:34:00Z"/>
        <d v="2020-06-09T18:25:00Z"/>
        <d v="2020-06-09T18:18:00Z"/>
        <d v="2020-06-09T07:36:00Z"/>
        <d v="2020-06-09T07:22:00Z"/>
        <d v="2020-06-08T19:58:00Z"/>
        <d v="2020-06-08T13:27:00Z"/>
        <d v="2020-06-08T11:26:00Z"/>
        <d v="2020-06-07T19:08:00Z"/>
        <d v="2020-06-07T15:50:00Z"/>
        <d v="2020-06-07T11:38:00Z"/>
        <d v="2020-06-06T18:38:00Z"/>
        <d v="2020-06-06T14:25:00Z"/>
        <d v="2020-06-06T11:14:00Z"/>
        <d v="2020-06-06T09:58:00Z"/>
        <d v="2020-06-06T00:34:00Z"/>
        <d v="2020-06-05T23:36:00Z"/>
        <d v="2020-06-05T16:11:00Z"/>
        <d v="2020-06-05T12:02:00Z"/>
        <d v="2020-06-05T11:20:00Z"/>
        <d v="2020-06-04T22:31:00Z"/>
        <d v="2020-06-04T20:33:00Z"/>
        <d v="2020-06-04T15:37:00Z"/>
        <d v="2020-06-04T08:15:00Z"/>
        <d v="2020-06-03T22:15:00Z"/>
        <d v="2020-06-03T15:45:00Z"/>
        <d v="2020-06-03T11:15:00Z"/>
        <d v="2020-06-02T10:29:00Z"/>
        <d v="2020-06-02T08:27:00Z"/>
        <d v="2020-06-02T07:32:00Z"/>
        <d v="2020-06-02T06:53:00Z"/>
        <d v="2020-06-01T22:41:00Z"/>
        <d v="2020-06-01T19:49:00Z"/>
        <d v="2020-06-01T18:07:00Z"/>
        <d v="2020-06-01T18:02:00Z"/>
        <d v="2020-06-01T17:44:00Z"/>
        <d v="2020-06-01T17:12:00Z"/>
        <d v="2020-05-31T20:32:00Z"/>
        <d v="2020-05-30T14:10:00Z"/>
        <d v="2020-05-29T20:33:00Z"/>
        <d v="2020-05-29T15:29:00Z"/>
        <d v="2020-05-29T11:07:00Z"/>
        <d v="2020-05-28T17:45:00Z"/>
        <d v="2020-05-28T17:39:00Z"/>
        <d v="2020-05-28T17:30:00Z"/>
        <d v="2020-05-28T17:08:00Z"/>
        <d v="2020-05-28T13:26:00Z"/>
        <d v="2020-05-28T11:19:00Z"/>
        <d v="2020-05-28T09:44:00Z"/>
        <d v="2020-05-28T08:12:00Z"/>
        <d v="2020-05-28T00:30:00Z"/>
        <d v="2020-05-27T21:32:00Z"/>
        <d v="2020-05-27T16:20:00Z"/>
        <d v="2020-05-27T16:17:00Z"/>
        <d v="2020-05-27T14:12:00Z"/>
        <d v="2020-05-27T11:35:00Z"/>
        <d v="2020-05-27T10:56:00Z"/>
        <d v="2020-05-26T22:52:00Z"/>
        <d v="2020-05-26T17:40:00Z"/>
        <d v="2020-05-26T11:06:00Z"/>
        <d v="2020-05-26T10:56:00Z"/>
        <d v="2020-05-26T09:37:00Z"/>
        <d v="2020-05-26T09:13:00Z"/>
        <d v="2020-05-26T03:45:00Z"/>
        <d v="2020-05-25T16:39:00Z"/>
        <d v="2020-05-25T11:01:00Z"/>
        <d v="2020-05-25T09:44:00Z"/>
        <d v="2020-05-24T21:32:00Z"/>
        <d v="2020-05-24T16:54:00Z"/>
        <d v="2020-05-24T13:31:00Z"/>
        <d v="2020-05-24T09:53:00Z"/>
        <d v="2020-05-24T07:09:00Z"/>
        <d v="2020-05-23T22:18:00Z"/>
        <d v="2020-05-23T20:06:00Z"/>
        <d v="2020-05-23T18:31:00Z"/>
        <d v="2020-05-23T11:05:00Z"/>
        <d v="2020-05-23T09:53:00Z"/>
        <d v="2020-05-23T03:12:00Z"/>
        <d v="2020-05-22T23:24:00Z"/>
        <d v="2020-05-22T22:34:00Z"/>
        <d v="2020-05-22T06:58:00Z"/>
        <d v="2020-05-22T02:09:00Z"/>
        <d v="2020-05-21T23:05:00Z"/>
        <d v="2020-05-21T20:14:00Z"/>
        <d v="2020-05-21T18:26:00Z"/>
        <d v="2020-05-21T18:08:00Z"/>
        <d v="2020-05-21T16:37:00Z"/>
        <d v="2020-05-21T13:02:00Z"/>
        <d v="2020-05-21T11:48:00Z"/>
        <d v="2020-05-21T11:14:00Z"/>
        <d v="2020-05-21T11:06:00Z"/>
        <d v="2020-05-21T10:59:00Z"/>
        <d v="2020-05-21T10:57:00Z"/>
        <d v="2020-05-21T10:56:00Z"/>
        <d v="2020-05-21T10:55:00Z"/>
        <d v="2020-05-21T10:51:00Z"/>
        <d v="2020-05-21T10:34:00Z"/>
        <d v="2020-05-21T10:25:00Z"/>
        <d v="2020-05-21T10:18:00Z"/>
        <d v="2020-05-21T10:16:00Z"/>
        <d v="2020-05-21T10:13:00Z"/>
        <d v="2020-05-21T10:10:00Z"/>
        <d v="2020-05-21T10:04:00Z"/>
        <d v="2020-05-21T09:57:00Z"/>
        <d v="2020-05-21T09:55:00Z"/>
        <d v="2020-05-21T09:40:00Z"/>
        <d v="2020-05-21T09:15:00Z"/>
        <d v="2020-05-21T09:14:00Z"/>
        <d v="2020-05-21T09:11:00Z"/>
        <d v="2020-05-21T09:06:00Z"/>
        <d v="2020-05-21T08:53:00Z"/>
        <d v="2020-05-21T08:46:00Z"/>
        <d v="2020-05-21T08:41:00Z"/>
        <d v="2020-05-21T08:38:00Z"/>
        <d v="2020-05-20T23:43:00Z"/>
        <d v="2020-05-20T23:25:00Z"/>
        <d v="2020-05-20T23:19:00Z"/>
        <d v="2020-05-20T23:05:00Z"/>
        <d v="2020-05-20T22:03:00Z"/>
        <d v="2020-05-20T19:46:00Z"/>
        <d v="2020-05-20T19:38:00Z"/>
        <d v="2020-05-20T18:14:00Z"/>
        <d v="2020-05-20T17:45:00Z"/>
        <d v="2020-05-20T17:37:00Z"/>
        <d v="2020-05-20T16:48:00Z"/>
        <d v="2020-05-20T16:43:00Z"/>
        <d v="2020-05-20T16:39:00Z"/>
        <d v="2020-05-20T16:22:00Z"/>
        <d v="2020-05-20T15:40:00Z"/>
        <d v="2020-05-20T15:23:00Z"/>
        <d v="2020-05-20T15:03:00Z"/>
        <d v="2020-05-20T14:44:00Z"/>
        <d v="2020-05-20T14:24:00Z"/>
        <d v="2020-05-20T13:35:00Z"/>
        <d v="2020-05-20T12:38:00Z"/>
        <d v="2020-05-20T12:30:00Z"/>
        <d v="2020-05-20T12:03:00Z"/>
        <d v="2020-05-20T11:49:00Z"/>
        <d v="2020-05-20T11:45:00Z"/>
        <d v="2020-05-20T11:30:00Z"/>
        <d v="2020-05-20T11:20:00Z"/>
        <d v="2020-05-20T11:00:00Z"/>
        <d v="2020-05-20T10:55:00Z"/>
        <d v="2020-05-20T10:38:00Z"/>
        <d v="2020-05-20T10:36:00Z"/>
        <d v="2020-05-20T10:33:00Z"/>
        <d v="2020-05-20T10:32:00Z"/>
        <d v="2020-05-20T10:25:00Z"/>
        <d v="2020-05-20T10:07:00Z"/>
        <d v="2020-05-20T10:05:00Z"/>
        <d v="2020-05-20T10:01:00Z"/>
        <d v="2020-05-20T09:58:00Z"/>
        <d v="2020-05-20T09:48:00Z"/>
        <d v="2020-05-20T09:47:00Z"/>
        <d v="2020-05-20T09:33:00Z"/>
        <d v="2020-05-20T09:28:00Z"/>
        <d v="2020-05-20T09:10:00Z"/>
        <d v="2020-05-20T08:39:00Z"/>
        <d v="2020-05-20T07:10:00Z"/>
        <d v="2020-05-19T22:18:00Z"/>
        <d v="2020-05-19T21:54:00Z"/>
        <d v="2020-05-19T21:47:00Z"/>
        <d v="2020-05-19T19:31:00Z"/>
        <d v="2020-05-19T14:49:00Z"/>
        <d v="2020-05-19T12:16:00Z"/>
        <d v="2020-05-19T11:55:00Z"/>
        <d v="2020-05-19T10:35:00Z"/>
        <d v="2020-05-19T10:20:00Z"/>
        <d v="2020-05-19T10:15:00Z"/>
        <d v="2020-05-19T10:14:00Z"/>
        <d v="2020-05-19T06:04:00Z"/>
        <d v="2020-05-19T00:15:00Z"/>
        <d v="2020-05-18T23:54:00Z"/>
        <d v="2020-05-18T23:34:00Z"/>
        <d v="2020-05-18T23:12:00Z"/>
        <d v="2020-05-18T19:53:00Z"/>
        <d v="2020-05-18T18:49:00Z"/>
        <d v="2020-05-18T16:56:00Z"/>
        <d v="2020-05-18T16:46:00Z"/>
        <d v="2020-05-18T16:36:00Z"/>
        <d v="2020-05-18T15:31:00Z"/>
        <d v="2020-05-18T12:51:00Z"/>
        <d v="2020-05-18T12:34:00Z"/>
        <d v="2020-05-18T12:20:00Z"/>
        <d v="2020-05-18T11:47:00Z"/>
        <d v="2020-05-18T11:40:00Z"/>
        <d v="2020-05-18T11:28:00Z"/>
        <d v="2020-05-18T11:25:00Z"/>
        <d v="2020-05-18T11:03:00Z"/>
        <d v="2020-05-18T10:59:00Z"/>
        <d v="2020-05-18T10:22:00Z"/>
        <d v="2020-05-18T05:07:00Z"/>
        <d v="2020-05-17T18:56:00Z"/>
        <d v="2020-05-17T18:40:00Z"/>
        <d v="2020-05-17T18:13:00Z"/>
        <d v="2020-05-17T16:14:00Z"/>
        <d v="2020-05-17T12:21:00Z"/>
        <d v="2020-05-16T22:52:00Z"/>
        <d v="2020-05-16T22:38:00Z"/>
        <d v="2020-05-16T20:46:00Z"/>
        <d v="2020-05-16T17:14:00Z"/>
        <d v="2020-05-16T15:41:00Z"/>
        <d v="2020-05-16T13:05:00Z"/>
        <d v="2020-05-16T09:25:00Z"/>
        <d v="2020-05-16T00:35:00Z"/>
        <d v="2020-05-15T17:12:00Z"/>
        <d v="2020-05-15T15:47:00Z"/>
        <d v="2020-05-15T08:00:00Z"/>
        <d v="2020-05-14T14:50:00Z"/>
        <d v="2020-05-14T10:09:00Z"/>
        <d v="2020-05-14T09:47:00Z"/>
        <d v="2020-05-14T09:24:00Z"/>
        <d v="2020-05-14T08:57:00Z"/>
        <d v="2020-05-14T08:44:00Z"/>
        <d v="2020-05-13T23:28:00Z"/>
        <d v="2020-05-13T22:16:00Z"/>
        <d v="2020-05-13T16:25:00Z"/>
        <d v="2020-05-13T13:29:00Z"/>
        <d v="2020-05-13T13:18:00Z"/>
        <d v="2020-05-13T12:28:00Z"/>
        <d v="2020-05-13T10:34:00Z"/>
        <d v="2020-05-13T09:45:00Z"/>
        <d v="2020-05-13T09:02:00Z"/>
        <d v="2020-05-13T06:52:00Z"/>
        <d v="2020-05-13T06:01:00Z"/>
        <d v="2020-05-12T20:38:00Z"/>
        <d v="2020-05-12T19:02:00Z"/>
        <d v="2020-05-12T19:01:00Z"/>
        <d v="2020-05-12T07:48:00Z"/>
        <d v="2020-05-12T03:32:00Z"/>
        <d v="2020-05-11T23:32:00Z"/>
        <d v="2020-05-11T20:40:00Z"/>
        <d v="2020-05-11T20:04:00Z"/>
        <d v="2020-05-11T17:22:00Z"/>
        <d v="2020-05-11T14:59:00Z"/>
        <d v="2020-05-11T10:34:00Z"/>
        <d v="2020-05-11T06:33:00Z"/>
        <d v="2020-05-10T23:02:00Z"/>
        <d v="2020-05-10T22:54:00Z"/>
        <d v="2020-05-10T22:21:00Z"/>
        <d v="2020-05-10T19:52:00Z"/>
        <d v="2020-05-10T17:58:00Z"/>
        <d v="2020-05-10T15:52:00Z"/>
        <d v="2020-05-10T11:49:00Z"/>
        <d v="2020-05-10T10:15:00Z"/>
        <d v="2020-05-10T05:56:00Z"/>
        <d v="2020-05-10T04:02:00Z"/>
        <d v="2020-05-10T03:38:00Z"/>
        <d v="2020-05-10T01:55:00Z"/>
        <d v="2020-05-09T23:40:00Z"/>
        <d v="2020-05-09T17:49:00Z"/>
        <d v="2020-05-09T12:40:00Z"/>
        <d v="2020-05-09T10:19:00Z"/>
        <d v="2020-05-08T20:34:00Z"/>
        <d v="2020-05-08T19:06:00Z"/>
        <d v="2020-05-08T17:48:00Z"/>
        <d v="2020-05-08T17:29:00Z"/>
        <d v="2020-05-08T17:19:00Z"/>
        <d v="2020-05-08T14:54:00Z"/>
        <d v="2020-05-08T14:48:00Z"/>
        <d v="2020-05-08T12:06:00Z"/>
        <d v="2020-05-08T11:27:00Z"/>
        <d v="2020-05-08T11:19:00Z"/>
        <d v="2020-05-08T10:47:00Z"/>
        <d v="2020-05-08T10:32:00Z"/>
        <d v="2020-05-08T10:19:00Z"/>
        <d v="2020-05-08T08:59:00Z"/>
        <d v="2020-05-08T00:02:00Z"/>
        <d v="2020-05-07T19:31:00Z"/>
        <d v="2020-05-07T19:13:00Z"/>
        <d v="2020-05-07T17:26:00Z"/>
        <d v="2020-05-07T17:04:00Z"/>
        <d v="2020-05-07T16:00:00Z"/>
        <d v="2020-05-07T05:38:00Z"/>
        <d v="2020-05-07T05:18:00Z"/>
        <d v="2020-05-06T22:18:00Z"/>
        <d v="2020-05-06T22:05:00Z"/>
        <d v="2020-05-06T19:00:00Z"/>
        <d v="2020-05-06T18:32:00Z"/>
        <d v="2020-05-06T18:01:00Z"/>
        <d v="2020-05-06T17:24:00Z"/>
        <d v="2020-05-06T10:30:00Z"/>
        <d v="2020-05-06T09:20:00Z"/>
        <d v="2020-05-06T08:28:00Z"/>
        <d v="2020-05-06T06:43:00Z"/>
        <d v="2020-05-05T21:35:00Z"/>
        <d v="2020-05-05T17:57:00Z"/>
        <d v="2020-05-05T17:41:00Z"/>
        <d v="2020-05-05T17:14:00Z"/>
        <d v="2020-05-05T12:45:00Z"/>
        <d v="2020-05-05T11:01:00Z"/>
        <d v="2020-05-05T10:57:00Z"/>
        <d v="2020-05-05T10:04:00Z"/>
        <d v="2020-05-05T10:00:00Z"/>
        <d v="2020-05-05T09:57:00Z"/>
        <d v="2020-05-05T06:48:00Z"/>
        <d v="2020-05-05T03:33:00Z"/>
        <d v="2020-05-04T22:10:00Z"/>
        <d v="2020-05-04T17:18:00Z"/>
        <d v="2020-05-04T17:15:00Z"/>
        <d v="2020-05-04T16:47:00Z"/>
        <d v="2020-05-04T13:41:00Z"/>
        <d v="2020-05-04T13:30:00Z"/>
        <d v="2020-05-04T13:26:00Z"/>
        <d v="2020-05-04T12:10:00Z"/>
        <d v="2020-05-04T11:48:00Z"/>
        <d v="2020-05-04T10:37:00Z"/>
        <d v="2020-05-04T10:06:00Z"/>
        <d v="2020-05-04T09:58:00Z"/>
        <d v="2020-05-04T09:35:00Z"/>
        <d v="2020-05-04T08:40:00Z"/>
        <d v="2020-05-04T00:32:00Z"/>
        <d v="2020-05-03T23:13:00Z"/>
        <d v="2020-05-03T22:40:00Z"/>
        <d v="2020-05-03T19:07:00Z"/>
        <d v="2020-05-03T19:04:00Z"/>
        <d v="2020-05-03T18:39:00Z"/>
        <d v="2020-05-03T16:12:00Z"/>
        <d v="2020-05-03T15:22:00Z"/>
        <d v="2020-05-03T11:30:00Z"/>
        <d v="2020-05-03T10:47:00Z"/>
        <d v="2020-05-03T01:37:00Z"/>
        <d v="2020-05-02T16:31:00Z"/>
        <d v="2020-05-02T12:41:00Z"/>
        <d v="2020-05-02T10:46:00Z"/>
        <d v="2020-05-02T10:43:00Z"/>
        <d v="2020-05-02T07:31:00Z"/>
        <d v="2020-05-01T23:10:00Z"/>
        <d v="2020-05-01T22:58:00Z"/>
        <d v="2020-05-01T20:38:00Z"/>
        <d v="2020-05-01T19:53:00Z"/>
        <d v="2020-05-01T19:20:00Z"/>
        <d v="2020-05-01T18:30:00Z"/>
        <d v="2020-05-01T17:48:00Z"/>
        <d v="2020-05-01T14:41:00Z"/>
        <d v="2020-05-01T13:07:00Z"/>
        <d v="2020-05-01T12:24:00Z"/>
        <d v="2020-05-01T12:03:00Z"/>
        <d v="2020-05-01T11:56:00Z"/>
        <d v="2020-05-01T11:54:00Z"/>
        <d v="2020-05-01T08:36:00Z"/>
        <d v="2020-05-01T07:17:00Z"/>
        <d v="2020-04-30T23:29:00Z"/>
        <d v="2020-04-30T21:29:00Z"/>
        <d v="2020-04-30T20:59:00Z"/>
        <d v="2020-04-30T19:37:00Z"/>
        <d v="2020-04-30T18:20:00Z"/>
        <d v="2020-04-30T17:33:00Z"/>
        <d v="2020-04-30T17:28:00Z"/>
        <d v="2020-04-30T16:13:00Z"/>
        <d v="2020-04-30T14:09:00Z"/>
        <d v="2020-04-30T13:23:00Z"/>
        <d v="2020-04-30T12:46:00Z"/>
        <d v="2020-04-30T12:33:00Z"/>
        <d v="2020-04-30T12:10:00Z"/>
        <d v="2020-04-30T11:55:00Z"/>
        <d v="2020-04-30T10:58:00Z"/>
        <d v="2020-04-30T10:12:00Z"/>
        <d v="2020-04-30T10:07:00Z"/>
        <d v="2020-04-30T09:53:00Z"/>
        <d v="2020-04-30T09:29:00Z"/>
        <d v="2020-04-30T09:18:00Z"/>
        <d v="2020-04-30T09:14:00Z"/>
        <d v="2020-04-30T09:05:00Z"/>
        <d v="2020-04-30T08:51:00Z"/>
        <d v="2020-04-30T08:47:00Z"/>
        <d v="2020-04-30T08:46:00Z"/>
        <d v="2020-04-30T08:41:00Z"/>
        <d v="2020-04-30T08:38:00Z"/>
        <d v="2020-04-30T08:29:00Z"/>
        <d v="2020-04-30T08:01:00Z"/>
        <d v="2020-04-30T08:00:00Z"/>
        <d v="2020-04-30T07:48:00Z"/>
        <d v="2020-04-30T07:45:00Z"/>
        <d v="2020-04-30T07:17:00Z"/>
        <d v="2020-04-30T06:47:00Z"/>
        <d v="2020-04-30T06:36:00Z"/>
        <d v="2020-04-30T03:16:00Z"/>
        <d v="2020-04-30T03:15:00Z"/>
        <d v="2020-04-29T23:58:00Z"/>
        <d v="2020-04-29T23:50:00Z"/>
        <d v="2020-04-29T23:01:00Z"/>
        <d v="2020-04-29T21:46:00Z"/>
        <d v="2020-04-29T21:27:00Z"/>
        <d v="2020-04-29T21:23:00Z"/>
        <d v="2020-04-29T20:55:00Z"/>
        <d v="2020-04-29T20:29:00Z"/>
        <d v="2020-04-29T20:17:00Z"/>
        <d v="2020-04-29T20:16:00Z"/>
        <d v="2020-04-29T20:14:00Z"/>
        <d v="2020-04-29T19:56:00Z"/>
        <d v="2020-04-29T19:49:00Z"/>
        <d v="2020-04-29T19:31:00Z"/>
        <d v="2020-04-29T19:24:00Z"/>
        <d v="2020-04-29T19:22:00Z"/>
        <d v="2020-04-29T19:18:00Z"/>
        <d v="2020-04-29T18:58:00Z"/>
        <d v="2020-04-29T18:44:00Z"/>
        <d v="2020-04-29T18:43:00Z"/>
        <d v="2020-04-29T18:30:00Z"/>
        <d v="2020-04-29T18:22:00Z"/>
        <d v="2020-04-29T18:21:00Z"/>
        <d v="2020-04-29T18:18:00Z"/>
        <d v="2020-04-29T18:15:00Z"/>
        <d v="2020-04-29T18:04:00Z"/>
        <d v="2020-04-29T17:55:00Z"/>
        <d v="2020-04-29T17:45:00Z"/>
        <d v="2020-04-29T17:32:00Z"/>
        <d v="2020-04-29T17:17:00Z"/>
        <d v="2020-04-29T17:06:00Z"/>
        <d v="2020-04-29T17:04:00Z"/>
        <d v="2020-04-29T17:03:00Z"/>
        <d v="2020-04-29T17:01:00Z"/>
        <d v="2020-04-29T17:00:00Z"/>
        <d v="2020-04-29T16:56:00Z"/>
        <d v="2020-04-29T16:47:00Z"/>
        <d v="2020-04-29T16:41:00Z"/>
        <d v="2020-04-29T16:36:00Z"/>
        <d v="2020-04-29T16:17:00Z"/>
        <d v="2020-04-29T16:00:00Z"/>
        <d v="2020-04-29T15:57:00Z"/>
        <d v="2020-04-29T15:44:00Z"/>
        <d v="2020-04-29T15:34:00Z"/>
        <d v="2020-04-29T14:56:00Z"/>
        <d v="2020-04-29T14:50:00Z"/>
        <d v="2020-04-29T14:38:00Z"/>
        <d v="2020-04-29T14:30:00Z"/>
        <d v="2020-04-29T14:28:00Z"/>
        <d v="2020-04-29T14:08:00Z"/>
        <d v="2020-04-29T14:05:00Z"/>
        <d v="2020-04-29T14:04:00Z"/>
        <d v="2020-04-29T13:59:00Z"/>
        <d v="2020-04-29T13:48:00Z"/>
        <d v="2020-04-29T13:46:00Z"/>
        <d v="2020-04-29T13:42:00Z"/>
        <d v="2020-04-29T13:41:00Z"/>
        <d v="2020-04-29T13:40:00Z"/>
        <d v="2020-04-29T13:30:00Z"/>
        <d v="2020-04-29T13:29:00Z"/>
        <d v="2020-04-29T13:25:00Z"/>
        <d v="2020-04-29T13:07:00Z"/>
        <d v="2020-04-29T13:04:00Z"/>
        <d v="2020-04-29T13:03:00Z"/>
        <d v="2020-04-29T12:56:00Z"/>
        <d v="2020-04-29T12:50:00Z"/>
        <d v="2020-04-29T12:49:00Z"/>
        <d v="2020-04-29T12:45:00Z"/>
        <d v="2020-04-29T12:40:00Z"/>
        <d v="2020-04-29T12:35:00Z"/>
        <d v="2020-04-29T12:34:00Z"/>
        <d v="2020-04-29T12:31:00Z"/>
        <d v="2020-04-29T12:29:00Z"/>
        <d v="2020-04-29T12:28:00Z"/>
        <d v="2020-04-29T12:25:00Z"/>
        <d v="2020-04-29T12:24:00Z"/>
        <d v="2020-04-29T12:19:00Z"/>
        <d v="2020-04-29T12:17:00Z"/>
        <d v="2020-04-29T12:08:00Z"/>
        <d v="2020-04-29T12:06:00Z"/>
        <d v="2020-04-29T12:02:00Z"/>
        <d v="2020-04-29T11:54:00Z"/>
        <d v="2020-04-29T11:51:00Z"/>
        <d v="2020-04-29T11:46:00Z"/>
        <d v="2020-04-29T11:41:00Z"/>
        <d v="2020-04-29T11:40:00Z"/>
        <d v="2020-04-29T11:38:00Z"/>
        <d v="2020-04-29T11:37:00Z"/>
        <d v="2020-04-29T11:36:00Z"/>
        <d v="2020-04-29T11:32:00Z"/>
        <d v="2020-04-29T11:31:00Z"/>
        <d v="2020-04-29T11:28:00Z"/>
        <d v="2020-04-29T11:26:00Z"/>
        <d v="2020-04-29T11:25:00Z"/>
        <d v="2020-04-29T11:21:00Z"/>
        <d v="2020-04-29T11:17:00Z"/>
        <d v="2020-04-29T11:15:00Z"/>
        <d v="2020-04-29T11:14:00Z"/>
        <d v="2020-04-29T11:12:00Z"/>
        <d v="2020-04-29T11:11:00Z"/>
        <d v="2020-04-29T11:09:00Z"/>
        <d v="2020-04-29T11:08:00Z"/>
        <d v="2020-04-29T11:06:00Z"/>
        <d v="2020-04-29T11:05:00Z"/>
        <d v="2020-04-29T10:58:00Z"/>
        <d v="2020-04-29T10:57:00Z"/>
        <d v="2020-04-29T10:55:00Z"/>
        <d v="2020-04-29T10:53:00Z"/>
        <d v="2020-04-29T10:52:00Z"/>
        <d v="2020-04-29T10:48:00Z"/>
        <d v="2020-04-29T10:47:00Z"/>
        <d v="2020-04-29T10:45:00Z"/>
        <d v="2020-04-29T10:43:00Z"/>
        <d v="2020-04-29T10:42:00Z"/>
        <d v="2020-04-29T10:40:00Z"/>
        <d v="2020-04-29T10:38:00Z"/>
        <d v="2020-04-29T10:36:00Z"/>
        <d v="2020-04-29T10:35:00Z"/>
        <d v="2020-04-29T10:33:00Z"/>
        <d v="2020-04-29T10:32:00Z"/>
        <d v="2020-04-29T10:31:00Z"/>
        <d v="2020-04-29T10:28:00Z"/>
        <d v="2020-04-29T10:27:00Z"/>
        <d v="2020-04-29T10:25:00Z"/>
        <d v="2020-04-29T10:23:00Z"/>
        <d v="2020-04-29T10:22:00Z"/>
        <d v="2020-04-29T10:21:00Z"/>
        <d v="2020-04-29T10:19:00Z"/>
        <d v="2020-04-29T10:17:00Z"/>
        <d v="2020-04-29T10:16:00Z"/>
        <d v="2020-04-29T10:15:00Z"/>
        <d v="2020-04-29T10:14:00Z"/>
        <d v="2020-04-29T10:13:00Z"/>
        <d v="2020-04-29T10:10:00Z"/>
        <d v="2020-04-29T10:08:00Z"/>
        <d v="2020-04-29T10:01:00Z"/>
        <d v="2020-04-29T08:34:00Z"/>
        <d v="2020-04-28T20:08:00Z"/>
        <d v="2020-04-28T18:26:00Z"/>
        <d v="2020-04-28T18:20:00Z"/>
        <d v="2020-04-28T13:42:00Z"/>
        <d v="2020-04-28T13:33:00Z"/>
        <d v="2020-04-28T10:25:00Z"/>
        <d v="2020-04-28T09:04:00Z"/>
        <d v="2020-04-27T21:31:00Z"/>
        <d v="2020-04-27T21:17:00Z"/>
        <d v="2020-04-27T19:31:00Z"/>
        <d v="2020-04-27T17:23:00Z"/>
        <d v="2020-04-27T17:17:00Z"/>
        <d v="2020-04-27T14:36:00Z"/>
        <d v="2020-04-27T13:40:00Z"/>
        <d v="2020-04-27T12:39:00Z"/>
        <d v="2020-04-27T12:10:00Z"/>
        <d v="2020-04-27T09:11:00Z"/>
        <d v="2020-04-27T08:23:00Z"/>
        <d v="2020-04-27T03:15:00Z"/>
        <d v="2020-04-26T20:58:00Z"/>
        <d v="2020-04-26T19:12:00Z"/>
        <d v="2020-04-26T18:50:00Z"/>
        <d v="2020-04-26T18:25:00Z"/>
        <d v="2020-04-26T11:53:00Z"/>
        <d v="2020-04-26T08:30:00Z"/>
        <d v="2020-04-25T16:09:00Z"/>
        <d v="2020-04-25T16:01:00Z"/>
        <d v="2020-04-25T15:15:00Z"/>
        <d v="2020-04-25T12:15:00Z"/>
        <d v="2020-04-25T11:45:00Z"/>
        <d v="2020-04-25T11:36:00Z"/>
        <d v="2020-04-24T18:34:00Z"/>
        <d v="2020-04-24T17:21:00Z"/>
        <d v="2020-04-24T15:46:00Z"/>
        <d v="2020-04-24T15:13:00Z"/>
        <d v="2020-04-24T12:13:00Z"/>
        <d v="2020-04-24T09:32:00Z"/>
        <d v="2020-04-24T09:31:00Z"/>
        <d v="2020-04-24T09:20:00Z"/>
        <d v="2020-04-24T08:13:00Z"/>
        <d v="2020-04-24T08:11:00Z"/>
        <d v="2020-04-24T08:10:00Z"/>
        <d v="2020-04-24T05:22:00Z"/>
        <d v="2020-04-24T00:13:00Z"/>
        <d v="2020-04-23T22:57:00Z"/>
        <d v="2020-04-23T22:23:00Z"/>
        <d v="2020-04-23T22:16:00Z"/>
        <d v="2020-04-23T21:20:00Z"/>
        <d v="2020-04-23T21:15:00Z"/>
        <d v="2020-04-23T21:09:00Z"/>
        <d v="2020-04-23T21:05:00Z"/>
        <d v="2020-04-23T20:36:00Z"/>
        <d v="2020-04-23T19:57:00Z"/>
        <d v="2020-04-23T19:53:00Z"/>
        <d v="2020-04-23T19:09:00Z"/>
        <d v="2020-04-23T18:39:00Z"/>
        <d v="2020-04-23T18:37:00Z"/>
        <d v="2020-04-23T18:36:00Z"/>
        <d v="2020-04-23T18:34:00Z"/>
        <d v="2020-04-23T18:33:00Z"/>
        <d v="2020-04-23T18:32:00Z"/>
        <d v="2020-04-23T18:31:00Z"/>
        <d v="2020-04-23T18:20:00Z"/>
        <d v="2020-04-23T18:08:00Z"/>
        <d v="2020-04-23T17:52:00Z"/>
        <d v="2020-04-23T17:39:00Z"/>
        <d v="2020-04-23T17:36:00Z"/>
        <d v="2020-04-23T17:32:00Z"/>
        <d v="2020-04-23T17:29:00Z"/>
        <d v="2020-04-23T17:28:00Z"/>
        <d v="2020-04-23T17:27:00Z"/>
        <d v="2020-04-23T17:25:00Z"/>
        <d v="2020-04-23T17:24:00Z"/>
        <d v="2020-04-23T17:23:00Z"/>
        <d v="2020-04-23T17:22:00Z"/>
        <d v="2020-04-23T17:21:00Z"/>
        <d v="2020-04-23T17:20:00Z"/>
        <d v="2020-04-23T17:09:00Z"/>
        <d v="2020-04-23T17:08:00Z"/>
        <d v="2020-04-23T17:07:00Z"/>
        <d v="2020-04-23T17:06:00Z"/>
        <d v="2020-04-23T17:05:00Z"/>
        <d v="2020-04-23T17:01:00Z"/>
        <d v="2020-04-23T17:00:00Z"/>
        <d v="2020-04-23T16:59:00Z"/>
        <d v="2020-04-23T16:58:00Z"/>
        <d v="2020-04-23T16:54:00Z"/>
        <d v="2020-04-23T16:51:00Z"/>
        <d v="2020-04-23T16:46:00Z"/>
        <d v="2020-04-23T16:45:00Z"/>
        <d v="2020-04-23T16:44:00Z"/>
        <d v="2020-04-23T16:43:00Z"/>
        <d v="2020-04-23T15:47:00Z"/>
        <d v="2020-04-23T14:59:00Z"/>
        <d v="2020-04-23T13:44:00Z"/>
        <d v="2020-04-23T08:46:00Z"/>
        <d v="2020-04-23T08:23:00Z"/>
        <d v="2020-04-23T05:40:00Z"/>
        <d v="2020-04-22T19:26:00Z"/>
        <d v="2020-04-22T16:48:00Z"/>
        <d v="2020-04-22T12:53:00Z"/>
        <d v="2020-04-22T09:42:00Z"/>
        <d v="2020-04-22T00:36:00Z"/>
        <d v="2020-04-21T23:22:00Z"/>
        <d v="2020-04-21T23:15:00Z"/>
        <d v="2020-04-21T20:50:00Z"/>
        <d v="2020-04-21T18:09:00Z"/>
        <d v="2020-04-21T18:07:00Z"/>
        <d v="2020-04-21T16:42:00Z"/>
        <d v="2020-04-21T10:13:00Z"/>
        <d v="2020-04-21T08:31:00Z"/>
        <d v="2020-04-21T06:32:00Z"/>
        <d v="2020-04-21T03:24:00Z"/>
        <d v="2020-04-20T22:03:00Z"/>
        <d v="2020-04-20T19:42:00Z"/>
        <d v="2020-04-20T18:05:00Z"/>
        <d v="2020-04-20T17:37:00Z"/>
        <d v="2020-04-20T13:16:00Z"/>
        <d v="2020-04-20T11:08:00Z"/>
        <d v="2020-04-20T01:33:00Z"/>
        <d v="2020-04-19T15:04:00Z"/>
        <d v="2020-04-19T11:56:00Z"/>
        <d v="2020-04-19T09:24:00Z"/>
        <d v="2020-04-19T09:02:00Z"/>
        <d v="2020-04-18T20:03:00Z"/>
        <d v="2020-04-18T15:52:00Z"/>
        <d v="2020-04-18T06:39:00Z"/>
        <d v="2020-04-18T00:47:00Z"/>
        <d v="2020-04-17T21:31:00Z"/>
        <d v="2020-04-17T20:13:00Z"/>
        <d v="2020-04-17T16:18:00Z"/>
        <d v="2020-04-17T08:46:00Z"/>
        <d v="2020-04-17T08:09:00Z"/>
        <d v="2020-04-16T20:50:00Z"/>
        <d v="2020-04-16T17:44:00Z"/>
        <d v="2020-04-16T17:02:00Z"/>
        <d v="2020-04-16T12:36:00Z"/>
        <d v="2020-04-16T11:37:00Z"/>
        <d v="2020-04-16T11:34:00Z"/>
        <d v="2020-04-16T11:05:00Z"/>
        <d v="2020-04-16T09:02:00Z"/>
        <d v="2020-04-15T17:00:00Z"/>
        <d v="2020-04-15T13:02:00Z"/>
        <d v="2020-04-15T10:41:00Z"/>
        <d v="2020-04-15T10:15:00Z"/>
        <d v="2020-04-15T08:59:00Z"/>
        <d v="2020-04-14T23:25:00Z"/>
        <d v="2020-04-14T18:44:00Z"/>
        <d v="2020-04-14T17:52:00Z"/>
        <d v="2020-04-14T07:41:00Z"/>
        <d v="2020-04-13T22:37:00Z"/>
        <d v="2020-04-13T19:04:00Z"/>
        <d v="2020-04-13T09:51:00Z"/>
        <d v="2020-04-13T04:26:00Z"/>
        <d v="2020-04-13T01:46:00Z"/>
        <d v="2020-04-12T20:47:00Z"/>
        <d v="2020-04-12T15:39:00Z"/>
        <d v="2020-04-12T11:57:00Z"/>
        <d v="2020-04-12T11:02:00Z"/>
        <d v="2020-04-12T06:50:00Z"/>
        <d v="2020-04-12T02:06:00Z"/>
        <d v="2020-04-11T21:14:00Z"/>
        <d v="2020-04-11T19:43:00Z"/>
        <d v="2020-04-11T15:04:00Z"/>
        <d v="2020-04-11T13:30:00Z"/>
        <d v="2020-04-11T12:04:00Z"/>
        <d v="2020-04-11T02:20:00Z"/>
        <d v="2020-04-11T02:18:00Z"/>
        <d v="2020-04-10T18:46:00Z"/>
        <d v="2020-04-10T18:23:00Z"/>
        <d v="2020-04-10T15:05:00Z"/>
        <d v="2020-04-10T13:48:00Z"/>
        <d v="2020-04-10T13:29:00Z"/>
        <d v="2020-04-10T13:16:00Z"/>
        <d v="2020-04-10T01:05:00Z"/>
        <d v="2020-04-09T23:56:00Z"/>
        <d v="2020-04-09T21:34:00Z"/>
        <d v="2020-04-09T17:53:00Z"/>
        <d v="2020-04-09T13:22:00Z"/>
        <d v="2020-04-09T10:09:00Z"/>
        <d v="2020-04-09T09:30:00Z"/>
        <d v="2020-04-09T08:55:00Z"/>
        <d v="2020-04-09T01:21:00Z"/>
        <d v="2020-04-09T01:17:00Z"/>
        <d v="2020-04-09T00:11:00Z"/>
        <d v="2020-04-08T23:19:00Z"/>
        <d v="2020-04-08T22:53:00Z"/>
        <d v="2020-04-08T22:14:00Z"/>
        <d v="2020-04-08T19:40:00Z"/>
        <d v="2020-04-08T18:27:00Z"/>
        <d v="2020-04-08T14:04:00Z"/>
        <d v="2020-04-08T13:56:00Z"/>
        <d v="2020-04-08T12:16:00Z"/>
        <d v="2020-04-08T12:11:00Z"/>
        <d v="2020-04-08T11:02:00Z"/>
        <d v="2020-04-08T10:24:00Z"/>
        <d v="2020-04-08T09:11:00Z"/>
        <d v="2020-04-08T01:19:00Z"/>
        <d v="2020-04-07T21:43:00Z"/>
        <d v="2020-04-07T17:08:00Z"/>
        <d v="2020-04-07T13:34:00Z"/>
        <d v="2020-04-07T13:17:00Z"/>
        <d v="2020-04-07T13:14:00Z"/>
        <d v="2020-04-07T10:36:00Z"/>
        <d v="2020-04-07T10:02:00Z"/>
        <d v="2020-04-07T09:26:00Z"/>
        <d v="2020-04-07T09:21:00Z"/>
        <d v="2020-04-07T01:13:00Z"/>
        <d v="2020-04-07T01:08:00Z"/>
        <d v="2020-04-06T19:51:00Z"/>
        <d v="2020-04-06T18:22:00Z"/>
        <d v="2020-04-06T16:17:00Z"/>
        <d v="2020-04-06T14:34:00Z"/>
        <d v="2020-04-06T13:09:00Z"/>
        <d v="2020-04-06T13:05:00Z"/>
        <d v="2020-04-06T09:12:00Z"/>
        <d v="2020-04-06T08:44:00Z"/>
        <d v="2020-04-05T15:30:00Z"/>
        <d v="2020-04-05T14:14:00Z"/>
        <d v="2020-04-05T13:48:00Z"/>
        <d v="2020-04-05T12:18:00Z"/>
        <d v="2020-04-05T00:36:00Z"/>
        <d v="2020-04-04T22:45:00Z"/>
        <d v="2020-04-04T17:19:00Z"/>
        <d v="2020-04-04T16:46:00Z"/>
        <d v="2020-04-04T15:29:00Z"/>
        <d v="2020-04-04T14:44:00Z"/>
        <d v="2020-04-04T02:36:00Z"/>
        <d v="2020-04-03T22:44:00Z"/>
        <d v="2020-04-03T20:59:00Z"/>
        <d v="2020-04-03T20:41:00Z"/>
        <d v="2020-04-03T20:22:00Z"/>
        <d v="2020-04-03T16:57:00Z"/>
        <d v="2020-04-03T16:03:00Z"/>
        <d v="2020-04-03T15:01:00Z"/>
        <d v="2020-04-03T14:00:00Z"/>
        <d v="2020-04-03T11:41:00Z"/>
        <d v="2020-04-03T11:22:00Z"/>
        <d v="2020-04-03T10:26:00Z"/>
        <d v="2020-04-03T09:10:00Z"/>
        <d v="2020-04-03T00:25:00Z"/>
        <d v="2020-04-02T22:00:00Z"/>
        <d v="2020-04-02T18:56:00Z"/>
        <d v="2020-04-02T18:48:00Z"/>
        <d v="2020-04-02T15:30:00Z"/>
        <d v="2020-04-02T13:20:00Z"/>
        <d v="2020-04-02T12:14:00Z"/>
        <d v="2020-04-02T11:44:00Z"/>
        <d v="2020-04-02T11:34:00Z"/>
        <d v="2020-04-02T07:41:00Z"/>
        <d v="2020-04-02T01:53:00Z"/>
        <d v="2020-04-01T23:51:00Z"/>
        <d v="2020-04-01T21:44:00Z"/>
        <d v="2020-04-01T21:24:00Z"/>
        <d v="2020-04-01T18:17:00Z"/>
        <d v="2020-04-01T18:02:00Z"/>
        <d v="2020-04-01T17:50:00Z"/>
        <d v="2020-04-01T17:35:00Z"/>
        <d v="2020-04-01T17:25:00Z"/>
        <d v="2020-04-01T14:53:00Z"/>
        <d v="2020-04-01T13:01:00Z"/>
        <d v="2020-04-01T12:52:00Z"/>
        <d v="2020-04-01T11:49:00Z"/>
        <d v="2020-04-01T09:31:00Z"/>
        <d v="2020-04-01T00:06:00Z"/>
        <d v="2020-03-31T23:46:00Z"/>
        <d v="2020-03-31T21:23:00Z"/>
        <d v="2020-03-31T19:33:00Z"/>
        <d v="2020-03-31T18:27:00Z"/>
        <d v="2020-03-31T15:29:00Z"/>
        <d v="2020-03-31T09:30:00Z"/>
        <d v="2020-03-31T09:04:00Z"/>
        <d v="2020-03-30T23:53:00Z"/>
        <d v="2020-03-30T18:17:00Z"/>
        <d v="2020-03-30T18:02:00Z"/>
        <d v="2020-03-30T16:25:00Z"/>
        <d v="2020-03-30T15:56:00Z"/>
        <d v="2020-03-30T14:44:00Z"/>
        <d v="2020-03-30T11:55:00Z"/>
        <d v="2020-03-30T11:44:00Z"/>
        <d v="2020-03-30T09:32:00Z"/>
        <d v="2020-03-30T08:37:00Z"/>
        <d v="2020-03-30T00:35:00Z"/>
        <d v="2020-03-29T21:19:00Z"/>
        <d v="2020-03-29T18:56:00Z"/>
        <d v="2020-03-29T18:00:00Z"/>
        <d v="2020-03-29T17:28:00Z"/>
        <d v="2020-03-29T16:10:00Z"/>
        <d v="2020-03-29T15:05:00Z"/>
        <d v="2020-03-29T14:03:00Z"/>
        <d v="2020-03-29T04:30:00Z"/>
        <d v="2020-03-29T00:02:00Z"/>
        <d v="2020-03-28T22:05:00Z"/>
        <d v="2020-03-28T21:22:00Z"/>
        <d v="2020-03-28T18:42:00Z"/>
        <d v="2020-03-28T16:11:00Z"/>
        <d v="2020-03-28T15:33:00Z"/>
        <d v="2020-03-28T14:41:00Z"/>
        <d v="2020-03-28T13:55:00Z"/>
        <d v="2020-03-28T03:41:00Z"/>
        <d v="2020-03-27T21:38:00Z"/>
        <d v="2020-03-27T19:28:00Z"/>
        <d v="2020-03-27T12:31:00Z"/>
        <d v="2020-03-27T12:14:00Z"/>
        <d v="2020-03-27T11:24:00Z"/>
        <d v="2020-03-27T09:44:00Z"/>
        <d v="2020-03-27T09:14:00Z"/>
        <d v="2020-03-27T08:33:00Z"/>
        <d v="2020-03-27T07:26:00Z"/>
        <d v="2020-03-27T00:49:00Z"/>
        <d v="2020-03-27T00:48:00Z"/>
        <d v="2020-03-26T23:56:00Z"/>
        <d v="2020-03-26T21:37:00Z"/>
        <d v="2020-03-26T21:25:00Z"/>
        <d v="2020-03-26T21:11:00Z"/>
        <d v="2020-03-26T20:25:00Z"/>
        <d v="2020-03-26T20:17:00Z"/>
        <d v="2020-03-26T19:11:00Z"/>
        <d v="2020-03-26T18:08:00Z"/>
        <d v="2020-03-26T17:52:00Z"/>
        <d v="2020-03-26T17:04:00Z"/>
        <d v="2020-03-26T16:59:00Z"/>
        <d v="2020-03-26T16:34:00Z"/>
        <d v="2020-03-26T16:30:00Z"/>
        <d v="2020-03-26T16:17:00Z"/>
        <d v="2020-03-26T16:16:00Z"/>
        <d v="2020-03-26T16:07:00Z"/>
        <d v="2020-03-26T16:02:00Z"/>
        <d v="2020-03-26T15:56:00Z"/>
        <d v="2020-03-26T15:55:00Z"/>
        <d v="2020-03-26T15:47:00Z"/>
        <d v="2020-03-26T15:31:00Z"/>
        <d v="2020-03-26T11:55:00Z"/>
        <d v="2020-03-26T11:54:00Z"/>
        <d v="2020-03-26T08:53:00Z"/>
        <d v="2020-03-26T08:14:00Z"/>
        <d v="2020-03-26T00:29:00Z"/>
        <d v="2020-03-26T00:25:00Z"/>
        <d v="2020-03-26T00:07:00Z"/>
        <d v="2020-03-25T17:45:00Z"/>
        <d v="2020-03-25T17:18:00Z"/>
        <d v="2020-03-25T16:58:00Z"/>
        <d v="2020-03-25T16:32:00Z"/>
        <d v="2020-03-25T15:30:00Z"/>
        <d v="2020-03-25T13:35:00Z"/>
        <d v="2020-03-25T11:16:00Z"/>
        <d v="2020-03-25T10:48:00Z"/>
        <d v="2020-03-25T08:49:00Z"/>
        <d v="2020-03-25T07:56:00Z"/>
        <d v="2020-03-24T23:22:00Z"/>
        <d v="2020-03-24T22:52:00Z"/>
        <d v="2020-03-24T21:26:00Z"/>
        <d v="2020-03-24T20:16:00Z"/>
        <d v="2020-03-24T20:02:00Z"/>
        <d v="2020-03-24T19:58:00Z"/>
        <d v="2020-03-24T18:39:00Z"/>
        <d v="2020-03-24T17:51:00Z"/>
        <d v="2020-03-24T16:48:00Z"/>
        <d v="2020-03-24T15:52:00Z"/>
        <d v="2020-03-24T14:14:00Z"/>
        <d v="2020-03-24T13:49:00Z"/>
        <d v="2020-03-24T13:47:00Z"/>
        <d v="2020-03-24T13:19:00Z"/>
        <d v="2020-03-24T13:08:00Z"/>
        <d v="2020-03-24T12:53:00Z"/>
        <d v="2020-03-24T12:45:00Z"/>
        <d v="2020-03-24T12:33:00Z"/>
        <d v="2020-03-24T12:24:00Z"/>
        <d v="2020-03-24T11:59:00Z"/>
        <d v="2020-03-24T11:56:00Z"/>
        <d v="2020-03-24T10:42:00Z"/>
        <d v="2020-03-24T00:05:00Z"/>
        <d v="2020-03-23T23:46:00Z"/>
        <d v="2020-03-23T20:37:00Z"/>
        <d v="2020-03-23T18:25:00Z"/>
        <d v="2020-03-23T17:16:00Z"/>
        <d v="2020-03-23T16:59:00Z"/>
        <d v="2020-03-23T15:25:00Z"/>
        <d v="2020-03-23T11:22:00Z"/>
        <d v="2020-03-22T21:07:00Z"/>
        <d v="2020-03-22T10:43:00Z"/>
        <d v="2020-03-21T23:40:00Z"/>
        <d v="2020-03-21T21:59:00Z"/>
        <d v="2020-03-21T13:59:00Z"/>
        <d v="2020-03-21T12:37:00Z"/>
        <d v="2020-03-21T09:13:00Z"/>
        <d v="2020-03-21T09:10:00Z"/>
        <d v="2020-03-21T08:15:00Z"/>
        <d v="2020-03-21T00:07:00Z"/>
        <d v="2020-03-20T15:45:00Z"/>
        <d v="2020-03-20T14:35:00Z"/>
        <d v="2020-03-20T14:14:00Z"/>
        <d v="2020-03-20T13:37:00Z"/>
        <d v="2020-03-20T12:23:00Z"/>
        <d v="2020-03-19T17:37:00Z"/>
        <d v="2020-03-19T13:29:00Z"/>
        <d v="2020-03-19T08:15:00Z"/>
        <d v="2020-03-19T07:27:00Z"/>
        <d v="2020-03-18T17:58:00Z"/>
        <d v="2020-03-18T14:05:00Z"/>
        <d v="2020-03-17T18:05:00Z"/>
        <d v="2020-03-17T16:59:00Z"/>
        <d v="2020-03-17T15:10:00Z"/>
        <d v="2020-03-17T14:50:00Z"/>
        <d v="2020-03-17T11:01:00Z"/>
        <d v="2020-03-17T10:26:00Z"/>
        <d v="2020-03-17T10:17:00Z"/>
        <d v="2020-03-17T10:12:00Z"/>
        <d v="2020-03-17T09:22:00Z"/>
        <d v="2020-03-17T00:36:00Z"/>
        <d v="2020-03-16T18:51:00Z"/>
        <d v="2020-03-16T11:21:00Z"/>
        <d v="2020-03-16T10:19:00Z"/>
        <d v="2020-03-16T06:56:00Z"/>
        <d v="2020-03-16T04:21:00Z"/>
        <d v="2020-03-15T23:42:00Z"/>
        <d v="2020-03-15T23:20:00Z"/>
        <d v="2020-03-15T19:17:00Z"/>
        <d v="2020-03-15T17:13:00Z"/>
        <d v="2020-03-15T12:55:00Z"/>
        <d v="2020-03-15T00:28:00Z"/>
        <d v="2020-03-14T19:28:00Z"/>
        <d v="2020-03-14T19:21:00Z"/>
        <d v="2020-03-14T19:16:00Z"/>
        <d v="2020-03-14T19:06:00Z"/>
        <d v="2020-03-14T14:40:00Z"/>
        <d v="2020-03-13T22:25:00Z"/>
        <d v="2020-03-13T21:29:00Z"/>
        <d v="2020-03-13T14:13:00Z"/>
        <d v="2020-03-13T13:49:00Z"/>
        <d v="2020-03-13T12:50:00Z"/>
        <d v="2020-03-13T12:47:00Z"/>
        <d v="2020-03-13T08:28:00Z"/>
        <d v="2020-03-13T06:06:00Z"/>
        <d v="2020-03-13T00:47:00Z"/>
        <d v="2020-03-12T13:37:00Z"/>
        <d v="2020-03-12T11:22:00Z"/>
        <d v="2020-03-12T09:51:00Z"/>
        <d v="2020-03-12T00:23:00Z"/>
        <d v="2020-03-11T20:40:00Z"/>
        <d v="2020-03-11T19:08:00Z"/>
        <d v="2020-03-11T15:23:00Z"/>
        <d v="2020-03-11T14:36:00Z"/>
        <d v="2020-03-11T11:57:00Z"/>
        <d v="2020-03-11T08:55:00Z"/>
        <d v="2020-03-11T06:11:00Z"/>
        <d v="2020-03-11T00:18:00Z"/>
        <d v="2020-03-10T19:37:00Z"/>
        <d v="2020-03-10T17:04:00Z"/>
        <d v="2020-03-10T16:43:00Z"/>
        <d v="2020-03-10T12:48:00Z"/>
        <d v="2020-03-10T12:02:00Z"/>
        <d v="2020-03-10T09:43:00Z"/>
        <d v="2020-03-10T09:41:00Z"/>
        <d v="2020-03-10T09:15:00Z"/>
        <d v="2020-03-10T04:05:00Z"/>
        <d v="2020-03-10T00:56:00Z"/>
        <d v="2020-03-09T20:43:00Z"/>
        <d v="2020-03-09T20:30:00Z"/>
        <d v="2020-03-09T20:25:00Z"/>
        <d v="2020-03-09T16:29:00Z"/>
        <d v="2020-03-09T14:33:00Z"/>
        <d v="2020-03-09T13:15:00Z"/>
        <d v="2020-03-09T11:21:00Z"/>
        <d v="2020-03-09T08:25:00Z"/>
        <d v="2020-03-08T19:43:00Z"/>
        <d v="2020-03-08T18:35:00Z"/>
        <d v="2020-03-08T17:31:00Z"/>
        <d v="2020-03-08T14:21:00Z"/>
        <d v="2020-03-08T11:00:00Z"/>
        <d v="2020-03-08T06:06:00Z"/>
        <d v="2020-03-08T01:04:00Z"/>
        <d v="2020-03-07T15:17:00Z"/>
        <d v="2020-03-07T09:24:00Z"/>
        <d v="2020-03-07T09:07:00Z"/>
        <d v="2020-03-07T02:02:00Z"/>
        <d v="2020-03-06T18:27:00Z"/>
        <d v="2020-03-06T16:26:00Z"/>
        <d v="2020-03-06T11:16:00Z"/>
        <d v="2020-03-06T10:27:00Z"/>
        <d v="2020-03-06T09:39:00Z"/>
        <d v="2020-03-06T07:40:00Z"/>
        <d v="2020-03-06T07:39:00Z"/>
        <d v="2020-03-06T03:57:00Z"/>
        <d v="2020-03-05T23:46:00Z"/>
        <d v="2020-03-05T21:58:00Z"/>
        <d v="2020-03-05T19:32:00Z"/>
        <d v="2020-03-05T17:17:00Z"/>
        <d v="2020-03-05T14:16:00Z"/>
        <d v="2020-03-05T12:09:00Z"/>
        <d v="2020-03-05T11:56:00Z"/>
        <d v="2020-03-05T11:43:00Z"/>
        <d v="2020-03-05T11:17:00Z"/>
        <d v="2020-03-05T10:02:00Z"/>
        <d v="2020-03-05T09:16:00Z"/>
        <d v="2020-03-05T09:14:00Z"/>
        <d v="2020-03-05T08:17:00Z"/>
        <d v="2020-03-05T07:44:00Z"/>
        <d v="2020-03-05T01:02:00Z"/>
        <d v="2020-03-05T00:44:00Z"/>
        <d v="2020-03-04T19:09:00Z"/>
        <d v="2020-03-04T17:04:00Z"/>
        <d v="2020-03-04T12:50:00Z"/>
        <d v="2020-03-04T12:31:00Z"/>
        <d v="2020-03-04T12:13:00Z"/>
        <d v="2020-03-04T10:48:00Z"/>
        <d v="2020-03-04T09:19:00Z"/>
        <d v="2020-03-03T20:29:00Z"/>
        <d v="2020-03-03T16:54:00Z"/>
        <d v="2020-03-03T15:34:00Z"/>
        <d v="2020-03-03T13:57:00Z"/>
        <d v="2020-03-03T12:47:00Z"/>
        <d v="2020-03-03T11:27:00Z"/>
        <d v="2020-03-03T11:15:00Z"/>
        <d v="2020-03-03T10:54:00Z"/>
        <d v="2020-03-03T10:19:00Z"/>
        <d v="2020-03-03T09:32:00Z"/>
        <d v="2020-03-03T08:33:00Z"/>
        <d v="2020-03-03T08:24:00Z"/>
        <d v="2020-03-03T07:03:00Z"/>
        <d v="2020-03-02T22:11:00Z"/>
        <d v="2020-03-02T21:12:00Z"/>
        <d v="2020-03-02T20:22:00Z"/>
        <d v="2020-03-02T20:04:00Z"/>
        <d v="2020-03-02T19:17:00Z"/>
        <d v="2020-03-02T17:05:00Z"/>
        <d v="2020-03-02T13:52:00Z"/>
        <d v="2020-03-02T12:08:00Z"/>
        <d v="2020-03-02T11:30:00Z"/>
        <d v="2020-03-02T10:52:00Z"/>
        <d v="2020-03-01T19:36:00Z"/>
        <d v="2020-03-01T16:57:00Z"/>
        <d v="2020-03-01T16:20:00Z"/>
        <d v="2020-03-01T13:48:00Z"/>
        <d v="2020-03-01T02:59:00Z"/>
        <d v="2020-02-29T19:06:00Z"/>
        <d v="2020-02-29T18:20:00Z"/>
        <d v="2020-02-29T14:05:00Z"/>
        <d v="2020-02-29T11:02:00Z"/>
        <d v="2020-02-29T10:08:00Z"/>
        <d v="2020-02-29T06:50:00Z"/>
        <d v="2020-02-28T20:26:00Z"/>
        <d v="2020-02-28T16:11:00Z"/>
        <d v="2020-02-28T14:59:00Z"/>
        <d v="2020-02-28T13:33:00Z"/>
        <d v="2020-02-28T00:05:00Z"/>
        <d v="2020-02-27T23:55:00Z"/>
        <d v="2020-02-27T22:13:00Z"/>
        <d v="2020-02-27T22:00:00Z"/>
        <d v="2020-02-27T21:20:00Z"/>
        <d v="2020-02-27T19:25:00Z"/>
        <d v="2020-02-27T14:56:00Z"/>
        <d v="2020-02-27T12:34:00Z"/>
        <d v="2020-02-27T10:20:00Z"/>
        <d v="2020-02-27T10:10:00Z"/>
        <d v="2020-02-27T09:06:00Z"/>
        <d v="2020-02-27T08:34:00Z"/>
        <d v="2020-02-27T08:19:00Z"/>
        <d v="2020-02-27T08:00:00Z"/>
        <d v="2020-02-26T18:03:00Z"/>
        <d v="2020-02-26T14:08:00Z"/>
        <d v="2020-02-26T13:15:00Z"/>
        <d v="2020-02-26T10:55:00Z"/>
        <d v="2020-02-26T10:07:00Z"/>
        <d v="2020-02-26T08:43:00Z"/>
        <d v="2020-02-26T00:26:00Z"/>
        <d v="2020-02-25T23:17:00Z"/>
        <d v="2020-02-25T19:29:00Z"/>
        <d v="2020-02-25T18:25:00Z"/>
        <d v="2020-02-25T17:46:00Z"/>
        <d v="2020-02-25T17:40:00Z"/>
        <d v="2020-02-25T15:24:00Z"/>
        <d v="2020-02-25T13:41:00Z"/>
        <d v="2020-02-25T11:52:00Z"/>
        <d v="2020-02-25T09:02:00Z"/>
        <d v="2020-02-25T07:16:00Z"/>
        <d v="2020-02-24T23:22:00Z"/>
        <d v="2020-02-24T16:05:00Z"/>
        <d v="2020-02-24T15:44:00Z"/>
        <d v="2020-02-24T14:40:00Z"/>
        <d v="2020-02-24T14:27:00Z"/>
        <d v="2020-02-24T13:10:00Z"/>
        <d v="2020-02-24T12:57:00Z"/>
        <d v="2020-02-24T11:22:00Z"/>
        <d v="2020-02-24T07:43:00Z"/>
        <d v="2020-02-24T06:58:00Z"/>
        <d v="2020-02-24T06:29:00Z"/>
        <d v="2020-02-24T00:44:00Z"/>
        <d v="2020-02-23T21:48:00Z"/>
        <d v="2020-02-23T20:28:00Z"/>
        <d v="2020-02-23T00:36:00Z"/>
        <d v="2020-02-22T20:09:00Z"/>
        <d v="2020-02-22T16:26:00Z"/>
        <d v="2020-02-22T16:25:00Z"/>
        <d v="2020-02-22T15:21:00Z"/>
        <d v="2020-02-22T13:46:00Z"/>
        <d v="2020-02-22T07:40:00Z"/>
        <d v="2020-02-22T03:09:00Z"/>
        <d v="2020-02-22T02:46:00Z"/>
        <d v="2020-02-21T17:52:00Z"/>
        <d v="2020-02-21T17:21:00Z"/>
        <d v="2020-02-21T16:44:00Z"/>
        <d v="2020-02-21T16:17:00Z"/>
        <d v="2020-02-21T16:10:00Z"/>
        <d v="2020-02-21T16:00:00Z"/>
        <d v="2020-02-21T13:13:00Z"/>
        <d v="2020-02-21T08:17:00Z"/>
        <d v="2020-02-21T07:43:00Z"/>
        <d v="2020-02-20T23:27:00Z"/>
        <d v="2020-02-20T21:47:00Z"/>
        <d v="2020-02-20T13:28:00Z"/>
        <d v="2020-02-20T12:29:00Z"/>
        <d v="2020-02-20T11:17:00Z"/>
        <d v="2020-02-19T20:33:00Z"/>
        <d v="2020-02-19T19:28:00Z"/>
        <d v="2020-02-19T17:10:00Z"/>
        <d v="2020-02-19T15:45:00Z"/>
        <d v="2020-02-19T13:54:00Z"/>
        <d v="2020-02-19T13:42:00Z"/>
        <d v="2020-02-18T22:45:00Z"/>
        <d v="2020-02-18T20:46:00Z"/>
        <d v="2020-02-18T17:05:00Z"/>
        <d v="2020-02-18T15:55:00Z"/>
        <d v="2020-02-18T13:23:00Z"/>
        <d v="2020-02-18T12:01:00Z"/>
        <d v="2020-02-18T11:28:00Z"/>
        <d v="2020-02-18T11:09:00Z"/>
        <d v="2020-02-18T09:55:00Z"/>
        <d v="2020-02-17T18:44:00Z"/>
        <d v="2020-02-17T18:34:00Z"/>
        <d v="2020-02-17T17:05:00Z"/>
        <d v="2020-02-17T15:54:00Z"/>
        <d v="2020-02-17T15:13:00Z"/>
        <d v="2020-02-17T12:27:00Z"/>
        <d v="2020-02-17T10:55:00Z"/>
        <d v="2020-02-17T10:26:00Z"/>
        <d v="2020-02-17T10:16:00Z"/>
        <d v="2020-02-17T09:36:00Z"/>
        <d v="2020-02-17T08:51:00Z"/>
        <d v="2020-02-17T08:04:00Z"/>
        <d v="2020-02-17T05:15:00Z"/>
        <d v="2020-02-16T20:30:00Z"/>
        <d v="2020-02-16T19:53:00Z"/>
        <d v="2020-02-16T18:52:00Z"/>
        <d v="2020-02-16T17:39:00Z"/>
        <d v="2020-02-16T12:15:00Z"/>
        <d v="2020-02-16T10:10:00Z"/>
        <d v="2020-02-16T09:19:00Z"/>
        <d v="2020-02-15T22:08:00Z"/>
        <d v="2020-02-15T20:46:00Z"/>
        <d v="2020-02-15T19:20:00Z"/>
        <d v="2020-02-15T13:48:00Z"/>
        <d v="2020-02-15T13:07:00Z"/>
        <d v="2020-02-15T12:37:00Z"/>
        <d v="2020-02-15T10:34:00Z"/>
        <d v="2020-02-15T09:35:00Z"/>
        <d v="2020-02-15T08:25:00Z"/>
        <d v="2020-02-15T01:47:00Z"/>
        <d v="2020-02-14T23:55:00Z"/>
        <d v="2020-02-14T21:19:00Z"/>
        <d v="2020-02-14T21:18:00Z"/>
        <d v="2020-02-14T19:23:00Z"/>
        <d v="2020-02-14T17:28:00Z"/>
        <d v="2020-02-14T13:12:00Z"/>
        <d v="2020-02-14T12:50:00Z"/>
        <d v="2020-02-14T12:13:00Z"/>
        <d v="2020-02-14T11:47:00Z"/>
        <d v="2020-02-14T11:27:00Z"/>
        <d v="2020-02-14T11:09:00Z"/>
        <d v="2020-02-14T10:52:00Z"/>
        <d v="2020-02-14T09:34:00Z"/>
        <d v="2020-02-14T08:11:00Z"/>
        <d v="2020-02-14T07:54:00Z"/>
        <d v="2020-02-13T23:12:00Z"/>
        <d v="2020-02-13T22:51:00Z"/>
        <d v="2020-02-13T22:19:00Z"/>
        <d v="2020-02-13T20:50:00Z"/>
        <d v="2020-02-13T19:59:00Z"/>
        <d v="2020-02-13T19:14:00Z"/>
        <d v="2020-02-13T18:38:00Z"/>
        <d v="2020-02-13T14:31:00Z"/>
        <d v="2020-02-13T13:38:00Z"/>
        <d v="2020-02-13T12:34:00Z"/>
        <d v="2020-02-13T12:24:00Z"/>
        <d v="2020-02-13T12:22:00Z"/>
        <d v="2020-02-13T06:46:00Z"/>
        <d v="2020-02-12T22:21:00Z"/>
        <d v="2020-02-12T20:48:00Z"/>
        <d v="2020-02-12T20:34:00Z"/>
        <d v="2020-02-12T14:28:00Z"/>
        <d v="2020-02-12T13:59:00Z"/>
        <d v="2020-02-12T13:26:00Z"/>
        <d v="2020-02-12T11:59:00Z"/>
        <d v="2020-02-12T10:18:00Z"/>
        <d v="2020-02-12T06:50:00Z"/>
        <d v="2020-02-12T00:49:00Z"/>
        <d v="2020-02-11T22:09:00Z"/>
        <d v="2020-02-11T18:52:00Z"/>
        <d v="2020-02-11T17:48:00Z"/>
        <d v="2020-02-11T17:05:00Z"/>
        <d v="2020-02-11T16:29:00Z"/>
        <d v="2020-02-11T15:03:00Z"/>
        <d v="2020-02-11T14:55:00Z"/>
        <d v="2020-02-11T14:19:00Z"/>
        <d v="2020-02-11T12:55:00Z"/>
        <d v="2020-02-11T12:38:00Z"/>
        <d v="2020-02-11T11:06:00Z"/>
        <d v="2020-02-11T09:54:00Z"/>
        <d v="2020-02-11T09:39:00Z"/>
        <d v="2020-02-10T22:15:00Z"/>
        <d v="2020-02-10T21:41:00Z"/>
        <d v="2020-02-10T13:40:00Z"/>
        <d v="2020-02-10T13:11:00Z"/>
        <d v="2020-02-10T11:04:00Z"/>
        <d v="2020-02-10T09:25:00Z"/>
        <d v="2020-02-09T22:54:00Z"/>
        <d v="2020-02-09T21:52:00Z"/>
        <d v="2020-02-09T20:58:00Z"/>
        <d v="2020-02-09T19:43:00Z"/>
        <d v="2020-02-09T16:02:00Z"/>
        <d v="2020-02-09T09:35:00Z"/>
        <d v="2020-02-08T20:29:00Z"/>
        <d v="2020-02-08T18:56:00Z"/>
        <d v="2020-02-08T18:08:00Z"/>
        <d v="2020-02-08T13:27:00Z"/>
        <d v="2020-02-08T10:27:00Z"/>
        <d v="2020-02-08T07:43:00Z"/>
        <d v="2020-02-07T22:44:00Z"/>
        <d v="2020-02-07T13:31:00Z"/>
        <d v="2020-02-07T13:10:00Z"/>
        <d v="2020-02-07T09:41:00Z"/>
        <d v="2020-02-07T08:46:00Z"/>
        <d v="2020-02-07T01:18:00Z"/>
        <d v="2020-02-06T23:25:00Z"/>
        <d v="2020-02-06T21:52:00Z"/>
        <d v="2020-02-06T20:16:00Z"/>
        <d v="2020-02-06T19:27:00Z"/>
        <d v="2020-02-06T16:42:00Z"/>
        <d v="2020-02-06T14:21:00Z"/>
        <d v="2020-02-06T10:59:00Z"/>
        <d v="2020-02-06T10:53:00Z"/>
        <d v="2020-02-06T10:03:00Z"/>
        <d v="2020-02-06T08:59:00Z"/>
        <d v="2020-02-06T00:36:00Z"/>
        <d v="2020-02-05T21:33:00Z"/>
        <d v="2020-02-05T19:53:00Z"/>
        <d v="2020-02-05T17:39:00Z"/>
        <d v="2020-02-05T14:39:00Z"/>
        <d v="2020-02-05T12:30:00Z"/>
        <d v="2020-02-05T09:42:00Z"/>
        <d v="2020-02-05T09:32:00Z"/>
        <d v="2020-02-05T08:39:00Z"/>
        <d v="2020-02-05T08:32:00Z"/>
        <d v="2020-02-05T07:31:00Z"/>
        <d v="2020-02-04T22:13:00Z"/>
        <d v="2020-02-04T19:29:00Z"/>
        <d v="2020-02-04T18:12:00Z"/>
        <d v="2020-02-04T17:12:00Z"/>
        <d v="2020-02-04T15:32:00Z"/>
        <d v="2020-02-04T15:28:00Z"/>
        <d v="2020-02-04T15:05:00Z"/>
        <d v="2020-02-04T14:52:00Z"/>
        <d v="2020-02-04T12:37:00Z"/>
        <d v="2020-02-04T11:08:00Z"/>
        <d v="2020-02-04T11:07:00Z"/>
        <d v="2020-02-04T11:03:00Z"/>
        <d v="2020-02-04T10:32:00Z"/>
        <d v="2020-02-04T08:43:00Z"/>
        <d v="2020-02-04T08:39:00Z"/>
        <d v="2020-02-04T01:55:00Z"/>
        <d v="2020-02-03T21:36:00Z"/>
        <d v="2020-02-03T15:24:00Z"/>
        <d v="2020-02-03T15:22:00Z"/>
        <d v="2020-02-03T10:37:00Z"/>
        <d v="2020-02-02T21:59:00Z"/>
        <d v="2020-02-02T19:13:00Z"/>
        <d v="2020-02-02T18:58:00Z"/>
        <d v="2020-02-02T17:23:00Z"/>
        <d v="2020-02-02T12:44:00Z"/>
        <d v="2020-02-02T03:16:00Z"/>
        <d v="2020-02-02T02:11:00Z"/>
        <d v="2020-02-01T23:46:00Z"/>
        <d v="2020-02-01T20:39:00Z"/>
        <d v="2020-02-01T20:30:00Z"/>
        <d v="2020-02-01T14:58:00Z"/>
        <d v="2020-02-01T14:25:00Z"/>
        <d v="2020-02-01T12:51:00Z"/>
        <d v="2020-02-01T11:05:00Z"/>
        <d v="2020-02-01T02:41:00Z"/>
        <d v="2020-01-31T19:34:00Z"/>
        <d v="2020-01-31T18:41:00Z"/>
        <d v="2020-01-31T16:55:00Z"/>
        <d v="2020-01-31T16:50:00Z"/>
        <d v="2020-01-31T16:16:00Z"/>
        <d v="2020-01-30T20:50:00Z"/>
        <d v="2020-01-30T18:40:00Z"/>
        <d v="2020-01-30T17:46:00Z"/>
        <d v="2020-01-30T13:20:00Z"/>
        <d v="2020-01-30T10:49:00Z"/>
        <d v="2020-01-30T00:25:00Z"/>
        <d v="2020-01-29T22:52:00Z"/>
        <d v="2020-01-29T21:23:00Z"/>
        <d v="2020-01-29T20:09:00Z"/>
        <d v="2020-01-29T18:56:00Z"/>
        <d v="2020-01-29T17:52:00Z"/>
        <d v="2020-01-29T17:37:00Z"/>
        <d v="2020-01-29T16:43:00Z"/>
        <d v="2020-01-29T15:01:00Z"/>
        <d v="2020-01-29T13:29:00Z"/>
        <d v="2020-01-29T11:58:00Z"/>
        <d v="2020-01-29T09:56:00Z"/>
        <d v="2020-01-29T09:00:00Z"/>
        <d v="2020-01-28T19:05:00Z"/>
        <d v="2020-01-28T16:00:00Z"/>
        <d v="2020-01-28T15:34:00Z"/>
        <d v="2020-01-28T13:50:00Z"/>
        <d v="2020-01-28T11:26:00Z"/>
        <d v="2020-01-28T07:06:00Z"/>
        <d v="2020-01-27T21:47:00Z"/>
        <d v="2020-01-27T20:05:00Z"/>
        <d v="2020-01-27T18:52:00Z"/>
        <d v="2020-01-27T14:34:00Z"/>
        <d v="2020-01-27T14:25:00Z"/>
        <d v="2020-01-27T13:17:00Z"/>
        <d v="2020-01-27T10:20:00Z"/>
        <d v="2020-01-27T09:35:00Z"/>
        <d v="2020-01-26T22:40:00Z"/>
        <d v="2020-01-26T21:35:00Z"/>
        <d v="2020-01-26T21:27:00Z"/>
        <d v="2020-01-26T15:42:00Z"/>
        <d v="2020-01-26T12:54:00Z"/>
        <d v="2020-01-26T11:20:00Z"/>
        <d v="2020-01-26T00:35:00Z"/>
        <d v="2020-01-25T18:46:00Z"/>
        <d v="2020-01-25T18:22:00Z"/>
        <d v="2020-01-25T15:24:00Z"/>
        <d v="2020-01-24T22:21:00Z"/>
        <d v="2020-01-24T18:49:00Z"/>
        <d v="2020-01-24T18:48:00Z"/>
        <d v="2020-01-24T15:11:00Z"/>
        <d v="2020-01-24T12:26:00Z"/>
        <d v="2020-01-24T10:16:00Z"/>
        <d v="2020-01-24T07:05:00Z"/>
        <d v="2020-01-23T22:58:00Z"/>
        <d v="2020-01-23T19:43:00Z"/>
        <d v="2020-01-23T19:19:00Z"/>
        <d v="2020-01-23T18:24:00Z"/>
        <d v="2020-01-23T17:55:00Z"/>
        <d v="2020-01-23T11:36:00Z"/>
        <d v="2020-01-23T00:17:00Z"/>
        <d v="2020-01-22T21:44:00Z"/>
        <d v="2020-01-22T21:07:00Z"/>
        <d v="2020-01-22T18:15:00Z"/>
        <d v="2020-01-22T17:40:00Z"/>
        <d v="2020-01-22T15:02:00Z"/>
        <d v="2020-01-22T13:29:00Z"/>
        <d v="2020-01-22T10:43:00Z"/>
        <d v="2020-01-22T07:51:00Z"/>
        <d v="2020-01-21T22:58:00Z"/>
        <d v="2020-01-21T22:35:00Z"/>
        <d v="2020-01-21T20:04:00Z"/>
        <d v="2020-01-21T19:25:00Z"/>
        <d v="2020-01-21T19:20:00Z"/>
        <d v="2020-01-21T18:10:00Z"/>
        <d v="2020-01-21T15:57:00Z"/>
        <d v="2020-01-21T11:02:00Z"/>
        <d v="2020-01-20T20:33:00Z"/>
        <d v="2020-01-20T12:33:00Z"/>
        <d v="2020-01-20T09:08:00Z"/>
        <d v="2020-01-19T15:47:00Z"/>
        <d v="2020-01-19T13:53:00Z"/>
        <d v="2020-01-19T10:08:00Z"/>
        <d v="2020-01-18T23:16:00Z"/>
        <d v="2020-01-18T19:55:00Z"/>
        <d v="2020-01-18T16:56:00Z"/>
        <d v="2020-01-17T20:10:00Z"/>
        <d v="2020-01-17T18:15:00Z"/>
        <d v="2020-01-17T18:09:00Z"/>
        <d v="2020-01-17T15:26:00Z"/>
        <d v="2020-01-17T13:22:00Z"/>
        <d v="2020-01-17T08:34:00Z"/>
        <d v="2020-01-17T07:46:00Z"/>
        <d v="2020-01-16T17:28:00Z"/>
        <d v="2020-01-16T15:19:00Z"/>
        <d v="2020-01-16T14:48:00Z"/>
        <d v="2020-01-16T12:26:00Z"/>
        <d v="2020-01-16T08:12:00Z"/>
        <d v="2020-01-15T22:11:00Z"/>
        <d v="2020-01-15T17:40:00Z"/>
        <d v="2020-01-15T16:47:00Z"/>
        <d v="2020-01-15T15:01:00Z"/>
        <d v="2020-01-15T14:42:00Z"/>
        <d v="2020-01-15T13:27:00Z"/>
        <d v="2020-01-15T10:22:00Z"/>
        <d v="2020-01-14T23:34:00Z"/>
        <d v="2020-01-14T17:31:00Z"/>
        <d v="2020-01-14T13:40:00Z"/>
        <d v="2020-01-14T12:42:00Z"/>
        <d v="2020-01-13T21:11:00Z"/>
        <d v="2020-01-13T20:58:00Z"/>
        <d v="2020-01-13T20:29:00Z"/>
        <d v="2020-01-13T18:23:00Z"/>
        <d v="2020-01-13T17:58:00Z"/>
        <d v="2020-01-13T15:18:00Z"/>
        <d v="2020-01-13T14:59:00Z"/>
        <d v="2020-01-13T12:37:00Z"/>
        <d v="2020-01-13T12:35:00Z"/>
        <d v="2020-01-13T10:01:00Z"/>
        <d v="2020-01-13T09:14:00Z"/>
        <d v="2020-01-13T00:31:00Z"/>
        <d v="2020-01-12T19:41:00Z"/>
        <d v="2020-01-12T18:48:00Z"/>
        <d v="2020-01-12T18:32:00Z"/>
        <d v="2020-01-12T14:03:00Z"/>
        <d v="2020-01-12T12:03:00Z"/>
        <d v="2020-01-11T19:46:00Z"/>
        <d v="2020-01-11T16:24:00Z"/>
        <d v="2020-01-11T16:11:00Z"/>
        <d v="2020-01-11T14:40:00Z"/>
        <d v="2020-01-11T11:36:00Z"/>
        <d v="2020-01-11T07:35:00Z"/>
        <d v="2020-01-10T23:48:00Z"/>
        <d v="2020-01-10T23:27:00Z"/>
        <d v="2020-01-10T22:01:00Z"/>
        <d v="2020-01-10T21:51:00Z"/>
        <d v="2020-01-10T19:28:00Z"/>
        <d v="2020-01-10T18:38:00Z"/>
        <d v="2020-01-10T16:26:00Z"/>
        <d v="2020-01-10T15:30:00Z"/>
        <d v="2020-01-10T12:18:00Z"/>
        <d v="2020-01-10T11:31:00Z"/>
        <d v="2020-01-10T10:22:00Z"/>
        <d v="2020-01-09T20:34:00Z"/>
        <d v="2020-01-09T20:26:00Z"/>
        <d v="2020-01-09T16:26:00Z"/>
        <d v="2020-01-09T14:30:00Z"/>
        <d v="2020-01-09T14:09:00Z"/>
        <d v="2020-01-09T11:41:00Z"/>
        <d v="2020-01-09T09:58:00Z"/>
        <d v="2020-01-09T09:47:00Z"/>
        <d v="2020-01-09T09:17:00Z"/>
        <d v="2020-01-09T07:36:00Z"/>
        <d v="2020-01-08T20:35:00Z"/>
        <d v="2020-01-08T19:36:00Z"/>
        <d v="2020-01-08T17:09:00Z"/>
        <d v="2020-01-08T15:13:00Z"/>
        <d v="2020-01-08T13:30:00Z"/>
        <d v="2020-01-08T11:42:00Z"/>
        <d v="2020-01-08T11:40:00Z"/>
        <d v="2020-01-08T10:50:00Z"/>
        <d v="2020-01-08T07:53:00Z"/>
        <d v="2020-01-07T15:46:00Z"/>
        <d v="2020-01-07T14:16:00Z"/>
        <d v="2020-01-07T12:33:00Z"/>
        <d v="2020-01-07T10:39:00Z"/>
        <d v="2020-01-07T10:30:00Z"/>
        <d v="2020-01-07T08:48:00Z"/>
        <d v="2020-01-06T23:43:00Z"/>
        <d v="2020-01-06T21:57:00Z"/>
        <d v="2020-01-06T21:49:00Z"/>
        <d v="2020-01-06T15:32:00Z"/>
        <d v="2020-01-06T11:40:00Z"/>
        <d v="2020-01-06T10:20:00Z"/>
        <d v="2020-01-06T10:18:00Z"/>
        <d v="2020-01-05T21:23:00Z"/>
        <d v="2020-01-05T14:15:00Z"/>
        <d v="2020-01-05T09:02:00Z"/>
        <d v="2020-01-05T08:36:00Z"/>
        <d v="2020-01-04T22:01:00Z"/>
        <d v="2020-01-04T21:13:00Z"/>
        <d v="2020-01-04T12:07:00Z"/>
        <d v="2020-01-04T12:00:00Z"/>
        <d v="2020-01-04T11:55:00Z"/>
        <d v="2020-01-04T11:36:00Z"/>
        <d v="2020-01-04T02:21:00Z"/>
        <d v="2020-01-04T00:15:00Z"/>
        <d v="2020-01-03T23:41:00Z"/>
        <d v="2020-01-03T21:58:00Z"/>
        <d v="2020-01-03T15:27:00Z"/>
        <d v="2020-01-03T13:05:00Z"/>
        <d v="2020-01-03T10:54:00Z"/>
        <d v="2020-01-03T09:35:00Z"/>
        <d v="2020-01-03T08:52:00Z"/>
        <d v="2020-01-03T08:03:00Z"/>
        <d v="2020-01-02T19:07:00Z"/>
        <d v="2020-01-02T18:54:00Z"/>
        <d v="2020-01-02T16:21:00Z"/>
        <d v="2020-01-02T14:23:00Z"/>
        <d v="2020-01-02T13:42:00Z"/>
        <d v="2020-01-02T13:07:00Z"/>
        <d v="2020-01-02T10:47:00Z"/>
        <d v="2020-01-02T08:22:00Z"/>
        <m/>
      </sharedItems>
      <fieldGroup base="1">
        <rangePr autoStart="0" autoEnd="0" groupBy="months" startDate="2020-01-02T08:22:00Z" endDate="2020-07-01T16:15:00Z"/>
        <groupItems>
          <s v="&lt;01/02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/01/20"/>
        </groupItems>
      </fieldGroup>
    </cacheField>
    <cacheField name="Nuevo" numFmtId="164">
      <sharedItems containsBlank="1">
        <s v="Nuevo"/>
        <s v="3@gmail.com"/>
        <s v="7@unizar.es"/>
        <s v="17@gmail.com"/>
        <s v="9@chacontch.com"/>
        <s v="40@hotmail.com"/>
        <s v="19@grupoespacioindustrial.com"/>
        <s v="39@idom.com"/>
        <s v="53@dicara.es"/>
        <s v="71@hotmail.com"/>
        <s v="48@legebiltzarra.eus"/>
        <s v="45@acotech.es"/>
        <s v="3012@diegodiazlopez.com"/>
        <s v="127@prevae.com"/>
        <s v="128@gmail.com"/>
        <s v="130@gmail.com"/>
        <s v="131@hotmail.com"/>
        <s v="37@intienergia.com"/>
        <s v="135@telefonica.net"/>
        <s v="138@grupocobra.com"/>
        <s v="50@gmail.com"/>
        <s v="139@yahoo.es"/>
        <s v="56@iesmurgi.org"/>
        <s v="70@gmail.com"/>
        <s v="147@hotmail.es"/>
        <s v="148@gmail.com"/>
        <s v="95@gmail.com"/>
        <s v="91@valmet.com"/>
        <s v="157@hotmail.com"/>
        <s v="159@gmail.com"/>
        <s v="113@gmail.com"/>
        <s v="161@gmail.com"/>
        <s v="163@gmail.com"/>
        <s v="165@dobontech.com"/>
        <s v="168@hc-ingenieros.com"/>
        <s v="66@dgingenieros.es"/>
        <s v="88@ingenierosvigo.com"/>
        <s v="85@gmail.com"/>
        <s v="3013@gmail.com"/>
        <s v="111@murciaeduca.es"/>
        <s v="102@telefonica.net"/>
        <s v="46@hotmail.com"/>
        <s v="3014@gmail.com"/>
        <s v="110@3epsilonsolutions.com"/>
        <s v="3015@cetill.cat"/>
        <s v="81@gmail.com"/>
        <s v="77@comsa.com"/>
        <s v="3016@arrow.com"/>
        <s v="107@dipucr.es"/>
        <s v="97@igpingenieria.com"/>
        <s v="118@legebiltzarra.eus"/>
        <s v="123@grupocuerva.com"/>
        <s v="3017@hotmail.com"/>
        <s v="105@gmail.com"/>
        <s v="96@hotmail.com"/>
        <s v="183@arquired.es"/>
        <s v="184@telefonica.net"/>
        <s v="185@asintec.info"/>
        <s v="90@telefonica.net"/>
        <s v="106@ucm.es"/>
        <s v="93@gmail.com"/>
        <s v="188@gmail.com"/>
        <s v="190@idom.com"/>
        <s v="108@salesianos.edu"/>
        <s v="192@gmail.com"/>
        <s v="193@triangulo.com.es"/>
        <s v="75@telefonica.net"/>
        <s v="194@hotmail.com"/>
        <s v="196@gmail.com"/>
        <s v="197@enginyerstarragona.cat"/>
        <s v="200@smassa.eu"/>
        <s v="18@urv.cat"/>
        <s v="86@ingbuero-group.de"/>
        <s v="201@gmail.com"/>
        <s v="103@ciccp.es"/>
        <s v="205@es.tuv.com"/>
        <s v="213@guidogroup.com"/>
        <s v="101@coiirm.es"/>
        <s v="216@gmail.com"/>
        <s v="214@gmail.com"/>
        <s v="218@erasmil.com"/>
        <s v="92@gmail.com"/>
        <s v="117@telefonica.net"/>
        <s v="104@spiningenieros.com"/>
        <s v="21@iteser.com"/>
        <s v="220@istem.es"/>
        <s v="223@gmail.com"/>
        <s v="222@jcgracia.es"/>
        <s v="67@becibiza.es"/>
        <s v="224@hotmail.com"/>
        <s v="109@gmail.com"/>
        <s v="225@gmail.com"/>
        <s v="227@gmail.com"/>
        <s v="228@erasmil.com"/>
        <s v="119@ideaingenieria.es"/>
        <s v="230@solsureste.com"/>
        <s v="3018@hotmail.com"/>
        <s v="116@sgs.com"/>
        <s v="99@coitir.com"/>
        <s v="233@gmail.com"/>
        <s v="112@gmail.com"/>
        <s v="121@gmail.com"/>
        <s v="94@grupocobra.com"/>
        <s v="100@hotmail.com"/>
        <s v="240@hotmail.com"/>
        <s v="236@elecnor.com"/>
        <s v="124@betenergia.es"/>
        <s v="120@yahoo.com"/>
        <s v="248@llachsoillum.cat"/>
        <s v="249@herreroingenieros.com"/>
        <s v="255@hotmail.com"/>
        <s v="73@hotmail.com"/>
        <s v="256@mail.com"/>
        <s v="257@telefonica.net"/>
        <s v="250@inacces.com"/>
        <s v="273@gmail.com"/>
        <s v="125@gmail.com"/>
        <s v="3019@gmail.com"/>
        <s v="295@gmail.com"/>
        <s v="286@icaluz.com"/>
        <s v="281@montajescastellon.com"/>
        <s v="299@vimasol.es"/>
        <s v="300@vimasol.es"/>
        <s v="301@vimasol.es"/>
        <s v="323@hotmail.com"/>
        <s v="435@solucionesms.es"/>
        <s v="459@sesetec.com"/>
        <s v="489@carbonellfigueras.com"/>
        <s v="497@6d-ingenieros.com"/>
        <s v="510@gmail.com"/>
        <s v="566@gmail.com"/>
        <s v="546@gmail.com"/>
        <s v="697@ingedomsl.com"/>
        <s v="481@gmail.com"/>
        <s v="3024@pina-ingenieria.com"/>
        <s v="347@engie.com"/>
        <s v="344@hotmail.com"/>
        <s v="535@bgp.es"/>
        <s v="352@live.com.mx"/>
        <s v="661@horus.es"/>
        <s v="732@vcejudo.es"/>
        <s v="3026@gmail.com"/>
        <s v="548@hotmail.com"/>
        <s v="737@lagingenieros.es"/>
        <s v="3027@liabeny.com"/>
        <s v="608@sgingenieros.es"/>
        <s v="742@acoeman.com"/>
        <s v="716@gmail.com"/>
        <s v="3028@gmail.com"/>
        <s v="3029@electricidad-galindo.com"/>
        <s v="747@tecnicas.es"/>
        <s v="493@gmail.com"/>
        <s v="592@garciacomas.com"/>
        <s v="755@coitt.es"/>
        <s v="79@sonepar.es"/>
        <s v="3030@a6ingenieria.es"/>
        <s v="557@dip-badajoz.es"/>
        <s v="763@gmail.com"/>
        <s v="3031@grupojab.es"/>
        <s v="267@fiberlec.com"/>
        <s v="538@herquesa.com"/>
        <s v="705@gmail.com"/>
        <s v="3032@gmail.com"/>
        <s v="770@inmotiza.com"/>
        <s v="24@gmail.com"/>
        <s v="601@gmail.com"/>
        <s v="733@gmail.com"/>
        <s v="683@hagergroup.com"/>
        <s v="498@gmail.com"/>
        <s v="536@adymus.es"/>
        <s v="787@electricidadoriagomez.com"/>
        <s v="529@gmail.com"/>
        <s v="547@grupocuerva.com"/>
        <s v="282@comsa.com"/>
        <s v="235@gmail.com"/>
        <s v="624@inserty.net"/>
        <s v="525@comsa.com"/>
        <s v="3033@gmail.com"/>
        <s v="351@cochele.com"/>
        <s v="3034@gmail.com"/>
        <s v="3035@ingenieriaspi.com"/>
        <s v="158@acollconsulting.es"/>
        <s v="3036@romeroycantalejo.com"/>
        <s v="577@electroalbors.com"/>
        <s v="545@serviciosenergeticoslp.es"/>
        <s v="825@hotmail.com"/>
        <s v="657@enaire.es"/>
        <s v="3039@normatica.es"/>
        <s v="866@typsa.es"/>
        <s v="872@gmail.com"/>
        <s v="901@gmail.com"/>
        <s v="905@yahoo.es"/>
        <s v="919@hotmail.com"/>
        <s v="957@germaniaweb.com"/>
        <s v="960@aqelectric.es"/>
        <s v="964@hotmail.com"/>
        <s v="930@acciona.com"/>
        <s v="966@miguelmoralesingenieros.com"/>
        <s v="288@fcc.es"/>
        <s v="974@yahoo.es"/>
        <s v="3041@hotmail.com"/>
        <s v="985@jesnar2011.es"/>
        <s v="998@damuvi.com"/>
        <s v="833@ofitecbp.com"/>
        <s v="1005@allendearquitectos.com"/>
        <s v="264@edaie.com"/>
        <s v="1013@hotmail.com"/>
        <s v="917@gmail.com"/>
        <s v="1058@gmail.com"/>
        <s v="978@gmail.com"/>
        <s v="1002@hotmail.com"/>
        <s v="1061@perezescribano.es"/>
        <s v="1067@gmail.com"/>
        <s v="1072@gmail.com"/>
        <s v="1075@gmail.com"/>
        <s v="1077@hotmail.com"/>
        <s v="1078@gmail.com"/>
        <s v="1084@gmail.com"/>
        <s v="1090@hotmail.com"/>
        <s v="1095@gmail.com"/>
        <s v="984@gmail.com"/>
        <s v="1101@hotmail.com"/>
        <s v="1102@gmail.com"/>
        <s v="1103@montajeselectricosfase.com"/>
        <s v="1107@ryaingenieros.com"/>
        <s v="1110@gmail.com"/>
        <s v="1114@teclisa.com"/>
        <s v="1117@hotmail.com"/>
        <s v="1119@gmail.com"/>
        <s v="320@gmail.com"/>
        <s v="1127@telefonica.net"/>
        <s v="1129@eselfri.com"/>
        <s v="1134@integratoledo.com"/>
        <s v="1137@eiasein.es"/>
        <s v="1143@gmail.com"/>
        <s v="209@azingenieria.es"/>
        <s v="1151@telefonica.net"/>
        <s v="959@mlopezarquitectos.com"/>
        <s v="1156@berrilanbim.com"/>
        <s v="1162@gmail.com"/>
        <s v="992@yahoo.es"/>
        <s v="1165@gmail.com"/>
        <s v="1166@hotmail.com"/>
        <s v="1167@tselsur.es"/>
        <s v="1168@renaultpineda.com"/>
        <s v="1173@vifrisan.com"/>
        <s v="1174@alem.es"/>
        <s v="1176@gmail.com"/>
        <s v="1177@imte.cat"/>
        <s v="1003@gmail.com"/>
        <s v="1185@lmretavi.es"/>
        <s v="1186@gmail.com"/>
        <s v="1191@tinet.fut.es"/>
        <s v="1192@toyota-canarias.es"/>
        <s v="1196@hotmail.com"/>
        <s v="1197@electricidadcelec.com"/>
        <s v="1199@qwerty.es"/>
        <s v="1205@telefonica.net"/>
        <s v="1209@hotmail.es"/>
        <s v="1210@pepepower.es"/>
        <s v="1216@gmail.com"/>
        <s v="1219@actluz.com"/>
        <s v="1223@proyecta79.com"/>
        <s v="1224@ipertec.es"/>
        <s v="1222@hotmail.com"/>
        <s v="1229@yahoo.es"/>
        <s v="1230@gmail.com"/>
        <s v="1234@gmail.com"/>
        <s v="1238@gmail.com"/>
        <s v="1239@telefonica.net"/>
        <s v="1243@educa.jcyl.es"/>
        <s v="1248@gmail.com"/>
        <s v="1251@gomurmya.com"/>
        <s v="1252@desarrollotecnico.com"/>
        <s v="1253@gmail.com"/>
        <s v="1261@e-copitile.es"/>
        <s v="1264@gmail.com"/>
        <s v="1265@hotmail.com"/>
        <s v="1269@kuartafase.com"/>
        <s v="2@yahoo.es"/>
        <s v="613@proingo.es"/>
        <s v="1279@fccco.com"/>
        <s v="1287@aytosalamanca.es"/>
        <s v="1291@macegroup.com"/>
        <s v="1294@gmail.com"/>
        <s v="1297@silmarinstalacions.com"/>
        <s v="1300@movistar.es"/>
        <s v="1026@aia.cat"/>
        <s v="238@engie.com"/>
        <s v="3042@gmail.com"/>
        <s v="1304@ingenibo.com"/>
        <s v="1305@checa67.es"/>
        <s v="991@yahoo.es"/>
        <s v="1311@gmail.com"/>
        <s v="1312@gmail.com"/>
        <s v="1320@gmail.com"/>
        <s v="1325@gmail.com"/>
        <s v="1328@gmail.com"/>
        <s v="1332@novarquia.es"/>
        <s v="1339@electrogalmar.es"/>
        <s v="1349@gmail.com"/>
        <s v="1352@autelec.net"/>
        <s v="1351@conselldemallorca.net"/>
        <s v="1354@hotmail.com"/>
        <s v="1358@gmail.com"/>
        <s v="1361@gmail.com"/>
        <s v="1367@telecable.es"/>
        <s v="1369@atribal.es"/>
        <s v="1371@gmail.com"/>
        <s v="1374@autelec.net"/>
        <s v="921@gmail.com"/>
        <s v="1383@grupoazmont.com"/>
        <s v="1386@grupoevc.es"/>
        <s v="963@gmail.com"/>
        <s v="1389@hotmail.com"/>
        <s v="1388@covama.es"/>
        <s v="1390@gmail.com"/>
        <s v="1016@coitt.es"/>
        <s v="1396@telefonica.net"/>
        <s v="1400@apeh.org"/>
        <s v="1417@gmail.com"/>
        <s v="581@gmail.com"/>
        <s v="1421@itesasl.com"/>
        <s v="1430@outlook.es"/>
        <s v="1428@gadeaingenieros.com"/>
        <s v="1429@yahoo.es"/>
        <s v="1436@deerns.com"/>
        <s v="1437@indal-tec.com"/>
        <s v="1438@hotmail.com"/>
        <s v="187@castelyfernandez.es"/>
        <s v="1445@gmail.com"/>
        <s v="1451@electrocuebar.com"/>
        <s v="1452@ricarsat.com"/>
        <s v="217@esypro.net"/>
        <s v="1453@ingenierosdecadiz.es"/>
        <s v="1457@covama.es"/>
        <s v="1460@gmail.com"/>
        <s v="1461@gmail.com"/>
        <s v="1462@cadlan.com"/>
        <s v="1466@telegrado.es"/>
        <s v="1468@gmail.com"/>
        <s v="1473@hotmail.com"/>
        <s v="1478@gmail.com"/>
        <s v="951@tenerasa.es"/>
        <s v="1019@ingeralbaida.es"/>
        <s v="3043@yahoo.es"/>
        <s v="973@live.com"/>
        <s v="297@hotmail.com"/>
        <s v="1509@xonxa.com"/>
        <s v="374@copitima.com"/>
        <s v="1028@ingenierosvalladolid.es"/>
        <s v="1519@tadelec.com"/>
        <s v="873@eutikes.com"/>
        <s v="1520@cebrinsa.es"/>
        <s v="1521@hotmail.com"/>
        <s v="1523@ofitep.com"/>
        <s v="1528@sitiaingenieria.com"/>
        <s v="1022@uhu.es"/>
        <s v="1530@aller.es"/>
        <s v="1536@estudiosyproyectos.com"/>
        <s v="1539@hotmail.com"/>
        <s v="1542@meomsl.com"/>
        <s v="1546@gmail.com"/>
        <s v="877@gmail.com"/>
        <s v="1551@avatry.es"/>
        <s v="1552@yahoo.es"/>
        <s v="1561@elecvic.com"/>
        <s v="1564@dimelsa.es"/>
        <s v="1567@egarriga.com"/>
        <s v="1573@hotmail.com"/>
        <s v="1577@cimelsa.com"/>
        <s v="1578@covama.es"/>
        <s v="329@covama.es"/>
        <s v="1586@genserma.es"/>
        <s v="1011@gmail.com"/>
        <s v="1592@mesenergia.cat"/>
        <s v="1588@jgingenieros.es"/>
        <s v="875@orange.es"/>
        <s v="1004@telefonica.net"/>
        <s v="1612@gmail.com"/>
        <s v="1614@electronalon.es"/>
        <s v="642@ecoviv.eu"/>
        <s v="1631@sri.es"/>
        <s v="1636@yahoo.es"/>
        <s v="1646@geserelectric.es"/>
        <s v="1651@gmail.com"/>
        <s v="1015@aziraelectricidad.com"/>
        <s v="1656@gmx.es"/>
        <s v="1664@jgingenieros.es"/>
        <s v="1668@negratin.com"/>
        <s v="1009@ccatlantico.com"/>
        <s v="1674@gmail.com"/>
        <s v="1680@trelec.es"/>
        <s v="1689@jlgingenieria.com"/>
        <s v="1688@muringenieros.es"/>
        <s v="990@gmail.com"/>
        <s v="1699@panchofernandez.com"/>
        <s v="1701@insmarbella.com"/>
        <s v="1703@laelectrica.com"/>
        <s v="1716@fuengiroluz.es"/>
        <s v="1710@gmail.com"/>
        <s v="1722@folgarona.com"/>
        <s v="1723@gmail.com"/>
        <s v="1728@gmail.com"/>
        <s v="1725@coelbe.com"/>
        <s v="1739@jh-internacional.com"/>
        <s v="1743@ceymo.es"/>
        <s v="1738@msn.com"/>
        <s v="1750@itecnal.com"/>
        <s v="1766@gmail.com"/>
        <s v="1767@gmail.com"/>
        <s v="1772@cosmoseguridad.com"/>
        <s v="1030@inmaser-integral.es"/>
        <s v="1769@gmail.com"/>
        <s v="980@coiiar.org"/>
        <s v="1778@gmail.com"/>
        <s v="1781@autoradiomontijo.es"/>
        <s v="1783@telefonica.net"/>
        <s v="1792@incober.es"/>
        <s v="1812@ext.mpsa.com"/>
        <s v="1829@1aingenieros.com"/>
        <s v="1830@gmail.com"/>
        <s v="1840@ingenierosvigo.com"/>
        <s v="1848@gmail.com"/>
        <s v="1849@minsait.com"/>
        <s v="1852@gmail.com"/>
        <s v="1853@hotmail.com"/>
        <s v="1854@hotmail.com"/>
        <s v="1073@grupolasser.com"/>
        <s v="1856@hotmail.com"/>
        <s v="1424@gmail.com"/>
        <s v="1533@gmail.com"/>
        <s v="1861@gmail.com"/>
        <s v="1862@gmail.com"/>
        <s v="1865@gmail.com"/>
        <s v="1867@cbringenieria.es"/>
        <s v="1868@hotmail.com"/>
        <s v="1871@abc.gob.ar"/>
        <s v="1873@rodosa.com"/>
        <s v="1874@gesel.ie.ufrj.br"/>
        <s v="1875@gmail.com"/>
        <s v="1887@gmail.com"/>
        <s v="1893@byguk.com"/>
        <s v="1896@gmail.com"/>
        <s v="1897@hotmail.es"/>
        <s v="1899@gmail.com"/>
        <s v="1900@hotmail.com"/>
        <s v="346@gmail.com"/>
        <s v="1901@gmail.com"/>
        <s v="1902@hotmail.com"/>
        <s v="986@hotmail.com"/>
        <s v="1905@gmail.com"/>
        <s v="1907@yahoo.es"/>
        <s v="1735@gruponovelec.com"/>
        <s v="1908@enel.com"/>
        <s v="1909@gmail.com"/>
        <s v="1911@gmail.com"/>
        <s v="1918@sgx.cat"/>
        <s v="1920@gmail.com"/>
        <s v="1921@msn.com"/>
        <s v="1401@auditenergia.com"/>
        <s v="809@naturgy.com"/>
        <s v="211@elgremi.cat"/>
        <s v="1924@merlosl.es"/>
        <s v="1926@elecam.com"/>
        <s v="701@gmail.com"/>
        <s v="1031@grupoitesa.com"/>
        <s v="1928@gmail.com"/>
        <s v="1929@hotmail.com"/>
        <s v="1930@gmail.com"/>
        <s v="1882@gmail.com"/>
        <s v="1931@gmail.com"/>
        <s v="1932@cotelsa.com"/>
        <s v="1487@gmail.com"/>
        <s v="1880@dipta.cat"/>
        <s v="1933@lujama.com"/>
        <s v="1934@ferrovial.com"/>
        <s v="260@hotmail.com"/>
        <s v="1935@telefonica.net"/>
        <s v="1889@cetim.cat"/>
        <s v="1675@exinor.com"/>
        <s v="1940@electromercantil.es"/>
        <s v="1941@hotmail.com"/>
        <s v="1604@geinstal.com"/>
        <s v="1942@ciudaddelosmuchachos.com"/>
        <s v="1945@ip21ingenieria.com"/>
        <s v="1946@gmail.com"/>
        <s v="1953@proyteczaragoza.com"/>
        <s v="1951@engimatica.com"/>
        <s v="1956@gmail.com"/>
        <s v="1696@gmail.com"/>
        <s v="1228@entax.es"/>
        <s v="1948@culmar.net"/>
        <s v="1947@gmail.com"/>
        <s v="1955@salesianos.edu"/>
        <s v="1957@msn.com"/>
        <s v="1959@gmail.com"/>
        <s v="1949@suno.cat"/>
        <s v="1944@didacticaformacion.es"/>
        <s v="1952@tinet.cat"/>
        <s v="1969@fundacionmasaveu.com"/>
        <s v="1961@hotmail.com"/>
        <s v="1872@gmail.com"/>
        <s v="1164@projecat.com"/>
        <s v="1966@gmail.com"/>
        <s v="1963@atisistemas.com"/>
        <s v="1943@gmail.com"/>
        <s v="1968@gmail.com"/>
        <s v="1967@ferrovial.com"/>
        <s v="1876@gmail.com"/>
        <s v="1962@lliro.com"/>
        <s v="1858@yahoo.es"/>
        <s v="1954@dicsl.com"/>
        <s v="1811@ansiel.eu"/>
        <s v="954@aiguesmanresa.cat"/>
        <s v="1878@gmail.com"/>
        <s v="1965@tienda-gasnatural.com"/>
        <s v="1976@electronavia.com"/>
        <s v="1036@grupoelectrostocks.com"/>
        <s v="1884@zuecoingenieria.com"/>
        <s v="1978@hotmail.com"/>
        <s v="1866@inrobadajoz.com"/>
        <s v="1983@suno.cat"/>
        <s v="1991@gmail.com"/>
        <s v="1748@salesianosatocha.es"/>
        <s v="1996@gmail.com"/>
        <s v="1995@gmail.com"/>
        <s v="1877@gmail.com"/>
        <s v="910@sogesa.es"/>
        <s v="1883@adingenieros.es"/>
        <s v="1994@gmail.com"/>
        <s v="2001@alainsa.com"/>
        <s v="1859@gmail.com"/>
        <s v="2002@camarasaragon.com"/>
        <s v="1980@hotmail.com"/>
        <s v="2004@mcamps.es"/>
        <s v="1992@proecoingenieria.com"/>
        <s v="1971@tienda-gasnatural.com"/>
        <s v="1894@arasolutions.es"/>
        <s v="2010@incasl.com"/>
        <s v="2006@masteringenieria.com"/>
        <s v="2009@gmail.com"/>
        <s v="563@salesianospamplona.net"/>
        <s v="2012@gmail.com"/>
        <s v="1327@tinet.org"/>
        <s v="2008@yahoo.es"/>
        <s v="2013@ecopimeprojects.com"/>
        <s v="2011@gmail.com"/>
        <s v="2019@didacticaformacion.es"/>
        <s v="1986@martipala.com"/>
        <s v="1324@hotmail.com"/>
        <s v="1886@outlook.com"/>
        <s v="1870@marlexingenieria.com"/>
        <s v="2021@osnova.net"/>
        <s v="1999@obrelsa.com"/>
        <s v="1108@enginyerstarragona.cat"/>
        <s v="2020@forestaldelatlantico.com"/>
        <s v="2024@grupooca.com"/>
        <s v="1891@ciudaddelosmuchachos.com"/>
        <s v="1892@soltecingenieros.com"/>
        <s v="1890@setenergia.com"/>
        <s v="2036@sece.com"/>
        <s v="2025@gmail.com"/>
        <s v="2030@gmail.com"/>
        <s v="2023@gmail.com"/>
        <s v="2022@solarinspain.com"/>
        <s v="1869@gmail.com"/>
        <s v="2027@hotmail.com"/>
        <s v="1879@jafenginyeria.cat"/>
        <s v="1985@tinet.org"/>
        <s v="2037@agefred.es"/>
        <s v="2041@electromercantil.es"/>
        <s v="2035@yahoo.es"/>
        <s v="2000@hotmail.com"/>
        <s v="1998@gmail.com"/>
        <s v="2028@grupooca.com"/>
        <s v="1970@electrificacionesparra.es"/>
        <s v="2042@gmail.com"/>
        <s v="2045@gmail.com"/>
        <s v="2046@gmail.com"/>
        <s v="1118@coitiar.es"/>
        <s v="1676@unex.net"/>
        <s v="2049@telefonica.net"/>
        <s v="1972@projecal.com"/>
        <s v="2047@gmail.com"/>
        <s v="1834@valls.cat"/>
        <s v="2048@visioelectric.es"/>
        <s v="1543@cotpa.com"/>
        <s v="406@gmail.com"/>
        <s v="2014@gmail.com"/>
        <s v="2034@tienda-gasnatural.com"/>
        <s v="2053@sades.es"/>
        <s v="1990@gmail.com"/>
        <s v="1973@ingekor.com"/>
        <s v="2055@gmail.com"/>
        <s v="2056@hotmail.com"/>
        <s v="2057@gmail.com"/>
        <s v="1355@gmail.com"/>
        <s v="55@hotmail.com"/>
        <s v="2059@gmail.com"/>
        <s v="2060@gmail.com"/>
        <s v="2061@hotmail.es"/>
        <s v="837@gmail.com"/>
        <s v="2063@gmail.com"/>
        <s v="1535@hotmail.com"/>
        <s v="2064@hotmail.com"/>
        <s v="2065@gmail.com"/>
        <s v="152@gmail.com"/>
        <s v="1982@hotmail.com"/>
        <s v="2068@gencat.cat"/>
        <s v="2070@hotmail.com"/>
        <s v="2071@gmail.com"/>
        <s v="180@aquambiente.es"/>
        <s v="1927@anbatel.com"/>
        <s v="476@hotmail.com"/>
        <s v="2072@gmail.com"/>
        <s v="2073@gmail.com"/>
        <s v="2076@gmail.com"/>
        <s v="1441@gmail.com"/>
        <s v="543@andreumanteniment.com"/>
        <s v="2079@gmail.com"/>
        <s v="2080@grupoelectrostocks.com"/>
        <s v="2082@hotmail.com"/>
        <s v="2086@farelle.com"/>
        <s v="2087@hotmail.com"/>
        <s v="2088@gmail.com"/>
        <s v="2089@hotmail.com"/>
        <s v="2090@estabanell.cat"/>
        <s v="2091@gmail.com"/>
        <s v="2092@outlook.com"/>
        <s v="2093@gmail.com"/>
        <s v="3044@electricidadaldama.com"/>
        <s v="2095@hotmail.com"/>
        <s v="2096@formasymateriales.com"/>
        <s v="2099@grupoelectrostocks.com"/>
        <s v="2097@hotmail.com"/>
        <s v="2101@gmail.com"/>
        <s v="2103@hotmail.com"/>
        <s v="2105@nauta.cu"/>
        <s v="2108@emvisesa.org"/>
        <s v="2109@huelvanorte.es"/>
        <s v="2110@ingeconsulting.com"/>
        <s v="400@arquired.es"/>
        <s v="2112@gmail.com"/>
        <s v="2113@gmail.com"/>
        <s v="1418@gmail.com"/>
        <s v="3045@donbany.com"/>
        <s v="2115@outlook.es"/>
        <s v="2116@gmail.com"/>
        <s v="2117@gmail.com"/>
        <s v="2118@hotmail.com"/>
        <s v="2120@gmail.com"/>
        <s v="2121@gmail.com"/>
        <s v="2122@somains.com"/>
        <s v="2123@gmail.com"/>
        <s v="2062@euskalnet.net"/>
        <s v="1845@hotmail.com"/>
        <s v="2127@hotmail.com"/>
        <s v="799@yahoo.es"/>
        <s v="2128@gmail.com"/>
        <s v="2131@gmail.com"/>
        <s v="3046@gmail.com"/>
        <s v="2132@hotmail.com"/>
        <s v="2133@gmail.com"/>
        <s v="2134@gmx.es"/>
        <s v="1157@himalayaclimatizacionycontrol.es"/>
        <s v="2135@gmail.com"/>
        <s v="2136@gmail.com"/>
        <s v="2137@hotmail.com"/>
        <s v="2138@gmail.com"/>
        <s v="2139@gmail.com"/>
        <s v="2125@ctac.es"/>
        <s v="2143@gmail.com"/>
        <s v="2144@gmail.com"/>
        <s v="2145@gmail.com"/>
        <s v="2141@gmail.com"/>
        <s v="2147@gmail.com"/>
        <s v="2148@gmail.com"/>
        <s v="2149@gmail.com"/>
        <s v="1202@gmail.com"/>
        <s v="2150@yahoo.es"/>
        <s v="2151@gmail.com"/>
        <s v="1764@gmail.com"/>
        <s v="2153@gmail.com"/>
        <s v="2154@gmail.com"/>
        <s v="2155@gmail.com"/>
        <s v="2156@gmail.com"/>
        <s v="2157@hotmail.com"/>
        <s v="278@urbaser.com"/>
        <s v="2158@gmail.com"/>
        <s v="2159@hotmail.com"/>
        <s v="2160@yahoo.es"/>
        <s v="1018@esmassmart.com"/>
        <s v="2152@igkarratu.com"/>
        <s v="2162@gienergygroup.com"/>
        <s v="355@gmail.com"/>
        <s v="2163@hotmail.com"/>
        <s v="2164@macegroup.com"/>
        <s v="366@gmail.com"/>
        <s v="2165@orangemail.es"/>
        <s v="2166@gmail.com"/>
        <s v="291@yahoo.es"/>
        <s v="2169@gmail.com"/>
        <s v="3047@gmail.com"/>
        <s v="2173@menendezygamonal.com"/>
        <s v="1558@gmail.com"/>
        <s v="791@hotmail.com"/>
        <s v="1860@gmail.com"/>
        <s v="947@clysema.com"/>
        <s v="1550@die.upv.es"/>
        <s v="2175@canogarcia.es"/>
        <s v="2176@hotmail.com"/>
        <s v="2178@altair.edu.es"/>
        <s v="2180@hotmail.com"/>
        <s v="2182@hotmail.com"/>
        <s v="844@certis.cat"/>
        <s v="2184@suris.es"/>
        <s v="2185@gmail.com"/>
        <s v="2189@infova.es"/>
        <s v="2190@hotmail.com"/>
        <s v="2191@hotmail.es"/>
        <s v="2192@itcl.es"/>
        <s v="2193@gmail.com"/>
        <s v="2194@mesado.es"/>
        <s v="2195@yahoo.es"/>
        <s v="2196@telefonica.net"/>
        <s v="2198@gmail.com"/>
        <s v="2199@gmail.com"/>
        <s v="2140@gmail.com"/>
        <s v="2200@gmail.com"/>
        <s v="2201@4fils.es"/>
        <s v="307@yahoo.es"/>
        <s v="2203@gmail.com"/>
        <s v="2204@hotmail.es"/>
        <s v="2205@gmail.com"/>
        <s v="2206@gmail.com"/>
        <s v="2207@gmail.com"/>
        <s v="2208@wp.pl"/>
        <s v="2210@hotmail.com"/>
        <s v="2197@outlook.es"/>
        <s v="2212@pgiengineering.com"/>
        <s v="2214@hotmail.com"/>
        <s v="2215@gmail.com"/>
        <s v="2217@gmail.com"/>
        <s v="2219@teigatmi.es"/>
        <s v="2220@hotmail.com"/>
        <s v="2221@hotmail.com"/>
        <s v="2223@hotmail.com"/>
        <s v="2224@gmail.com"/>
        <s v="2225@evectra.es"/>
        <s v="3048@ferrovial.com"/>
        <s v="198@hotmail.es"/>
        <s v="2226@hotmail.com"/>
        <s v="2077@gmail.com"/>
        <s v="2228@gmail.com"/>
        <s v="2229@enerluz.es"/>
        <s v="2230@hotmail.com"/>
        <s v="2231@hotmail.com"/>
        <s v="2233@gmail.com"/>
        <s v="2234@hotmail.com"/>
        <s v="2235@hotmail.com"/>
        <s v="2236@hotmail.com"/>
        <s v="2238@hotmail.es"/>
        <s v="2239@gmail.com"/>
        <s v="2240@coac.net"/>
        <s v="1681@gmail.com"/>
        <s v="2243@gmail.com"/>
        <s v="2069@gmail.com"/>
        <s v="2244@outlook.com"/>
        <s v="2124@gmail.com"/>
        <s v="3049@suris.es"/>
        <s v="2213@gmail.com"/>
        <s v="2247@gmail.com"/>
        <s v="199@elektra-sa.es"/>
        <s v="2250@gmail.com"/>
        <s v="1850@yahoo.com"/>
        <s v="2253@hotmail.com"/>
        <s v="2254@gmail.com"/>
        <s v="392@gmail.com"/>
        <s v="2256@gmail.com"/>
        <s v="2257@hotmail.com"/>
        <s v="137@alcar2000.com"/>
        <s v="1443@hotmail.com"/>
        <s v="2261@grupoefelec.com"/>
        <s v="3050@gmail.com"/>
        <s v="3051@hotmail.es"/>
        <s v="3052@elecnor.com"/>
        <s v="3053@gmail.com"/>
        <s v="3054@autosvaliente.net"/>
        <s v="2263@gmail.com"/>
        <s v="3055@gatlantica.com"/>
        <s v="595@centroasturianobarcelona.com"/>
        <s v="3056@hotmail.com"/>
        <s v="2264@gmail.com"/>
        <s v="2265@gmail.com"/>
        <s v="1584@gmail.com"/>
        <s v="3057@gmail.com"/>
        <s v="1863@hotmail.com"/>
        <s v="3058@hotmail.es"/>
        <s v="3059@gmail.com"/>
        <s v="3060@hotmail.com"/>
        <s v="3061@gmail.com"/>
        <s v="2266@gmail.com"/>
        <s v="1100@boffor.com"/>
        <s v="2270@hotmail.com"/>
        <s v="296@gmail.com"/>
        <s v="3062@gmail.com"/>
        <s v="404@hotmail.com"/>
        <s v="3063@gmail.com"/>
        <s v="2188@gmail.com"/>
        <s v="2248@telefonica.net"/>
        <s v="280@susaeta.net"/>
        <s v="3064@upm.es"/>
        <s v="463@gmail.com"/>
        <s v="2129@gmail.com"/>
        <s v="389@yahoo.es"/>
        <s v="143@gmail.com"/>
        <s v="262@gmail.com"/>
        <s v="3065@sarria.salesians.cat"/>
        <s v="368@gmail.com"/>
        <s v="1402@gmail.com"/>
        <s v="403@hotmail.com"/>
        <s v="3066@gmail.com"/>
        <s v="2066@gmail.com"/>
        <s v="2280@gmail.com"/>
        <s v="3067@gmail.com"/>
        <s v="364@telefonica.net"/>
        <s v="270@gmail.com"/>
        <s v="1218@gmail.com"/>
        <s v="1093@edu.xunta.es"/>
        <s v="2255@yahoo.es"/>
        <s v="1913@gmail.com"/>
        <s v="271@pkcgroup.com"/>
        <s v="177@mobcn.org"/>
        <s v="276@gmail.com"/>
        <s v="3068@irakasle.net"/>
        <s v="3069@coitim.es"/>
        <s v="2268@gmail.com"/>
        <s v="3070@gmail.com"/>
        <s v="3071@garridoinstalaciones.com"/>
        <s v="3072@hotmail.com"/>
        <s v="3073@gmail.com"/>
        <s v="2289@hotmail.com"/>
        <s v="2297@sece.com"/>
        <s v="2300@grupoelectrostocks.com"/>
        <s v="2302@agosa.es"/>
        <s v="2306@somosemotion.es"/>
        <s v="2308@gmail.com"/>
        <s v="3074@gmail.com"/>
        <s v="2316@telecable.es"/>
        <s v="2318@grupo-jarama.com"/>
        <s v="2320@electrovizcaya.com"/>
        <s v="2321@coto.pro"/>
        <s v="2325@ingenierosvalladolid.es"/>
        <s v="2327@gmail.com"/>
        <s v="3075@hotmail.com"/>
        <s v="3076@gmail.com"/>
        <s v="2338@gmail.com"/>
        <s v="2339@monlau.com"/>
        <s v="1938@gmail.com"/>
        <s v="2347@visaonomada.pt"/>
        <s v="2353@conecta-sistemas.com"/>
        <s v="2356@infova.es"/>
        <s v="2366@energies.cat"/>
        <s v="2368@gmail.com"/>
        <s v="3077@gmail.co"/>
        <s v="3078@hotmail.com"/>
        <s v="2373@grupoelectrostocks.com"/>
        <s v="2379@erf.cat"/>
        <s v="2382@hotmail.com"/>
        <s v="2174@wurth.es"/>
        <s v="2216@bladis.com"/>
        <s v="2406@gmail.com"/>
        <s v="2408@me.com"/>
        <s v="3079@yahoo.es"/>
        <s v="3080@gmail.com"/>
        <s v="3081@yahoo.com"/>
        <s v="1233@hotmail.com"/>
        <s v="3082@gmail.com"/>
        <s v="3083@hotmail.com"/>
        <s v="3084@hotmail.com"/>
        <s v="1687@gestilar.com"/>
        <s v="3085@gmail.com"/>
        <s v="3086@gmail.com"/>
        <s v="2358@hotmail.es"/>
        <s v="3087@gmail.com"/>
        <s v="2187@hotmail.com"/>
        <s v="3088@grupoelectrostocks.com"/>
        <s v="3089@yahoo.es"/>
        <s v="3090@hotmail.com"/>
        <s v="3091@hotmail.com"/>
        <s v="3092@hotmail.com"/>
        <s v="1411@ujaen.es"/>
        <s v="2444@gmail.com"/>
        <s v="3093@gmail.com"/>
        <s v="2446@hotmail.com"/>
        <s v="2447@etecnic.es"/>
        <s v="2448@uvigo.es"/>
        <s v="3094@hotmail.com"/>
        <s v="3095@wallbox.com"/>
        <s v="2449@magtel.es"/>
        <s v="3096@hotmail.com"/>
        <s v="561@aialmeingenieros.com"/>
        <s v="3097@hotmail.com"/>
        <s v="2452@fi-group.com"/>
        <s v="3098@soc.redcitroen.com"/>
        <s v="3099@hotmail.com"/>
        <s v="2453@insitecaingenieros.com"/>
        <s v="2443@gmail.com"/>
        <s v="2454@gmail.com"/>
        <s v="2455@gmail.com"/>
        <s v="415@gmail.com"/>
        <s v="2456@serlujua.com"/>
        <s v="2458@gmail.com"/>
        <s v="3100@cold-facilities.com"/>
        <s v="2281@hotmail.com"/>
        <s v="2462@gmail.com"/>
        <s v="3101@hotmail.com"/>
        <s v="3102@gmail.com"/>
        <s v="3103@gmail.com"/>
        <s v="3104@hotmail.com"/>
        <s v="3105@tecnoantena.es"/>
        <s v="3106@hotmail.com"/>
        <s v="3107@gmail.com"/>
        <s v="2457@gmail.com"/>
        <s v="3108@gmail.com"/>
        <s v="3109@gmail.com"/>
        <s v="3110@gmail.com"/>
        <s v="2029@sonepar.es"/>
        <s v="3111@hotmail.com"/>
        <s v="1632@iremael.com"/>
        <s v="3112@moinpro.es"/>
        <s v="1144@idponline.net"/>
        <s v="1188@gmail.com"/>
        <s v="1974@proluxingenieros.com"/>
        <s v="2468@gmail.com"/>
        <s v="3113@gmail.com"/>
        <s v="2470@gmail.com"/>
        <s v="749@gmail.com"/>
        <s v="3114@hotmail.com"/>
        <s v="2286@hotmail.com"/>
        <s v="2477@moralesyartigasabogados.com"/>
        <s v="2478@gmail.com"/>
        <s v="3115@gmail.com"/>
        <s v="2167@outlook.es"/>
        <s v="2481@apogeaconsulting.com"/>
        <s v="654@staperpetua.cat"/>
        <s v="687@outlook.es"/>
        <s v="3116@msn.com"/>
        <s v="2486@hotmail.com"/>
        <s v="3117@gmail.com"/>
        <s v="2437@dos-atf.es"/>
        <s v="2488@gmail.com"/>
        <s v="2489@proytecenergia.com"/>
        <s v="2490@mantenencies.com"/>
        <s v="2491@saltoki.es"/>
        <s v="3118@gmail.com"/>
        <s v="3119@hotmail.com"/>
        <s v="2469@yca.es"/>
        <s v="2495@gmail.com"/>
        <s v="3120@pine.zimacorp.es"/>
        <s v="3121@hotmail.com"/>
        <s v="153@telefonica.net"/>
        <s v="2498@adtelcom.es"/>
        <s v="3122@gmail.com"/>
        <s v="3123@hotmail.com"/>
        <s v="3124@dtas.es"/>
        <s v="38@telefonica.net"/>
        <s v="2508@solardelvalle.es"/>
        <s v="3125@galansat.es"/>
        <s v="2497@gmail.com"/>
        <s v="3126@gmail.com"/>
        <s v="3127@gmail.com"/>
        <s v="3128@gmail.com"/>
        <s v="2483@gmail.com"/>
        <s v="3129@gmail.com"/>
        <s v="3130@gmail.com"/>
        <s v="2512@hotmail.com"/>
        <s v="3131@gmail.com"/>
        <s v="3132@gmail.com"/>
        <s v="3133@danfar.com"/>
        <s v="362@hotmail.com"/>
        <s v="3134@gmail.com"/>
        <s v="2519@hotmail.com"/>
        <s v="1805@gmail.com"/>
        <s v="3135@salesianospizarrales.com"/>
        <s v="2523@ipae.es"/>
        <s v="2524@me.com"/>
        <s v="2525@gmail.com"/>
        <s v="2472@gmail.com"/>
        <s v="3136@ineleeg.es"/>
        <s v="2527@gmail.com"/>
        <s v="1001@hotmail.com"/>
        <s v="2246@eleko.es"/>
        <s v="2531@arquitecturaygestion.com"/>
        <s v="1377@hotmail.com"/>
        <s v="572@gmail.com"/>
        <s v="3137@gmail.com"/>
        <s v="2434@gmail.com"/>
        <s v="3138@hotmail.com"/>
        <s v="2542@tecnica4.com"/>
        <s v="3139@coitt.es"/>
        <s v="3140@yahoo.es"/>
        <s v="2545@telefonica.net"/>
        <s v="3141@hotmail.com"/>
        <s v="398@ciudaddelosmuchachos.com"/>
        <s v="2551@inelsa.com"/>
        <s v="3142@yahoo.es"/>
        <s v="2549@gmail.com"/>
        <s v="2558@gmail.com"/>
        <s v="2562@artesolar.com"/>
        <s v="3143@gmail.com"/>
        <s v="2579@fgc.cat"/>
        <s v="1510@adelanteenergia.es"/>
        <s v="2599@sazepi.com"/>
        <s v="2620@icloud.com"/>
        <s v="2513@gmail.com"/>
        <s v="178@tec-engineering.es"/>
        <s v="2657@a4ingenieria.es"/>
        <s v="2659@gmail.com"/>
        <s v="2664@gmail.com"/>
        <s v="2260@gmail.com"/>
        <s v="3144@fundacionfunme.org"/>
        <s v="3145@email.com"/>
        <s v="2461@yahoo.es"/>
        <s v="2670@gmail.com"/>
        <s v="2671@gmail.com"/>
        <s v="2672@gmail.com"/>
        <s v="3146@gmail.com"/>
        <s v="3147@hotmail.com"/>
        <s v="3148@gmail.com"/>
        <s v="1109@gmail.com"/>
        <s v="3149@gmail.com"/>
        <s v="2676@gmail.com"/>
        <s v="2473@hotmail.com"/>
        <s v="3150@gmail.com"/>
        <s v="3151@gmail.com"/>
        <s v="3152@aceuve.com"/>
        <s v="2677@gmail.com"/>
        <s v="3153@gmail.com"/>
        <s v="3154@hotmail.com"/>
        <s v="2678@impact-al.com"/>
        <s v="1289@gmail.com"/>
        <s v="709@gmail.com"/>
        <s v="3155@gmail.com"/>
        <s v="3156@gmail.com"/>
        <s v="3157@hotmail.com"/>
        <s v="2681@sueprat.es"/>
        <s v="3158@ofintec.es"/>
        <s v="1160@copcisa.com"/>
        <s v="2683@live.fr"/>
        <s v="3159@gmail.com"/>
        <s v="3160@yahoo.com"/>
        <s v="3161@hotmail.com"/>
        <s v="3162@hotmail.com"/>
        <s v="2684@hotmail.com"/>
        <s v="2686@kbingenieria.com"/>
        <s v="3163@hotmail.com"/>
        <s v="3164@gmail.com"/>
        <s v="2688@hotmail.com"/>
        <s v="2635@ambginy.com"/>
        <s v="3165@hotmail.com"/>
        <s v="3166@enrelec.com"/>
        <s v="2692@gmail.com"/>
        <s v="2694@gmail.com"/>
        <s v="3167@gmail.com"/>
        <s v="2695@inelt.es"/>
        <s v="1665@gmail.com"/>
        <s v="1249@gmail.com"/>
        <s v="1482@gmail.com"/>
        <s v="2698@gmail.com"/>
        <s v="3168@hotmail.com"/>
        <s v="3169@hotmail.com"/>
        <s v="2700@hotmail.com"/>
        <s v="3170@hotmail.com"/>
        <s v="3171@rivadulla.cat"/>
        <s v="1089@gmail.com"/>
        <s v="2701@gmail.com"/>
        <s v="2682@dipucuenca.es"/>
        <s v="2703@hotmail.com"/>
        <s v="3172@solardelvalle.es"/>
        <s v="2705@tmb.cat"/>
        <s v="2662@gmail.com"/>
        <s v="3173@hotmail.com"/>
        <s v="3174@hotmail.com"/>
        <s v="2706@opportunity-one.com"/>
        <s v="2707@gmail.com"/>
        <s v="3175@hotmail.com"/>
        <s v="2709@construciainstalaciones.com"/>
        <s v="2711@infinitypv.com"/>
        <s v="2712@gmail.com"/>
        <s v="3176@hotmail.com"/>
        <s v="2713@gmail.com"/>
        <s v="2714@gma.es"/>
        <s v="2715@gmail.com"/>
        <s v="3177@hotmail.com"/>
        <s v="2716@gmail.com"/>
        <s v="2577@gmail.com"/>
        <s v="3178@hotmail.com"/>
        <s v="3179@gmail.com"/>
        <s v="3180@hotmail.com"/>
        <s v="3181@gmail.com"/>
        <s v="2717@gmail.com"/>
        <s v="2718@none.com"/>
        <s v="649@yahoo.es"/>
        <s v="3182@hormail.com"/>
        <s v="2719@saltoki.es"/>
        <s v="3183@gmail.com"/>
        <s v="3184@gmail.com"/>
        <s v="3185@gmail.com"/>
        <s v="171@gmail.com"/>
        <s v="2723@hotmail.com"/>
        <s v="2370@gmail.com"/>
        <s v="2725@hotmail.com"/>
        <s v="995@telefonica.net"/>
        <s v="3186@gmail.com"/>
        <s v="2727@gruponovelec.com"/>
        <s v="321@gmail.com"/>
        <s v="3187@gmail.com"/>
        <s v="2729@hotmail.com"/>
        <s v="2730@enzazaden.es"/>
        <s v="3188@hotmail.com"/>
        <s v="2732@gmail.com"/>
        <s v="2733@sigmaenginyers.es"/>
        <s v="2736@gmail.com"/>
        <s v="3189@ambling.es"/>
        <s v="2737@gmail.com"/>
        <s v="2739@constructorasanjose.com"/>
        <s v="2740@gmail.com"/>
        <s v="2741@cruzroja.es"/>
        <s v="3190@aprenergia.es"/>
        <s v="2743@itaipu.gov.py"/>
        <s v="1642@aytoguadalajara.es"/>
        <s v="2745@urbanresilience.eu"/>
        <s v="3191@gmail.com"/>
        <s v="2748@nitlux.es"/>
        <s v="920@meval.eu"/>
        <s v="2177@yahoo.es"/>
        <s v="3192@ingenierosdecadiz.es"/>
        <s v="2749@gmail.com"/>
        <s v="2114@tecnoclimainstalaciones.com"/>
        <s v="1682@hotmail.es"/>
        <s v="2752@ingener.net"/>
        <s v="2708@meta-sidecar.com"/>
        <s v="2754@emgvlasrozas.org"/>
        <s v="1295@hotmail.es"/>
        <s v="2756@gmail.com"/>
        <s v="2757@irradiaenergia.com"/>
        <s v="2758@gmail.com"/>
        <s v="2759@gmail.com"/>
        <s v="2760@yahoo.es"/>
        <s v="2762@gmail.com"/>
        <s v="3193@metalux.es"/>
        <s v="2764@gmail.com"/>
        <s v="3194@hotmail.es"/>
        <s v="1692@tecasol.net"/>
        <s v="2766@telefonica.net"/>
        <s v="2767@gmail.com"/>
        <s v="2768@gmail.com"/>
        <s v="3195@hotmail.com"/>
        <s v="2640@magserveis.com"/>
        <s v="3196@gmail.com"/>
        <s v="2769@gmail.com"/>
        <s v="3197@gmail.com"/>
        <s v="3198@gmail.com"/>
        <s v="2770@gmail.com"/>
        <s v="3199@gmail.com"/>
        <s v="2771@gmail.com"/>
        <s v="2735@gmail.com"/>
        <s v="3200@gmail.com"/>
        <s v="2774@trensfm.com"/>
        <s v="2775@gmail.com"/>
        <s v="1729@gmail.com"/>
        <s v="2776@pgiengineering.com"/>
        <s v="2777@huelva.es"/>
        <s v="3201@sub-vidayfoto.com"/>
        <s v="3202@msn.com"/>
        <s v="2780@abcgrup.com"/>
        <s v="3203@gmail.com"/>
        <s v="834@gmail.com"/>
        <s v="3204@gmail.com"/>
        <s v="3205@gmail.com"/>
        <s v="2782@gmail.com"/>
        <s v="2750@exavoltio.es"/>
        <s v="2783@gmail.com"/>
        <s v="439@edu.xunta.es"/>
        <s v="3206@hotmail.com"/>
        <s v="2784@coac.net"/>
        <s v="641@bodai.es"/>
        <s v="2786@metromadrid.es"/>
        <s v="2785@climarubi.com"/>
        <s v="1187@gmail.com"/>
        <s v="2728@gmail.com"/>
        <s v="2789@telefonica.net"/>
        <s v="2790@gmail.com"/>
        <s v="2792@ajcampos.org"/>
        <s v="3207@gmail.com"/>
        <s v="2793@gmail.com"/>
        <s v="2794@efinetika.com"/>
        <s v="2795@gmail.com"/>
        <s v="2796@gmail.com"/>
        <s v="2797@gmail.com"/>
        <s v="2798@yahoo.es"/>
        <s v="1221@gencat.cat"/>
        <s v="2799@oceanim.es"/>
        <s v="2800@gmail.com"/>
        <s v="2801@eei-ingenieria.com"/>
        <s v="1724@arbonapiza.com"/>
        <s v="2438@gmail.com"/>
        <s v="3208@hotmail.com"/>
        <s v="3209@gmail.com"/>
        <s v="2802@gonzalezsme.com"/>
        <s v="2533@hotmail.com"/>
        <s v="1697@yahoo.es"/>
        <s v="2074@hotmail.com"/>
        <s v="1079@outlook.es"/>
        <s v="2804@vtisl.com"/>
        <s v="888@zivautomation.com"/>
        <s v="2807@jhfsystemcrane.com"/>
        <s v="2269@qq.com"/>
        <s v="294@lumial.es"/>
        <s v="2810@sensorstecnics.net"/>
        <s v="2811@gmail.com"/>
        <s v="2812@martipala.com"/>
        <s v="3210@gmail.com"/>
        <s v="2813@gmail.com"/>
        <s v="2814@vitrosep.com"/>
        <s v="3211@gmail.com"/>
        <s v="3212@sharklasers.com"/>
        <s v="2440@imanzanera.com"/>
        <s v="3213@ucm.es"/>
        <s v="1475@electricidadreset.es"/>
        <s v="2815@gmail.com"/>
        <s v="2817@hotmail.com"/>
        <s v="2819@satydal.es"/>
        <s v="3214@msn.com"/>
        <s v="968@gmail.com"/>
        <s v="2821@gmail.com"/>
        <s v="2822@gmail.com"/>
        <s v="2471@gmail.com"/>
        <s v="2309@hotmail.com"/>
        <s v="3215@gmail.com"/>
        <s v="2634@hotmail.es"/>
        <s v="2479@hotmail.es"/>
        <s v="2824@gmail.com"/>
        <s v="2532@gmail.com"/>
        <s v="2602@saherlux.com"/>
        <s v="1757@indair-genercasadevall.cat"/>
        <s v="2505@gmail.com"/>
        <s v="3216@gmail.com"/>
        <s v="646@gmail.com"/>
        <s v="3217@hotmail.com"/>
        <s v="3218@hotmail.com"/>
        <s v="484@macegroup.com"/>
        <s v="1615@hotmail.es"/>
        <s v="204@ebcn.cat"/>
        <s v="3219@me.com"/>
        <s v="2778@empretelco.es"/>
        <s v="3220@gmail.com"/>
        <s v="3221@hotmail.es"/>
        <s v="2837@gmail.com"/>
        <s v="416@dominguezelectricidad.es"/>
        <s v="2809@solerteselen.cat"/>
        <s v="2622@instavi.es"/>
        <s v="3222@casagrandexanceda.com"/>
        <s v="3223@hotmail.com"/>
        <s v="3224@seidor.es"/>
        <s v="3225@gmail.com"/>
        <s v="2841@blaudrive.com"/>
        <s v="1794@enchufing.com"/>
        <s v="927@argionelectric.es"/>
        <s v="319@gmail.com"/>
        <s v="1302@alem.es"/>
        <s v="965@gmail.com"/>
        <s v="730@hotmail.com"/>
        <s v="2779@gmail.com"/>
        <s v="1266@gmail.com"/>
        <s v="668@dipucordoba.es"/>
        <s v="2540@gmail.com"/>
        <s v="2846@kubicat.com"/>
        <s v="3226@yahoo.es"/>
        <s v="3227@gmail.com"/>
        <s v="2847@gmail.com"/>
        <s v="3228@gmail.com"/>
        <s v="3229@hotmail.com"/>
        <s v="3230@gmial.com"/>
        <s v="2587@picocompany.es"/>
        <s v="3231@anframa.com"/>
        <s v="3232@ufd.es"/>
        <s v="3233@gmail.com"/>
        <s v="3234@hotmail.com"/>
        <s v="3235@hotmail.com"/>
        <s v="2849@gmail.com"/>
        <s v="3236@enzazaden.es"/>
        <s v="3237@gmail.com"/>
        <s v="3238@optimainfraestructuras.com"/>
        <s v="2852@gmail.com"/>
        <s v="2853@gmail.com"/>
        <s v="2854@voltplus.es"/>
        <s v="1763@coacordoba.net"/>
        <s v="2808@gmail.com"/>
        <s v="2679@hotmail.com"/>
        <s v="2857@gmail.com"/>
        <s v="2858@gmail.com"/>
        <s v="1147@magalux.es"/>
        <s v="3239@gmail.com"/>
        <s v="2863@hibrielectric.com"/>
        <s v="2862@gmail.com"/>
        <s v="2864@gmail.com"/>
        <s v="315@bongrup.es"/>
        <s v="3240@gmail.com"/>
        <s v="3241@gmx.es"/>
        <s v="3242@gmail.com"/>
        <s v="3243@gmail.com"/>
        <s v="1021@proturhotels.com"/>
        <s v="2828@coaatz.org"/>
        <s v="232@mersa.es"/>
        <s v="2866@hotmail.com"/>
        <s v="3244@hotmail.com"/>
        <s v="3245@gmail.com"/>
        <s v="3246@gmail.com"/>
        <s v="3247@hotmail.com"/>
        <s v="2867@jqadvisors.com"/>
        <s v="2869@montajes-medyp.com"/>
        <s v="3248@hormail.com"/>
        <s v="3249@gmail.com"/>
        <s v="3250@gmail.com"/>
        <s v="3251@gmail.com"/>
        <s v="2871@assinsta.com"/>
        <s v="675@aclingenieria.com"/>
        <s v="2874@broa.net"/>
        <s v="2876@gmail.com"/>
        <s v="534@gmail.com"/>
        <s v="1293@gmail.com"/>
        <s v="1649@vamostelecom.es"/>
        <s v="2879@hbalcells.com"/>
        <s v="3252@gmail.com"/>
        <s v="3253@hotmail.es"/>
        <s v="2818@gmail.com"/>
        <s v="3254@gmail.com"/>
        <s v="3255@gmail.com"/>
        <s v="2344@tecmagenil.es"/>
        <s v="1122@hotmail.es"/>
        <s v="394@yahoo.es"/>
        <s v="2881@hotmail.com"/>
        <s v="2882@secorsa.com"/>
        <s v="3256@gmail.com"/>
        <s v="2883@acciona.com"/>
        <s v="2884@gmail.com"/>
        <s v="3257@hotmail.es"/>
        <s v="2181@gmail.com"/>
        <s v="3258@gmail.com"/>
        <s v="3259@gmail.com"/>
        <s v="3260@gmail.co."/>
        <s v="2885@instalacionessegura.es"/>
        <s v="1776@incat.cat"/>
        <s v="2859@hotmail.com"/>
        <s v="3261@gikasl.es"/>
        <s v="2850@hotmail.com"/>
        <s v="2888@proalingenieros.com"/>
        <s v="3262@gmail.com"/>
        <s v="2509@elecnor.es"/>
        <s v="2107@danmur.es"/>
        <s v="2892@gmail.com"/>
        <s v="2842@yahoo.es"/>
        <s v="2893@yahoo.com"/>
        <s v="3263@gmail.com"/>
        <s v="3264@vila-real.es"/>
        <s v="3265@gmail.com"/>
        <s v="2894@me.com"/>
        <s v="832@suministradora.com"/>
        <s v="2896@energia.eiffage.es"/>
        <s v="2755@gmail.com"/>
        <s v="2899@gmail.com"/>
        <s v="207@tecnicasyrecursos.com"/>
        <s v="2886@construroura.es"/>
        <s v="3266@hotmail.com"/>
        <s v="2075@gmail.com"/>
        <s v="3267@gmail.com"/>
        <s v="3268@gmail.com"/>
        <s v="2868@cipfplacostera.com"/>
        <s v="3269@hotmail.com"/>
        <s v="3270@gmail.com"/>
        <s v="2906@comb.cat"/>
        <s v="3271@yahoo.es"/>
        <s v="3272@iesarxiduc.net"/>
        <s v="3273@gmail.com"/>
        <s v="2307@gmail.com"/>
        <s v="3274@telefonica.net"/>
        <s v="2907@generaeficiencia.com"/>
        <s v="1182@damm.es"/>
        <s v="3275@hotmail.com"/>
        <s v="2909@ekoleds.com"/>
        <s v="2823@mindual.com"/>
        <s v="1344@gmail.com"/>
        <s v="3276@telefonica.net"/>
        <s v="3277@cyeservicios.es"/>
        <s v="1068@dominion.es"/>
        <s v="2877@gammasg.com"/>
        <s v="2917@mastercentella.com"/>
        <s v="3278@gmail.com"/>
        <s v="2873@gmail.com"/>
        <s v="3279@ya.com"/>
        <s v="3280@outlook.es"/>
        <s v="3281@gmail.com"/>
        <s v="2919@gmail.com"/>
        <s v="3282@armentalis.es"/>
        <s v="3283@hotmail.com"/>
        <s v="1203@smarthaus.studio"/>
        <s v="3284@efimarket.com"/>
        <s v="1413@gmail.com"/>
        <s v="2924@gmail.com"/>
        <s v="2441@berdin.com"/>
        <s v="2926@elherco.com"/>
        <s v="3285@gmail.com"/>
        <s v="1751@altener.es"/>
        <s v="3286@anticimex.com.es"/>
        <s v="2927@interflex.es"/>
        <s v="2929@baurenginyers.cat"/>
        <s v="3287@gmail.com"/>
        <s v="3288@gmail.com"/>
        <s v="3289@gmail.com"/>
        <s v="3290@hotmail.com"/>
        <s v="806@gmail.com"/>
        <s v="3291@sara-07.es"/>
        <s v="3292@movistar.es"/>
        <s v="3293@hotmail.es"/>
        <s v="3294@gmail.com"/>
        <s v="3295@telefonica.net"/>
        <s v="1323@gmail.com"/>
        <s v="3296@canillos.com"/>
        <s v="3297@hotmail.com"/>
        <s v="3298@hotmail.com"/>
        <s v="3299@hotmail.com"/>
        <s v="3300@hotmail.com"/>
        <s v="1097@santaeulalia.cat"/>
        <s v="3301@gmail.com"/>
        <s v="3302@gmail.com"/>
        <s v="2522@gmail.com"/>
        <s v="2931@telefonica.net"/>
        <s v="3303@gmail.com"/>
        <s v="2922@tecnicanorte.com"/>
        <s v="2934@gruponovelec.com"/>
        <s v="3304@gmail.com"/>
        <s v="3305@hotmail.es"/>
        <s v="3306@gmail.com"/>
        <s v="314@bitrir.es"/>
        <s v="2937@gmail.com"/>
        <s v="442@hotmail.com"/>
        <s v="2939@oscarcaselles.com"/>
        <s v="3307@tica.es"/>
        <s v="929@acciona.com"/>
        <s v="3308@gmail.com"/>
        <s v="3309@covisa.cat"/>
        <s v="3310@gmail.com"/>
        <s v="3311@gmail.com"/>
        <s v="2941@gmail.com"/>
        <s v="2942@ragaluz.com"/>
        <s v="3312@gmail.com"/>
        <s v="3313@gmail.com"/>
        <s v="3314@hotmail.com"/>
        <s v="2944@prysmiangroup.com"/>
        <s v="3315@hotmail.com"/>
        <s v="2947@gmail.com"/>
        <s v="2950@telematel.com"/>
        <s v="1556@electricidadguerra.com"/>
        <s v="2953@sinophosgroup.com"/>
        <s v="3316@hotmail.com"/>
        <s v="3317@bonetcars.com"/>
        <s v="2955@imamagnets.com"/>
        <s v="3318@gmail.com"/>
        <s v="3319@gmail.com"/>
        <s v="3320@googlemail.com"/>
        <s v="3321@gmail.com"/>
        <s v="2958@gmail.com"/>
        <s v="3322@gmail.com"/>
        <s v="3323@gmail.com"/>
        <s v="3324@gmail.com"/>
        <s v="3325@gmail.com"/>
        <s v="3326@laosoler.com"/>
        <s v="2360@viplaro.com"/>
        <s v="2961@mqrenovables.com"/>
        <s v="2960@gmail.com"/>
        <s v="2962@gmail.com"/>
        <s v="3327@hotmail.com"/>
        <s v="3328@gmail.com"/>
        <s v="3329@hotmail.es"/>
        <s v="2963@gmail.com"/>
        <s v="3330@aplicaciones.com"/>
        <s v="3331@hotmail.com"/>
        <s v="3332@gmail.com"/>
        <s v="428@hotmail.com"/>
        <s v="3333@gmail.com"/>
        <s v="2972@us.es"/>
        <s v="2975@gmail.com"/>
        <s v="2983@hotmail.com"/>
        <s v="3334@fundacionmetal.org"/>
        <s v="1434@planamar.com"/>
        <s v="2313@gmail.com"/>
        <s v="2973@rt105.es"/>
        <s v="1498@gmail.com"/>
        <s v="2998@dosreisinstalaciones.es"/>
        <s v="3335@igrenergeticos.es"/>
        <m/>
      </sharedItems>
    </cacheField>
    <cacheField name="Estado" numFmtId="20">
      <sharedItems containsBlank="1">
        <s v="Nuevo"/>
        <s v="No Nuevo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Descargas - Preprocessing" cacheId="0" dataCaption="" compact="0" compactData="0">
  <location ref="H1:I10" firstHeaderRow="0" firstDataRow="1" firstDataCol="0"/>
  <pivotFields>
    <pivotField name="Email_pseud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t="default"/>
      </items>
    </pivotField>
    <pivotField name="Email - optim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t="default"/>
      </items>
    </pivotField>
    <pivotField name="Date" axis="axisRow" compact="0" outline="0" multipleItemSelectionAllowed="1" showAll="0" sortType="ascending">
      <items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3"/>
        <item t="default"/>
      </items>
    </pivotField>
    <pivotField name="Conversion Pag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ail optimizado - def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t="default"/>
      </items>
    </pivotField>
  </pivotFields>
  <rowFields>
    <field x="2"/>
  </rowFields>
  <dataFields>
    <dataField name="COUNTA of Email - optim" fld="1" subtotal="count" baseField="0"/>
  </dataFields>
</pivotTableDefinition>
</file>

<file path=xl/pivotTables/pivotTable2.xml><?xml version="1.0" encoding="utf-8"?>
<pivotTableDefinition xmlns="http://schemas.openxmlformats.org/spreadsheetml/2006/main" name="Results" cacheId="1" dataCaption="" compact="0" compactData="0">
  <location ref="A1:J10" firstHeaderRow="0" firstDataRow="1" firstDataCol="1"/>
  <pivotFields>
    <pivotField name="Email_pseud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t="default"/>
      </items>
    </pivotField>
    <pivotField name="Email - optim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t="default"/>
      </items>
    </pivotField>
    <pivotField name="Date" axis="axisCol" compact="0" outline="0" multipleItemSelectionAllowed="1" showAll="0" sortType="ascending">
      <items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3"/>
        <item t="default"/>
      </items>
    </pivotField>
    <pivotField name="Conversion Page" axis="axisRow" compact="0" outline="0" multipleItemSelectionAllowed="1" showAll="0" sortType="ascending">
      <items>
        <item x="6"/>
        <item x="1"/>
        <item x="0"/>
        <item x="4"/>
        <item x="3"/>
        <item x="5"/>
        <item x="2"/>
        <item t="default"/>
      </items>
    </pivotField>
    <pivotField name="mail optimizado - def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t="default"/>
      </items>
    </pivotField>
  </pivotFields>
  <rowFields>
    <field x="3"/>
  </rowFields>
  <colFields>
    <field x="2"/>
  </colFields>
  <dataFields>
    <dataField name="COUNTA of Email - optim" fld="1" subtotal="count" baseField="0"/>
  </dataFields>
</pivotTableDefinition>
</file>

<file path=xl/pivotTables/pivotTable3.xml><?xml version="1.0" encoding="utf-8"?>
<pivotTableDefinition xmlns="http://schemas.openxmlformats.org/spreadsheetml/2006/main" name="ViewResults" cacheId="3" dataCaption="" compact="0" compactData="0">
  <location ref="A1:C14" firstHeaderRow="0" firstDataRow="2" firstDataCol="0"/>
  <pivotFields>
    <pivotField name="Email" dataField="1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t="default"/>
      </items>
    </pivotField>
    <pivotField name="date" axis="axisRow" compact="0" numFmtId="16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Nuev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t="default"/>
      </items>
    </pivotField>
    <pivotField name="Estado" axis="axisRow" compact="0" numFmtId="20" outline="0" multipleItemSelectionAllowed="1" showAll="0" sortType="ascending">
      <items>
        <item x="2"/>
        <item x="1"/>
        <item x="0"/>
        <item t="default"/>
      </items>
    </pivotField>
  </pivotFields>
  <rowFields>
    <field x="3"/>
    <field x="1"/>
  </rowFields>
  <dataFields>
    <dataField name="COUNTA of Email" fld="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91" Type="http://schemas.openxmlformats.org/officeDocument/2006/relationships/hyperlink" Target="https://resources.simonelectric.com/simon-catalogo-vehiculo-electrico?__hstc=83084745.64dcfb75de4d81f4bc34c8ede502b4c6.1591682335740.1591682335740.1591685915952.2&amp;__hssc=83084745.9.1591685915952&amp;__hsfp=2720249029" TargetMode="External"/><Relationship Id="rId39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180" Type="http://schemas.openxmlformats.org/officeDocument/2006/relationships/hyperlink" Target="https://resources.simonelectric.com/simon-catalogo-vehiculo-electrico?utm_campaign=SIC%20-%20Veh%C3%ADculo%20El%C3%A9ctrico&amp;utm_medium=email&amp;_hsenc=p2ANqtz-9LXmLWO91Z7NNXOlFje3ak84qXXTKlJQ7KaZRsmNoTBj7hh8Ml4oR47_M7XEqB7bhhfrF4&amp;_hsmi=87085363&amp;utm_content=87085363&amp;utm_source=hs_email&amp;hsCtaTracking=6fedf137-fd90-4f17-bfb4-d61f710ec7f8%7Cf2771843-6636-4969-9010-2d8d0389b89c" TargetMode="External"/><Relationship Id="rId2181" Type="http://schemas.openxmlformats.org/officeDocument/2006/relationships/hyperlink" Target="https://resources.simonelectric.com/simon-catalogo-vehiculo-electrico?utm_campaign=SIC%20-%20Veh%C3%ADculo%20El%C3%A9ctrico&amp;utm_medium=email&amp;_hsenc=p2ANqtz--6ZWUdKIR3YqvS32HBwRut1PX0py-IOt5QDVHNf_6nxqeNI0CCMq7ks6I2gmnKVVLBrhSr&amp;_hsmi=87085363&amp;utm_content=87085363&amp;utm_source=hs_email&amp;hsCtaTracking=6fedf137-fd90-4f17-bfb4-d61f710ec7f8%7Cf2771843-6636-4969-9010-2d8d0389b89c" TargetMode="External"/><Relationship Id="rId2182" Type="http://schemas.openxmlformats.org/officeDocument/2006/relationships/hyperlink" Target="https://resources.simonelectric.com/simon-catalogo-vehiculo-electrico?utm_campaign=SIC%20-%20Veh%C3%ADculo%20El%C3%A9ctrico&amp;utm_medium=email&amp;_hsenc=p2ANqtz-_v-YczdmaW0e2QBzzTBektY_VFiTJkae0E7oBha42eokJ20ZCOuTL3qFctOinKJseNtLW1&amp;_hsmi=87085363&amp;utm_content=87085363&amp;utm_source=hs_email&amp;hsCtaTracking=6fedf137-fd90-4f17-bfb4-d61f710ec7f8%7Cf2771843-6636-4969-9010-2d8d0389b89c" TargetMode="External"/><Relationship Id="rId2183" Type="http://schemas.openxmlformats.org/officeDocument/2006/relationships/hyperlink" Target="https://resources.simonelectric.com/simon-catalogo-vehiculo-electrico?utm_campaign=SIC%20-%20Veh%C3%ADculo%20El%C3%A9ctrico&amp;utm_medium=email&amp;_hsenc=p2ANqtz-8pF2rGgVZFW5tDjMWm87SWzRlFVNXLL61CiwFsNZr9AFFAndEsR5MXCsu3JAHW2OZ1CQLb&amp;_hsmi=87085363&amp;utm_content=87085363&amp;utm_source=hs_email&amp;hsCtaTracking=6fedf137-fd90-4f17-bfb4-d61f710ec7f8%7Cf2771843-6636-4969-9010-2d8d0389b89c" TargetMode="External"/><Relationship Id="rId385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184" Type="http://schemas.openxmlformats.org/officeDocument/2006/relationships/hyperlink" Target="https://resources.simonelectric.com/simon-catalogo-vehiculo-electrico?utm_campaign=SIC%20-%20Veh%C3%ADculo%20El%C3%A9ctrico&amp;utm_medium=email&amp;_hsenc=p2ANqtz--u8LHph44QWu-Ra15Wv9EUWyRijfANzP3QoV6W57ooTL9EoEjBcqVdn-VgZdPly93UtGbz&amp;_hsmi=87085363&amp;utm_content=87085363&amp;utm_source=hs_email&amp;hsCtaTracking=6fedf137-fd90-4f17-bfb4-d61f710ec7f8%7Cf2771843-6636-4969-9010-2d8d0389b89c" TargetMode="External"/><Relationship Id="rId384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185" Type="http://schemas.openxmlformats.org/officeDocument/2006/relationships/hyperlink" Target="https://resources.simonelectric.com/simon-catalogo-vehiculo-electrico?utm_campaign=SIC%20-%20Veh%C3%ADculo%20El%C3%A9ctrico&amp;utm_medium=email&amp;_hsenc=p2ANqtz-8nXFVb9hxQAj16Cw_ebKF-IFf0vG9tWbRuxcDb22PNWEksBeDHJu7DD9mV5x6t9X3n1WZh&amp;_hsmi=87085363&amp;utm_content=87085363&amp;utm_source=hs_email&amp;hsCtaTracking=6fedf137-fd90-4f17-bfb4-d61f710ec7f8%7Cf2771843-6636-4969-9010-2d8d0389b89c" TargetMode="External"/><Relationship Id="rId38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186" Type="http://schemas.openxmlformats.org/officeDocument/2006/relationships/hyperlink" Target="https://resources.simonelectric.com/simon-catalogo-vehiculo-electrico?utm_campaign=SIC%20-%20Veh%C3%ADculo%20El%C3%A9ctrico&amp;utm_medium=email&amp;_hsenc=p2ANqtz--YayJcriOTeNNRftM57t8JxwYHIit33CAI9hkdgx4TAQM10d36J_65zeuCUZMxSBHnUE0D&amp;_hsmi=87085363&amp;utm_content=87085363&amp;utm_source=hs_email&amp;hsCtaTracking=6fedf137-fd90-4f17-bfb4-d61f710ec7f8%7Cf2771843-6636-4969-9010-2d8d0389b89c" TargetMode="External"/><Relationship Id="rId382" Type="http://schemas.openxmlformats.org/officeDocument/2006/relationships/hyperlink" Target="https://resources.simonelectric.com/simon-catalogo-vehiculo-electrico?__hstc=83084745.8178c6114a6a4fbf8b6512f0d25bb671.1588243303896.1588243303896.1591770133490.2&amp;__hssc=83084745.6.1591770133490&amp;__hsfp=3167385607" TargetMode="External"/><Relationship Id="rId2187" Type="http://schemas.openxmlformats.org/officeDocument/2006/relationships/hyperlink" Target="https://resources.simonelectric.com/simon-catalogo-vehiculo-electrico?utm_campaign=SIC%20-%20Veh%C3%ADculo%20El%C3%A9ctrico&amp;utm_medium=email&amp;_hsenc=p2ANqtz-8EGJxPq6pylyu-SNfEuJWdLomj62Tujm0Y-OdC8PSZu9MIL6gxcRJXMch4xkX2XXEVdAwp&amp;_hsmi=87085363&amp;utm_content=87085363&amp;utm_source=hs_email&amp;hsCtaTracking=6fedf137-fd90-4f17-bfb4-d61f710ec7f8%7Cf2771843-6636-4969-9010-2d8d0389b89c" TargetMode="External"/><Relationship Id="rId38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188" Type="http://schemas.openxmlformats.org/officeDocument/2006/relationships/hyperlink" Target="https://resources.simonelectric.com/simon-catalogo-vehiculo-electrico?utm_campaign=SIC%20-%20Veh%C3%ADculo%20El%C3%A9ctrico&amp;utm_medium=email&amp;_hsenc=p2ANqtz-9De_9mSlMvrispnJGig5dD_qymQqnvo4P0Y7TsmjnD0jcKfKmEKd3OLmTQVvnFWXmE1OQX&amp;_hsmi=87085363&amp;utm_content=87085363&amp;utm_source=hs_email&amp;hsCtaTracking=6fedf137-fd90-4f17-bfb4-d61f710ec7f8%7Cf2771843-6636-4969-9010-2d8d0389b89c" TargetMode="External"/><Relationship Id="rId388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-PCDhFOlV6IECEEAEgZihVg43PU-IkXQxNusbYM0Da-7oLR8WVfD4hejwtue3tBtT82kZ8BxJlP2TpkojhAjghqCf3Qg&amp;_hsmi=88328232" TargetMode="External"/><Relationship Id="rId2189" Type="http://schemas.openxmlformats.org/officeDocument/2006/relationships/hyperlink" Target="https://resources.simonelectric.com/simon-catalogo-vehiculo-electrico?utm_campaign=SIC%20-%20Veh%C3%ADculo%20El%C3%A9ctrico&amp;utm_medium=email&amp;_hsenc=p2ANqtz-_T7SH42Qsn6eIoM1oir8scZLt6vNDo1F4CH5D62Z2yEAmV_bvaKQs0uE90ocOKHS7b0xAk&amp;_hsmi=87085363&amp;utm_content=87085363&amp;utm_source=hs_email&amp;hsCtaTracking=6fedf137-fd90-4f17-bfb4-d61f710ec7f8%7Cf2771843-6636-4969-9010-2d8d0389b89c" TargetMode="External"/><Relationship Id="rId38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86" Type="http://schemas.openxmlformats.org/officeDocument/2006/relationships/hyperlink" Target="https://resources.simonelectric.com/simon-catalogo-vehiculo-electrico?__hstc=83084745.10def612c5d78fbcaa785aab760bba67.1591715297885.1591715297885.1591719630590.2&amp;__hssc=83084745.5.1591719630590&amp;__hsfp=3167385607" TargetMode="External"/><Relationship Id="rId381" Type="http://schemas.openxmlformats.org/officeDocument/2006/relationships/hyperlink" Target="https://resources.simonelectric.com/simon-ebook-vehiculo-electrico?utm_referrer=https%3A%2F%2Fwww.simonelectric.com%2F" TargetMode="External"/><Relationship Id="rId380" Type="http://schemas.openxmlformats.org/officeDocument/2006/relationships/hyperlink" Target="https://resources.simonelectric.com/simon-catalogo-vehiculo-electrico?__hstc=83084745.2aebad260346651c6e172e36d6291b2e.1580144743161.1591808824084.1591814162569.4&amp;__hssc=83084745.4.1591814162569&amp;__hsfp=768190205" TargetMode="External"/><Relationship Id="rId379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" TargetMode="External"/><Relationship Id="rId2170" Type="http://schemas.openxmlformats.org/officeDocument/2006/relationships/hyperlink" Target="https://resources.simonelectric.com/simon-catalogo-vehiculo-electrico?utm_campaign=SIC%20-%20Veh%C3%ADculo%20El%C3%A9ctrico&amp;utm_medium=email&amp;_hsenc=p2ANqtz-_JWIV5lwgAGbmARp49Zu5lE0SuQ7sunhjX3n16CT_T3TNds1l3qNW9qOiikatssgvDMZvI&amp;_hsmi=87085363&amp;utm_content=87085363&amp;utm_source=hs_email&amp;hsCtaTracking=6fedf137-fd90-4f17-bfb4-d61f710ec7f8%7Cf2771843-6636-4969-9010-2d8d0389b89c" TargetMode="External"/><Relationship Id="rId2171" Type="http://schemas.openxmlformats.org/officeDocument/2006/relationships/hyperlink" Target="https://resources.simonelectric.com/simon-catalogo-vehiculo-electrico?utm_campaign=SIC%20-%20Veh%C3%ADculo%20El%C3%A9ctrico&amp;utm_medium=email&amp;_hsenc=p2ANqtz-8oX7U3aAw9obAGG5Axi-4lHeAwO8VcPpB_0woQ5vl0pSCZ269E20Gbp8ilA_vTyyDdxedA&amp;_hsmi=87085363&amp;utm_content=87085363&amp;utm_source=hs_email&amp;hsCtaTracking=6fedf137-fd90-4f17-bfb4-d61f710ec7f8%7Cf2771843-6636-4969-9010-2d8d0389b89c" TargetMode="External"/><Relationship Id="rId2172" Type="http://schemas.openxmlformats.org/officeDocument/2006/relationships/hyperlink" Target="https://resources.simonelectric.com/simon-catalogo-vehiculo-electrico?utm_campaign=SIC%20-%20Veh%C3%ADculo%20El%C3%A9ctrico&amp;utm_medium=email&amp;_hsenc=p2ANqtz-_eW6o0lh5DodUmAkj5nwYc9_KQNJPFgTnTKTKDtXuws1xywVeO42v-Pfu2z80LKv-RKAFW&amp;_hsmi=87085363&amp;utm_content=87085363&amp;utm_source=hs_email&amp;hsCtaTracking=6fedf137-fd90-4f17-bfb4-d61f710ec7f8%7Cf2771843-6636-4969-9010-2d8d0389b89c" TargetMode="External"/><Relationship Id="rId374" Type="http://schemas.openxmlformats.org/officeDocument/2006/relationships/hyperlink" Target="https://resources.simonelectric.com/simon-material-formativo-vehiculo-electrico?utm_campaign=SIC%20-%20Veh%C3%ADculo%20El%C3%A9ctrico&amp;utm_medium=email&amp;_hsmi=89403925&amp;_hsenc=p2ANqtz-8F3aB16R2Gqv91syWs72iUjZNVxIS50b4FQMA_kIpwJ9h5kUJ7poU8Qvw85umfApFfvlOmdJbH0OOP2vno7rDlyLGDQg&amp;utm_content=89403925&amp;utm_source=hs_email" TargetMode="External"/><Relationship Id="rId2173" Type="http://schemas.openxmlformats.org/officeDocument/2006/relationships/hyperlink" Target="https://resources.simonelectric.com/simon-catalogo-vehiculo-electrico?utm_campaign=SIC%20-%20Veh%C3%ADculo%20El%C3%A9ctrico&amp;utm_medium=email&amp;_hsmi=87085363&amp;_hsenc=p2ANqtz-9fqFe3SwNew4J0CoiZdkHDar4WvLjH7TzLxVTxupiw5PEzWgCrSAZ7ofj1nnXnKScAsg0V&amp;utm_content=87085363&amp;utm_source=hs_email" TargetMode="External"/><Relationship Id="rId373" Type="http://schemas.openxmlformats.org/officeDocument/2006/relationships/hyperlink" Target="https://resources.simonelectric.com/simon-material-formativo-vehiculo-electrico?utm_campaign=SIC%20-%20Veh%C3%ADculo%20El%C3%A9ctrico&amp;utm_medium=email&amp;_hsenc=p2ANqtz-8jxCjzpR4LO42lFsKgKnM_sAaVp2PUYosfnFIxLVKuVTwtqFQHXRlzWgQ_OhVO8wqYQyXRSVZOx-gm-DhkWpC7p3bAAg&amp;_hsmi=89403925&amp;utm_content=89403925&amp;utm_source=hs_email&amp;hsCtaTracking=f8a31ce8-daf1-4d69-a5d6-c3349f3aab91%7C75f9b9fd-a2b2-4ad4-9d4a-0dcb7c99194f" TargetMode="External"/><Relationship Id="rId2174" Type="http://schemas.openxmlformats.org/officeDocument/2006/relationships/hyperlink" Target="https://resources.simonelectric.com/simon-catalogo-vehiculo-electrico?utm_campaign=SIC%20-%20Veh%C3%ADculo%20El%C3%A9ctrico&amp;utm_medium=email&amp;_hsenc=p2ANqtz-_AFKdbl9wfr1Rqavyv6eGP0r0XMQpYTtqrYGvaDj2hR54ItkxoSOf938YBHReWovQdG54J&amp;_hsmi=87085302&amp;utm_content=87085302&amp;utm_source=hs_email&amp;hsCtaTracking=6fedf137-fd90-4f17-bfb4-d61f710ec7f8%7Cf2771843-6636-4969-9010-2d8d0389b89c" TargetMode="External"/><Relationship Id="rId372" Type="http://schemas.openxmlformats.org/officeDocument/2006/relationships/hyperlink" Target="https://resources.simonelectric.com/simon-material-formativo-vehiculo-electrico?utm_campaign=SIC%20-%20Veh%C3%ADculo%20El%C3%A9ctrico&amp;utm_medium=email&amp;_hsenc=p2ANqtz-_VM-yxvFyhFqJLnRkbiGTQ15ZQ2_ayP6aujcEKcu4o3rGnRBP67fHfQ_z2LjRYQd3wBugukZkPzu3kiWMcKCS7Gzl7Og&amp;_hsmi=89403925&amp;utm_content=89403925&amp;utm_source=hs_email&amp;hsCtaTracking=f8a31ce8-daf1-4d69-a5d6-c3349f3aab91%7C75f9b9fd-a2b2-4ad4-9d4a-0dcb7c99194f" TargetMode="External"/><Relationship Id="rId2175" Type="http://schemas.openxmlformats.org/officeDocument/2006/relationships/hyperlink" Target="https://resources.simonelectric.com/simon-catalogo-vehiculo-electrico?utm_campaign=SIC%20-%20Veh%C3%ADculo%20El%C3%A9ctrico&amp;utm_medium=email&amp;_hsenc=p2ANqtz--m5yQvbBO8V__N-EDYMuPwrP5qck6jKvsUIikTB6YJnnBpyRfE42kGyfUb_ZD-teNabveu&amp;_hsmi=87085363&amp;utm_content=87085363&amp;utm_source=hs_email&amp;hsCtaTracking=6fedf137-fd90-4f17-bfb4-d61f710ec7f8%7Cf2771843-6636-4969-9010-2d8d0389b89c" TargetMode="External"/><Relationship Id="rId371" Type="http://schemas.openxmlformats.org/officeDocument/2006/relationships/hyperlink" Target="https://resources.simonelectric.com/simon-material-formativo-vehiculo-electrico?utm_campaign=SIC%20-%20Veh%C3%ADculo%20El%C3%A9ctrico&amp;utm_medium=email&amp;_hsenc=p2ANqtz-8M82H2Zg8BVYgrbQvMtzhDcbfFfNRVCAXmRF8i0G_jS-hbyESoySo32CywG2yKJROyITaiSxUslkmY6zM8LT1rJNqW8g&amp;_hsmi=89403925&amp;utm_content=89403925&amp;utm_source=hs_email&amp;hsCtaTracking=f8a31ce8-daf1-4d69-a5d6-c3349f3aab91%7C75f9b9fd-a2b2-4ad4-9d4a-0dcb7c99194f" TargetMode="External"/><Relationship Id="rId2176" Type="http://schemas.openxmlformats.org/officeDocument/2006/relationships/hyperlink" Target="https://resources.simonelectric.com/simon-catalogo-vehiculo-electrico?utm_campaign=SIC%20-%20Veh%C3%ADculo%20El%C3%A9ctrico&amp;utm_medium=email&amp;_hsenc=p2ANqtz-8mWKxOmeuRqmwB2G8-4CPEiiiO2XxkGZZ1P127MgdChwTk1j579NmJ4kmXXecCEE7rfSee&amp;_hsmi=87085363&amp;utm_content=87085363&amp;utm_source=hs_email&amp;hsCtaTracking=6fedf137-fd90-4f17-bfb4-d61f710ec7f8%7Cf2771843-6636-4969-9010-2d8d0389b89c" TargetMode="External"/><Relationship Id="rId37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177" Type="http://schemas.openxmlformats.org/officeDocument/2006/relationships/hyperlink" Target="https://resources.simonelectric.com/simon-catalogo-vehiculo-electrico?utm_campaign=SIC%20-%20Veh%C3%ADculo%20El%C3%A9ctrico&amp;utm_medium=email&amp;_hsenc=p2ANqtz-8k3uZjACeCUmgFU2Y3S_xtuXldNchZJKGJ5hakG2AxiTyVbgiXaYb9y8ba-V6g7fmA2P7R&amp;_hsmi=87085363&amp;utm_content=87085363&amp;utm_source=hs_email&amp;hsCtaTracking=6fedf137-fd90-4f17-bfb4-d61f710ec7f8%7Cf2771843-6636-4969-9010-2d8d0389b89c" TargetMode="External"/><Relationship Id="rId377" Type="http://schemas.openxmlformats.org/officeDocument/2006/relationships/hyperlink" Target="https://resources.simonelectric.com/simon-material-formativo-vehiculo-electrico" TargetMode="External"/><Relationship Id="rId2178" Type="http://schemas.openxmlformats.org/officeDocument/2006/relationships/hyperlink" Target="https://resources.simonelectric.com/simon-catalogo-vehiculo-electrico?utm_campaign=SIC%20-%20Veh%C3%ADculo%20El%C3%A9ctrico&amp;utm_medium=email&amp;_hsenc=p2ANqtz--QvQcfqEaS11P8eiK0uaS9Hce7slTdCxG4eZbopfWTRagOa1bDLXdulm-xHjdTcstmq7c4&amp;_hsmi=87085363&amp;utm_content=87085363&amp;utm_source=hs_email&amp;hsCtaTracking=6fedf137-fd90-4f17-bfb4-d61f710ec7f8%7Cf2771843-6636-4969-9010-2d8d0389b89c" TargetMode="External"/><Relationship Id="rId37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179" Type="http://schemas.openxmlformats.org/officeDocument/2006/relationships/hyperlink" Target="https://resources.simonelectric.com/simon-catalogo-vehiculo-electrico?utm_campaign=SIC%20-%20Veh%C3%ADculo%20El%C3%A9ctrico&amp;utm_medium=email&amp;_hsenc=p2ANqtz-9H2-JJBaMJ0ldivSjc8iOeF9duz29w2fwVEobRoWipArGMLa556pHxUtEKFArP5jT57TFT&amp;_hsmi=87085363&amp;utm_content=87085363&amp;utm_source=hs_email&amp;hsCtaTracking=6fedf137-fd90-4f17-bfb4-d61f710ec7f8%7Cf2771843-6636-4969-9010-2d8d0389b89c" TargetMode="External"/><Relationship Id="rId37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90" Type="http://schemas.openxmlformats.org/officeDocument/2006/relationships/hyperlink" Target="https://resources.simonelectric.com/simon-catalogo-vehiculo-electrico?utm_campaign=SIC%20-%20Veh%C3%ADculo%20El%C3%A9ctrico&amp;utm_medium=email&amp;_hsenc=p2ANqtz-860vme9Un3JEdJtKhgOFogIMC2m7GsbcaZoUK-q5G4k4geSYjzCFMQl5gNFIdGHot1mZGa&amp;_hsmi=87085363&amp;utm_content=87085363&amp;utm_source=hs_email&amp;hsCtaTracking=6fedf137-fd90-4f17-bfb4-d61f710ec7f8%7Cf2771843-6636-4969-9010-2d8d0389b89c" TargetMode="External"/><Relationship Id="rId2191" Type="http://schemas.openxmlformats.org/officeDocument/2006/relationships/hyperlink" Target="https://resources.simonelectric.com/simon-catalogo-vehiculo-electrico?utm_campaign=SIC%20-%20Veh%C3%ADculo%20El%C3%A9ctrico&amp;utm_medium=email&amp;_hsenc=p2ANqtz-8YCRglqZmdRWt3wc5V91lrSdqOU8eGDLtX73mXGZZJa74RXffMF9_1nStB29Kow9-ALFP_&amp;_hsmi=87085363&amp;utm_content=87085363&amp;utm_source=hs_email&amp;hsCtaTracking=6fedf137-fd90-4f17-bfb4-d61f710ec7f8%7Cf2771843-6636-4969-9010-2d8d0389b89c" TargetMode="External"/><Relationship Id="rId2192" Type="http://schemas.openxmlformats.org/officeDocument/2006/relationships/hyperlink" Target="https://resources.simonelectric.com/simon-catalogo-vehiculo-electrico?utm_campaign=SIC%20-%20Veh%C3%ADculo%20El%C3%A9ctrico&amp;utm_medium=email&amp;_hsenc=p2ANqtz--KNaS9IOJTo15jWJs0V6mvy-Bz-i9NI6wQ3B9jRcI9yITzDOgIiHjmCVOmseGDtG0vDx-y&amp;_hsmi=87085363&amp;utm_content=87085363&amp;utm_source=hs_email&amp;hsCtaTracking=6fedf137-fd90-4f17-bfb4-d61f710ec7f8%7Cf2771843-6636-4969-9010-2d8d0389b89c" TargetMode="External"/><Relationship Id="rId2193" Type="http://schemas.openxmlformats.org/officeDocument/2006/relationships/hyperlink" Target="https://resources.simonelectric.com/simon-catalogo-vehiculo-electrico?utm_campaign=SIC%20-%20Veh%C3%ADculo%20El%C3%A9ctrico&amp;utm_medium=email&amp;_hsenc=p2ANqtz-8rmwCAPHv5EZYABLFJ6PlEeG9NheLAMGKpjp8MNLBvalFxDb6vxb18rRN8ikp7wz2F2Q2j&amp;_hsmi=87085363&amp;utm_content=87085363&amp;utm_source=hs_email&amp;hsCtaTracking=6fedf137-fd90-4f17-bfb4-d61f710ec7f8%7Cf2771843-6636-4969-9010-2d8d0389b89c" TargetMode="External"/><Relationship Id="rId2194" Type="http://schemas.openxmlformats.org/officeDocument/2006/relationships/hyperlink" Target="https://resources.simonelectric.com/simon-catalogo-vehiculo-electrico?utm_campaign=SIC%20-%20Veh%C3%ADculo%20El%C3%A9ctrico&amp;utm_medium=email&amp;_hsenc=p2ANqtz-861U2OgrdgcgyFwDx_k0TPEsHKP92A9awoEXAnZW3LV7ExvwLwrXk-lwUmJdaD-DjEL-VY&amp;_hsmi=87085363&amp;utm_content=87085363&amp;utm_source=hs_email&amp;hsCtaTracking=6fedf137-fd90-4f17-bfb4-d61f710ec7f8%7Cf2771843-6636-4969-9010-2d8d0389b89c" TargetMode="External"/><Relationship Id="rId396" Type="http://schemas.openxmlformats.org/officeDocument/2006/relationships/hyperlink" Target="https://resources.simonelectric.com/simon-ebook-vehiculo-electrico-0?gclid=Cj0KCQjw_ez2BRCyARIsAJfg-kuRfj67MVwj9oscjal12hQ8M9hsEYKMoAFE489Hu8JPdlKezlqu_sYaAl7zEALw_wcB" TargetMode="External"/><Relationship Id="rId2195" Type="http://schemas.openxmlformats.org/officeDocument/2006/relationships/hyperlink" Target="https://resources.simonelectric.com/simon-catalogo-vehiculo-electrico?utm_campaign=SIC%20-%20Veh%C3%ADculo%20El%C3%A9ctrico&amp;utm_medium=email&amp;_hsenc=p2ANqtz--2yqjJjgVu4KDCFobFH9tcFtZkZs0q4s4ds2btOe8T78T-oO7RqOqej7sMPg-AhqkU2xxN&amp;_hsmi=87085363&amp;utm_content=87085363&amp;utm_source=hs_email&amp;hsCtaTracking=6fedf137-fd90-4f17-bfb4-d61f710ec7f8%7Cf2771843-6636-4969-9010-2d8d0389b89c" TargetMode="External"/><Relationship Id="rId39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96" Type="http://schemas.openxmlformats.org/officeDocument/2006/relationships/hyperlink" Target="https://resources.simonelectric.com/simon-catalogo-vehiculo-electrico?utm_campaign=SIC%20-%20Veh%C3%ADculo%20El%C3%A9ctrico&amp;utm_medium=email&amp;_hsenc=p2ANqtz--L8U1EdPKMk-TtcjcoMxWN-FO4Qcb0MpKWfCYL6Jrm0OLrG6KqW1rj9T2xJLuH53tRGYpb&amp;_hsmi=87085363&amp;utm_content=87085363&amp;utm_source=hs_email&amp;hsCtaTracking=6fedf137-fd90-4f17-bfb4-d61f710ec7f8%7Cf2771843-6636-4969-9010-2d8d0389b89c" TargetMode="External"/><Relationship Id="rId39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197" Type="http://schemas.openxmlformats.org/officeDocument/2006/relationships/hyperlink" Target="https://resources.simonelectric.com/simon-catalogo-vehiculo-electrico?utm_campaign=SIC%20-%20Veh%C3%ADculo%20El%C3%A9ctrico&amp;utm_medium=email&amp;_hsenc=p2ANqtz-8qP2W8cTLyzDTXqEYbxCZ5x81uWlDrjzj3Ziek7U_EIeHB-Ig0x2bjhyaEpbYbY3JrTejm&amp;_hsmi=87085363&amp;utm_content=87085363&amp;utm_source=hs_email&amp;hsCtaTracking=6fedf137-fd90-4f17-bfb4-d61f710ec7f8%7Cf2771843-6636-4969-9010-2d8d0389b89c" TargetMode="External"/><Relationship Id="rId39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98" Type="http://schemas.openxmlformats.org/officeDocument/2006/relationships/hyperlink" Target="https://resources.simonelectric.com/simon-catalogo-vehiculo-electrico?utm_campaign=SIC%20-%20Veh%C3%ADculo%20El%C3%A9ctrico&amp;utm_medium=email&amp;_hsenc=p2ANqtz-9p2JHir5tqmsxHtsS1BUfyzBswBLFS5p9HZNydWNJgfRl2V78C7muzFVuJuc9rZtZmjQRD&amp;_hsmi=87085363&amp;utm_content=87085363&amp;utm_source=hs_email&amp;hsCtaTracking=6fedf137-fd90-4f17-bfb4-d61f710ec7f8%7Cf2771843-6636-4969-9010-2d8d0389b89c" TargetMode="External"/><Relationship Id="rId2199" Type="http://schemas.openxmlformats.org/officeDocument/2006/relationships/hyperlink" Target="https://resources.simonelectric.com/simon-catalogo-vehiculo-electrico?utm_campaign=SIC%20-%20Veh%C3%ADculo%20El%C3%A9ctrico&amp;utm_medium=email&amp;_hsenc=p2ANqtz--Dei2jK9FrrPHS7lIVDVcg97lHprLhoiBCSlHwFyfiJIOIQNTYn3HcGZhnPLvdY934b7Dp&amp;_hsmi=87085363&amp;utm_content=87085363&amp;utm_source=hs_email&amp;hsCtaTracking=6fedf137-fd90-4f17-bfb4-d61f710ec7f8%7Cf2771843-6636-4969-9010-2d8d0389b89c" TargetMode="External"/><Relationship Id="rId39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9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97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1730" Type="http://schemas.openxmlformats.org/officeDocument/2006/relationships/hyperlink" Target="https://resources.simonelectric.com/simon-catalogo-vehiculo-electrico?utm_campaign=SIC%20-%20Veh%C3%ADculo%20El%C3%A9ctrico&amp;utm_medium=email&amp;_hsenc=p2ANqtz-_tgI31udjc5O6MI50g10a88W9IN4tDbck5qkvULre_0Dbr1rY6bkHXe2nT1jlA2luJEQxY&amp;_hsmi=87085363&amp;utm_content=87085363&amp;utm_source=hs_email&amp;hsCtaTracking=6fedf137-fd90-4f17-bfb4-d61f710ec7f8%7Cf2771843-6636-4969-9010-2d8d0389b89c" TargetMode="External"/><Relationship Id="rId1731" Type="http://schemas.openxmlformats.org/officeDocument/2006/relationships/hyperlink" Target="https://resources.simonelectric.com/simon-catalogo-vehiculo-electrico?utm_campaign=SIC%20-%20Veh%C3%ADculo%20El%C3%A9ctrico&amp;utm_medium=email&amp;_hsenc=p2ANqtz--D-uC27icIcruLSOQvD4bC9WSb3XwwdCwly4MT3wOkVbbozV2fX4wjIWqr0E2YGKCN8cxx&amp;_hsmi=87085363&amp;utm_content=87085363&amp;utm_source=hs_email&amp;hsCtaTracking=6fedf137-fd90-4f17-bfb4-d61f710ec7f8%7Cf2771843-6636-4969-9010-2d8d0389b89c" TargetMode="External"/><Relationship Id="rId1732" Type="http://schemas.openxmlformats.org/officeDocument/2006/relationships/hyperlink" Target="https://resources.simonelectric.com/simon-catalogo-vehiculo-electrico?utm_campaign=SIC%20-%20Veh%C3%ADculo%20El%C3%A9ctrico&amp;utm_medium=email&amp;_hsenc=p2ANqtz--_Vnae0qMgrYWdiqgAFG3_MEEZOxbN5m4QySQJT2W-pKT1bIiG7pVzOpKXY3WaQsHXvxel&amp;_hsmi=87085302&amp;utm_content=87085302&amp;utm_source=hs_email&amp;hsCtaTracking=6fedf137-fd90-4f17-bfb4-d61f710ec7f8%7Cf2771843-6636-4969-9010-2d8d0389b89c" TargetMode="External"/><Relationship Id="rId1733" Type="http://schemas.openxmlformats.org/officeDocument/2006/relationships/hyperlink" Target="https://resources.simonelectric.com/simon-catalogo-vehiculo-electrico?utm_campaign=SIC%20-%20Veh%C3%ADculo%20El%C3%A9ctrico&amp;utm_medium=email&amp;_hsenc=p2ANqtz-98CcnFREM3IfbSsMfGj0trTbUkJt0VfJdxCI3yeXwqVxKwcH4Aaabues0ga-2qQMAWYSGA&amp;_hsmi=87085363&amp;utm_content=87085363&amp;utm_source=hs_email&amp;hsCtaTracking=6fedf137-fd90-4f17-bfb4-d61f710ec7f8%7Cf2771843-6636-4969-9010-2d8d0389b89c" TargetMode="External"/><Relationship Id="rId1734" Type="http://schemas.openxmlformats.org/officeDocument/2006/relationships/hyperlink" Target="https://resources.simonelectric.com/simon-catalogo-vehiculo-electrico?utm_campaign=SIC%20-%20Veh%C3%ADculo%20El%C3%A9ctrico&amp;utm_medium=email&amp;_hsenc=p2ANqtz-8XgkPQ1giMjGLB0_4BHibHRg8AnF0OGCR2Cw8vRmWLgtlTmssnmuwQJUXLohTyr4KVPD0L&amp;_hsmi=87085363&amp;utm_content=87085363&amp;utm_source=hs_email&amp;hsCtaTracking=6fedf137-fd90-4f17-bfb4-d61f710ec7f8%7Cf2771843-6636-4969-9010-2d8d0389b89c" TargetMode="External"/><Relationship Id="rId1735" Type="http://schemas.openxmlformats.org/officeDocument/2006/relationships/hyperlink" Target="https://resources.simonelectric.com/simon-catalogo-vehiculo-electrico?utm_campaign=SIC%20-%20Veh%C3%ADculo%20El%C3%A9ctrico&amp;utm_medium=email&amp;_hsenc=p2ANqtz---15tDzvECdBJxXaI3z7DoGt4z-Kj2kC4vE3tTf3bAszKc91Wm5sU7hy4OE6vm02US9LZz&amp;_hsmi=87085363&amp;utm_content=87085363&amp;utm_source=hs_email&amp;hsCtaTracking=6fedf137-fd90-4f17-bfb4-d61f710ec7f8%7Cf2771843-6636-4969-9010-2d8d0389b89c" TargetMode="External"/><Relationship Id="rId1736" Type="http://schemas.openxmlformats.org/officeDocument/2006/relationships/hyperlink" Target="https://resources.simonelectric.com/simon-catalogo-vehiculo-electrico?utm_campaign=SIC%20-%20Veh%C3%ADculo%20El%C3%A9ctrico&amp;utm_medium=email&amp;_hsenc=p2ANqtz-_ct8SGeXPGFTpo8xP6brn7gphkZ-YXK7O3wrp5FXpP0Wg0U3LFMPKzcHu70t4F8RvjzFG-&amp;_hsmi=87085363&amp;utm_content=87085363&amp;utm_source=hs_email&amp;hsCtaTracking=6fedf137-fd90-4f17-bfb4-d61f710ec7f8%7Cf2771843-6636-4969-9010-2d8d0389b89c" TargetMode="External"/><Relationship Id="rId1737" Type="http://schemas.openxmlformats.org/officeDocument/2006/relationships/hyperlink" Target="https://resources.simonelectric.com/simon-catalogo-vehiculo-electrico?utm_campaign=SIC%20-%20Veh%C3%ADculo%20El%C3%A9ctrico&amp;utm_medium=email&amp;_hsenc=p2ANqtz-9XyogBgM7KZwz_WtS4CBHmqCRgeO_LoZTUZCfgBzX52ydqnfk9mqk54JmxRzT4erKWtTzP&amp;_hsmi=87085302&amp;utm_content=87085302&amp;utm_source=hs_email&amp;hsCtaTracking=6fedf137-fd90-4f17-bfb4-d61f710ec7f8%7Cf2771843-6636-4969-9010-2d8d0389b89c" TargetMode="External"/><Relationship Id="rId1738" Type="http://schemas.openxmlformats.org/officeDocument/2006/relationships/hyperlink" Target="https://resources.simonelectric.com/simon-catalogo-vehiculo-electrico?utm_campaign=SIC%20-%20Veh%C3%ADculo%20El%C3%A9ctrico&amp;utm_medium=email&amp;_hsenc=p2ANqtz-_VvpRydVeVEEf3DCeOdmP3v2NQCdxy1kjmuPY-vcyIOqN-d_QEgaKGcOVZ2-5uVkHVwgAh&amp;_hsmi=87085363&amp;utm_content=87085363&amp;utm_source=hs_email&amp;hsCtaTracking=6fedf137-fd90-4f17-bfb4-d61f710ec7f8%7Cf2771843-6636-4969-9010-2d8d0389b89c" TargetMode="External"/><Relationship Id="rId1739" Type="http://schemas.openxmlformats.org/officeDocument/2006/relationships/hyperlink" Target="https://resources.simonelectric.com/simon-catalogo-vehiculo-electrico?utm_campaign=SIC%20-%20Veh%C3%ADculo%20El%C3%A9ctrico&amp;utm_medium=email&amp;_hsmi=87085363&amp;_hsenc=p2ANqtz--y_QoffACZqNnjTXNblAUQpWWQt_cg1jjUnv7xtmhAd0SJ_ca-AF_XQ6HOEYKA8UlKq9nn&amp;utm_content=87085363&amp;utm_source=hs_email" TargetMode="External"/><Relationship Id="rId1720" Type="http://schemas.openxmlformats.org/officeDocument/2006/relationships/hyperlink" Target="https://resources.simonelectric.com/simon-catalogo-vehiculo-electrico?utm_campaign=SIC%20-%20Veh%C3%ADculo%20El%C3%A9ctrico&amp;utm_medium=email&amp;_hsenc=p2ANqtz-_erPRlQbXT1XTahQNlumLG2e6yn84QY3hrVa3w92pKoF-yGwNZBLD5CZ5yRYmNJ2Krh7E1rdZ_L45KAL9l0RrzZZmBRoHpl9TUEQioBHw6nflP2V8&amp;utm_source=hs_email&amp;utm_content=87085363&amp;hsCtaTracking=6fedf137-fd90-4f17-bfb4-d61f710ec7f8%7Cf2771843-6636-4969-9010-2d8d0389b89c" TargetMode="External"/><Relationship Id="rId1721" Type="http://schemas.openxmlformats.org/officeDocument/2006/relationships/hyperlink" Target="https://resources.simonelectric.com/simon-catalogo-vehiculo-electrico?utm_campaign=SIC%20-%20Veh%C3%ADculo%20El%C3%A9ctrico&amp;utm_medium=email&amp;_hsenc=p2ANqtz-91uu2hKrEfpfzZzyMKRuZWywN8UjpeSkfg958gDWwbefMN3RgKLwzgbJnNVC1O6xTyt8Ky&amp;_hsmi=87085363&amp;utm_content=87085363&amp;utm_source=hs_email&amp;hsCtaTracking=6fedf137-fd90-4f17-bfb4-d61f710ec7f8%7Cf2771843-6636-4969-9010-2d8d0389b89c" TargetMode="External"/><Relationship Id="rId1722" Type="http://schemas.openxmlformats.org/officeDocument/2006/relationships/hyperlink" Target="https://resources.simonelectric.com/simon-catalogo-vehiculo-electrico?utm_campaign=SIC%20-%20Veh%C3%ADculo%20El%C3%A9ctrico&amp;utm_medium=email&amp;_hsenc=p2ANqtz--CQUGIrxk8TMmS4KfcZctpg13eOZxG7DKFIyistAweDt0X9jcSyzt94HkHa3boMhrBuolw&amp;_hsmi=87085302&amp;utm_content=87085302&amp;utm_source=hs_email&amp;hsCtaTracking=6fedf137-fd90-4f17-bfb4-d61f710ec7f8%7Cf2771843-6636-4969-9010-2d8d0389b89c" TargetMode="External"/><Relationship Id="rId1723" Type="http://schemas.openxmlformats.org/officeDocument/2006/relationships/hyperlink" Target="https://resources.simonelectric.com/simon-catalogo-vehiculo-electrico?utm_campaign=SIC%20-%20Veh%C3%ADculo%20El%C3%A9ctrico&amp;utm_medium=email&amp;_hsenc=p2ANqtz--lVXem8dMrQWRUk2LrV-rQThiR7RDoM7WmHS4muX5VXeQH7QLPuUmIb46lhGJWCyzZKISx&amp;_hsmi=87085363&amp;utm_content=87085363&amp;utm_source=hs_email&amp;hsCtaTracking=6fedf137-fd90-4f17-bfb4-d61f710ec7f8%7Cf2771843-6636-4969-9010-2d8d0389b89c" TargetMode="External"/><Relationship Id="rId1724" Type="http://schemas.openxmlformats.org/officeDocument/2006/relationships/hyperlink" Target="https://resources.simonelectric.com/simon-catalogo-vehiculo-electrico?utm_campaign=SIC%20-%20Veh%C3%ADculo%20El%C3%A9ctrico&amp;utm_medium=email&amp;_hsenc=p2ANqtz--hyIgc00pY0ghZmAyAnbBqE-3m2V3Tgg5w3xer9QmIu8RumFvWVQsW2USAmQ2tsVhH8Iy4&amp;_hsmi=87085363&amp;utm_content=87085363&amp;utm_source=hs_email&amp;hsCtaTracking=6fedf137-fd90-4f17-bfb4-d61f710ec7f8%7Cf2771843-6636-4969-9010-2d8d0389b89c" TargetMode="External"/><Relationship Id="rId1725" Type="http://schemas.openxmlformats.org/officeDocument/2006/relationships/hyperlink" Target="https://resources.simonelectric.com/simon-catalogo-vehiculo-electrico?utm_campaign=SIC%20-%20Veh%C3%ADculo%20El%C3%A9ctrico&amp;utm_medium=email&amp;_hsenc=p2ANqtz-_jJJS5ex2Ndu3hgquYq0TSv5tjRWsQvxc0HaOijaAYn7uPKiPXGFtAWzbL9kvEcPSCaU2E&amp;_hsmi=87085302&amp;utm_content=87085302&amp;utm_source=hs_email&amp;hsCtaTracking=6fedf137-fd90-4f17-bfb4-d61f710ec7f8%7Cf2771843-6636-4969-9010-2d8d0389b89c" TargetMode="External"/><Relationship Id="rId1726" Type="http://schemas.openxmlformats.org/officeDocument/2006/relationships/hyperlink" Target="https://resources.simonelectric.com/simon-catalogo-vehiculo-electrico?utm_campaign=SIC%20-%20Veh%C3%ADculo%20El%C3%A9ctrico&amp;utm_medium=email&amp;_hsenc=p2ANqtz-98DQqi6zkqW2nWOZWgnCt2a-Nwg7lAHmtgFe25jPyDoNcB5MfejCQC27lS6UKl1svqylgx&amp;_hsmi=87085363&amp;utm_content=87085363&amp;utm_source=hs_email&amp;hsCtaTracking=6fedf137-fd90-4f17-bfb4-d61f710ec7f8%7Cf2771843-6636-4969-9010-2d8d0389b89c" TargetMode="External"/><Relationship Id="rId1727" Type="http://schemas.openxmlformats.org/officeDocument/2006/relationships/hyperlink" Target="https://resources.simonelectric.com/simon-catalogo-vehiculo-electrico?utm_campaign=SIC%20-%20Veh%C3%ADculo%20El%C3%A9ctrico&amp;utm_medium=email&amp;_hsenc=p2ANqtz-_PrvPEBEnIzL4Jo_OWhSVEUY8IA3em7hmE6bB81S2gbnRA4ToeXWKqBbGBy1gOGz9vSu89&amp;_hsmi=87085363&amp;utm_content=87085363&amp;utm_source=hs_email&amp;hsCtaTracking=6fedf137-fd90-4f17-bfb4-d61f710ec7f8%7Cf2771843-6636-4969-9010-2d8d0389b89c" TargetMode="External"/><Relationship Id="rId1728" Type="http://schemas.openxmlformats.org/officeDocument/2006/relationships/hyperlink" Target="https://resources.simonelectric.com/simon-catalogo-vehiculo-electrico?utm_campaign=SIC%20-%20Veh%C3%ADculo%20El%C3%A9ctrico&amp;utm_medium=email&amp;_hsenc=p2ANqtz-8btAqk8oTGGt_qkzjeWPfvqPuR-a-TWd6MeGBZUYc5OtOADy9_RWaQyitX1UybtAkQRqrl&amp;_hsmi=87085363&amp;utm_content=87085363&amp;utm_source=hs_email&amp;hsCtaTracking=6fedf137-fd90-4f17-bfb4-d61f710ec7f8%7Cf2771843-6636-4969-9010-2d8d0389b89c" TargetMode="External"/><Relationship Id="rId1729" Type="http://schemas.openxmlformats.org/officeDocument/2006/relationships/hyperlink" Target="https://resources.simonelectric.com/simon-catalogo-vehiculo-electrico?utm_campaign=SIC%20-%20Veh%C3%ADculo%20El%C3%A9ctrico&amp;utm_medium=email&amp;_hsenc=p2ANqtz--p5dKVaA_Tuz3wwHmCh_EZMaQHS3CgJYj5EoJ3CUjTUtEWSjw2ANXhT8n4YxXZV_D-RoqG&amp;_hsmi=87085363&amp;utm_content=87085363&amp;utm_source=hs_email&amp;hsCtaTracking=6fedf137-fd90-4f17-bfb4-d61f710ec7f8%7Cf2771843-6636-4969-9010-2d8d0389b89c" TargetMode="External"/><Relationship Id="rId1752" Type="http://schemas.openxmlformats.org/officeDocument/2006/relationships/hyperlink" Target="https://resources.simonelectric.com/simon-catalogo-vehiculo-electrico?utm_campaign=SIC%20-%20Veh%C3%ADculo%20El%C3%A9ctrico&amp;utm_medium=email&amp;_hsenc=p2ANqtz-_zBvxJk55VgdNxrP22nu8Tb1EN1l02G4BgnLdRDFvtxj8_2TipF0POpxOqS5xCBeuUJAS-&amp;_hsmi=87085363&amp;utm_content=87085363&amp;utm_source=hs_email&amp;hsCtaTracking=6fedf137-fd90-4f17-bfb4-d61f710ec7f8%7Cf2771843-6636-4969-9010-2d8d0389b89c" TargetMode="External"/><Relationship Id="rId1753" Type="http://schemas.openxmlformats.org/officeDocument/2006/relationships/hyperlink" Target="https://resources.simonelectric.com/simon-catalogo-vehiculo-electrico?utm_campaign=SIC%20-%20Veh%C3%ADculo%20El%C3%A9ctrico&amp;utm_medium=email&amp;_hsenc=p2ANqtz--8ViID-nIhM2YzJwEV-qhpP-3i7jDaONkm69ZE5QgXBLm1PW3EUjgZxXcTdX34Kk-fAwXN&amp;_hsmi=87085302&amp;utm_content=87085302&amp;utm_source=hs_email&amp;hsCtaTracking=6fedf137-fd90-4f17-bfb4-d61f710ec7f8%7Cf2771843-6636-4969-9010-2d8d0389b89c" TargetMode="External"/><Relationship Id="rId1754" Type="http://schemas.openxmlformats.org/officeDocument/2006/relationships/hyperlink" Target="https://resources.simonelectric.com/simon-catalogo-vehiculo-electrico?utm_campaign=SIC%20-%20Veh%C3%ADculo%20El%C3%A9ctrico&amp;utm_medium=email&amp;_hsmi=87085302&amp;_hsenc=p2ANqtz-8tFwYsMg5NJt7FQFnQT05z8dr4-sY2pfu3cI9kSXi6f5zEAq-byKGLVRW7TUSMTmNdC0uW&amp;utm_content=87085302&amp;utm_source=hs_email" TargetMode="External"/><Relationship Id="rId1755" Type="http://schemas.openxmlformats.org/officeDocument/2006/relationships/hyperlink" Target="https://resources.simonelectric.com/simon-catalogo-vehiculo-electrico?utm_campaign=SIC%20-%20Veh%C3%ADculo%20El%C3%A9ctrico&amp;utm_medium=email&amp;_hsenc=p2ANqtz-_Qx4jybX6G6g9MrvZnC_gavAPO6GiMFFSaYEx1aXiNJ4ph_dTDEAUcKydpLdf9b30mMYeA&amp;_hsmi=87085302&amp;utm_content=87085302&amp;utm_source=hs_email&amp;hsCtaTracking=6fedf137-fd90-4f17-bfb4-d61f710ec7f8%7Cf2771843-6636-4969-9010-2d8d0389b89c" TargetMode="External"/><Relationship Id="rId1756" Type="http://schemas.openxmlformats.org/officeDocument/2006/relationships/hyperlink" Target="https://resources.simonelectric.com/simon-catalogo-vehiculo-electrico?utm_campaign=SIC%20-%20Veh%C3%ADculo%20El%C3%A9ctrico&amp;utm_medium=email&amp;_hsenc=p2ANqtz-9dSlTixD3lC5Ya0A-Djlq4SIJTqB4N8Sx67_wGbqjMuNpGMiQ1vPt58xg72NOUPgGserU8&amp;_hsmi=87085302&amp;utm_content=87085302&amp;utm_source=hs_email&amp;hsCtaTracking=6fedf137-fd90-4f17-bfb4-d61f710ec7f8%7Cf2771843-6636-4969-9010-2d8d0389b89c" TargetMode="External"/><Relationship Id="rId1757" Type="http://schemas.openxmlformats.org/officeDocument/2006/relationships/hyperlink" Target="https://resources.simonelectric.com/simon-catalogo-vehiculo-electrico?utm_campaign=SIC%20-%20Veh%C3%ADculo%20El%C3%A9ctrico&amp;utm_medium=email&amp;_hsenc=p2ANqtz-_kUoOAJJUpxwdx-nTOBxsXFS6ZzQznaxtDaDMnQhak0QbK9l9TXi_dipbG9RrAy2hkCsLf&amp;_hsmi=87085363&amp;utm_content=87085363&amp;utm_source=hs_email&amp;hsCtaTracking=6fedf137-fd90-4f17-bfb4-d61f710ec7f8%7Cf2771843-6636-4969-9010-2d8d0389b89c" TargetMode="External"/><Relationship Id="rId1758" Type="http://schemas.openxmlformats.org/officeDocument/2006/relationships/hyperlink" Target="https://resources.simonelectric.com/simon-catalogo-vehiculo-electrico?utm_campaign=SIC%20-%20Veh%C3%ADculo%20El%C3%A9ctrico&amp;utm_medium=email&amp;_hsenc=p2ANqtz-8f_spYzWu_boLfe3B8_VJx8z7jXD77yMC7gJ0IphB76dcTBxFRT6G6HAoMp-I8OAXrX86e&amp;_hsmi=87085363&amp;utm_content=87085363&amp;utm_source=hs_email&amp;hsCtaTracking=6fedf137-fd90-4f17-bfb4-d61f710ec7f8%7Cf2771843-6636-4969-9010-2d8d0389b89c" TargetMode="External"/><Relationship Id="rId1759" Type="http://schemas.openxmlformats.org/officeDocument/2006/relationships/hyperlink" Target="https://resources.simonelectric.com/simon-catalogo-vehiculo-electrico?utm_campaign=SIC%20-%20Veh%C3%ADculo%20El%C3%A9ctrico&amp;utm_medium=email&amp;_hsmi=87085302&amp;_hsenc=p2ANqtz-9qVyT6696r-xFJ02UXIVFnJYq-Dm3Vp16rqHarjtEQHdlrVYtWADo7OPGXMsoQPY-gLYFf&amp;utm_content=87085302&amp;utm_source=hs_email" TargetMode="External"/><Relationship Id="rId1750" Type="http://schemas.openxmlformats.org/officeDocument/2006/relationships/hyperlink" Target="https://resources.simonelectric.com/simon-catalogo-vehiculo-electrico?utm_campaign=SIC%20-%20Veh%C3%ADculo%20El%C3%A9ctrico&amp;utm_medium=email&amp;_hsenc=p2ANqtz-94-dwD6i6_xSjE0X3HtgfpFQFw01AUUJmM3VpHzuZqisHzLs9NCako56tlnHrMgegvVkWs&amp;_hsmi=87085363&amp;utm_content=87085363&amp;utm_source=hs_email&amp;hsCtaTracking=6fedf137-fd90-4f17-bfb4-d61f710ec7f8%7Cf2771843-6636-4969-9010-2d8d0389b89c" TargetMode="External"/><Relationship Id="rId1751" Type="http://schemas.openxmlformats.org/officeDocument/2006/relationships/hyperlink" Target="https://resources.simonelectric.com/simon-catalogo-vehiculo-electrico?utm_campaign=SIC%20-%20Veh%C3%ADculo%20El%C3%A9ctrico&amp;utm_medium=email&amp;_hsenc=p2ANqtz-_2vCIeQATbKGIS0ftYoq3R3H2clJP2xkcPLKVJRFtYcVTega-EdJEoqTsyhBloiBTGrZZf&amp;_hsmi=87085363&amp;utm_content=87085363&amp;utm_source=hs_email&amp;hsCtaTracking=6fedf137-fd90-4f17-bfb4-d61f710ec7f8%7Cf2771843-6636-4969-9010-2d8d0389b89c" TargetMode="External"/><Relationship Id="rId1741" Type="http://schemas.openxmlformats.org/officeDocument/2006/relationships/hyperlink" Target="https://resources.simonelectric.com/simon-catalogo-vehiculo-electrico?utm_campaign=SIC%20-%20Veh%C3%ADculo%20El%C3%A9ctrico&amp;utm_medium=email&amp;_hsenc=p2ANqtz--RWayPZMyqnu6NxEzvT3ooVJlW6h_eam047odBYnYEMYDcjkLX7Lxx_btKxdE9g6K2ACzZ&amp;_hsmi=87085363&amp;utm_content=87085363&amp;utm_source=hs_email&amp;hsCtaTracking=6fedf137-fd90-4f17-bfb4-d61f710ec7f8%7Cf2771843-6636-4969-9010-2d8d0389b89c" TargetMode="External"/><Relationship Id="rId1742" Type="http://schemas.openxmlformats.org/officeDocument/2006/relationships/hyperlink" Target="https://resources.simonelectric.com/simon-catalogo-vehiculo-electrico?utm_campaign=SIC%20-%20Veh%C3%ADculo%20El%C3%A9ctrico&amp;utm_medium=email&amp;_hsenc=p2ANqtz--tx_BKORWrRipFcGob8VK-LGSR0Ol2wupWBBYFH5uHGbodIpYf0PTmpTakRYYsPJluu1Du&amp;_hsmi=87085363&amp;utm_content=87085363&amp;utm_source=hs_email&amp;hsCtaTracking=6fedf137-fd90-4f17-bfb4-d61f710ec7f8%7Cf2771843-6636-4969-9010-2d8d0389b89c" TargetMode="External"/><Relationship Id="rId1743" Type="http://schemas.openxmlformats.org/officeDocument/2006/relationships/hyperlink" Target="https://resources.simonelectric.com/simon-catalogo-vehiculo-electrico?utm_campaign=SIC%20-%20Veh%C3%ADculo%20El%C3%A9ctrico&amp;utm_medium=email&amp;_hsenc=p2ANqtz-_KpZBWTYsyBbPNxCcdiAXF-yijjPxM430d88blc3OG2S-Mt__-tN_MGI7r1fekM_9lvr_H&amp;_hsmi=87085363&amp;utm_content=87085363&amp;utm_source=hs_email&amp;hsCtaTracking=6fedf137-fd90-4f17-bfb4-d61f710ec7f8%7Cf2771843-6636-4969-9010-2d8d0389b89c" TargetMode="External"/><Relationship Id="rId1744" Type="http://schemas.openxmlformats.org/officeDocument/2006/relationships/hyperlink" Target="https://resources.simonelectric.com/simon-catalogo-vehiculo-electrico?utm_campaign=SIC%20-%20Veh%C3%ADculo%20El%C3%A9ctrico&amp;utm_medium=email&amp;_hsenc=p2ANqtz-_XoFgMqV6H3xdUhohY3MMKEincTOAxYm9k6J4zqGCdPjzldDVp7KER0Iq5dDA11cWqB60E&amp;_hsmi=87085363&amp;utm_content=87085363&amp;utm_source=hs_email&amp;hsCtaTracking=6fedf137-fd90-4f17-bfb4-d61f710ec7f8%7Cf2771843-6636-4969-9010-2d8d0389b89c" TargetMode="External"/><Relationship Id="rId1745" Type="http://schemas.openxmlformats.org/officeDocument/2006/relationships/hyperlink" Target="https://resources.simonelectric.com/simon-catalogo-vehiculo-electrico?utm_campaign=SIC%20-%20Veh%C3%ADculo%20El%C3%A9ctrico&amp;utm_medium=email&amp;_hsenc=p2ANqtz-9Z-mW821kRnMnnyFcQUlHc_0WwFFPrnJuhikIp9bAvqG7lZNSZLq11y5xlIpdJYlgQ8pV3&amp;_hsmi=87085363&amp;utm_content=87085363&amp;utm_source=hs_email&amp;hsCtaTracking=6fedf137-fd90-4f17-bfb4-d61f710ec7f8%7Cf2771843-6636-4969-9010-2d8d0389b89c" TargetMode="External"/><Relationship Id="rId1746" Type="http://schemas.openxmlformats.org/officeDocument/2006/relationships/hyperlink" Target="https://resources.simonelectric.com/simon-catalogo-vehiculo-electrico?utm_campaign=SIC%20-%20Veh%C3%ADculo%20El%C3%A9ctrico&amp;utm_medium=email&amp;_hsenc=p2ANqtz-9afrI2B3FKWzJ-9mGw9eLPtmc62m627hcdbuyoyl3PE5ieJk-r4gJJzYDtxhZ1NMBMH7fv&amp;_hsmi=87085302&amp;utm_content=87085302&amp;utm_source=hs_email&amp;hsCtaTracking=6fedf137-fd90-4f17-bfb4-d61f710ec7f8%7Cf2771843-6636-4969-9010-2d8d0389b89c" TargetMode="External"/><Relationship Id="rId1747" Type="http://schemas.openxmlformats.org/officeDocument/2006/relationships/hyperlink" Target="https://resources.simonelectric.com/simon-catalogo-vehiculo-electrico?utm_campaign=SIC%20-%20Veh%C3%ADculo%20El%C3%A9ctrico&amp;utm_medium=email&amp;_hsenc=p2ANqtz-_aKMu8Ke4NDjoNChF3riORWOlNXmo8qqtE-OXWFzQFZ_xBsf8PngB8aaLZ_UGLryjhcDFM&amp;_hsmi=87085363&amp;utm_content=87085363&amp;utm_source=hs_email&amp;hsCtaTracking=6fedf137-fd90-4f17-bfb4-d61f710ec7f8%7Cf2771843-6636-4969-9010-2d8d0389b89c" TargetMode="External"/><Relationship Id="rId1748" Type="http://schemas.openxmlformats.org/officeDocument/2006/relationships/hyperlink" Target="https://resources.simonelectric.com/simon-catalogo-vehiculo-electrico?utm_campaign=SIC%20-%20Veh%C3%ADculo%20El%C3%A9ctrico&amp;utm_medium=email&amp;_hsenc=p2ANqtz-_jWquQCIDvZbtMJAnn0SCYxg2g_aJ3Wl21nMOdA2urx1s9l8jTwxohYlyPv9z0NBbqZqVk&amp;_hsmi=87085302&amp;utm_content=87085302&amp;utm_source=hs_email&amp;hsCtaTracking=6fedf137-fd90-4f17-bfb4-d61f710ec7f8%7Cf2771843-6636-4969-9010-2d8d0389b89c" TargetMode="External"/><Relationship Id="rId1749" Type="http://schemas.openxmlformats.org/officeDocument/2006/relationships/hyperlink" Target="https://resources.simonelectric.com/simon-catalogo-vehiculo-electrico?utm_campaign=SIC%20-%20Veh%C3%ADculo%20El%C3%A9ctrico&amp;utm_medium=email&amp;_hsenc=p2ANqtz-86YjRfGwPzmOCHdpeC4jIJob8zMOSoBJqwhybGuSDnXhvVAXiA-FDy79tXSF1nhMpAkCly&amp;_hsmi=87085363&amp;utm_content=87085363&amp;utm_source=hs_email&amp;hsCtaTracking=6fedf137-fd90-4f17-bfb4-d61f710ec7f8%7Cf2771843-6636-4969-9010-2d8d0389b89c" TargetMode="External"/><Relationship Id="rId1740" Type="http://schemas.openxmlformats.org/officeDocument/2006/relationships/hyperlink" Target="https://resources.simonelectric.com/simon-catalogo-vehiculo-electrico?utm_campaign=SIC%20-%20Veh%C3%ADculo%20El%C3%A9ctrico&amp;utm_medium=email&amp;_hsmi=87085363&amp;_hsenc=p2ANqtz--VgaYYeTkdaevKCeKFBJO61wL9ZEhrj7whPxfnTQDk58WLAACxmlLw_WdSL3xQPiyHggPV&amp;utm_content=87085363&amp;utm_source=hs_email" TargetMode="External"/><Relationship Id="rId1710" Type="http://schemas.openxmlformats.org/officeDocument/2006/relationships/hyperlink" Target="https://resources.simonelectric.com/simon-catalogo-vehiculo-electrico?utm_campaign=SIC%20-%20Veh%C3%ADculo%20El%C3%A9ctrico&amp;utm_medium=email&amp;_hsenc=p2ANqtz-_G08XKPwtd6Tpi4D6jZvdRSwlcapkz5xpIG4hpDIazan9l9gzbHehBKosLapifxEHJiMRu&amp;_hsmi=87085363&amp;utm_content=87085363&amp;utm_source=hs_email&amp;hsCtaTracking=6fedf137-fd90-4f17-bfb4-d61f710ec7f8%7Cf2771843-6636-4969-9010-2d8d0389b89c" TargetMode="External"/><Relationship Id="rId1711" Type="http://schemas.openxmlformats.org/officeDocument/2006/relationships/hyperlink" Target="https://resources.simonelectric.com/simon-catalogo-vehiculo-electrico?utm_campaign=SIC%20-%20Veh%C3%ADculo%20El%C3%A9ctrico&amp;utm_medium=email&amp;_hsenc=p2ANqtz--tQiqghyL6byTjQPscY1nmA4vqdWMlYffDZeFBuBy9fOkSAaL5a30rLfzl-3otDDeeYWAK&amp;_hsmi=87085363&amp;utm_content=87085363&amp;utm_source=hs_email&amp;hsCtaTracking=6fedf137-fd90-4f17-bfb4-d61f710ec7f8%7Cf2771843-6636-4969-9010-2d8d0389b89c" TargetMode="External"/><Relationship Id="rId1712" Type="http://schemas.openxmlformats.org/officeDocument/2006/relationships/hyperlink" Target="https://resources.simonelectric.com/simon-catalogo-vehiculo-electrico?utm_campaign=SIC%20-%20Veh%C3%ADculo%20El%C3%A9ctrico&amp;utm_medium=email&amp;_hsenc=p2ANqtz-_tqJaqM10aYqpBuSO6J7O8VaaafrOceRBik6tU8wFOyxnorlnkzZlVi3dJYt9UpPae2kdX7DV2Qa3Jth4gLjkMOH0tmRAIbjGEHxMFxwaMJWVh8XM&amp;utm_source=hs_email&amp;utm_content=87085363&amp;hsCtaTracking=6fedf137-fd90-4f17-bfb4-d61f710ec7f8%7Cf2771843-6636-4969-9010-2d8d0389b89c" TargetMode="External"/><Relationship Id="rId1713" Type="http://schemas.openxmlformats.org/officeDocument/2006/relationships/hyperlink" Target="https://resources.simonelectric.com/simon-catalogo-vehiculo-electrico?utm_campaign=SIC%20-%20Veh%C3%ADculo%20El%C3%A9ctrico&amp;utm_medium=email&amp;_hsenc=p2ANqtz--thh2PwOc9m6l0TDRT0jxGpb4gMo5lZb3YkzXjP9FK7X9ls1jWCxKeH0sW8-2Lr-u5zA7M&amp;_hsmi=87085302&amp;utm_content=87085302&amp;utm_source=hs_email&amp;hsCtaTracking=6fedf137-fd90-4f17-bfb4-d61f710ec7f8%7Cf2771843-6636-4969-9010-2d8d0389b89c" TargetMode="External"/><Relationship Id="rId1714" Type="http://schemas.openxmlformats.org/officeDocument/2006/relationships/hyperlink" Target="https://resources.simonelectric.com/simon-catalogo-vehiculo-electrico?utm_campaign=SIC%20-%20Veh%C3%ADculo%20El%C3%A9ctrico&amp;utm_medium=email&amp;_hsenc=p2ANqtz--kF0JyL0p77uDeVo94NAZNYiZrNITPZF__-aOSUWvjEVFAI4D0O3uwFbq5uVMW5J-GESmm&amp;_hsmi=87085363&amp;utm_content=87085363&amp;utm_source=hs_email&amp;hsCtaTracking=6fedf137-fd90-4f17-bfb4-d61f710ec7f8%7Cf2771843-6636-4969-9010-2d8d0389b89c" TargetMode="External"/><Relationship Id="rId1715" Type="http://schemas.openxmlformats.org/officeDocument/2006/relationships/hyperlink" Target="https://resources.simonelectric.com/simon-catalogo-vehiculo-electrico?utm_campaign=SIC%20-%20Veh%C3%ADculo%20El%C3%A9ctrico&amp;utm_medium=email&amp;_hsenc=p2ANqtz-8kxcVAGolHJykOZZ1HfDerq7rlG2EhlwEunEaoggCyyFmSgkZaVlbiinRQfJcO-ALuio54&amp;_hsmi=87085363&amp;utm_content=87085363&amp;utm_source=hs_email&amp;hsCtaTracking=6fedf137-fd90-4f17-bfb4-d61f710ec7f8%7Cf2771843-6636-4969-9010-2d8d0389b89c" TargetMode="External"/><Relationship Id="rId1716" Type="http://schemas.openxmlformats.org/officeDocument/2006/relationships/hyperlink" Target="https://resources.simonelectric.com/simon-catalogo-vehiculo-electrico?utm_campaign=SIC%20-%20Veh%C3%ADculo%20El%C3%A9ctrico&amp;utm_medium=email&amp;_hsenc=p2ANqtz-_SsN0RRx_jUSOP--NOQWOayCoSFzHH3VygAHzNgESxVS0j33xAmiKcvgJFqKua8KwMtKgc&amp;_hsmi=87085363&amp;utm_content=87085363&amp;utm_source=hs_email&amp;hsCtaTracking=6fedf137-fd90-4f17-bfb4-d61f710ec7f8%7Cf2771843-6636-4969-9010-2d8d0389b89c" TargetMode="External"/><Relationship Id="rId1717" Type="http://schemas.openxmlformats.org/officeDocument/2006/relationships/hyperlink" Target="https://resources.simonelectric.com/simon-catalogo-vehiculo-electrico?utm_campaign=SIC%20-%20Veh%C3%ADculo%20El%C3%A9ctrico&amp;utm_medium=email&amp;_hsenc=p2ANqtz-_cfOr-76n9m-BVBWvCSbBwtCC_5-uaboYa_lV_S4CGIHOoI-G136E24wuyzWbMGqd96C3l&amp;_hsmi=87085363&amp;utm_content=87085363&amp;utm_source=hs_email&amp;hsCtaTracking=6fedf137-fd90-4f17-bfb4-d61f710ec7f8%7Cf2771843-6636-4969-9010-2d8d0389b89c" TargetMode="External"/><Relationship Id="rId1718" Type="http://schemas.openxmlformats.org/officeDocument/2006/relationships/hyperlink" Target="https://resources.simonelectric.com/simon-catalogo-vehiculo-electrico?utm_campaign=SIC%20-%20Veh%C3%ADculo%20El%C3%A9ctrico&amp;utm_medium=email&amp;_hsenc=p2ANqtz--8hNR__HV8cPe_ar2ZY7wGRw7XBvOB0mvfbZSpB03pdi5lbZ2y5QJ4dYAiBgIZbGA63zKO&amp;_hsmi=87085302&amp;utm_content=87085302&amp;utm_source=hs_email&amp;hsCtaTracking=6fedf137-fd90-4f17-bfb4-d61f710ec7f8%7Cf2771843-6636-4969-9010-2d8d0389b89c" TargetMode="External"/><Relationship Id="rId1719" Type="http://schemas.openxmlformats.org/officeDocument/2006/relationships/hyperlink" Target="https://resources.simonelectric.com/simon-catalogo-vehiculo-electrico?utm_campaign=SIC%20-%20Veh%C3%ADculo%20El%C3%A9ctrico&amp;utm_medium=email&amp;_hsenc=p2ANqtz--9dKwjtq5S_9payB6JDaBxY1vpl4F-X91El99DiM_T5o9ER9Ie6nKFYdxqOB_14rIoca57&amp;_hsmi=87085363&amp;utm_content=87085363&amp;utm_source=hs_email&amp;hsCtaTracking=6fedf137-fd90-4f17-bfb4-d61f710ec7f8%7Cf2771843-6636-4969-9010-2d8d0389b89c" TargetMode="External"/><Relationship Id="rId1700" Type="http://schemas.openxmlformats.org/officeDocument/2006/relationships/hyperlink" Target="https://resources.simonelectric.com/simon-catalogo-vehiculo-electrico?utm_campaign=SIC%20-%20Veh%C3%ADculo%20El%C3%A9ctrico&amp;utm_medium=email&amp;_hsenc=p2ANqtz-9SxLCMihaCFhH9L0DNtSwQShcwf7OecDEOYwklDeBupvuTIA8Po0mMNCqQtZNFOPhrtwTv&amp;_hsmi=87085302&amp;utm_content=87085302&amp;utm_source=hs_email&amp;hsCtaTracking=6fedf137-fd90-4f17-bfb4-d61f710ec7f8%7Cf2771843-6636-4969-9010-2d8d0389b89c" TargetMode="External"/><Relationship Id="rId1701" Type="http://schemas.openxmlformats.org/officeDocument/2006/relationships/hyperlink" Target="https://resources.simonelectric.com/simon-catalogo-vehiculo-electrico?utm_campaign=SIC%20-%20Veh%C3%ADculo%20El%C3%A9ctrico&amp;utm_medium=email&amp;_hsenc=p2ANqtz-9DWfvkx0G_5Ofr9_168V8U7bLMh7RILYIAbuqEvgvrH15OOmql-3OWAH4jlIDh4vt1z6WD&amp;_hsmi=87085363&amp;utm_content=87085363&amp;utm_source=hs_email&amp;hsCtaTracking=6fedf137-fd90-4f17-bfb4-d61f710ec7f8%7Cf2771843-6636-4969-9010-2d8d0389b89c" TargetMode="External"/><Relationship Id="rId1702" Type="http://schemas.openxmlformats.org/officeDocument/2006/relationships/hyperlink" Target="https://resources.simonelectric.com/simon-catalogo-vehiculo-electrico?utm_campaign=SIC%20-%20Veh%C3%ADculo%20El%C3%A9ctrico&amp;utm_medium=email&amp;_hsenc=p2ANqtz--uiOPnfA5fq5NhZxudf3HZLf2hCxIwyQTcujhi7Ouq_momZc3KEfpPNChLk_V9B4eykqU6&amp;_hsmi=87085363&amp;utm_content=87085363&amp;utm_source=hs_email&amp;hsCtaTracking=6fedf137-fd90-4f17-bfb4-d61f710ec7f8%7Cf2771843-6636-4969-9010-2d8d0389b89c" TargetMode="External"/><Relationship Id="rId1703" Type="http://schemas.openxmlformats.org/officeDocument/2006/relationships/hyperlink" Target="https://resources.simonelectric.com/simon-catalogo-vehiculo-electrico?utm_campaign=SIC%20-%20Veh%C3%ADculo%20El%C3%A9ctrico&amp;utm_medium=email&amp;_hsenc=p2ANqtz--MtVidlBqfQf9QqeCjftCdAOPgu5LoqvHLyUyrtDNgOSf_dNOHDCNAzs7onkZVwICttfBX&amp;_hsmi=87085363&amp;utm_content=87085363&amp;utm_source=hs_email&amp;hsCtaTracking=6fedf137-fd90-4f17-bfb4-d61f710ec7f8%7Cf2771843-6636-4969-9010-2d8d0389b89c" TargetMode="External"/><Relationship Id="rId1704" Type="http://schemas.openxmlformats.org/officeDocument/2006/relationships/hyperlink" Target="https://resources.simonelectric.com/simon-catalogo-vehiculo-electrico?utm_campaign=SIC%20-%20Veh%C3%ADculo%20El%C3%A9ctrico&amp;utm_medium=email&amp;_hsenc=p2ANqtz-9eTYC-uA8zQaexPBfkPqr-GfA0qFKb794IPl0ECTvMruV2b5p8VJy6Z3WmnRGNknTrDlHk&amp;_hsmi=87085363&amp;utm_content=87085363&amp;utm_source=hs_email&amp;hsCtaTracking=6fedf137-fd90-4f17-bfb4-d61f710ec7f8%7Cf2771843-6636-4969-9010-2d8d0389b89c" TargetMode="External"/><Relationship Id="rId1705" Type="http://schemas.openxmlformats.org/officeDocument/2006/relationships/hyperlink" Target="https://resources.simonelectric.com/simon-catalogo-vehiculo-electrico?utm_campaign=SIC%20-%20Veh%C3%ADculo%20El%C3%A9ctrico&amp;utm_medium=email&amp;_hsenc=p2ANqtz-_YnKxi2nUQ2v14WbrLOhDZMvcDELpDFy6iaHhLQd820r4oGpptShwxYCuaYp6vBCwgFWAy&amp;_hsmi=87085363&amp;utm_content=87085363&amp;utm_source=hs_email&amp;hsCtaTracking=6fedf137-fd90-4f17-bfb4-d61f710ec7f8%7Cf2771843-6636-4969-9010-2d8d0389b89c" TargetMode="External"/><Relationship Id="rId1706" Type="http://schemas.openxmlformats.org/officeDocument/2006/relationships/hyperlink" Target="https://resources.simonelectric.com/simon-catalogo-vehiculo-electrico?utm_campaign=SIC%20-%20Veh%C3%ADculo%20El%C3%A9ctrico&amp;utm_medium=email&amp;_hsenc=p2ANqtz--ShPUU092qMbcJBJw7W0sQZANGGfKLuSlBqpAL4nII_CfLGtQ2ehcrKxVwSHzjGioA7Syi&amp;_hsmi=87085363&amp;utm_content=87085363&amp;utm_source=hs_email&amp;hsCtaTracking=6fedf137-fd90-4f17-bfb4-d61f710ec7f8%7Cf2771843-6636-4969-9010-2d8d0389b89c" TargetMode="External"/><Relationship Id="rId1707" Type="http://schemas.openxmlformats.org/officeDocument/2006/relationships/hyperlink" Target="https://resources.simonelectric.com/simon-catalogo-vehiculo-electrico?utm_campaign=SIC%20-%20Veh%C3%ADculo%20El%C3%A9ctrico&amp;utm_medium=email&amp;_hsenc=p2ANqtz-_BIDpI12gMSkroU770wuw2OpCZfdrpPMO_W9skJgZmPkK4S8txk_Y4e0eoJ2Wc2uwki1Tj&amp;_hsmi=87085302&amp;utm_content=87085302&amp;utm_source=hs_email&amp;hsCtaTracking=6fedf137-fd90-4f17-bfb4-d61f710ec7f8%7Cf2771843-6636-4969-9010-2d8d0389b89c" TargetMode="External"/><Relationship Id="rId1708" Type="http://schemas.openxmlformats.org/officeDocument/2006/relationships/hyperlink" Target="https://resources.simonelectric.com/simon-catalogo-vehiculo-electrico?utm_campaign=SIC%20-%20Veh%C3%ADculo%20El%C3%A9ctrico&amp;utm_medium=email&amp;_hsmi=87085302&amp;_hsenc=p2ANqtz-8IY17RtTrHYAwSzj2XoLLKqLyXxzGNFNTAJmX_3TiXnxtnunvVXmzNh_XTaE_fQ4pzVBdQ&amp;utm_content=87085302&amp;utm_source=hs_email" TargetMode="External"/><Relationship Id="rId1709" Type="http://schemas.openxmlformats.org/officeDocument/2006/relationships/hyperlink" Target="https://resources.simonelectric.com/simon-catalogo-vehiculo-electrico?utm_campaign=SIC%20-%20Veh%C3%ADculo%20El%C3%A9ctrico&amp;utm_medium=email&amp;_hsenc=p2ANqtz-8g-69cPLLPql_OcC6yWu6GRB3Ih07yeqO5FoVuOQ_avTLIrQRTHxk1jK7-mrf3H_hhCY8Q&amp;_hsmi=87085363&amp;utm_content=87085363&amp;utm_source=hs_email&amp;hsCtaTracking=6fedf137-fd90-4f17-bfb4-d61f710ec7f8%7Cf2771843-6636-4969-9010-2d8d0389b89c" TargetMode="External"/><Relationship Id="rId40" Type="http://schemas.openxmlformats.org/officeDocument/2006/relationships/hyperlink" Target="https://resources.simonelectric.com/simon-ebook-vehiculo-electrico?utm_campaign=SIC%20-%20Veh%C3%ADculo%20El%C3%A9ctrico&amp;utm_medium=email&amp;_hsenc=p2ANqtz--OJTWY_NuEBEccvItGVkG1_B4imYWN_lrY9APUCRyqqWx7dqeNxTOfmjxJIrYnWDSBS-6SF059i_xtq_0-qvW8F5paBg&amp;_hsmi=71033675&amp;utm_content=71033675&amp;utm_source=hs_automation&amp;hsCtaTracking=2e94ebfc-d414-4389-870c-d2f266a9420b%7C587ac4dc-a49a-4bdc-b449-e36f5d95395b" TargetMode="External"/><Relationship Id="rId351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51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2" Type="http://schemas.openxmlformats.org/officeDocument/2006/relationships/hyperlink" Target="https://resources.simonelectric.com/simon-ebook-vehiculo-electrico?utm_campaign=SIC%20-%20Veh%C3%ADculo%20El%C3%A9ctrico&amp;utm_medium=email&amp;_hsmi=71033675&amp;_hsenc=p2ANqtz-9L2MNnJYjBFTT8lRDL7RLGrei00VDJKfWoUXmg1i8CjrzUf5jX1NpMIYuejGXeOVLREVrZlAR1E8vtnsr4R8FUECGL9A&amp;utm_content=71033675&amp;utm_source=hs_automation" TargetMode="External"/><Relationship Id="rId351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1" Type="http://schemas.openxmlformats.org/officeDocument/2006/relationships/hyperlink" Target="https://resources.simonelectric.com/simon-catalogo-vehiculo-electrico?utm_campaign=SIC%20-%20Veh%C3%ADculo%20El%C3%A9ctrico&amp;utm_medium=email&amp;_hsmi=71034014&amp;_hsenc=p2ANqtz-_ZSHjRCrbQCSO6JWn88SrVFZhXdDBzB2XJpebnY2eLKLCQeIvzI9g5rV0x_uNorAAgW5rWfl6QID4n2rWvutzTC06r8g&amp;utm_content=71034014&amp;utm_source=hs_automation" TargetMode="External"/><Relationship Id="rId351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4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3517" Type="http://schemas.openxmlformats.org/officeDocument/2006/relationships/hyperlink" Target="https://resources.simonelectric.com/simon-ebook-vehiculo-electrico?utm_referrer=https%3A%2F%2Fwww.simonelectric.com%2Fblog%2Finstalacion-electrica-en-un-garaje-privado" TargetMode="External"/><Relationship Id="rId43" Type="http://schemas.openxmlformats.org/officeDocument/2006/relationships/hyperlink" Target="https://resources.simonelectric.com/simon-catalogo-vehiculo-electrico" TargetMode="External"/><Relationship Id="rId351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51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51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48" Type="http://schemas.openxmlformats.org/officeDocument/2006/relationships/hyperlink" Target="https://resources.simonelectric.com/simon-ebook-vehiculo-electrico?utm_campaign=SIC%20-%20Veh%C3%ADculo%20El%C3%A9ctrico&amp;utm_medium=email&amp;_hsmi=71033675&amp;_hsenc=p2ANqtz--irBI0_txJqmavqXHTFqXyDmcWuMzuTbBg5mi1s1e1db5y3o-5TyZGEgigsNm08HDbBK9hcdzRyudPaMWhxwVlMIm8vg&amp;utm_content=71033675&amp;utm_source=hs_automation" TargetMode="External"/><Relationship Id="rId47" Type="http://schemas.openxmlformats.org/officeDocument/2006/relationships/hyperlink" Target="https://resources.simonelectric.com/simon-catalogo-vehiculo-electrico" TargetMode="External"/><Relationship Id="rId4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511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8hFtMfJWwyu1qyB0hOXfD3mg4S0SqM-Xu06ayhM-eRTFFCO3QBGgP1rXO3hxhzv_jVwigQhk9E_KN2GP0ckD12YKt0jg&amp;_hsmi=71034014" TargetMode="External"/><Relationship Id="rId351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50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50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1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95Xj1k6xNS1ScxF2vvIfW5ZMSihnGVcR0HhKDVVzqUBgOcf9Yh-lOrKRSiSKQ2ujvB10XYufWy6WeSUIdrzgA_b0jCSA&amp;utm_content=89784488&amp;utm_source=hs_email" TargetMode="External"/><Relationship Id="rId350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0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350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3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&amp;fbclid=IwAR1TQrIbcD2Ag5EkHe341RMzHf1eMcN6WJWw91h3L69GDRnfuhn4eU86JR8" TargetMode="External"/><Relationship Id="rId350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50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5" Type="http://schemas.openxmlformats.org/officeDocument/2006/relationships/hyperlink" Target="https://resources.simonelectric.com/simon-catalogo-vehiculo-electrico" TargetMode="External"/><Relationship Id="rId3508" Type="http://schemas.openxmlformats.org/officeDocument/2006/relationships/hyperlink" Target="https://resources.simonelectric.com/simon-ebook-vehiculo-electrico-0?gclid=EAIaIQobChMIlPKHv4v-5wIVASzgCh1n2wCHEAEYASAAEgJ25vD_BwE" TargetMode="External"/><Relationship Id="rId34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350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50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7" Type="http://schemas.openxmlformats.org/officeDocument/2006/relationships/hyperlink" Target="https://resources.simonelectric.com/simon-catalogo-vehiculo-electrico?utm_campaign=SIC%20-%20Veh%C3%ADculo%20El%C3%A9ctrico&amp;utm_medium=email&amp;_hsmi=71034014&amp;_hsenc=p2ANqtz--6ek7ooB22HYahQ7W1AMzycj4_csxqhUfaswd4JbbH3RfzeP6Y6MvqaW-RdG_TWjDY1xPzFsHS5dH6vys3AKX-JO_OgQ&amp;utm_content=71034014&amp;utm_source=hs_automation" TargetMode="External"/><Relationship Id="rId36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39" Type="http://schemas.openxmlformats.org/officeDocument/2006/relationships/hyperlink" Target="https://resources.simonelectric.com/simon-catalogo-vehiculo-electrico" TargetMode="External"/><Relationship Id="rId38" Type="http://schemas.openxmlformats.org/officeDocument/2006/relationships/hyperlink" Target="https://resources.simonelectric.com/simon-catalogo-vehiculo-electrico?utm_campaign=SIC%20-%20Veh%C3%ADculo%20El%C3%A9ctrico&amp;utm_medium=email&amp;_hsmi=71034014&amp;_hsenc=p2ANqtz-9p8pGJB0jJq4snR0xOtTwNiakgVcYgVTQfmFAieOB-_Bo4y4UVFd6u0tox1l0I2qn0oqI3PZT5KVulzNtvQGYTuCKbtw&amp;utm_content=71034014&amp;utm_source=hs_automation" TargetMode="External"/><Relationship Id="rId3500" Type="http://schemas.openxmlformats.org/officeDocument/2006/relationships/hyperlink" Target="https://resources.simonelectric.com/simon-ebook-vehiculo-electrico?utm_referrer=https%3A%2F%2Fwww.simonelectric.com%2Fblog%2Fvehiculo-electrico-todo-lo-que-tienes-que-saber-de-movilidad-sostenible%3Futm_campaign%3DSIC%2520-%2520Blog%2520digest%26utm_source%3Dhs_email%26utm_medium%3Demail%26utm_content%3D84126495%26_hsenc%3Dp2ANqtz-_avtcUYqtha9Ir4WdYTsxr7WeBzTmP-JEnzLGz8o0hhmgwi6r9vtPha6OhCrJ6IVOjNtlojIcrChWf1EZlmAcgvVQ83w%26_hsmi%3D84126495" TargetMode="External"/><Relationship Id="rId2203" Type="http://schemas.openxmlformats.org/officeDocument/2006/relationships/hyperlink" Target="https://resources.simonelectric.com/simon-catalogo-vehiculo-electrico?utm_campaign=SIC%20-%20Veh%C3%ADculo%20El%C3%A9ctrico&amp;utm_medium=email&amp;_hsmi=87085363&amp;_hsenc=p2ANqtz-_uyudv_hhV48mmBHF1ptM9LQXe7XnxixkqKp6TfssuweeV4UdVa-PZbHjF3IuPeEStzcEh&amp;utm_content=87085363&amp;utm_source=hs_email" TargetMode="External"/><Relationship Id="rId3535" Type="http://schemas.openxmlformats.org/officeDocument/2006/relationships/hyperlink" Target="https://resources.simonelectric.com/simon-ebook-vehiculo-electrico" TargetMode="External"/><Relationship Id="rId2204" Type="http://schemas.openxmlformats.org/officeDocument/2006/relationships/hyperlink" Target="https://resources.simonelectric.com/simon-catalogo-vehiculo-electrico?utm_campaign=SIC%20-%20Veh%C3%ADculo%20El%C3%A9ctrico&amp;utm_medium=email&amp;_hsenc=p2ANqtz--vwCLymClyEfOL4_IduddA5gh0cPlWDf7txmyLwT69SX_icehedJbB9XVx2PSOTRpg0V6o&amp;_hsmi=87085363&amp;utm_content=87085363&amp;utm_source=hs_email&amp;hsCtaTracking=6fedf137-fd90-4f17-bfb4-d61f710ec7f8%7Cf2771843-6636-4969-9010-2d8d0389b89c" TargetMode="External"/><Relationship Id="rId3534" Type="http://schemas.openxmlformats.org/officeDocument/2006/relationships/hyperlink" Target="https://resources.simonelectric.com/simon-catalogo-vehiculo-electrico?__hstc=83084745.1885a0e0ed39755e760d08c495919f86.1577968716218.1577968716218.1583170112371.2&amp;__hssc=83084745.5.1583170112371&amp;__hsfp=1540626750" TargetMode="External"/><Relationship Id="rId20" Type="http://schemas.openxmlformats.org/officeDocument/2006/relationships/hyperlink" Target="https://resources.simonelectric.com/simon-ebook-vehiculo-electrico?utm_campaign=SIC%20-%20Veh%C3%ADculo%20El%C3%A9ctrico&amp;utm_medium=email&amp;_hsenc=p2ANqtz-9eIdR8hu3baNEpRtmY8TLpKbvwb_FiPBGMi1fsAOuD0VZB8gr-ERJW7ujFTM6a5ULD53O8KbIRATEck1AZJCW7gnRC0L5h0Z9MIl4y5wv0Rn2omks&amp;_hsmi=71033675&amp;utm_content=71033675&amp;utm_source=hs_automation&amp;hsCtaTracking=2e94ebfc-d414-4389-870c-d2f266a9420b%7C587ac4dc-a49a-4bdc-b449-e36f5d95395b" TargetMode="External"/><Relationship Id="rId2205" Type="http://schemas.openxmlformats.org/officeDocument/2006/relationships/hyperlink" Target="https://resources.simonelectric.com/simon-catalogo-vehiculo-electrico?utm_campaign=SIC%20-%20Veh%C3%ADculo%20El%C3%A9ctrico&amp;utm_medium=email&amp;_hsenc=p2ANqtz-9BmuZE_yvGzMmsaoFYbp8mGrcQJAej8y9lTaAskoi-stJVc7888R5siw-n5F8FeNWggm5g&amp;_hsmi=87085363&amp;utm_content=87085363&amp;utm_source=hs_email&amp;hsCtaTracking=6fedf137-fd90-4f17-bfb4-d61f710ec7f8%7Cf2771843-6636-4969-9010-2d8d0389b89c" TargetMode="External"/><Relationship Id="rId353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206" Type="http://schemas.openxmlformats.org/officeDocument/2006/relationships/hyperlink" Target="https://resources.simonelectric.com/simon-catalogo-vehiculo-electrico?utm_campaign=SIC%20-%20Veh%C3%ADculo%20El%C3%A9ctrico&amp;utm_medium=email&amp;_hsenc=p2ANqtz-8GyzBfbgKqgVO3Qvxcd40pXV4GF_4l-gwhuRHRh1OBh4wgvXyVb0JIDYlVu9ERL2UftQTo&amp;_hsmi=87085363&amp;utm_content=87085363&amp;utm_source=hs_email&amp;hsCtaTracking=6fedf137-fd90-4f17-bfb4-d61f710ec7f8%7Cf2771843-6636-4969-9010-2d8d0389b89c" TargetMode="External"/><Relationship Id="rId353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2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%3Futm_campaign%3DSIC%2520-%2520Veh%25C3%25ADculo%2520El%25C3%25A9ctrico%26utm_medium%3Demail%26_hsmi%3D71033828%26_hsenc%3Dp2ANqtz-9Sk3wogZoI8KivDY1yxwMri30TLzKGuISvD-Ul4sKEPrblyitzeNymofbreGk2mqxGTxn0gSCXkSniE89COLKsD3EMIQ%26utm_content%3D71033828%26utm_source%3Dhs_automation" TargetMode="External"/><Relationship Id="rId2207" Type="http://schemas.openxmlformats.org/officeDocument/2006/relationships/hyperlink" Target="https://resources.simonelectric.com/simon-catalogo-vehiculo-electrico?utm_campaign=SIC%20-%20Veh%C3%ADculo%20El%C3%A9ctrico&amp;utm_medium=email&amp;_hsenc=p2ANqtz-8CIiOcxpYe0ePA69lArAX0dgHvJHPZbsu8npbrmeGHLOT4qO-1ShzB29XfVYzKdGFyTgUc&amp;_hsmi=87085363&amp;utm_content=87085363&amp;utm_source=hs_email&amp;hsCtaTracking=6fedf137-fd90-4f17-bfb4-d61f710ec7f8%7Cf2771843-6636-4969-9010-2d8d0389b89c" TargetMode="External"/><Relationship Id="rId353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1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2208" Type="http://schemas.openxmlformats.org/officeDocument/2006/relationships/hyperlink" Target="https://resources.simonelectric.com/simon-catalogo-vehiculo-electrico?utm_campaign=SIC%20-%20Veh%C3%ADculo%20El%C3%A9ctrico&amp;utm_medium=email&amp;_hsenc=p2ANqtz-9wjrxA5ErPxqW5GTOaLA9_KzQyGsf6NxElNZW1WkSoEcsBWToIhgjvsIZEDXBLIPWEh6pA&amp;_hsmi=87085363&amp;utm_content=87085363&amp;utm_source=hs_email&amp;hsCtaTracking=6fedf137-fd90-4f17-bfb4-d61f710ec7f8%7Cf2771843-6636-4969-9010-2d8d0389b89c" TargetMode="External"/><Relationship Id="rId3538" Type="http://schemas.openxmlformats.org/officeDocument/2006/relationships/hyperlink" Target="https://resources.simonelectric.com/simon-catalogo-vehiculo-electrico?__hstc=83084745.37431debbcba207c8e35f5ba4290a77f.1583085429146.1583085429146.1583085429146.1&amp;__hssc=83084745.5.1583085429149&amp;__hsfp=1387324904" TargetMode="External"/><Relationship Id="rId24" Type="http://schemas.openxmlformats.org/officeDocument/2006/relationships/hyperlink" Target="https://resources.simonelectric.com/simon-catalogo-vehiculo-electrico?utm_campaign=SIC%20-%20Veh%C3%ADculo%20El%C3%A9ctrico&amp;utm_medium=email&amp;_hsmi=71034014&amp;_hsenc=p2ANqtz--Ip2djDiZYpxNjVRvTgsRBAN-e4zkZaVWWEtzRkkNwIIxxIxe0X9IUnz1KAzixQtyV7EGZR_6xPQeddTsv5BNONFJloaNbeu7iSjzp9FC23B7RW6I&amp;utm_content=71034014&amp;utm_source=hs_automation" TargetMode="External"/><Relationship Id="rId2209" Type="http://schemas.openxmlformats.org/officeDocument/2006/relationships/hyperlink" Target="https://resources.simonelectric.com/simon-catalogo-vehiculo-electrico?utm_campaign=SIC%20-%20Veh%C3%ADculo%20El%C3%A9ctrico&amp;utm_medium=email&amp;_hsenc=p2ANqtz-_oLbyVb4Exq1G0YAgaV8J15Ns4XT_9RdGPpEkPcFKOJLn1TDVYumsz33zkc4ZbrtUc1IdW&amp;_hsmi=87085363&amp;utm_content=87085363&amp;utm_source=hs_email&amp;hsCtaTracking=6fedf137-fd90-4f17-bfb4-d61f710ec7f8%7Cf2771843-6636-4969-9010-2d8d0389b89c" TargetMode="External"/><Relationship Id="rId23" Type="http://schemas.openxmlformats.org/officeDocument/2006/relationships/hyperlink" Target="https://resources.simonelectric.com/simon-catalogo-vehiculo-electrico" TargetMode="External"/><Relationship Id="rId26" Type="http://schemas.openxmlformats.org/officeDocument/2006/relationships/hyperlink" Target="https://resources.simonelectric.com/simon-catalogo-vehiculo-electrico?utm_campaign=SIC%20-%20Veh%C3%ADculo%20El%C3%A9ctrico&amp;utm_medium=email&amp;_hsmi=71034014&amp;_hsenc=p2ANqtz-9A0fyzxG0cgil2y4TXWNM0NnxN5arDJUPnbLmPd__XlpPlYJD4zXBTEYwjgXLsE4jFaU8VY8W9lphvSHqN0ZN6S6zGGAEUXN9hbPJ2VwOUBQeTvx4&amp;utm_content=71034014&amp;utm_source=hs_automation" TargetMode="External"/><Relationship Id="rId25" Type="http://schemas.openxmlformats.org/officeDocument/2006/relationships/hyperlink" Target="https://resources.simonelectric.com/simon-catalogo-vehiculo-electrico" TargetMode="External"/><Relationship Id="rId28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27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3531" Type="http://schemas.openxmlformats.org/officeDocument/2006/relationships/hyperlink" Target="https://resources.simonelectric.com/simon-catalogo-vehiculo-electrico?__hstc=83084745.a6ca381680854fbb1075a8f851536cd8.1528789874610.1580745538989.1583175992436.12&amp;__hssc=83084745.3.1583175992436&amp;__hsfp=1183290012" TargetMode="External"/><Relationship Id="rId29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40156&amp;hsa_src=fb&amp;hsa_net=facebook&amp;hsa_ver=3" TargetMode="External"/><Relationship Id="rId2200" Type="http://schemas.openxmlformats.org/officeDocument/2006/relationships/hyperlink" Target="https://resources.simonelectric.com/simon-catalogo-vehiculo-electrico?utm_campaign=SIC%20-%20Veh%C3%ADculo%20El%C3%A9ctrico&amp;utm_medium=email&amp;_hsenc=p2ANqtz--xSyB0jqIDQiT82JIGU9cgd3HluVcEahUuXd4nhY3O7_5lbDWhh2-IqUrbyJLHe6n6ztH7&amp;_hsmi=87085363&amp;utm_content=87085363&amp;utm_source=hs_email&amp;hsCtaTracking=6fedf137-fd90-4f17-bfb4-d61f710ec7f8%7Cf2771843-6636-4969-9010-2d8d0389b89c" TargetMode="External"/><Relationship Id="rId3530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2201" Type="http://schemas.openxmlformats.org/officeDocument/2006/relationships/hyperlink" Target="https://resources.simonelectric.com/simon-catalogo-vehiculo-electrico?utm_campaign=SIC%20-%20Veh%C3%ADculo%20El%C3%A9ctrico&amp;utm_medium=email&amp;_hsenc=p2ANqtz-_jJDd65os88RXzCV6OLHlV_i1d_4PpTEHK0pJoQVHirKaBXzzKwy44tg1jirrwXH9UUmjc&amp;_hsmi=87085363&amp;utm_content=87085363&amp;utm_source=hs_email&amp;hsCtaTracking=6fedf137-fd90-4f17-bfb4-d61f710ec7f8%7Cf2771843-6636-4969-9010-2d8d0389b89c" TargetMode="External"/><Relationship Id="rId3533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2202" Type="http://schemas.openxmlformats.org/officeDocument/2006/relationships/hyperlink" Target="https://resources.simonelectric.com/simon-catalogo-vehiculo-electrico?utm_campaign=SIC%20-%20Veh%C3%ADculo%20El%C3%A9ctrico&amp;utm_medium=email&amp;_hsenc=p2ANqtz-9s5DBi01axz_H5xOh-iurFFlkms8ShlcEX5hCWurHfcBXJAh4AIjiyNcusS0AWZsqrjLRJ&amp;_hsmi=87085363&amp;utm_content=87085363&amp;utm_source=hs_email&amp;hsCtaTracking=6fedf137-fd90-4f17-bfb4-d61f710ec7f8%7Cf2771843-6636-4969-9010-2d8d0389b89c" TargetMode="External"/><Relationship Id="rId3532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52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52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52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52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" Type="http://schemas.openxmlformats.org/officeDocument/2006/relationships/hyperlink" Target="https://resources.simonelectric.com/simon-ebook-vehiculo-electrico?utm_campaign=SIC%20-%20Veh%C3%ADculo%20El%C3%A9ctrico&amp;utm_medium=email&amp;_hsenc=p2ANqtz-8BMxg715msSisa_DsXOS-V01MEpl7eC9gosoeDtzzNf8abhze_4DyC35EliSgtECOSkcGnNZRW4_pJv-uQDz3erhiKvw&amp;_hsmi=71033675&amp;utm_content=71033675&amp;utm_source=hs_automation&amp;hsCtaTracking=2e94ebfc-d414-4389-870c-d2f266a9420b%7C587ac4dc-a49a-4bdc-b449-e36f5d95395b" TargetMode="External"/><Relationship Id="rId3528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10" Type="http://schemas.openxmlformats.org/officeDocument/2006/relationships/hyperlink" Target="https://resources.simonelectric.com/simon-catalogo-vehiculo-electrico?utm_campaign=SIC%20-%20Veh%C3%ADculo%20El%C3%A9ctrico&amp;utm_medium=email&amp;_hsmi=71034014&amp;_hsenc=p2ANqtz-_LZyy61P_l7FLhR1jx25LrI8hekBRH1zpWqGCVA-AQxXOnwvYJlUlPQOLe3kUVruYsXl9GUXA1-NkDKpYcW74oN5vKlg&amp;utm_content=71034014&amp;utm_source=hs_automation" TargetMode="External"/><Relationship Id="rId352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2" Type="http://schemas.openxmlformats.org/officeDocument/2006/relationships/hyperlink" Target="https://resources.simonelectric.com/simon-catalogo-vehiculo-electrico" TargetMode="External"/><Relationship Id="rId3529" Type="http://schemas.openxmlformats.org/officeDocument/2006/relationships/hyperlink" Target="https://resources.simonelectric.com/simon-catalogo-vehiculo-electrico" TargetMode="External"/><Relationship Id="rId15" Type="http://schemas.openxmlformats.org/officeDocument/2006/relationships/hyperlink" Target="https://resources.simonelectric.com/simon-ebook-vehiculo-electrico" TargetMode="External"/><Relationship Id="rId14" Type="http://schemas.openxmlformats.org/officeDocument/2006/relationships/hyperlink" Target="https://resources.simonelectric.com/simon-catalogo-vehiculo-electrico?utm_campaign=SIC%20-%20Veh%C3%ADculo%20El%C3%A9ctrico&amp;utm_medium=email&amp;_hsenc=p2ANqtz-83cFyJ4dEgq4V4YLxyJpAN192wGBFHD-IQP25dWO_qdKnM_RoVROWjYHLIMO4-yxDZ-B8x&amp;_hsmi=87085302&amp;utm_content=87085302&amp;utm_source=hs_email&amp;hsCtaTracking=6fedf137-fd90-4f17-bfb4-d61f710ec7f8%7Cf2771843-6636-4969-9010-2d8d0389b89c" TargetMode="External"/><Relationship Id="rId1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9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medium%3Demail%26_hsmi%3D71033828%26_hsenc%3Dp2ANqtz--TpRQUBrape-aY5XZfDaHEyYarnga6b1N6aLJ2FLhmw6SFyp0xNWTeu8Cmzz-gjcD-d97AAv7KLe7G-6qUs8zoS0zytA%26utm_content%3D71033828%26utm_source%3Dhs_automation" TargetMode="External"/><Relationship Id="rId352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8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medium%3Demail%26_hsmi%3D71033828%26_hsenc%3Dp2ANqtz-8GEnvNcn5nT8E3wIXOAMdSaxn9oiK1Mk3OqKjAF4rj9sTMEHeDQvEXvIMHAkmP-_23_VEGSYn3LOn1hlA4IcP3ClIutg%26utm_content%3D71033828%26utm_source%3Dhs_automation" TargetMode="External"/><Relationship Id="rId352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52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84" Type="http://schemas.openxmlformats.org/officeDocument/2006/relationships/hyperlink" Target="https://resources.simonelectric.com/simon-catalogo-vehiculo-electrico?utm_campaign=SIC%20-%20Veh%C3%ADculo%20El%C3%A9ctrico&amp;utm_medium=email&amp;_hsmi=71034014&amp;_hsenc=p2ANqtz-9-RxDq-PaTTBBf_y03vEpaP_ks4tNwyCCApoZnbnp9Wm0bcIpuBcItSlbuh0USjWKhGUe9GfS9fBgMwRGXwFGlI8mdBWJQ6svju5-OH49ghnUZoTo&amp;utm_content=71034014&amp;utm_source=hs_automation" TargetMode="External"/><Relationship Id="rId1774" Type="http://schemas.openxmlformats.org/officeDocument/2006/relationships/hyperlink" Target="https://resources.simonelectric.com/simon-catalogo-vehiculo-electrico?utm_campaign=SIC%20-%20Veh%C3%ADculo%20El%C3%A9ctrico&amp;utm_medium=email&amp;_hsenc=p2ANqtz-8wsOxLVK9ub8U-zdUMY7iOo530BWHl1f-6ETWimYJhzxf2DOubpbmW3HDh_cZxjPD--2kg&amp;_hsmi=87085363&amp;utm_content=87085363&amp;utm_source=hs_email&amp;hsCtaTracking=6fedf137-fd90-4f17-bfb4-d61f710ec7f8%7Cf2771843-6636-4969-9010-2d8d0389b89c" TargetMode="External"/><Relationship Id="rId83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1775" Type="http://schemas.openxmlformats.org/officeDocument/2006/relationships/hyperlink" Target="https://resources.simonelectric.com/simon-catalogo-vehiculo-electrico?utm_campaign=SIC%20-%20Veh%C3%ADculo%20El%C3%A9ctrico&amp;utm_medium=email&amp;_hsenc=p2ANqtz-9FhTkRluh9QNJRjpfJlzpfT0Yp7IQmPekMewsAn2eD1lvXot9bmsvHY6A4KiLNNUBa5-Ad&amp;_hsmi=87085363&amp;utm_content=87085363&amp;utm_source=hs_email&amp;hsCtaTracking=6fedf137-fd90-4f17-bfb4-d61f710ec7f8%7Cf2771843-6636-4969-9010-2d8d0389b89c" TargetMode="External"/><Relationship Id="rId86" Type="http://schemas.openxmlformats.org/officeDocument/2006/relationships/hyperlink" Target="https://resources.simonelectric.com/simon-ebook-vehiculo-electrico?utm_campaign=SIC%20-%20Veh%C3%ADculo%20El%C3%A9ctrico&amp;utm_medium=email&amp;_hsenc=p2ANqtz-8YWYKokqS-qHXSkU6EbD-jN2FsQHAXX321ec3vzlW2q1gROCFRLkU5NWdq2amIPFCs_NgryZqV98ts3R8yZrLs_zm5lA&amp;_hsmi=71033675&amp;utm_content=71033675&amp;utm_source=hs_automation&amp;hsCtaTracking=2e94ebfc-d414-4389-870c-d2f266a9420b%7C587ac4dc-a49a-4bdc-b449-e36f5d95395b" TargetMode="External"/><Relationship Id="rId1776" Type="http://schemas.openxmlformats.org/officeDocument/2006/relationships/hyperlink" Target="https://resources.simonelectric.com/simon-catalogo-vehiculo-electrico?utm_campaign=SIC%20-%20Veh%C3%ADculo%20El%C3%A9ctrico&amp;utm_medium=email&amp;_hsenc=p2ANqtz-8X0Z_PRxHdoT78ic8Sg-bYdqN16TxDx4bQr0mAiy8MWXV-IXYRFxVYp9w87f_bq0wP63Bv&amp;_hsmi=87085363&amp;utm_content=87085363&amp;utm_source=hs_email&amp;hsCtaTracking=6fedf137-fd90-4f17-bfb4-d61f710ec7f8%7Cf2771843-6636-4969-9010-2d8d0389b89c" TargetMode="External"/><Relationship Id="rId85" Type="http://schemas.openxmlformats.org/officeDocument/2006/relationships/hyperlink" Target="https://resources.simonelectric.com/simon-ebook-vehiculo-electrico?utm_campaign=SIC%20-%20Veh%C3%ADculo%20El%C3%A9ctrico&amp;utm_medium=email&amp;_hsenc=p2ANqtz-__aEmAGWo0D2n3fBUYIygI1JYgNeIhhVX0-XLyMY046QqdZz_VkiBu8AlzoNypmfd-B-JW9HZBpLLE7ASr263QmoHawx-PAtHPCDtRA1y_aejwPhk&amp;_hsmi=71033675&amp;utm_content=71033675&amp;utm_source=hs_automation&amp;hsCtaTracking=2e94ebfc-d414-4389-870c-d2f266a9420b%7C587ac4dc-a49a-4bdc-b449-e36f5d95395b" TargetMode="External"/><Relationship Id="rId1777" Type="http://schemas.openxmlformats.org/officeDocument/2006/relationships/hyperlink" Target="https://resources.simonelectric.com/simon-catalogo-vehiculo-electrico?utm_campaign=SIC%20-%20Veh%C3%ADculo%20El%C3%A9ctrico&amp;utm_medium=email&amp;_hsenc=p2ANqtz-9cO7frqmTL_73b5s6nybwtysqx9tnnIWOGw_RM-V_1XqmqQmt9fYqf3nMOR8kGPMYUUgmD&amp;_hsmi=87085363&amp;utm_content=87085363&amp;utm_source=hs_email&amp;hsCtaTracking=6fedf137-fd90-4f17-bfb4-d61f710ec7f8%7Cf2771843-6636-4969-9010-2d8d0389b89c" TargetMode="External"/><Relationship Id="rId88" Type="http://schemas.openxmlformats.org/officeDocument/2006/relationships/hyperlink" Target="https://resources.simonelectric.com/simon-catalogo-vehiculo-electrico" TargetMode="External"/><Relationship Id="rId1778" Type="http://schemas.openxmlformats.org/officeDocument/2006/relationships/hyperlink" Target="https://resources.simonelectric.com/simon-catalogo-vehiculo-electrico?utm_campaign=SIC%20-%20Veh%C3%ADculo%20El%C3%A9ctrico&amp;utm_medium=email&amp;_hsmi=87085363&amp;_hsenc=p2ANqtz-8seqLA4cBqSYiACFPJancBqkmbV7DF46ITvgR2Q_kZTTCDLuwNq9jJeH-sBW1YPKLIi3pe&amp;utm_content=87085363&amp;utm_source=hs_email" TargetMode="External"/><Relationship Id="rId87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medium%3Demail%26_hsmi%3D71033828%26_hsenc%3Dp2ANqtz-_W804BNNPrF0Wn_0yHHJNspeHIeFbUFGjhYRMGJyqdOL0WioJ9lZz4fZ7GqXFF2xULb4HtrIYHO0He8OPusrG14pJneg%26utm_content%3D71033828%26utm_source%3Dhs_automation" TargetMode="External"/><Relationship Id="rId1779" Type="http://schemas.openxmlformats.org/officeDocument/2006/relationships/hyperlink" Target="https://resources.simonelectric.com/simon-catalogo-vehiculo-electrico?utm_campaign=SIC%20-%20Veh%C3%ADculo%20El%C3%A9ctrico&amp;utm_medium=email&amp;_hsenc=p2ANqtz-99JfEb5rSVHD3ORCXLQL8eRvPe0oUVMetz1L4c4Rz7nEYNS1qJLT5yJl3c8P8hcfXOfxQ6&amp;_hsmi=87085363&amp;utm_content=87085363&amp;utm_source=hs_email&amp;hsCtaTracking=6fedf137-fd90-4f17-bfb4-d61f710ec7f8%7Cf2771843-6636-4969-9010-2d8d0389b89c" TargetMode="External"/><Relationship Id="rId89" Type="http://schemas.openxmlformats.org/officeDocument/2006/relationships/hyperlink" Target="https://resources.simonelectric.com/simon-catalogo-vehiculo-electrico" TargetMode="External"/><Relationship Id="rId80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82" Type="http://schemas.openxmlformats.org/officeDocument/2006/relationships/hyperlink" Target="https://resources.simonelectric.com/simon-material-formativo-vehiculo-electrico?utm_campaign=SIC%20-%20Veh%C3%ADculo%20El%C3%A9ctrico&amp;utm_medium=email&amp;_hsenc=p2ANqtz-_fWAaxvy_5iLdOzGtMvNDUtj279Wjm9UdoKtoOCkwPDAVaVPaznH21HE1GnTUX2b8xa5a51g9i8JaqA5gBMrflqNktlUyZUG0CXZbW0NJa1J4zFkI&amp;_hsmi=89784488&amp;utm_content=89784488&amp;utm_source=hs_email&amp;hsCtaTracking=f8a31ce8-daf1-4d69-a5d6-c3349f3aab91%7C75f9b9fd-a2b2-4ad4-9d4a-0dcb7c99194f" TargetMode="External"/><Relationship Id="rId81" Type="http://schemas.openxmlformats.org/officeDocument/2006/relationships/hyperlink" Target="https://resources.simonelectric.com/simon-ebook-vehiculo-electrico?utm_campaign=SIC%20-%20Veh%C3%ADculo%20El%C3%A9ctrico&amp;utm_medium=email&amp;_hsenc=p2ANqtz--e0wisTSZv-jYAgbdP30-YHJd-ZATBaF3cV8blxQOKAB5AtCz1qbRxwOwKxJW7sf4RXFkIYQ3MW3WfXB0GJtEZNUcwN67zslwd481QREUkt0i8sUA&amp;_hsmi=71033675&amp;utm_content=71033675&amp;utm_source=hs_automation&amp;hsCtaTracking=2e94ebfc-d414-4389-870c-d2f266a9420b%7C587ac4dc-a49a-4bdc-b449-e36f5d95395b" TargetMode="External"/><Relationship Id="rId1770" Type="http://schemas.openxmlformats.org/officeDocument/2006/relationships/hyperlink" Target="https://resources.simonelectric.com/simon-catalogo-vehiculo-electrico?utm_campaign=SIC%20-%20Veh%C3%ADculo%20El%C3%A9ctrico&amp;utm_medium=email&amp;_hsenc=p2ANqtz-8G65CnBl2GH8kpdrbiBmTpxkLKQq2bmbRxyA07R1hmi6aAKC7LHrJ4lZa9XAoMp7GY1mdk&amp;_hsmi=87085302&amp;utm_content=87085302&amp;utm_source=hs_email&amp;hsCtaTracking=6fedf137-fd90-4f17-bfb4-d61f710ec7f8%7Cf2771843-6636-4969-9010-2d8d0389b89c" TargetMode="External"/><Relationship Id="rId1771" Type="http://schemas.openxmlformats.org/officeDocument/2006/relationships/hyperlink" Target="https://resources.simonelectric.com/simon-catalogo-vehiculo-electrico?utm_campaign=SIC%20-%20Veh%C3%ADculo%20El%C3%A9ctrico&amp;utm_medium=email&amp;_hsenc=p2ANqtz-89I-mcOefAhI7R9sOhzApnJNoZDEvBJ5XLXa59tokxI4qmfVZiieGrHZMGb1lwcUYXEB5G&amp;_hsmi=87085302&amp;utm_content=87085302&amp;utm_source=hs_email&amp;hsCtaTracking=6fedf137-fd90-4f17-bfb4-d61f710ec7f8%7Cf2771843-6636-4969-9010-2d8d0389b89c" TargetMode="External"/><Relationship Id="rId1772" Type="http://schemas.openxmlformats.org/officeDocument/2006/relationships/hyperlink" Target="https://resources.simonelectric.com/simon-catalogo-vehiculo-electrico?utm_campaign=SIC%20-%20Veh%C3%ADculo%20El%C3%A9ctrico&amp;utm_medium=email&amp;_hsenc=p2ANqtz--2gwZ6zRpEjLNnCItbMx7uPXnTDaNSp3SWfjCOhKqEXysINSeWHXb7h0RMFHR6ukNHTaGP&amp;_hsmi=87085302&amp;utm_content=87085302&amp;utm_source=hs_email&amp;hsCtaTracking=6fedf137-fd90-4f17-bfb4-d61f710ec7f8%7Cf2771843-6636-4969-9010-2d8d0389b89c" TargetMode="External"/><Relationship Id="rId1773" Type="http://schemas.openxmlformats.org/officeDocument/2006/relationships/hyperlink" Target="https://resources.simonelectric.com/simon-catalogo-vehiculo-electrico?utm_campaign=SIC%20-%20Veh%C3%ADculo%20El%C3%A9ctrico&amp;utm_medium=email&amp;_hsenc=p2ANqtz-8_UBjz0oqlv-GuQSnUc8_1yHvUylRhAF3tp1TwZhO3Mv2o-UQ3t3izI13oyJ9sEUwogVEY&amp;_hsmi=87085302&amp;utm_content=87085302&amp;utm_source=hs_email&amp;hsCtaTracking=6fedf137-fd90-4f17-bfb4-d61f710ec7f8%7Cf2771843-6636-4969-9010-2d8d0389b89c" TargetMode="External"/><Relationship Id="rId73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1763" Type="http://schemas.openxmlformats.org/officeDocument/2006/relationships/hyperlink" Target="https://resources.simonelectric.com/simon-catalogo-vehiculo-electrico?utm_campaign=SIC%20-%20Veh%C3%ADculo%20El%C3%A9ctrico&amp;utm_medium=email&amp;_hsenc=p2ANqtz-8iLUTzeUdw8QWvrDdqBGT31wR13X81nW7uX6qmlBh1a8umj_Q7YcmZrfI2_-rMqrlnIv_x&amp;_hsmi=87085363&amp;utm_content=87085363&amp;utm_source=hs_email&amp;hsCtaTracking=6fedf137-fd90-4f17-bfb4-d61f710ec7f8%7Cf2771843-6636-4969-9010-2d8d0389b89c" TargetMode="External"/><Relationship Id="rId72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1764" Type="http://schemas.openxmlformats.org/officeDocument/2006/relationships/hyperlink" Target="https://resources.simonelectric.com/simon-catalogo-vehiculo-electrico" TargetMode="External"/><Relationship Id="rId75" Type="http://schemas.openxmlformats.org/officeDocument/2006/relationships/hyperlink" Target="https://resources.simonelectric.com/simon-material-formativo-vehiculo-electrico?utm_campaign=SIC%20-%20Veh%C3%ADculo%20El%C3%A9ctrico&amp;utm_medium=email&amp;_hsenc=p2ANqtz--u3kCrOxc25o5TqQ9eviIMVSE_-Oy6XcqCmflNdCcvZOGgNW85tueuRSLpqfTVyjEKk7QUxtvuWDK6uK9pSOFUmhxJkA&amp;_hsmi=89784488&amp;utm_content=89784488&amp;utm_source=hs_email&amp;hsCtaTracking=f8a31ce8-daf1-4d69-a5d6-c3349f3aab91%7C75f9b9fd-a2b2-4ad4-9d4a-0dcb7c99194f" TargetMode="External"/><Relationship Id="rId1765" Type="http://schemas.openxmlformats.org/officeDocument/2006/relationships/hyperlink" Target="https://resources.simonelectric.com/simon-catalogo-vehiculo-electrico?utm_campaign=SIC%20-%20Veh%C3%ADculo%20El%C3%A9ctrico&amp;utm_medium=email&amp;_hsenc=p2ANqtz-_ZO6MjJtcsDpeGbTde3blUKHsGcWTPuZbDfEFIwhr25T12k8uATWy4L0PP8RslLbUb2Dsd&amp;_hsmi=87085363&amp;utm_content=87085363&amp;utm_source=hs_email&amp;hsCtaTracking=6fedf137-fd90-4f17-bfb4-d61f710ec7f8%7Cf2771843-6636-4969-9010-2d8d0389b89c" TargetMode="External"/><Relationship Id="rId74" Type="http://schemas.openxmlformats.org/officeDocument/2006/relationships/hyperlink" Target="https://resources.simonelectric.com/simon-ebook-vehiculo-electrico?utm_campaign=SIC%20-%20Veh%C3%ADculo%20El%C3%A9ctrico&amp;utm_medium=email&amp;_hsenc=p2ANqtz-8vYZLcPTL6wCQtu46a1vDV6xinLovDlgp6mXxcEYbHIJsLR7LiGDPjazoVPczxEr1wDpeGw5hjn7gMVH-RVmrl0orKNQ&amp;_hsmi=71033675&amp;utm_content=71033675&amp;utm_source=hs_automation&amp;hsCtaTracking=2e94ebfc-d414-4389-870c-d2f266a9420b%7C587ac4dc-a49a-4bdc-b449-e36f5d95395b" TargetMode="External"/><Relationship Id="rId1766" Type="http://schemas.openxmlformats.org/officeDocument/2006/relationships/hyperlink" Target="https://resources.simonelectric.com/simon-catalogo-vehiculo-electrico?utm_campaign=SIC%20-%20Veh%C3%ADculo%20El%C3%A9ctrico&amp;utm_medium=email&amp;_hsenc=p2ANqtz-_QuaXk0e4ssM0bBr7jwMWD8lGeVBZDQlRCX1bldQbHqVczKznTPFW_sx_6Ff38G8q4qImo&amp;_hsmi=87085363&amp;utm_content=87085363&amp;utm_source=hs_email&amp;hsCtaTracking=6fedf137-fd90-4f17-bfb4-d61f710ec7f8%7Cf2771843-6636-4969-9010-2d8d0389b89c" TargetMode="External"/><Relationship Id="rId77" Type="http://schemas.openxmlformats.org/officeDocument/2006/relationships/hyperlink" Target="https://resources.simonelectric.com/simon-ebook-vehiculo-electrico?utm_campaign=SIC%20-%20Veh%C3%ADculo%20El%C3%A9ctrico&amp;utm_medium=email&amp;_hsenc=p2ANqtz-8qEPiaofCeC0xjB2htxdRvJTlcVrk1DJbwAv-sYX012Kd7A41bDhJq-rGSQos2K3r-eBIx70tdLxzVTIwAuBe2YvJM7Q&amp;_hsmi=71033675&amp;utm_content=71033675&amp;utm_source=hs_automation&amp;hsCtaTracking=2e94ebfc-d414-4389-870c-d2f266a9420b%7C587ac4dc-a49a-4bdc-b449-e36f5d95395b" TargetMode="External"/><Relationship Id="rId1767" Type="http://schemas.openxmlformats.org/officeDocument/2006/relationships/hyperlink" Target="https://resources.simonelectric.com/simon-catalogo-vehiculo-electrico?utm_campaign=SIC%20-%20Veh%C3%ADculo%20El%C3%A9ctrico&amp;utm_medium=email&amp;_hsenc=p2ANqtz-_pfZwW0UrePC2akkxSYvWQi2wEaadnjgVWPHebek8ei3sOfWgx8AwNl9op35SBCXMtjx9P&amp;_hsmi=87085363&amp;utm_content=87085363&amp;utm_source=hs_email&amp;hsCtaTracking=6fedf137-fd90-4f17-bfb4-d61f710ec7f8%7Cf2771843-6636-4969-9010-2d8d0389b89c" TargetMode="External"/><Relationship Id="rId76" Type="http://schemas.openxmlformats.org/officeDocument/2006/relationships/hyperlink" Target="https://resources.simonelectric.com/simon-catalogo-vehiculo-electrico?utm_campaign=SIC%20-%20Veh%C3%ADculo%20El%C3%A9ctrico&amp;utm_medium=email&amp;_hsenc=p2ANqtz--WkvxgY5aiRNQyWAolPGkDwSng9UNicT6eDgx7ye7_PiH4w0wb2ZIlbtVO9Dzxsmx9jdO9&amp;_hsmi=87085363&amp;utm_content=87085363&amp;utm_source=hs_email&amp;hsCtaTracking=6fedf137-fd90-4f17-bfb4-d61f710ec7f8%7Cf2771843-6636-4969-9010-2d8d0389b89c" TargetMode="External"/><Relationship Id="rId1768" Type="http://schemas.openxmlformats.org/officeDocument/2006/relationships/hyperlink" Target="https://resources.simonelectric.com/simon-catalogo-vehiculo-electrico?utm_campaign=SIC%20-%20Veh%C3%ADculo%20El%C3%A9ctrico&amp;utm_medium=email&amp;_hsenc=p2ANqtz-_WFbDftMkbEPcxp0Hj5CKzT5fVN9AgzcKsJ_PSaj5uzwa8hjuGUiIjoIr3NKUKlx5sjZya&amp;_hsmi=87085363&amp;utm_content=87085363&amp;utm_source=hs_email&amp;hsCtaTracking=6fedf137-fd90-4f17-bfb4-d61f710ec7f8%7Cf2771843-6636-4969-9010-2d8d0389b89c" TargetMode="External"/><Relationship Id="rId79" Type="http://schemas.openxmlformats.org/officeDocument/2006/relationships/hyperlink" Target="https://resources.simonelectric.com/simon-ebook-vehiculo-electrico?utm_campaign=SIC%20-%20Veh%C3%ADculo%20El%C3%A9ctrico&amp;utm_medium=email&amp;_hsmi=71033675&amp;_hsenc=p2ANqtz-89u3g_aAv-ZFjfo5w32bRPhO7B6VHTmIyYI4Kb47Y_HNVwH5wG191BEvvkIeBZBOao3FiDBDa36WM84uT-hXEPffcKEPriCgxXyM5xMLLpH0Lv3RI&amp;utm_content=71033675&amp;utm_source=hs_automation" TargetMode="External"/><Relationship Id="rId1769" Type="http://schemas.openxmlformats.org/officeDocument/2006/relationships/hyperlink" Target="https://resources.simonelectric.com/simon-catalogo-vehiculo-electrico?utm_campaign=SIC%20-%20Veh%C3%ADculo%20El%C3%A9ctrico&amp;utm_medium=email&amp;_hsenc=p2ANqtz--8TQssKUlfBP-lN9aXel6RyvQHiz3TyHQvNk5OQX_8h3RVi7Sq1aTuXEuaN8MCf3Ww1uDK&amp;_hsmi=87085363&amp;utm_content=87085363&amp;utm_source=hs_email&amp;hsCtaTracking=6fedf137-fd90-4f17-bfb4-d61f710ec7f8%7Cf2771843-6636-4969-9010-2d8d0389b89c" TargetMode="External"/><Relationship Id="rId78" Type="http://schemas.openxmlformats.org/officeDocument/2006/relationships/hyperlink" Target="https://resources.simonelectric.com/simon-catalogo-vehiculo-electrico" TargetMode="External"/><Relationship Id="rId71" Type="http://schemas.openxmlformats.org/officeDocument/2006/relationships/hyperlink" Target="https://resources.simonelectric.com/simon-ebook-vehiculo-electrico?utm_campaign=SIC%20-%20Veh%C3%ADculo%20El%C3%A9ctrico&amp;utm_medium=email&amp;_hsenc=p2ANqtz--5jLmC1JWVAkAy58xWO_Y10IhaQ_VJE_C7Od1MTkvTwlZOUmeNv5U0BV01GaPwHV4ofMfNLpwy3PLz665pz9clQ71TOA&amp;_hsmi=71033675&amp;utm_content=71033675&amp;utm_source=hs_automation&amp;hsCtaTracking=2e94ebfc-d414-4389-870c-d2f266a9420b%7C587ac4dc-a49a-4bdc-b449-e36f5d95395b" TargetMode="External"/><Relationship Id="rId70" Type="http://schemas.openxmlformats.org/officeDocument/2006/relationships/hyperlink" Target="https://resources.simonelectric.com/simon-ebook-vehiculo-electrico?utm_campaign=SIC%20-%20Veh%C3%ADculo%20El%C3%A9ctrico&amp;utm_medium=email&amp;_hsenc=p2ANqtz-94PTb0W0spx5r-c7EX4W5HVMOMLsrZw_LyHZX7BAynC0oCAPLCuVuRNMOhQ-a_MuP-as9J0hFPHs1TNrAAD8bAK6zwRw&amp;_hsmi=71033675&amp;utm_content=71033675&amp;utm_source=hs_automation&amp;hsCtaTracking=2e94ebfc-d414-4389-870c-d2f266a9420b%7C587ac4dc-a49a-4bdc-b449-e36f5d95395b" TargetMode="External"/><Relationship Id="rId1760" Type="http://schemas.openxmlformats.org/officeDocument/2006/relationships/hyperlink" Target="https://resources.simonelectric.com/simon-catalogo-vehiculo-electrico?utm_campaign=SIC%20-%20Veh%C3%ADculo%20El%C3%A9ctrico&amp;utm_medium=email&amp;_hsenc=p2ANqtz-_9UyVBR62An_nJf8lgqZniCAHHDeWsiL0QYmfYzyb7MBxVvm2cIVCXIfWUGYIHE-wixB6R&amp;_hsmi=87085363&amp;utm_content=87085363&amp;utm_source=hs_email&amp;hsCtaTracking=6fedf137-fd90-4f17-bfb4-d61f710ec7f8%7Cf2771843-6636-4969-9010-2d8d0389b89c" TargetMode="External"/><Relationship Id="rId1761" Type="http://schemas.openxmlformats.org/officeDocument/2006/relationships/hyperlink" Target="https://resources.simonelectric.com/simon-catalogo-vehiculo-electrico?utm_campaign=SIC%20-%20Veh%C3%ADculo%20El%C3%A9ctrico&amp;utm_medium=email&amp;_hsenc=p2ANqtz-_Be2N9K-Cig8Ub-h62drtD_qHEzY8T0NVwaAa5zsB5tREHHWukSoll_DoIqsd0zhvkSMIk&amp;_hsmi=87085363&amp;utm_content=87085363&amp;utm_source=hs_email&amp;hsCtaTracking=6fedf137-fd90-4f17-bfb4-d61f710ec7f8%7Cf2771843-6636-4969-9010-2d8d0389b89c" TargetMode="External"/><Relationship Id="rId1762" Type="http://schemas.openxmlformats.org/officeDocument/2006/relationships/hyperlink" Target="https://resources.simonelectric.com/simon-catalogo-vehiculo-electrico?utm_campaign=SIC%20-%20Veh%C3%ADculo%20El%C3%A9ctrico&amp;utm_medium=email&amp;_hsenc=p2ANqtz--9KpakDsMvOr1aoPjTmbuwgu91F4eJkXBasG3Hsokh_eSsExhhHgSX-C2CHzivCUslqH_h&amp;_hsmi=87085363&amp;utm_content=87085363&amp;utm_source=hs_email&amp;hsCtaTracking=6fedf137-fd90-4f17-bfb4-d61f710ec7f8%7Cf2771843-6636-4969-9010-2d8d0389b89c" TargetMode="External"/><Relationship Id="rId62" Type="http://schemas.openxmlformats.org/officeDocument/2006/relationships/hyperlink" Target="https://resources.simonelectric.com/simon-catalogo-vehiculo-electrico" TargetMode="External"/><Relationship Id="rId1796" Type="http://schemas.openxmlformats.org/officeDocument/2006/relationships/hyperlink" Target="https://resources.simonelectric.com/simon-catalogo-vehiculo-electrico?utm_campaign=SIC%20-%20Veh%C3%ADculo%20El%C3%A9ctrico&amp;utm_medium=email&amp;_hsenc=p2ANqtz-_NHlE69mbu4uQ3JnFDlUczpA8R8MUSSifHeA-e3XdhBA6p_xz9SG0GoqY1FxdvJYk7eFTq&amp;_hsmi=87085302&amp;utm_content=87085302&amp;utm_source=hs_email&amp;hsCtaTracking=6fedf137-fd90-4f17-bfb4-d61f710ec7f8%7Cf2771843-6636-4969-9010-2d8d0389b89c" TargetMode="External"/><Relationship Id="rId61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1797" Type="http://schemas.openxmlformats.org/officeDocument/2006/relationships/hyperlink" Target="https://resources.simonelectric.com/simon-material-formativo-vehiculo-electrico" TargetMode="External"/><Relationship Id="rId64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1798" Type="http://schemas.openxmlformats.org/officeDocument/2006/relationships/hyperlink" Target="https://resources.simonelectric.com/simon-catalogo-vehiculo-electrico?utm_campaign=SIC%20-%20Veh%C3%ADculo%20El%C3%A9ctrico&amp;utm_medium=email&amp;_hsenc=p2ANqtz-9p39deLRiDBRZxasMlJXGYnfgWgBnX6tfgsD8sIv6vrteZpMmo5N1_OGsuC_qcwneWLjBV&amp;_hsmi=87085363&amp;utm_content=87085363&amp;utm_source=hs_email&amp;hsCtaTracking=6fedf137-fd90-4f17-bfb4-d61f710ec7f8%7Cf2771843-6636-4969-9010-2d8d0389b89c" TargetMode="External"/><Relationship Id="rId63" Type="http://schemas.openxmlformats.org/officeDocument/2006/relationships/hyperlink" Target="https://resources.simonelectric.com/simon-catalogo-vehiculo-electrico" TargetMode="External"/><Relationship Id="rId1799" Type="http://schemas.openxmlformats.org/officeDocument/2006/relationships/hyperlink" Target="https://resources.simonelectric.com/simon-catalogo-vehiculo-electrico?utm_campaign=SIC%20-%20Veh%C3%ADculo%20El%C3%A9ctrico&amp;utm_medium=email&amp;_hsenc=p2ANqtz-9vHpyI0knXWmUgYUAP4ige9CCbWHw3CPf37I4jucnBkct79Py3ijHGRNsjBVAvU8NUgJeQ&amp;_hsmi=87085363&amp;utm_content=87085363&amp;utm_source=hs_email&amp;hsCtaTracking=6fedf137-fd90-4f17-bfb4-d61f710ec7f8%7Cf2771843-6636-4969-9010-2d8d0389b89c" TargetMode="External"/><Relationship Id="rId66" Type="http://schemas.openxmlformats.org/officeDocument/2006/relationships/hyperlink" Target="https://resources.simonelectric.com/simon-ebook-vehiculo-electrico" TargetMode="External"/><Relationship Id="rId65" Type="http://schemas.openxmlformats.org/officeDocument/2006/relationships/hyperlink" Target="https://resources.simonelectric.com/simon-ebook-vehiculo-electrico" TargetMode="External"/><Relationship Id="rId68" Type="http://schemas.openxmlformats.org/officeDocument/2006/relationships/hyperlink" Target="https://resources.simonelectric.com/simon-ebook-vehiculo-electrico?utm_campaign=%23Simonentucasa&amp;utm_medium=email&amp;_hsenc=p2ANqtz-_JFhs2QwRQSeTnLLVibnt9EH_QbPFohaj0aTDtV17YIh6VnY75sfCaKpGsP2rDSkJj28H9pj5-QXTTdOl4V4ums6U8yw&amp;_hsmi=85165037&amp;utm_source=hs_email&amp;utm_content=85165037&amp;hsCtaTracking=7e048f91-fedd-4131-939d-25771a4a2d12%7Cf6d6f061-2319-4b5b-89f8-8c89fca06239" TargetMode="External"/><Relationship Id="rId67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-0KyVwDdJiqr8HEE6bop5wZkwmhjWnzx7pvykj7C1Fc_0BfSRkUUOXGQaDM8LWzd8KKG6Kxq-HgdB2GxUzvT4SW7cWJg%26_hsmi%3D71033828" TargetMode="External"/><Relationship Id="rId60" Type="http://schemas.openxmlformats.org/officeDocument/2006/relationships/hyperlink" Target="https://resources.simonelectric.com/simon-ebook-vehiculo-electrico?utm_campaign=SIC%20-%20Veh%C3%ADculo%20El%C3%A9ctrico&amp;utm_medium=email&amp;_hsenc=p2ANqtz--8Nh2cJeLQT2NSQxxtEKDWYU14K69IDATceOxXIQ19V2lwK5IJ2kAly8IBfzlDAXT5L3O9AqKIVLt__USXLYX4j6PtTBE8vaesaMfEF3d8ta-EXwk&amp;_hsmi=71033675&amp;utm_content=71033675&amp;utm_source=hs_automation&amp;hsCtaTracking=2e94ebfc-d414-4389-870c-d2f266a9420b%7C587ac4dc-a49a-4bdc-b449-e36f5d95395b" TargetMode="External"/><Relationship Id="rId6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790" Type="http://schemas.openxmlformats.org/officeDocument/2006/relationships/hyperlink" Target="https://resources.simonelectric.com/simon-catalogo-vehiculo-electrico?utm_campaign=SIC%20-%20Veh%C3%ADculo%20El%C3%A9ctrico&amp;utm_medium=email&amp;_hsenc=p2ANqtz-8X-i7FVYgWJooSMv_lJWDGCHprzGbqJmwbnd8rdFmke3nIxtzKZ4J9oGUHog8dSBgh_wU6&amp;_hsmi=87085363&amp;utm_content=87085363&amp;utm_source=hs_email&amp;hsCtaTracking=6fedf137-fd90-4f17-bfb4-d61f710ec7f8%7Cf2771843-6636-4969-9010-2d8d0389b89c" TargetMode="External"/><Relationship Id="rId1791" Type="http://schemas.openxmlformats.org/officeDocument/2006/relationships/hyperlink" Target="https://resources.simonelectric.com/simon-catalogo-vehiculo-electrico?utm_campaign=SIC%20-%20Veh%C3%ADculo%20El%C3%A9ctrico&amp;utm_medium=email&amp;_hsenc=p2ANqtz-_bzC9yRHP6LVy5xLAblkGLTH_11puEbVvQKyJTcKkYKekKQLlfea5TA1WwzOOLBsS7g52L&amp;_hsmi=87085363&amp;utm_content=87085363&amp;utm_source=hs_email&amp;hsCtaTracking=6fedf137-fd90-4f17-bfb4-d61f710ec7f8%7Cf2771843-6636-4969-9010-2d8d0389b89c" TargetMode="External"/><Relationship Id="rId1792" Type="http://schemas.openxmlformats.org/officeDocument/2006/relationships/hyperlink" Target="https://resources.simonelectric.com/simon-catalogo-vehiculo-electrico?utm_campaign=SIC%20-%20Veh%C3%ADculo%20El%C3%A9ctrico&amp;utm_medium=email&amp;_hsenc=p2ANqtz-_AQZf-0c7TDZh2o9ev_biY_8s1ia3EngtZFiinm1ZfaV3MxRIc80QX5rHst9aW2ECQDmng&amp;_hsmi=87085363&amp;utm_content=87085363&amp;utm_source=hs_email&amp;hsCtaTracking=6fedf137-fd90-4f17-bfb4-d61f710ec7f8%7Cf2771843-6636-4969-9010-2d8d0389b89c" TargetMode="External"/><Relationship Id="rId1793" Type="http://schemas.openxmlformats.org/officeDocument/2006/relationships/hyperlink" Target="https://resources.simonelectric.com/simon-catalogo-vehiculo-electrico?utm_campaign=SIC%20-%20Veh%C3%ADculo%20El%C3%A9ctrico&amp;utm_medium=email&amp;_hsenc=p2ANqtz-84lEJa53fMJB78Cdc_GQX0hzTtfVh5IhBTHowWbucTBjVVob4EOy1X6JEU26mw65wPNkPV&amp;_hsmi=87085363&amp;utm_content=87085363&amp;utm_source=hs_email&amp;hsCtaTracking=6fedf137-fd90-4f17-bfb4-d61f710ec7f8%7Cf2771843-6636-4969-9010-2d8d0389b89c" TargetMode="External"/><Relationship Id="rId1794" Type="http://schemas.openxmlformats.org/officeDocument/2006/relationships/hyperlink" Target="https://resources.simonelectric.com/simon-catalogo-vehiculo-electrico?utm_campaign=SIC%20-%20Veh%C3%ADculo%20El%C3%A9ctrico&amp;utm_medium=email&amp;_hsenc=p2ANqtz-_aE2prO4h4VMZjaft_q7Er67l0fn3bsh_4pfeFxvXWKOJkwy7ngbQGUY2O8GopofhOD4QL&amp;_hsmi=87085302&amp;utm_content=87085302&amp;utm_source=hs_email&amp;hsCtaTracking=6fedf137-fd90-4f17-bfb4-d61f710ec7f8%7Cf2771843-6636-4969-9010-2d8d0389b89c" TargetMode="External"/><Relationship Id="rId1795" Type="http://schemas.openxmlformats.org/officeDocument/2006/relationships/hyperlink" Target="https://resources.simonelectric.com/simon-catalogo-vehiculo-electrico?utm_campaign=SIC%20-%20Veh%C3%ADculo%20El%C3%A9ctrico&amp;utm_medium=email&amp;_hsmi=87085363&amp;_hsenc=p2ANqtz--b725kzp2b1s_EhPf4m82zBJ7NCdVSo218MeDQpFyzQCFhcJVv5S-iGaB_oRAFrsWi45JU&amp;utm_content=87085363&amp;utm_source=hs_email" TargetMode="External"/><Relationship Id="rId51" Type="http://schemas.openxmlformats.org/officeDocument/2006/relationships/hyperlink" Target="https://resources.simonelectric.com/simon-ebook-vehiculo-electrico?utm_campaign=SIC%20-%20Veh%C3%ADculo%20El%C3%A9ctrico&amp;utm_medium=email&amp;_hsenc=p2ANqtz-9JuOCkldR_xLpYR9zgkeZwgckM_P5gMjZeqroGo00guOwgMrk0Ax51_lVEGjNErLTqxeNBqvu_GHRaw8mrcnhkVJqNvoYzR624_Lvppn5Dph-JGhU&amp;_hsmi=71033675&amp;utm_content=71033675&amp;utm_source=hs_automation&amp;hsCtaTracking=2e94ebfc-d414-4389-870c-d2f266a9420b%7C587ac4dc-a49a-4bdc-b449-e36f5d95395b" TargetMode="External"/><Relationship Id="rId1785" Type="http://schemas.openxmlformats.org/officeDocument/2006/relationships/hyperlink" Target="https://resources.simonelectric.com/simon-catalogo-vehiculo-electrico?utm_campaign=SIC%20-%20Veh%C3%ADculo%20El%C3%A9ctrico&amp;utm_medium=email&amp;_hsenc=p2ANqtz-9y07iHhNSFEWy4ZL22tqzTMoUoSiTgEEwGgb9J-nVsBBw8YrID_ZdD1oHKgnRFrHNQKQkt&amp;_hsmi=87085363&amp;utm_content=87085363&amp;utm_source=hs_email&amp;hsCtaTracking=6fedf137-fd90-4f17-bfb4-d61f710ec7f8%7Cf2771843-6636-4969-9010-2d8d0389b89c" TargetMode="External"/><Relationship Id="rId5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786" Type="http://schemas.openxmlformats.org/officeDocument/2006/relationships/hyperlink" Target="https://resources.simonelectric.com/simon-catalogo-vehiculo-electrico?utm_campaign=SIC%20-%20Veh%C3%ADculo%20El%C3%A9ctrico&amp;utm_medium=email&amp;_hsmi=87085302&amp;_hsenc=p2ANqtz-93F2c8NShUauodPnoc1Vi1X2k88jEZHCtjdmXdYhxL3iA6BacSoxGBbiHZ73o9NLmFh0uu&amp;utm_content=87085302&amp;utm_source=hs_email" TargetMode="External"/><Relationship Id="rId53" Type="http://schemas.openxmlformats.org/officeDocument/2006/relationships/hyperlink" Target="https://resources.simonelectric.com/simon-ebook-vehiculo-electrico?utm_campaign=SIC%20-%20Veh%C3%ADculo%20El%C3%A9ctrico&amp;utm_medium=email&amp;_hsmi=71033675&amp;_hsenc=p2ANqtz-8f6etk_dqhaJUFBZZNzKZAXtLvqCXsDer81mbJDzrm20NsFJ37uOJaS2uOQdl7Lv6zNYAtuHgV43tCzEn6f-EdBs8AYw&amp;utm_content=71033675&amp;utm_source=hs_automation" TargetMode="External"/><Relationship Id="rId1787" Type="http://schemas.openxmlformats.org/officeDocument/2006/relationships/hyperlink" Target="https://resources.simonelectric.com/simon-catalogo-vehiculo-electrico?utm_campaign=SIC%20-%20Veh%C3%ADculo%20El%C3%A9ctrico&amp;utm_medium=email&amp;_hsenc=p2ANqtz-_fbAHHoY6G6gNRnDaqnHX3MYFX0yzbi7UDZydBKv02RSoqDVkDEU9UwmzOwlYJyBTBkiQs&amp;_hsmi=87085363&amp;utm_content=87085363&amp;utm_source=hs_email&amp;hsCtaTracking=6fedf137-fd90-4f17-bfb4-d61f710ec7f8%7Cf2771843-6636-4969-9010-2d8d0389b89c" TargetMode="External"/><Relationship Id="rId52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1788" Type="http://schemas.openxmlformats.org/officeDocument/2006/relationships/hyperlink" Target="https://resources.simonelectric.com/simon-catalogo-vehiculo-electrico?utm_campaign=SIC%20-%20Veh%C3%ADculo%20El%C3%A9ctrico&amp;utm_medium=email&amp;_hsenc=p2ANqtz--99vMdGNbPapsLCRPVgHeWtInMG6Tn1EbsFaP5NvlChTKKJzWYDi9N5ZUbUQPXxRlUADW4&amp;_hsmi=87085302&amp;utm_content=87085302&amp;utm_source=hs_email&amp;hsCtaTracking=6fedf137-fd90-4f17-bfb4-d61f710ec7f8%7Cf2771843-6636-4969-9010-2d8d0389b89c" TargetMode="External"/><Relationship Id="rId55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8z7t3eRFBxSNuwPwv5niZtN-utjObqkZfyXxSNW27jZW617DVFOpExnI7syKn4eP9FzDMwD-tLvx7RVT9siIm99KfpDA&amp;utm_content=89784488&amp;utm_source=hs_email" TargetMode="External"/><Relationship Id="rId1789" Type="http://schemas.openxmlformats.org/officeDocument/2006/relationships/hyperlink" Target="https://resources.simonelectric.com/simon-catalogo-vehiculo-electrico?utm_campaign=SIC%20-%20Veh%C3%ADculo%20El%C3%A9ctrico&amp;utm_medium=email&amp;_hsenc=p2ANqtz--FTTDyRAMuld4uvVVN7rAgHENhPtIPTCFDIT814AalMLQ4MNrffQDl_WOlVln6cquErOYw&amp;_hsmi=87085363&amp;utm_content=87085363&amp;utm_source=hs_email&amp;hsCtaTracking=6fedf137-fd90-4f17-bfb4-d61f710ec7f8%7Cf2771843-6636-4969-9010-2d8d0389b89c" TargetMode="External"/><Relationship Id="rId5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57" Type="http://schemas.openxmlformats.org/officeDocument/2006/relationships/hyperlink" Target="https://resources.simonelectric.com/simon-material-formativo-vehiculo-electrico?utm_campaign=SIC%20-%20Veh%C3%ADculo%20El%C3%A9ctrico&amp;utm_medium=email&amp;_hsenc=p2ANqtz--pfqhpHhnvP-hXBvoy0QeQyq_Jp3PBpd5mkNdx210NeMvcDs7P6UuwwImJVqtwNCp3Oqq9H_QUOwkhe-jjDXRiC31jMw&amp;_hsmi=89784488&amp;utm_content=89784488&amp;utm_source=hs_email&amp;hsCtaTracking=f8a31ce8-daf1-4d69-a5d6-c3349f3aab91%7C75f9b9fd-a2b2-4ad4-9d4a-0dcb7c99194f" TargetMode="External"/><Relationship Id="rId56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8xqrqsaxP8ccc8kODNySDrP2E4NBX6QljuVCujRSmW4ScVNF-K26O36Jm-BDazcw_IK_Y5RDvQe8_IPzfq-WLzeUwNoQ&amp;utm_content=89784488&amp;utm_source=hs_email" TargetMode="External"/><Relationship Id="rId59" Type="http://schemas.openxmlformats.org/officeDocument/2006/relationships/hyperlink" Target="https://resources.simonelectric.com/simon-catalogo-vehiculo-electrico?utm_campaign=SIC%20-%20Veh%C3%ADculo%20El%C3%A9ctrico&amp;utm_medium=email&amp;_hsmi=71034014&amp;_hsenc=p2ANqtz-_oejrRKUDFam2bP8YxOTBcC88jIzRmlImVbVIw8t_vDHZDj-SS03G9fvf5bqDcSt_T5Vd6m9CcwnaoBW6l-auK6DT-AQ&amp;utm_content=71034014&amp;utm_source=hs_automation" TargetMode="External"/><Relationship Id="rId58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1780" Type="http://schemas.openxmlformats.org/officeDocument/2006/relationships/hyperlink" Target="https://resources.simonelectric.com/simon-catalogo-vehiculo-electrico?utm_campaign=SIC%20-%20Veh%C3%ADculo%20El%C3%A9ctrico&amp;utm_medium=email&amp;_hsenc=p2ANqtz-90YsvvEtNQKltUXzx5B79YxCvsInhl-VS9mHQfSY8BBOjV4dq88VEqIm6XGdLGAot6MrIF&amp;_hsmi=87085302&amp;utm_content=87085302&amp;utm_source=hs_email&amp;hsCtaTracking=6fedf137-fd90-4f17-bfb4-d61f710ec7f8%7Cf2771843-6636-4969-9010-2d8d0389b89c" TargetMode="External"/><Relationship Id="rId1781" Type="http://schemas.openxmlformats.org/officeDocument/2006/relationships/hyperlink" Target="https://resources.simonelectric.com/simon-catalogo-vehiculo-electrico?utm_campaign=SIC%20-%20Veh%C3%ADculo%20El%C3%A9ctrico&amp;utm_medium=email&amp;_hsenc=p2ANqtz-8HXmBMEa8mDtFXrCzFZLLZIZ5JuDCyqh2He5ndcc5fxYC7lXGLH1SDO-73LStEn1ha8XeG&amp;_hsmi=87085302&amp;utm_content=87085302&amp;utm_source=hs_email&amp;hsCtaTracking=6fedf137-fd90-4f17-bfb4-d61f710ec7f8%7Cf2771843-6636-4969-9010-2d8d0389b89c" TargetMode="External"/><Relationship Id="rId1782" Type="http://schemas.openxmlformats.org/officeDocument/2006/relationships/hyperlink" Target="https://resources.simonelectric.com/simon-catalogo-vehiculo-electrico?utm_campaign=SIC%20-%20Veh%C3%ADculo%20El%C3%A9ctrico&amp;utm_medium=email&amp;_hsenc=p2ANqtz-_BzFzaCin5aKiZ_WoUgBXol3yB0pE7WrC03bbQLbG3GmfpeS14e7TsSblWYJ-akX2922Oy&amp;_hsmi=87085302&amp;utm_content=87085302&amp;utm_source=hs_email&amp;hsCtaTracking=6fedf137-fd90-4f17-bfb4-d61f710ec7f8%7Cf2771843-6636-4969-9010-2d8d0389b89c" TargetMode="External"/><Relationship Id="rId1783" Type="http://schemas.openxmlformats.org/officeDocument/2006/relationships/hyperlink" Target="https://resources.simonelectric.com/simon-catalogo-vehiculo-electrico?utm_campaign=SIC%20-%20Veh%C3%ADculo%20El%C3%A9ctrico&amp;utm_medium=email&amp;_hsenc=p2ANqtz-_jHlSSKzbm48r6n3xr8mezqcQtR90hKSiNpQ91mD-PkLl7PPl5ysb3yxwzercEXotgJ8gL&amp;_hsmi=87085363&amp;utm_content=87085363&amp;utm_source=hs_email&amp;hsCtaTracking=6fedf137-fd90-4f17-bfb4-d61f710ec7f8%7Cf2771843-6636-4969-9010-2d8d0389b89c" TargetMode="External"/><Relationship Id="rId1784" Type="http://schemas.openxmlformats.org/officeDocument/2006/relationships/hyperlink" Target="https://resources.simonelectric.com/simon-catalogo-vehiculo-electrico?utm_campaign=SIC%20-%20Veh%C3%ADculo%20El%C3%A9ctrico&amp;utm_medium=email&amp;_hsenc=p2ANqtz-945fq10NsuTQ2CKwIupoLluFT5rlWmJ_SsLMzAAl7h1885lDKmC243ofBiOD9e5ENuRk4N&amp;_hsmi=87085363&amp;utm_content=87085363&amp;utm_source=hs_email&amp;hsCtaTracking=6fedf137-fd90-4f17-bfb4-d61f710ec7f8%7Cf2771843-6636-4969-9010-2d8d0389b89c" TargetMode="External"/><Relationship Id="rId2269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_fYaCSnSIVuHgqAyzCW-8PFKtldhxHy_BJ_vrbAW7Wr6cY3Ehyo6L9Douk8cqyfNO4d2n-J6_zzh5c6ouUHXyiIHDOaN52zUbz0pOmkIyzHBfWudM&amp;_hsmi=71033675" TargetMode="External"/><Relationship Id="rId34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48" Type="http://schemas.openxmlformats.org/officeDocument/2006/relationships/hyperlink" Target="https://resources.simonelectric.com/simon-ebook-vehiculo-electrico?utm_campaign=SIC%20-%20Veh%C3%ADculo%20El%C3%A9ctrico&amp;utm_medium=email&amp;_hsmi=71033675&amp;_hsenc=p2ANqtz-9bZMhvBLsdAIvbcuraXHsGg-g47UgPXUc0a_1y6IOvuiXubpk0VOSZY3krPp8axUjDEbTH89NODNZigihf3NXubKTbbg&amp;utm_content=71033675&amp;utm_source=hs_automation" TargetMode="External"/><Relationship Id="rId347" Type="http://schemas.openxmlformats.org/officeDocument/2006/relationships/hyperlink" Target="https://resources.simonelectric.com/simon-ebook-vehiculo-electrico?utm_campaign=SIC%20-%20Veh%C3%ADculo%20El%C3%A9ctrico&amp;utm_medium=email&amp;_hsenc=p2ANqtz--1rcN3zrzCiMqWcGIdM3i5a72yWuWyt-3WmQ_J21W3YRqsqGCTXLZpJHnmqFKBGiyaR0CvYQUdrl0o4aRzyl03rtXOSJfir7YRvRL32tT3E6OJZLs&amp;_hsmi=71033675&amp;utm_content=71033675&amp;utm_source=hs_automation&amp;hsCtaTracking=2e94ebfc-d414-4389-870c-d2f266a9420b%7C587ac4dc-a49a-4bdc-b449-e36f5d95395b" TargetMode="External"/><Relationship Id="rId346" Type="http://schemas.openxmlformats.org/officeDocument/2006/relationships/hyperlink" Target="https://resources.simonelectric.com/simon-material-formativo-vehiculo-electrico?utm_campaign=SIC%20-%20Veh%C3%ADculo%20El%C3%A9ctrico&amp;utm_medium=email&amp;_hsmi=89403925&amp;_hsenc=p2ANqtz-9hOSYRxW7-a8n1KhWcxdUMJa0GoZhKI5IRkKYmWd7vO87YOkxhMqUBHqvR_Bnbx3lT4zeyGXppUAxFGLFH__d6_wWSrw&amp;utm_content=89403925&amp;utm_source=hs_email" TargetMode="External"/><Relationship Id="rId3591" Type="http://schemas.openxmlformats.org/officeDocument/2006/relationships/hyperlink" Target="https://resources.simonelectric.com/simon-material-formativo-vehiculo-electrico" TargetMode="External"/><Relationship Id="rId226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59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41" Type="http://schemas.openxmlformats.org/officeDocument/2006/relationships/hyperlink" Target="https://resources.simonelectric.com/simon-ebook-vehiculo-electrico?utm_campaign=SIC%20-%20Veh%C3%ADculo%20El%C3%A9ctrico&amp;utm_medium=email&amp;_hsenc=p2ANqtz-8W8JsgQ84FYDxjEoYqTXeKSQhTvBlGI8k3A8ivD0NVv6z816LE5aRwWE3UBAtTu9z8uCYZ2fFGy-i3RoppEVXCkeg8rA&amp;_hsmi=71033675&amp;utm_content=71033675&amp;utm_source=hs_automation&amp;hsCtaTracking=2e94ebfc-d414-4389-870c-d2f266a9420b%7C587ac4dc-a49a-4bdc-b449-e36f5d95395b" TargetMode="External"/><Relationship Id="rId2261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3593" Type="http://schemas.openxmlformats.org/officeDocument/2006/relationships/hyperlink" Target="https://resources.simonelectric.com/simon-material-formativo-vehiculo-electrico" TargetMode="External"/><Relationship Id="rId34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262" Type="http://schemas.openxmlformats.org/officeDocument/2006/relationships/hyperlink" Target="https://resources.simonelectric.com/simon-ebook-vehiculo-electrico?utm_campaign=SIC%20-%20Veh%C3%ADculo%20El%C3%A9ctrico&amp;utm_medium=email&amp;_hsenc=p2ANqtz-863BNOaZdo-eYH8LLhLRjHcVQRA6o7Zh3PVW7NvtodTHtTyvu1ZRCtDx-fP9J0QD3U7bFlMliwJa5s5LqJGlkNI2KNa5MnMGmjDZ_-wQqlUvR5378&amp;_hsmi=71033675&amp;utm_source=hs_automation&amp;utm_content=71033675&amp;hsCtaTracking=2e94ebfc-d414-4389-870c-d2f266a9420b%7C587ac4dc-a49a-4bdc-b449-e36f5d95395b" TargetMode="External"/><Relationship Id="rId359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263" Type="http://schemas.openxmlformats.org/officeDocument/2006/relationships/hyperlink" Target="https://resources.simonelectric.com/simon-ebook-vehiculo-electrico?utm_campaign=SIC%20-%20Veh%C3%ADculo%20El%C3%A9ctrico&amp;utm_medium=email&amp;_hsenc=p2ANqtz--byWyFs_GvAt3gVaf6BGoZtl5-N_lNMMGrwLV2ymt5vEF3Z5-9nAH3frC93BavXJebFY7oyHiSaEVGpBxVxF9vrkzgrrFTYar9IFc_vxWUtsXbL_0&amp;_hsmi=71033675&amp;utm_source=hs_automation&amp;utm_content=71033675&amp;hsCtaTracking=2e94ebfc-d414-4389-870c-d2f266a9420b%7C587ac4dc-a49a-4bdc-b449-e36f5d95395b" TargetMode="External"/><Relationship Id="rId3595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8IEtwq1LnTlGk2ok3yQnBtIlgb78Aj1zgCjGkeVv8tCW-_vH3AzpibAdz5bgeZBoACoA170YeR7hZtqMGqDZLMUxzxfKdpA9enrhqyfx7kvAwR47s&amp;_hsmi=71034014" TargetMode="External"/><Relationship Id="rId226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594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" TargetMode="External"/><Relationship Id="rId345" Type="http://schemas.openxmlformats.org/officeDocument/2006/relationships/hyperlink" Target="https://resources.simonelectric.com/simon-material-formativo-vehiculo-electrico?utm_campaign=SIC%20-%20Veh%C3%ADculo%20El%C3%A9ctrico&amp;utm_medium=email&amp;_hsenc=p2ANqtz--WUoPE1jRsjTD_luD--t-dseSRoKjcYvyPBoLVv8GNKmj_vy1BLb2FjUg_IA0fucSANM0bru-P9jhihrTNJ7ETZid0dg&amp;_hsmi=89403925&amp;utm_content=89403925&amp;utm_source=hs_email&amp;hsCtaTracking=f8a31ce8-daf1-4d69-a5d6-c3349f3aab91%7C75f9b9fd-a2b2-4ad4-9d4a-0dcb7c99194f" TargetMode="External"/><Relationship Id="rId2265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_XCotUjyuUH2raIWhQN_0vpXGExV1vf2hzir8dhoH7X5UW4hjDJ4mEOHWpVUVhtqHh8J2wNvHIAo2s1_5Cu-94yv1Y5w&amp;_hsmi=71033675" TargetMode="External"/><Relationship Id="rId3597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344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26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596" Type="http://schemas.openxmlformats.org/officeDocument/2006/relationships/hyperlink" Target="https://resources.simonelectric.com/simon-ebook-vehiculo-electrico-0?gclid=EAIaIQobChMI_aiB48np5wIVFTwbCh2NiQ-oEAEYASAAEgIis_D_BwE" TargetMode="External"/><Relationship Id="rId343" Type="http://schemas.openxmlformats.org/officeDocument/2006/relationships/hyperlink" Target="https://resources.simonelectric.com/simon-ebook-vehiculo-electrico?utm_campaign=SIC%20-%20Veh%C3%ADculo%20El%C3%A9ctrico&amp;utm_medium=email&amp;_hsmi=71033675&amp;_hsenc=p2ANqtz-_-EkgtodPNXZjKvXM1ToecX3IGMv6sIUoPIVAz0ugFDiKfn_pMQu1_wtsAajK4nCDqivft35-QXN32U-h7IXJC0wMkRw&amp;utm_content=71033675&amp;utm_source=hs_automation" TargetMode="External"/><Relationship Id="rId226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599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42" Type="http://schemas.openxmlformats.org/officeDocument/2006/relationships/hyperlink" Target="https://resources.simonelectric.com/simon-ebook-vehiculo-electrico?utm_campaign=SIC%20-%20Veh%C3%ADculo%20El%C3%A9ctrico&amp;utm_medium=email&amp;_hsmi=71033675&amp;_hsenc=p2ANqtz-9FuCidgVKDzfDt55rdU7DzTvOMUXltF6dAW57H31pUj-h3RNRWuF82bkSlQ59ffOUw5ECrmNMPDG2ivRuv-CiLiPcRjw&amp;utm_content=71033675&amp;utm_source=hs_automation" TargetMode="External"/><Relationship Id="rId2268" Type="http://schemas.openxmlformats.org/officeDocument/2006/relationships/hyperlink" Target="https://resources.simonelectric.com/simon-ebook-vehiculo-electrico?utm_campaign=SIC%20-%20Veh%C3%ADculo%20El%C3%A9ctrico&amp;utm_medium=email&amp;_hsenc=p2ANqtz-_2vSqZjWrmprGi-rOl2QIer6OL0FGxwxxr8YTYoGZMocX81eaJMh6vwMYG25eTFaU2cxuwVHCyJEDQhFcyow4FpStrpQ&amp;_hsmi=71033675&amp;utm_source=hs_automation&amp;utm_content=71033675&amp;hsCtaTracking=2e94ebfc-d414-4389-870c-d2f266a9420b%7C587ac4dc-a49a-4bdc-b449-e36f5d95395b" TargetMode="External"/><Relationship Id="rId3598" Type="http://schemas.openxmlformats.org/officeDocument/2006/relationships/hyperlink" Target="https://resources.simonelectric.com/simon-ebook-vehiculo-electrico-0?gclid=EAIaIQobChMIp-v56ezo5wIVAchRCh2XpwG5EAEYASAAEgLtS_D_BwE" TargetMode="External"/><Relationship Id="rId2258" Type="http://schemas.openxmlformats.org/officeDocument/2006/relationships/hyperlink" Target="https://resources.simonelectric.com/simon-ebook-vehiculo-electrico?utm_campaign=SIC%20-%20Veh%C3%ADculo%20El%C3%A9ctrico&amp;utm_medium=email&amp;_hsenc=p2ANqtz-9HIvCIvkOWUqeTVZ_hzw7_OBkmkWP9_j8FubB_shkF7XHpioY45pFbSXkH-j2POJGnaVBpum2yJY2_quObimMGEFDuZ5zwzh3YgH8P50bzb6rTF0E&amp;_hsmi=71033675&amp;utm_source=hs_automation&amp;utm_content=71033675&amp;hsCtaTracking=2e94ebfc-d414-4389-870c-d2f266a9420b%7C587ac4dc-a49a-4bdc-b449-e36f5d95395b" TargetMode="External"/><Relationship Id="rId2259" Type="http://schemas.openxmlformats.org/officeDocument/2006/relationships/hyperlink" Target="https://resources.simonelectric.com/simon-catalogo-vehiculo-electrico?__hstc=83084745.d1876e15a6058f2da6f79ed796cc447b.1587993576830.1587993576830.1587993576830.1&amp;__hssc=83084745.10.1587993576830&amp;__hsfp=3584712527" TargetMode="External"/><Relationship Id="rId358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38" Type="http://schemas.openxmlformats.org/officeDocument/2006/relationships/hyperlink" Target="https://resources.simonelectric.com/simon-ebook-vehiculo-electrico?utm_campaign=SIC%20-%20Veh%C3%ADculo%20El%C3%A9ctrico&amp;utm_medium=email&amp;_hsenc=p2ANqtz--k3-qf3kSFZId4BKoBaiMYHf-geh_nVdlQ0hl34gybQZqXQDBcRX4KDZ_pASsyNmvKVrb75BE2ucJ-ydkfgGZshLtUIg&amp;_hsmi=71033675&amp;utm_content=71033675&amp;utm_source=hs_automation&amp;hsCtaTracking=2e94ebfc-d414-4389-870c-d2f266a9420b%7C587ac4dc-a49a-4bdc-b449-e36f5d95395b" TargetMode="External"/><Relationship Id="rId33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36" Type="http://schemas.openxmlformats.org/officeDocument/2006/relationships/hyperlink" Target="https://resources.simonelectric.com/simon-catalogo-vehiculo-electrico" TargetMode="External"/><Relationship Id="rId335" Type="http://schemas.openxmlformats.org/officeDocument/2006/relationships/hyperlink" Target="https://resources.simonelectric.com/simon-ebook-vehiculo-electrico?utm_campaign=SIC%20-%20Veh%C3%ADculo%20El%C3%A9ctrico&amp;utm_medium=email&amp;_hsenc=p2ANqtz-_3wQJ8wCDAkUtaesepfBxUtwxi7iLZinvdE0mgQIrFl56XCnQ-kYPXc_DAbLJ37ofSeG7RFQNi4t7tBBlrbs_BQ0PLkw&amp;_hsmi=71033675&amp;utm_content=71033675&amp;utm_source=hs_automation&amp;hsCtaTracking=2e94ebfc-d414-4389-870c-d2f266a9420b%7C587ac4dc-a49a-4bdc-b449-e36f5d95395b" TargetMode="External"/><Relationship Id="rId3580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39" Type="http://schemas.openxmlformats.org/officeDocument/2006/relationships/hyperlink" Target="https://resources.simonelectric.com/simon-ebook-vehiculo-electrico?utm_campaign=SIC%20-%20Veh%C3%ADculo%20El%C3%A9ctrico&amp;utm_medium=email&amp;_hsmi=71033675&amp;_hsenc=p2ANqtz-9zYyiAKAZKIm9hy_bd7nIkFt-Uvz7OXmo-62IoeiC3AjU4YHHs30UyG60f4VKX-HBJ-1Xt8EAYMNH5BuRDw0uAUuHHXQ&amp;utm_content=71033675&amp;utm_source=hs_automation" TargetMode="External"/><Relationship Id="rId33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25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582" Type="http://schemas.openxmlformats.org/officeDocument/2006/relationships/hyperlink" Target="https://resources.simonelectric.com/simon-ebook-vehiculo-electrico" TargetMode="External"/><Relationship Id="rId2251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" TargetMode="External"/><Relationship Id="rId358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252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9sXU0-KlhKJ6mA4jDlzO_ULXDAkqd2B0MCjrdONTORFZz9V7SFbrn2HqsHd_k7rvw4E2N0XS_uBxtxgARjIyNT80yVKQ%26_hsmi%3D71033828" TargetMode="External"/><Relationship Id="rId358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253" Type="http://schemas.openxmlformats.org/officeDocument/2006/relationships/hyperlink" Target="https://resources.simonelectric.com/simon-ebook-vehiculo-electrico-ppc?utm_source=facebook&amp;utm_medium=social_ads&amp;utm_campaign=vehiculo_electrico&amp;fbclid=IwAR2Pidckc5XsC4sSEuU1GQsnnhHBI5XSN4WE80tyons2-RxPPuU6Q3X8tmc" TargetMode="External"/><Relationship Id="rId3583" Type="http://schemas.openxmlformats.org/officeDocument/2006/relationships/hyperlink" Target="https://resources.simonelectric.com/simon-catalogo-vehiculo-electrico?__hstc=83084745.f445907774b01433866e232026899357.1564655438259.1580116981255.1582622454060.4&amp;__hssc=83084745.6.1582622454060&amp;__hsfp=2523309921" TargetMode="External"/><Relationship Id="rId334" Type="http://schemas.openxmlformats.org/officeDocument/2006/relationships/hyperlink" Target="https://resources.simonelectric.com/simon-ebook-vehiculo-electrico?utm_campaign=SIC%20-%20Veh%C3%ADculo%20El%C3%A9ctrico&amp;utm_medium=email&amp;_hsenc=p2ANqtz-_YupGhp9K4ucZTizafTluc0JKQt-vgvy67Sgv0d_UDf6zh97gtAOuK228n-LTq0N9dICP7jHtyPzTIBJpbe0_5TqISKw&amp;_hsmi=71033675&amp;utm_content=71033675&amp;utm_source=hs_automation&amp;hsCtaTracking=2e94ebfc-d414-4389-870c-d2f266a9420b%7C587ac4dc-a49a-4bdc-b449-e36f5d95395b" TargetMode="External"/><Relationship Id="rId2254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_vJsOykv_xPTy-HJJYMQYXQcBrje0W1B8OSn9rActNWcnpG-B5ZJ2HL9aX5i7VQV8c3Ae_eV9ejv5z5ifX2wGtYQafgQ&amp;_hsmi=71033675" TargetMode="External"/><Relationship Id="rId358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33" Type="http://schemas.openxmlformats.org/officeDocument/2006/relationships/hyperlink" Target="https://resources.simonelectric.com/simon-ebook-vehiculo-electrico?utm_campaign=SIC%20-%20Veh%C3%ADculo%20El%C3%A9ctrico&amp;utm_medium=email&amp;_hsenc=p2ANqtz-9l3b7leLCYa9wjtz5d6PKov7qxY4liz7B9H-TareeKpCdGbDz0uHYY8VhchCf536uzUrFAiXws4Xvpkc4KVXywgSDmNw_mjYAWQaRv2etaPae_9fo&amp;_hsmi=71033675&amp;utm_content=71033675&amp;utm_source=hs_automation&amp;hsCtaTracking=2e94ebfc-d414-4389-870c-d2f266a9420b%7C587ac4dc-a49a-4bdc-b449-e36f5d95395b" TargetMode="External"/><Relationship Id="rId225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585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32" Type="http://schemas.openxmlformats.org/officeDocument/2006/relationships/hyperlink" Target="https://resources.simonelectric.com/simon-material-formativo-vehiculo-electrico?utm_campaign=SIC%20-%20Veh%C3%ADculo%20El%C3%A9ctrico&amp;utm_medium=email&amp;_hsenc=p2ANqtz-_pwjOObgx6eBbrTl3dJy5aQKf-eYaSBM3IP9J4yC9N4zWOpIFHr9bVfiNHsAJGgSvTunvzvXqzu44PJP8gXLQG0U6meNkRI_Wxr7xHK7p4B-evJhY&amp;_hsmi=89403925&amp;utm_content=89403925&amp;utm_source=hs_email&amp;hsCtaTracking=f8a31ce8-daf1-4d69-a5d6-c3349f3aab91%7C75f9b9fd-a2b2-4ad4-9d4a-0dcb7c99194f" TargetMode="External"/><Relationship Id="rId225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588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331" Type="http://schemas.openxmlformats.org/officeDocument/2006/relationships/hyperlink" Target="https://resources.simonelectric.com/simon-ebook-vehiculo-electrico" TargetMode="External"/><Relationship Id="rId2257" Type="http://schemas.openxmlformats.org/officeDocument/2006/relationships/hyperlink" Target="https://resources.simonelectric.com/simon-ebook-vehiculo-electrico?utm_campaign=SIC%20-%20Veh%C3%ADculo%20El%C3%A9ctrico&amp;utm_medium=email&amp;_hsenc=p2ANqtz-9D3hkTxYupgrpKoJD3NCuvwWbzxXin5EfAaClJVhIFB224w_RGFDRJgdFQX0EY-Y3nVb5eohABxlHP4ajY6JAW2kR9kQ&amp;_hsmi=71033675&amp;utm_source=hs_automation&amp;utm_content=71033675&amp;hsCtaTracking=2e94ebfc-d414-4389-870c-d2f266a9420b%7C587ac4dc-a49a-4bdc-b449-e36f5d95395b" TargetMode="External"/><Relationship Id="rId3587" Type="http://schemas.openxmlformats.org/officeDocument/2006/relationships/hyperlink" Target="https://resources.simonelectric.com/simon-ebook-vehiculo-electrico-0?gclid=EAIaIQobChMImZSD5Knr5wIVBfzVCh1dbAZNEAEYASAAEgKMTPD_BwE" TargetMode="External"/><Relationship Id="rId370" Type="http://schemas.openxmlformats.org/officeDocument/2006/relationships/hyperlink" Target="https://resources.simonelectric.com/simon-material-formativo-vehiculo-electrico?utm_campaign=SIC%20-%20Veh%C3%ADculo%20El%C3%A9ctrico&amp;utm_medium=email&amp;_hsmi=89403925&amp;_hsenc=p2ANqtz-8o56G7rDbbzSHSIN7AnlELvtPzGzjMrkj7R1iMZcXU-n8M6jHTr-DS8UKpwhcD9D5F05DOkGaHbkonlCqtKokNySndOgo38ZqLl5ivJzls2OEsyfQ&amp;utm_content=89403925&amp;utm_source=hs_email" TargetMode="External"/><Relationship Id="rId369" Type="http://schemas.openxmlformats.org/officeDocument/2006/relationships/hyperlink" Target="https://resources.simonelectric.com/simon-material-formativo-vehiculo-electrico?utm_campaign=SIC%20-%20Veh%C3%ADculo%20El%C3%A9ctrico&amp;utm_medium=email&amp;_hsmi=89403925&amp;_hsenc=p2ANqtz--qgAjGnGW7X9-P9tGPdE04XZSno9asnA3jtMjUNlCAZA5f08p4G9xZnsCUTIMqWXuXY1pIegFiTY2PSTBQHSDsxdu4Fg&amp;utm_content=89403925&amp;utm_source=hs_email" TargetMode="External"/><Relationship Id="rId368" Type="http://schemas.openxmlformats.org/officeDocument/2006/relationships/hyperlink" Target="https://resources.simonelectric.com/simon-material-formativo-vehiculo-electrico?utm_campaign=SIC%20-%20Veh%C3%ADculo%20El%C3%A9ctrico&amp;utm_medium=email&amp;_hsenc=p2ANqtz-8UZvAvpmfWwYOWjDUETIT1pQFSbNxhE0En0BCezlLdeltfgzDZmCJugaklm7oHTwTblxtWQ3dWPDJ6xWnC5pzQVuu5c8vvgveJ2K6gq6HJYZaxDHk&amp;_hsmi=89403925&amp;utm_content=89403925&amp;utm_source=hs_email&amp;hsCtaTracking=f8a31ce8-daf1-4d69-a5d6-c3349f3aab91%7C75f9b9fd-a2b2-4ad4-9d4a-0dcb7c99194f" TargetMode="External"/><Relationship Id="rId2280" Type="http://schemas.openxmlformats.org/officeDocument/2006/relationships/hyperlink" Target="https://resources.simonelectric.com/simon-ebook-vehiculo-electrico?utm_campaign=SIC%20-%20Veh%C3%ADculo%20El%C3%A9ctrico&amp;utm_medium=email&amp;_hsenc=p2ANqtz-_AYVYJwGpdp7pcEcDIDSEy62rPKIxOoIC6lgnPLShPMXrcCsotfqP0tkh2vnyOyq49FLdMn07jEYw8omh4eJ8phP6YXqP2GDnT2LZqmwhGuxUDjFA&amp;_hsmi=71033675&amp;utm_source=hs_automation&amp;utm_content=71033675&amp;hsCtaTracking=2e94ebfc-d414-4389-870c-d2f266a9420b%7C587ac4dc-a49a-4bdc-b449-e36f5d95395b" TargetMode="External"/><Relationship Id="rId2281" Type="http://schemas.openxmlformats.org/officeDocument/2006/relationships/hyperlink" Target="https://resources.simonelectric.com/simon-ebook-vehiculo-electrico?utm_campaign=SIC%20-%20Veh%C3%ADculo%20El%C3%A9ctrico&amp;utm_medium=email&amp;_hsenc=p2ANqtz-_d6SjrlNE6uZR4D513I7QXzYB8gtHDKnQvZhrmdkM4w89_2pniPdSUscGgtzIf-vqX7-_B2CBvlK4l6lCJdI9k-8gZwMCwD3oQbunqpcAB7L2YVlE&amp;_hsmi=71033675&amp;utm_source=hs_automation&amp;utm_content=71033675&amp;hsCtaTracking=2e94ebfc-d414-4389-870c-d2f266a9420b%7C587ac4dc-a49a-4bdc-b449-e36f5d95395b" TargetMode="External"/><Relationship Id="rId2282" Type="http://schemas.openxmlformats.org/officeDocument/2006/relationships/hyperlink" Target="https://resources.simonelectric.com/simon-ebook-vehiculo-electrico?utm_campaign=SIC%20-%20Veh%C3%ADculo%20El%C3%A9ctrico&amp;utm_medium=email&amp;_hsenc=p2ANqtz-817VwrXu-A7Fb-xry4FWMWsLtcFRVfeJST_iyCRsXUZRbqbPEESAYJ24sDDU5A9KbQDVqcq6FPhVc33t-h70_Fv9MiCQ&amp;_hsmi=71033675&amp;utm_source=hs_automation&amp;utm_content=71033675&amp;hsCtaTracking=2e94ebfc-d414-4389-870c-d2f266a9420b%7C587ac4dc-a49a-4bdc-b449-e36f5d95395b" TargetMode="External"/><Relationship Id="rId363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283" Type="http://schemas.openxmlformats.org/officeDocument/2006/relationships/hyperlink" Target="https://resources.simonelectric.com/simon-ebook-vehiculo-electrico?utm_campaign=SIC%20-%20Veh%C3%ADculo%20El%C3%A9ctrico&amp;utm_medium=email&amp;_hsenc=p2ANqtz-98TuU5RabGI1XLqPudpeI7-FXCNOXnBgKP762eIupQRztlzaizTuiYaktysTzFFChEMH8ciC28Y8sBv6nYD1tvkobHWSbaCKgGraDo662tYRlfv5A&amp;_hsmi=71033675&amp;utm_source=hs_automation&amp;utm_content=71033675&amp;hsCtaTracking=2e94ebfc-d414-4389-870c-d2f266a9420b%7C587ac4dc-a49a-4bdc-b449-e36f5d95395b" TargetMode="External"/><Relationship Id="rId362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284" Type="http://schemas.openxmlformats.org/officeDocument/2006/relationships/hyperlink" Target="https://resources.simonelectric.com/simon-ebook-vehiculo-electrico?utm_campaign=SIC%20-%20Veh%C3%ADculo%20El%C3%A9ctrico&amp;utm_medium=email&amp;_hsenc=p2ANqtz--Rqy6WB-VTmGHvCMBDZqwVkK5yFum-LOhN1-oB56hSpQrEgxnLEDJq_LiI_p6C7ROGQ03vx2pg3O7IDFUxUaOEH9d1Yg&amp;_hsmi=71033675&amp;utm_source=hs_automation&amp;utm_content=71033675&amp;hsCtaTracking=2e94ebfc-d414-4389-870c-d2f266a9420b%7C587ac4dc-a49a-4bdc-b449-e36f5d95395b" TargetMode="External"/><Relationship Id="rId361" Type="http://schemas.openxmlformats.org/officeDocument/2006/relationships/hyperlink" Target="https://resources.simonelectric.com/simon-ebook-vehiculo-electrico-0?gclid=EAIaIQobChMI6qHb1rL_6QIVQAUGAB38lAm6EAEYASAAEgKEEfD_BwE" TargetMode="External"/><Relationship Id="rId2285" Type="http://schemas.openxmlformats.org/officeDocument/2006/relationships/hyperlink" Target="https://resources.simonelectric.com/simon-ebook-vehiculo-electrico?utm_campaign=SIC%20-%20Veh%C3%ADculo%20El%C3%A9ctrico&amp;utm_medium=email&amp;_hsenc=p2ANqtz-_FMHur286Lhnws7z7rNm7BL27n3mOv3niUcBWQYvNLHkrjjALo2EixKZWNy65MZRA2lbbivILfiHP4PGwtqcnOb5Ln4dnl4jZ8W6Bt7cWTUUEYdMo&amp;_hsmi=71033675&amp;utm_source=hs_automation&amp;utm_content=71033675&amp;hsCtaTracking=2e94ebfc-d414-4389-870c-d2f266a9420b%7C587ac4dc-a49a-4bdc-b449-e36f5d95395b" TargetMode="External"/><Relationship Id="rId360" Type="http://schemas.openxmlformats.org/officeDocument/2006/relationships/hyperlink" Target="https://resources.simonelectric.com/simon-material-formativo-vehiculo-electrico?utm_campaign=SIC%20-%20Veh%C3%ADculo%20El%C3%A9ctrico&amp;utm_medium=email&amp;_hsenc=p2ANqtz--fbe1FysoXvQdK_vVJhN5c1cMlAbNt7tIdh2xXJYPkd7Q2MMLnYZtiLcYsM3IgaipmK9eo1CA51iil4l06PGNG_DtXpA&amp;_hsmi=89403925&amp;utm_content=89403925&amp;utm_source=hs_email&amp;hsCtaTracking=f8a31ce8-daf1-4d69-a5d6-c3349f3aab91%7C75f9b9fd-a2b2-4ad4-9d4a-0dcb7c99194f" TargetMode="External"/><Relationship Id="rId228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67" Type="http://schemas.openxmlformats.org/officeDocument/2006/relationships/hyperlink" Target="https://resources.simonelectric.com/simon-material-formativo-vehiculo-electrico?utm_campaign=SIC%20-%20Veh%C3%ADculo%20El%C3%A9ctrico&amp;utm_medium=email&amp;_hsenc=p2ANqtz--Rfl-5FEOkeg1uHUzRVzSO0DAsOmh2Kw1c6wFdHqc8A6E9EtUngqp1gN8hSIANiKWSrJgLCwXNwCs-MtWbnhETijCgvQ&amp;_hsmi=89403925&amp;utm_content=89403925&amp;utm_source=hs_email&amp;hsCtaTracking=f8a31ce8-daf1-4d69-a5d6-c3349f3aab91%7C75f9b9fd-a2b2-4ad4-9d4a-0dcb7c99194f" TargetMode="External"/><Relationship Id="rId2287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_AYVYJwGpdp7pcEcDIDSEy62rPKIxOoIC6lgnPLShPMXrcCsotfqP0tkh2vnyOyq49FLdMn07jEYw8omh4eJ8phP6YXqP2GDnT2LZqmwhGuxUDjFA&amp;_hsmi=71033675" TargetMode="External"/><Relationship Id="rId36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288" Type="http://schemas.openxmlformats.org/officeDocument/2006/relationships/hyperlink" Target="https://resources.simonelectric.com/simon-ebook-vehiculo-electrico?utm_campaign=SIC%20-%20Veh%C3%ADculo%20El%C3%A9ctrico&amp;utm_medium=email&amp;_hsenc=p2ANqtz-_trVjPyqdMMp9UzcAAAQBkLn34DVVBcujiVu-aX0QXpNWNMWuelSDZBc8TwCgWE_7WQO_imyqVe76ZpkPVtpsBGk0YAQ5VpUv1tM2OTbbcGh602VQ&amp;_hsmi=71033675&amp;utm_source=hs_automation&amp;utm_content=71033675&amp;hsCtaTracking=2e94ebfc-d414-4389-870c-d2f266a9420b%7C587ac4dc-a49a-4bdc-b449-e36f5d95395b" TargetMode="External"/><Relationship Id="rId365" Type="http://schemas.openxmlformats.org/officeDocument/2006/relationships/hyperlink" Target="https://resources.simonelectric.com/simon-material-formativo-vehiculo-electrico?utm_campaign=SIC%20-%20Veh%C3%ADculo%20El%C3%A9ctrico&amp;utm_medium=email&amp;_hsmi=89403925&amp;_hsenc=p2ANqtz-_toWbKrkvjDXz5EhQ9UbabmOSNEUZkqeJbnvuhoZyNnu0MZmjBUIkT6GTLdiuWtk4TBkv6VJDLEXMAjXkmalqfvcIq4w&amp;utm_content=89403925&amp;utm_source=hs_email" TargetMode="External"/><Relationship Id="rId2289" Type="http://schemas.openxmlformats.org/officeDocument/2006/relationships/hyperlink" Target="https://resources.simonelectric.com/simon-ebook-vehiculo-electrico?utm_campaign=SIC%20-%20Veh%C3%ADculo%20El%C3%A9ctrico&amp;utm_medium=email&amp;_hsenc=p2ANqtz-9hDVZpBx62dz63zEGlfSK3s7DdEYebJmdkr8qpRZ75CytwKzS-c8EPFjKbNO0aiEzJ_xfKUcwElh6wxMnYxQpM2nxn3Q&amp;_hsmi=71033675&amp;utm_source=hs_automation&amp;utm_content=71033675&amp;hsCtaTracking=2e94ebfc-d414-4389-870c-d2f266a9420b%7C587ac4dc-a49a-4bdc-b449-e36f5d95395b" TargetMode="External"/><Relationship Id="rId364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DmcT_iH2yd58Bi8ZdtSh2adtEojwGnyzfgV9kBTU9BSWRoJkSacCUNViy5HAdFmBROeptkTFoUP_9aklttT_uuHyp0Q&amp;_hsmi=88328232" TargetMode="External"/><Relationship Id="rId95" Type="http://schemas.openxmlformats.org/officeDocument/2006/relationships/hyperlink" Target="https://resources.simonelectric.com/simon-ebook-vehiculo-electrico?utm_campaign=SIC%20-%20Veh%C3%ADculo%20El%C3%A9ctrico&amp;utm_medium=email&amp;_hsenc=p2ANqtz--EqEVNejKUZDyMUccz6b6N_fQsE8CPeMgbT7RFy_CDmu_Rpu-z2DCK9SGDkhEtxN7VXutW7YUXGABt3gbED4HUT1tZXA&amp;_hsmi=71033675&amp;utm_content=71033675&amp;utm_source=hs_automation&amp;hsCtaTracking=2e94ebfc-d414-4389-870c-d2f266a9420b%7C587ac4dc-a49a-4bdc-b449-e36f5d95395b" TargetMode="External"/><Relationship Id="rId94" Type="http://schemas.openxmlformats.org/officeDocument/2006/relationships/hyperlink" Target="https://resources.simonelectric.com/simon-material-formativo-vehiculo-electrico?utm_campaign=SIC%20-%20Veh%C3%ADculo%20El%C3%A9ctrico&amp;utm_medium=email&amp;_hsenc=p2ANqtz--pmAFdNTLv5RF0HAJ2sVzAn86Zyoxjle-mUs4sqgaoN1Ovct3YzQm78xOKSRML9-ICjURPYH_jpWdqS5_ae48hDmqzi2KOFz1BesclvPsRpim_krY&amp;_hsmi=89784488&amp;utm_content=89784488&amp;utm_source=hs_email&amp;hsCtaTracking=f8a31ce8-daf1-4d69-a5d6-c3349f3aab91%7C75f9b9fd-a2b2-4ad4-9d4a-0dcb7c99194f" TargetMode="External"/><Relationship Id="rId97" Type="http://schemas.openxmlformats.org/officeDocument/2006/relationships/hyperlink" Target="https://resources.simonelectric.com/simon-ebook-vehiculo-electrico?utm_campaign=SIC%20-%20Veh%C3%ADculo%20El%C3%A9ctrico&amp;utm_medium=email&amp;_hsenc=p2ANqtz-8LAH49wwGVzo9gEBCZurS5A3FLWd4OUrPTulJ8BMmg1n08ooQF5Z74rOL2f1cQKk8UfgT0FKHSVoNpP4mN6pEr2ZRDgQ&amp;_hsmi=71033675&amp;utm_content=71033675&amp;utm_source=hs_automation&amp;hsCtaTracking=2e94ebfc-d414-4389-870c-d2f266a9420b%7C587ac4dc-a49a-4bdc-b449-e36f5d95395b" TargetMode="External"/><Relationship Id="rId96" Type="http://schemas.openxmlformats.org/officeDocument/2006/relationships/hyperlink" Target="https://resources.simonelectric.com/simon-ebook-vehiculo-electrico?utm_campaign=SIC%20-%20Veh%C3%ADculo%20El%C3%A9ctrico&amp;utm_medium=email&amp;_hsenc=p2ANqtz-8LwgOuaryJ3urjOAuhiaIXQpPzcOmrD1e1VjKI9C_hc0lonkFQiCnEpbXCRSFqG5ptFsg3jpP7N4IRmrt2rTT_syUGwg&amp;_hsmi=71033675&amp;utm_content=71033675&amp;utm_source=hs_automation&amp;hsCtaTracking=2e94ebfc-d414-4389-870c-d2f266a9420b%7C587ac4dc-a49a-4bdc-b449-e36f5d95395b" TargetMode="External"/><Relationship Id="rId99" Type="http://schemas.openxmlformats.org/officeDocument/2006/relationships/hyperlink" Target="https://resources.simonelectric.com/simon-ebook-vehiculo-electrico?utm_campaign=SIC%20-%20Veh%C3%ADculo%20El%C3%A9ctrico&amp;utm_medium=email&amp;_hsenc=p2ANqtz-8_kTW4tuQj3Vg2NkuLyU_GfvjIdh3cZI4-CLGObAggCbqvB0ZPfW0BjFYMk_u2S9Cn6QDS58Spk2OfKz_TUITNuQlncw&amp;_hsmi=71033675&amp;utm_content=71033675&amp;utm_source=hs_automation&amp;hsCtaTracking=2e94ebfc-d414-4389-870c-d2f266a9420b%7C587ac4dc-a49a-4bdc-b449-e36f5d95395b" TargetMode="External"/><Relationship Id="rId98" Type="http://schemas.openxmlformats.org/officeDocument/2006/relationships/hyperlink" Target="https://resources.simonelectric.com/simon-ebook-vehiculo-electrico?utm_campaign=SIC%20-%20Veh%C3%ADculo%20El%C3%A9ctrico&amp;utm_medium=email&amp;_hsenc=p2ANqtz-_h__pc1zOcXC2UpQmJtquqGU4knQHNbK3w5PsnfRSS9hFOntRowQDG8BG7Z0ZhmiD-B-ZtrCtBXdnnQFkvpvYuCyHt2Q&amp;_hsmi=71033675&amp;utm_content=71033675&amp;utm_source=hs_automation&amp;hsCtaTracking=2e94ebfc-d414-4389-870c-d2f266a9420b%7C587ac4dc-a49a-4bdc-b449-e36f5d95395b" TargetMode="External"/><Relationship Id="rId91" Type="http://schemas.openxmlformats.org/officeDocument/2006/relationships/hyperlink" Target="https://resources.simonelectric.com/simon-ebook-vehiculo-electrico?utm_campaign=SIC%20-%20Veh%C3%ADculo%20El%C3%A9ctrico&amp;utm_medium=email&amp;_hsenc=p2ANqtz-8d2lFw2UouKAajJcQ8B2iiRnYOBsUnich38g5wxITxpNzBcNcaINSsnvll5438UUD3xN-ACApWSPPJOwyiqLmaD1JNXb29wmoN9AqV7uW6ZFptrUU&amp;_hsmi=71033675&amp;utm_content=71033675&amp;utm_source=hs_automation&amp;hsCtaTracking=2e94ebfc-d414-4389-870c-d2f266a9420b%7C587ac4dc-a49a-4bdc-b449-e36f5d95395b" TargetMode="External"/><Relationship Id="rId90" Type="http://schemas.openxmlformats.org/officeDocument/2006/relationships/hyperlink" Target="https://resources.simonelectric.com/simon-ebook-vehiculo-electrico?utm_campaign=SIC%20-%20Veh%C3%ADculo%20El%C3%A9ctrico&amp;utm_medium=email&amp;_hsenc=p2ANqtz-_2YeCA471Wfs8AuGFg6tQmrf8BTWBzQ7tr-K1CiYAPXw3A-6kVs6o-O3EGQxYgqyHLEBYGmpG41E--RNxY4eLrjkhxng&amp;_hsmi=71033675&amp;utm_content=71033675&amp;utm_source=hs_automation&amp;hsCtaTracking=2e94ebfc-d414-4389-870c-d2f266a9420b%7C587ac4dc-a49a-4bdc-b449-e36f5d95395b" TargetMode="External"/><Relationship Id="rId93" Type="http://schemas.openxmlformats.org/officeDocument/2006/relationships/hyperlink" Target="https://resources.simonelectric.com/simon-ebook-vehiculo-electrico?utm_campaign=SIC%20-%20Veh%C3%ADculo%20El%C3%A9ctrico&amp;utm_medium=email&amp;_hsenc=p2ANqtz-9cXZng31wVescWOquMV7kFLRE28jgZyxFfzvJlw-mPvzjIkn1SjJQnJSopvssYLVmF6osw_LLfmZuDgUCOoJulFzoETpQQQRAJWpd81PqYguj8H_o&amp;_hsmi=71033675&amp;utm_content=71033675&amp;utm_source=hs_automation&amp;hsCtaTracking=2e94ebfc-d414-4389-870c-d2f266a9420b%7C587ac4dc-a49a-4bdc-b449-e36f5d95395b" TargetMode="External"/><Relationship Id="rId92" Type="http://schemas.openxmlformats.org/officeDocument/2006/relationships/hyperlink" Target="https://resources.simonelectric.com/simon-ebook-vehiculo-electrico?utm_campaign=SIC%20-%20Veh%C3%ADculo%20El%C3%A9ctrico&amp;utm_medium=email&amp;_hsenc=p2ANqtz-9W-e-8r44vgtRdqqpEkJ-ryHjMU5QN5hbComOXFLHOFyqzAeCMOxcg4n2K5SbI9KlPSAtYrrzyuDK8dObwn4yBoCk4_Q&amp;_hsmi=71033675&amp;utm_content=71033675&amp;utm_source=hs_automation&amp;hsCtaTracking=2e94ebfc-d414-4389-870c-d2f266a9420b%7C587ac4dc-a49a-4bdc-b449-e36f5d95395b" TargetMode="External"/><Relationship Id="rId359" Type="http://schemas.openxmlformats.org/officeDocument/2006/relationships/hyperlink" Target="https://resources.simonelectric.com/simon-ebook-vehiculo-electrico?utm_referrer=https%3A%2F%2Fwww.simonelectric.com%2Fblog%2Fcargador-del-vehiculo-electrico-y-transicion-la-movilidad-electrica%3Futm_campaign%3DSIC%2520-%2520Blog%2520digest%26utm_medium%3Demail%26_hsmi%3D88911100%26_hsenc%3Dp2ANqtz-8YK8-V4uEhatxB1TOCpuE8uHYxQgcs3Pc8aEaIdBF1JeuyY7yD7RtKYWYeBCrPTbHDnfQ6b9a1G718jVj2dLHS9pS9eA%26utm_content%3D88911100%26utm_source%3Dhs_email" TargetMode="External"/><Relationship Id="rId358" Type="http://schemas.openxmlformats.org/officeDocument/2006/relationships/hyperlink" Target="https://resources.simonelectric.com/simon-material-formativo-vehiculo-electrico?utm_campaign=SIC%20-%20Veh%C3%ADculo%20El%C3%A9ctrico&amp;utm_medium=email&amp;_hsenc=p2ANqtz--EocdgJLkJ37VmKlIJlzILYM6ywheDIvSP6RxLNrCzCL5wI0PT9jC1ETnIuTojvfnCbYVwsR1YgtsLiqsm6u7Lz73pfg&amp;_hsmi=89403925&amp;utm_content=89403925&amp;utm_source=hs_email&amp;hsCtaTracking=f8a31ce8-daf1-4d69-a5d6-c3349f3aab91%7C75f9b9fd-a2b2-4ad4-9d4a-0dcb7c99194f" TargetMode="External"/><Relationship Id="rId357" Type="http://schemas.openxmlformats.org/officeDocument/2006/relationships/hyperlink" Target="https://resources.simonelectric.com/simon-ebook-vehiculo-electrico?utm_campaign=SIC%20-%20Veh%C3%ADculo%20El%C3%A9ctrico&amp;utm_medium=email&amp;_hsenc=p2ANqtz--J7uDo1yX-bVxXEHms-AYVq9bTqg1zDxSjGWHWcHkC9zk8HN7wRXgaaoeY3Qtro7ooLQ7jrV-OMsU6t5TRvyMdKpVvdQ&amp;_hsmi=71033675&amp;utm_content=71033675&amp;utm_source=hs_automation&amp;hsCtaTracking=2e94ebfc-d414-4389-870c-d2f266a9420b%7C587ac4dc-a49a-4bdc-b449-e36f5d95395b" TargetMode="External"/><Relationship Id="rId2270" Type="http://schemas.openxmlformats.org/officeDocument/2006/relationships/hyperlink" Target="https://resources.simonelectric.com/simon-ebook-vehiculo-electrico?utm_campaign=SIC%20-%20Veh%C3%ADculo%20El%C3%A9ctrico&amp;utm_medium=email&amp;_hsenc=p2ANqtz-_iUHOtomX0ZYYqrXCJvxI_G1MvrR18mtMCEz6yNRu0VpTiaz2cNvMmI5XPGkFzrUiz8SsNx2eCeAI6zcGp3kvxN0lBJA&amp;_hsmi=71033675&amp;utm_source=hs_automation&amp;utm_content=71033675&amp;hsCtaTracking=2e94ebfc-d414-4389-870c-d2f266a9420b%7C587ac4dc-a49a-4bdc-b449-e36f5d95395b" TargetMode="External"/><Relationship Id="rId2271" Type="http://schemas.openxmlformats.org/officeDocument/2006/relationships/hyperlink" Target="https://resources.simonelectric.com/simon-ebook-vehiculo-electrico?utm_campaign=SIC%20-%20Veh%C3%ADculo%20El%C3%A9ctrico&amp;utm_medium=email&amp;_hsenc=p2ANqtz-_92JEjiDwwoH2yOtP1jeG7YhuF4tDnotZOPod9OBNeofPgrHji41SIXsOFedDOQqm9FIMvZ9JTyx_NCc2g__aaHTFdbA&amp;_hsmi=71033675&amp;utm_source=hs_automation&amp;utm_content=71033675&amp;hsCtaTracking=2e94ebfc-d414-4389-870c-d2f266a9420b%7C587ac4dc-a49a-4bdc-b449-e36f5d95395b" TargetMode="External"/><Relationship Id="rId352" Type="http://schemas.openxmlformats.org/officeDocument/2006/relationships/hyperlink" Target="https://resources.simonelectric.com/simon-ebook-vehiculo-electrico?utm_campaign=SIC%20-%20Veh%C3%ADculo%20El%C3%A9ctrico&amp;utm_medium=email&amp;_hsmi=71033675&amp;_hsenc=p2ANqtz-8rkvAUBohYvR947KFrR_l6htzgC9diHHZ1YTOUH0PY8pW7zoo1tLLcRo3Lzm7UvgBlrL4eqYX06cuYGPLAIRS7nK2m0mkCUEi9VfUi6Z2OHec072Y&amp;utm_content=71033675&amp;utm_source=hs_automation" TargetMode="External"/><Relationship Id="rId2272" Type="http://schemas.openxmlformats.org/officeDocument/2006/relationships/hyperlink" Target="https://resources.simonelectric.com/simon-ebook-vehiculo-electrico?utm_campaign=SIC%20-%20Veh%C3%ADculo%20El%C3%A9ctrico&amp;utm_medium=email&amp;_hsenc=p2ANqtz--BJ3MZUYv7Bzz7-CAdlyb7XzxZF1DyP2TII9eVI14QTijM3kyNwJsCTRJ1vl3NQEUvtQclI9ua5JqF9mRYxjuq-uRn2TVKKr3T6z19xFCy55sONy4&amp;_hsmi=71033675&amp;utm_source=hs_automation&amp;utm_content=71033675&amp;hsCtaTracking=2e94ebfc-d414-4389-870c-d2f266a9420b%7C587ac4dc-a49a-4bdc-b449-e36f5d95395b" TargetMode="External"/><Relationship Id="rId351" Type="http://schemas.openxmlformats.org/officeDocument/2006/relationships/hyperlink" Target="https://resources.simonelectric.com/simon-ebook-vehiculo-electrico?utm_campaign=SIC%20-%20Veh%C3%ADculo%20El%C3%A9ctrico&amp;utm_medium=email&amp;_hsmi=71033675&amp;_hsenc=p2ANqtz--R2KZ1y11XWg5PHFCqji5QTMtDgn1iI193OHPo5EcwhpGz4XVHRBPj6VVkEueygFf-8L-CDvGFtrvorkMjvnoc4p6qnQ&amp;utm_content=71033675&amp;utm_source=hs_automation" TargetMode="External"/><Relationship Id="rId2273" Type="http://schemas.openxmlformats.org/officeDocument/2006/relationships/hyperlink" Target="https://resources.simonelectric.com/simon-ebook-vehiculo-electrico?utm_campaign=SIC%20-%20Veh%C3%ADculo%20El%C3%A9ctrico&amp;utm_medium=email&amp;_hsenc=p2ANqtz-_ozZLPtTudSx5yYcUYQI966TX4h4Ah3tHFTdAWIhdg6ecCg3WcUQauEc964PtSQundyc6J4KPuZvyHDGdnzj2ke_HuB_HUJAvo53bu80hGnwsYzW8&amp;_hsmi=71033675&amp;utm_source=hs_automation&amp;utm_content=71033675&amp;hsCtaTracking=2e94ebfc-d414-4389-870c-d2f266a9420b%7C587ac4dc-a49a-4bdc-b449-e36f5d95395b" TargetMode="External"/><Relationship Id="rId350" Type="http://schemas.openxmlformats.org/officeDocument/2006/relationships/hyperlink" Target="https://resources.simonelectric.com/simon-ebook-vehiculo-electrico?utm_campaign=SIC%20-%20Veh%C3%ADculo%20El%C3%A9ctrico&amp;utm_medium=email&amp;_hsmi=71033675&amp;_hsenc=p2ANqtz-9IVTERC9wwpxoFGphA5olYTYgtdeAHfkA0VlvtpHaUx5lGoH76YMipPbxY1e9zTookcXn-Z8u_xSo_a-thExKgjp25mPHugE02SedyOFj0FvruPV8&amp;utm_content=71033675&amp;utm_source=hs_automation" TargetMode="External"/><Relationship Id="rId2274" Type="http://schemas.openxmlformats.org/officeDocument/2006/relationships/hyperlink" Target="https://resources.simonelectric.com/simon-ebook-vehiculo-electrico?utm_campaign=SIC%20-%20Veh%C3%ADculo%20El%C3%A9ctrico&amp;utm_medium=email&amp;_hsenc=p2ANqtz-_XCotUjyuUH2raIWhQN_0vpXGExV1vf2hzir8dhoH7X5UW4hjDJ4mEOHWpVUVhtqHh8J2wNvHIAo2s1_5Cu-94yv1Y5w&amp;_hsmi=71033675&amp;utm_source=hs_automation&amp;utm_content=71033675&amp;hsCtaTracking=2e94ebfc-d414-4389-870c-d2f266a9420b%7C587ac4dc-a49a-4bdc-b449-e36f5d95395b" TargetMode="External"/><Relationship Id="rId2275" Type="http://schemas.openxmlformats.org/officeDocument/2006/relationships/hyperlink" Target="https://resources.simonelectric.com/simon-ebook-vehiculo-electrico?utm_campaign=SIC%20-%20Veh%C3%ADculo%20El%C3%A9ctrico&amp;utm_medium=email&amp;_hsenc=p2ANqtz--rtVg_v9EZUwYbHVbgjPUGyM55N_FWVdSoKd4EaXLNFs4odH-hnNsB4wpPVLPY17MBHFd_VIHlboJ6vi0qcrD7agxMKQ&amp;_hsmi=71033675&amp;utm_source=hs_automation&amp;utm_content=71033675&amp;hsCtaTracking=2e94ebfc-d414-4389-870c-d2f266a9420b%7C587ac4dc-a49a-4bdc-b449-e36f5d95395b" TargetMode="External"/><Relationship Id="rId356" Type="http://schemas.openxmlformats.org/officeDocument/2006/relationships/hyperlink" Target="https://resources.simonelectric.com/simon-ebook-vehiculo-electrico?utm_campaign=SIC%20-%20Veh%C3%ADculo%20El%C3%A9ctrico&amp;utm_medium=email&amp;_hsenc=p2ANqtz-9B09MNZaXmT0TZEiHilG2yCJRDyilkH5sPoFgrrXTeVaCXZgCKjqNoaDCZb6wOETKI9A-LcpJPtSUU-4M8NIhMhFTBBgXW2hXuxUh4ysNXZeZs9-0&amp;_hsmi=71033675&amp;utm_content=71033675&amp;utm_source=hs_automation&amp;hsCtaTracking=2e94ebfc-d414-4389-870c-d2f266a9420b%7C587ac4dc-a49a-4bdc-b449-e36f5d95395b" TargetMode="External"/><Relationship Id="rId2276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-pQY6KHpxvX1FiA_ZqGF_vpta29ArKHgRpdSGF9ZeMKQHqRu4CHVNsrijKBDGIYfKMQ05cIz_LFPPWvwhz3Usz-Hrwhw%26_hsmi%3D71033828" TargetMode="External"/><Relationship Id="rId355" Type="http://schemas.openxmlformats.org/officeDocument/2006/relationships/hyperlink" Target="https://resources.simonelectric.com/simon-ebook-vehiculo-electrico?utm_campaign=SIC%20-%20Veh%C3%ADculo%20El%C3%A9ctrico&amp;utm_medium=email&amp;_hsenc=p2ANqtz-9LISk-yrBOhDYat3I1b77K_65DB0ul4uyVtF4gtve4pbvZvJaNPKd5j9hemdL4B3ARin-1ef3rdcDJpA-_sXqVoG5gIg&amp;_hsmi=71033675&amp;utm_content=71033675&amp;utm_source=hs_automation&amp;hsCtaTracking=2e94ebfc-d414-4389-870c-d2f266a9420b%7C587ac4dc-a49a-4bdc-b449-e36f5d95395b" TargetMode="External"/><Relationship Id="rId2277" Type="http://schemas.openxmlformats.org/officeDocument/2006/relationships/hyperlink" Target="https://resources.simonelectric.com/simon-material-formativo-vehiculo-electrico" TargetMode="External"/><Relationship Id="rId354" Type="http://schemas.openxmlformats.org/officeDocument/2006/relationships/hyperlink" Target="https://resources.simonelectric.com/simon-ebook-vehiculo-electrico?utm_campaign=SIC%20-%20Veh%C3%ADculo%20El%C3%A9ctrico&amp;utm_medium=email&amp;_hsenc=p2ANqtz-8XL2HE3Csi0xpcje-yjbSgfTQMpYe3Uqm7S-1bCYb6OKFgUXmCq5yk8Zr7cfqfb7pTO_sP10mpzpk7LISrKYJn7jg6JFhEGHQqNBrk-YiNsol-XS4&amp;_hsmi=71033675&amp;utm_content=71033675&amp;utm_source=hs_automation&amp;hsCtaTracking=2e94ebfc-d414-4389-870c-d2f266a9420b%7C587ac4dc-a49a-4bdc-b449-e36f5d95395b" TargetMode="External"/><Relationship Id="rId2278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8SwMQoFLdG4jDJvIQnjurbIeT7ikjFgjP7way5pU5JXC4oXeblffGPYjXXmWbWGPBGz4zcCR_E82zGTP6bMRyFqwWoTnTUoM6IpR_UbH1GlC5wxvQ&amp;_hsmi=71033675" TargetMode="External"/><Relationship Id="rId35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279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_38gUcDGDvgX1G5XVODvQOw-XBnJmL4joz1ilso0f3_7PUaU9XZJKDvZoAdetep7h_rAKoDyLuIc91Be3LfPHfuMjXJg&amp;_hsmi=71034014" TargetMode="External"/><Relationship Id="rId2225" Type="http://schemas.openxmlformats.org/officeDocument/2006/relationships/hyperlink" Target="https://resources.simonelectric.com/simon-catalogo-vehiculo-electrico?utm_campaign=SIC%20-%20Veh%C3%ADculo%20El%C3%A9ctrico&amp;utm_medium=email&amp;_hsenc=p2ANqtz--hgM3ZZdkibnOt9GkFsdPja2Wbr__q5E2JEiPvrf35XMZ98MxJKx3IwSplQkKTDSDD11Gy&amp;_hsmi=87085363&amp;utm_content=87085363&amp;utm_source=hs_email&amp;hsCtaTracking=6fedf137-fd90-4f17-bfb4-d61f710ec7f8%7Cf2771843-6636-4969-9010-2d8d0389b89c" TargetMode="External"/><Relationship Id="rId3557" Type="http://schemas.openxmlformats.org/officeDocument/2006/relationships/hyperlink" Target="https://resources.simonelectric.com/simon-ebook-vehiculo-electrico?utm_campaign=SIC%20-%20Veh%C3%ADculo%20El%C3%A9ctrico&amp;utm_medium=email&amp;_hsenc=p2ANqtz-_RW_rrYr6G6kfvnOlMt75_k7Z-yvF8PsnX2AeIp0GJ835lD2ZGuLSHzeBUPdDAZ8QtPF4mn8aLdPNj874H5Qdu3j9ijQ&amp;_hsmi=71033675&amp;utm_source=hs_automation&amp;utm_content=71033675&amp;hsCtaTracking=2e94ebfc-d414-4389-870c-d2f266a9420b%7C587ac4dc-a49a-4bdc-b449-e36f5d95395b" TargetMode="External"/><Relationship Id="rId2226" Type="http://schemas.openxmlformats.org/officeDocument/2006/relationships/hyperlink" Target="https://resources.simonelectric.com/simon-catalogo-vehiculo-electrico?utm_campaign=SIC%20-%20Veh%C3%ADculo%20El%C3%A9ctrico&amp;utm_medium=email&amp;_hsenc=p2ANqtz-8DJv7NUwIPEI2DRSdKDm77bvTNTjRlvrGmPIfRhM-cae7D7oP1hiC-q-oFtfl5tn6pgN62&amp;_hsmi=87085363&amp;utm_content=87085363&amp;utm_source=hs_email&amp;hsCtaTracking=6fedf137-fd90-4f17-bfb4-d61f710ec7f8%7Cf2771843-6636-4969-9010-2d8d0389b89c" TargetMode="External"/><Relationship Id="rId355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227" Type="http://schemas.openxmlformats.org/officeDocument/2006/relationships/hyperlink" Target="https://resources.simonelectric.com/simon-catalogo-vehiculo-electrico?utm_campaign=SIC%20-%20Veh%C3%ADculo%20El%C3%A9ctrico&amp;utm_medium=email&amp;_hsenc=p2ANqtz--BoVvwTzzyc3tEnl3EZ3FtujD3RbiWSN5wO6G5ufq-URRioMEm0rTLbm6CGzDXo-lvf1Rs&amp;_hsmi=87085363&amp;utm_content=87085363&amp;utm_source=hs_email&amp;hsCtaTracking=6fedf137-fd90-4f17-bfb4-d61f710ec7f8%7Cf2771843-6636-4969-9010-2d8d0389b89c" TargetMode="External"/><Relationship Id="rId3559" Type="http://schemas.openxmlformats.org/officeDocument/2006/relationships/hyperlink" Target="https://resources.simonelectric.com/simon-catalogo-vehiculo-electrico?__hstc=83084745.4ee18f2935770937b8ba0a9b13807818.1582794576502.1582794576502.1582794576502.1&amp;__hssc=83084745.2.1582794576503&amp;__hsfp=3512955578" TargetMode="External"/><Relationship Id="rId2228" Type="http://schemas.openxmlformats.org/officeDocument/2006/relationships/hyperlink" Target="https://resources.simonelectric.com/simon-catalogo-vehiculo-electrico?utm_campaign=SIC%20-%20Veh%C3%ADculo%20El%C3%A9ctrico&amp;utm_medium=email&amp;_hsenc=p2ANqtz-_FO0nOnFTwBon6XaokmFAw9ZEMLm4XGr78Y7TEtjnx8T5oC6u3mIjmSQhyqhD8PnkF9VLP&amp;_hsmi=87085363&amp;utm_content=87085363&amp;utm_source=hs_email&amp;hsCtaTracking=6fedf137-fd90-4f17-bfb4-d61f710ec7f8%7Cf2771843-6636-4969-9010-2d8d0389b89c" TargetMode="External"/><Relationship Id="rId3558" Type="http://schemas.openxmlformats.org/officeDocument/2006/relationships/hyperlink" Target="https://resources.simonelectric.com/simon-ebook-vehiculo-electrico" TargetMode="External"/><Relationship Id="rId2229" Type="http://schemas.openxmlformats.org/officeDocument/2006/relationships/hyperlink" Target="https://resources.simonelectric.com/simon-catalogo-vehiculo-electrico?utm_campaign=SIC%20-%20Veh%C3%ADculo%20El%C3%A9ctrico&amp;utm_medium=email&amp;_hsenc=p2ANqtz--TCsEr4UjL_dvxXh9VNYBmBtCdrBb6JkNPGce7SNW6Pnui25uA3umVlErsBRmDr9tCJsn5&amp;_hsmi=87085363&amp;utm_content=87085363&amp;utm_source=hs_email&amp;hsCtaTracking=6fedf137-fd90-4f17-bfb4-d61f710ec7f8%7Cf2771843-6636-4969-9010-2d8d0389b89c" TargetMode="External"/><Relationship Id="rId305" Type="http://schemas.openxmlformats.org/officeDocument/2006/relationships/hyperlink" Target="https://resources.simonelectric.com/simon-catalogo-vehiculo-electrico" TargetMode="External"/><Relationship Id="rId304" Type="http://schemas.openxmlformats.org/officeDocument/2006/relationships/hyperlink" Target="https://resources.simonelectric.com/simon-ebook-vehiculo-electrico" TargetMode="External"/><Relationship Id="rId303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302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medium%3Demail%26_hsmi%3D71033828%26_hsenc%3Dp2ANqtz-8aiL19YGaM9jV0sxDAufDWJciAvv4Kp30ZB8i0EFAimB7x13Jnys6izPBovlL289-xGIvdsVxPzQpJ5cv40ZocFBaAvg%26utm_content%3D71033828%26utm_source%3Dhs_automation" TargetMode="External"/><Relationship Id="rId309" Type="http://schemas.openxmlformats.org/officeDocument/2006/relationships/hyperlink" Target="https://resources.simonelectric.com/simon-material-formativo-vehiculo-electrico?utm_campaign=SIC%20-%20Veh%C3%ADculo%20El%C3%A9ctrico&amp;utm_medium=email&amp;_hsmi=89403925&amp;_hsenc=p2ANqtz--v7SF9pLo4ApElpzSd4qWLoaSoWc2gimjjQqWFw5iE4Kr7NAkkc61nwgBKtoO3h1jentvxZ7XNda2C0UTmsn7Yk_HGKQ&amp;utm_content=89403925&amp;utm_source=hs_email" TargetMode="External"/><Relationship Id="rId30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07" Type="http://schemas.openxmlformats.org/officeDocument/2006/relationships/hyperlink" Target="https://resources.simonelectric.com/simon-material-formativo-vehiculo-electrico" TargetMode="External"/><Relationship Id="rId30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551" Type="http://schemas.openxmlformats.org/officeDocument/2006/relationships/hyperlink" Target="https://resources.simonelectric.com/simon-catalogo-vehiculo-electrico?__hstc=83084745.1af2b3486dc1c20032337eee4876261e.1573577064871.1581955747648.1582830674492.18&amp;__hssc=83084745.5.1582830674492&amp;__hsfp=1183290012" TargetMode="External"/><Relationship Id="rId2220" Type="http://schemas.openxmlformats.org/officeDocument/2006/relationships/hyperlink" Target="https://resources.simonelectric.com/simon-catalogo-vehiculo-electrico?utm_campaign=SIC%20-%20Veh%C3%ADculo%20El%C3%A9ctrico&amp;utm_medium=email&amp;_hsenc=p2ANqtz-_y41RVkYU8ayOcPRKHwLZbNKvXDkqelPR72rsr2uK4NpoPMTFwEy-JlpOubXVg6Ztu9Dwg&amp;_hsmi=87085363&amp;utm_content=87085363&amp;utm_source=hs_email&amp;hsCtaTracking=6fedf137-fd90-4f17-bfb4-d61f710ec7f8%7Cf2771843-6636-4969-9010-2d8d0389b89c" TargetMode="External"/><Relationship Id="rId3550" Type="http://schemas.openxmlformats.org/officeDocument/2006/relationships/hyperlink" Target="https://resources.simonelectric.com/simon-ebook-vehiculo-electrico-0?gclid=CjwKCAiA7t3yBRADEiwA4GFlI0SGS7-UJbvI8Z5kFcE7kpxI1_C_ahg02IU3BvNwEEXdqRKN3i94VhoCClwQAvD_BwE" TargetMode="External"/><Relationship Id="rId301" Type="http://schemas.openxmlformats.org/officeDocument/2006/relationships/hyperlink" Target="https://resources.simonelectric.com/simon-material-formativo-vehiculo-electrico?utm_campaign=SIC%20-%20Veh%C3%ADculo%20El%C3%A9ctrico&amp;utm_medium=email&amp;_hsenc=p2ANqtz--jGf8NRxTlAJKyR3c9pbj1z8kd3lz9080Mck-QW3rR2BS_kuwyZqzxp62SGlZYqvAMEE6Ob-nmU2hwwDlseOiQ1zx9oQ&amp;_hsmi=89784488&amp;utm_content=89784488&amp;utm_source=hs_email&amp;hsCtaTracking=f8a31ce8-daf1-4d69-a5d6-c3349f3aab91%7C75f9b9fd-a2b2-4ad4-9d4a-0dcb7c99194f" TargetMode="External"/><Relationship Id="rId2221" Type="http://schemas.openxmlformats.org/officeDocument/2006/relationships/hyperlink" Target="https://resources.simonelectric.com/simon-catalogo-vehiculo-electrico?utm_campaign=SIC%20-%20Veh%C3%ADculo%20El%C3%A9ctrico&amp;utm_medium=email&amp;_hsenc=p2ANqtz--chRvENvj2zJuw-WPUfdjWCnOJeTqWZT2JS2bweQttI8lOMt2U-cAZ7wFYY6E33ITPiUvs&amp;_hsmi=87085363&amp;utm_content=87085363&amp;utm_source=hs_email&amp;hsCtaTracking=6fedf137-fd90-4f17-bfb4-d61f710ec7f8%7Cf2771843-6636-4969-9010-2d8d0389b89c" TargetMode="External"/><Relationship Id="rId355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00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-T8i3flJS9S0FNim_8B_Nl0CMMS5dSaFl_GWQfHDrGj25vgf5MB4L_dInCfKE4J3e8FLH3sOZDe-G8Ow7J8DlouPeXgQ&amp;utm_content=89784488&amp;utm_source=hs_email" TargetMode="External"/><Relationship Id="rId2222" Type="http://schemas.openxmlformats.org/officeDocument/2006/relationships/hyperlink" Target="https://resources.simonelectric.com/simon-catalogo-vehiculo-electrico?utm_campaign=SIC%20-%20Veh%C3%ADculo%20El%C3%A9ctrico&amp;utm_medium=email&amp;_hsenc=p2ANqtz-8OczjSkR2l7jDAom5n9HOqNNYWBBLCIpWq0nwH-R4_4jB77ApHbGWtCI4BwdJpt6une7sg&amp;_hsmi=87085363&amp;utm_content=87085363&amp;utm_source=hs_email&amp;hsCtaTracking=6fedf137-fd90-4f17-bfb4-d61f710ec7f8%7Cf2771843-6636-4969-9010-2d8d0389b89c" TargetMode="External"/><Relationship Id="rId3552" Type="http://schemas.openxmlformats.org/officeDocument/2006/relationships/hyperlink" Target="https://resources.simonelectric.com/simon-ebook-vehiculo-electrico" TargetMode="External"/><Relationship Id="rId2223" Type="http://schemas.openxmlformats.org/officeDocument/2006/relationships/hyperlink" Target="https://resources.simonelectric.com/simon-catalogo-vehiculo-electrico?utm_campaign=SIC%20-%20Veh%C3%ADculo%20El%C3%A9ctrico&amp;utm_medium=email&amp;_hsenc=p2ANqtz-9TgNqeoIhdaCEJIDKoOJvrbC76PjMsLpHkN8V0V2r9EKwm33HVn7e0123x159mty_22zSx&amp;_hsmi=87085363&amp;utm_content=87085363&amp;utm_source=hs_email&amp;hsCtaTracking=6fedf137-fd90-4f17-bfb4-d61f710ec7f8%7Cf2771843-6636-4969-9010-2d8d0389b89c" TargetMode="External"/><Relationship Id="rId355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224" Type="http://schemas.openxmlformats.org/officeDocument/2006/relationships/hyperlink" Target="https://resources.simonelectric.com/simon-catalogo-vehiculo-electrico?utm_campaign=SIC%20-%20Veh%C3%ADculo%20El%C3%A9ctrico&amp;utm_medium=email&amp;_hsenc=p2ANqtz-_sPdyxawKPajvKLiuddXIns_y1BR4TEmcSq13_2EL7eYmIMZPijKxLCt9Gtgaj5sAOZDYo&amp;_hsmi=87085363&amp;utm_content=87085363&amp;utm_source=hs_email&amp;hsCtaTracking=6fedf137-fd90-4f17-bfb4-d61f710ec7f8%7Cf2771843-6636-4969-9010-2d8d0389b89c" TargetMode="External"/><Relationship Id="rId3554" Type="http://schemas.openxmlformats.org/officeDocument/2006/relationships/hyperlink" Target="https://resources.simonelectric.com/simon-material-formativo-vehiculo-electrico" TargetMode="External"/><Relationship Id="rId2214" Type="http://schemas.openxmlformats.org/officeDocument/2006/relationships/hyperlink" Target="https://resources.simonelectric.com/simon-catalogo-vehiculo-electrico?utm_campaign=SIC%20-%20Veh%C3%ADculo%20El%C3%A9ctrico&amp;utm_medium=email&amp;_hsenc=p2ANqtz-_gw25IsriYmS07mitfBxIcdbpeLhQtywIwT8SgJqNaE4fag2zZ6vd8t7XSmFvr3M2qsSqV&amp;_hsmi=87085363&amp;utm_content=87085363&amp;utm_source=hs_email&amp;hsCtaTracking=6fedf137-fd90-4f17-bfb4-d61f710ec7f8%7Cf2771843-6636-4969-9010-2d8d0389b89c" TargetMode="External"/><Relationship Id="rId3546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215" Type="http://schemas.openxmlformats.org/officeDocument/2006/relationships/hyperlink" Target="https://resources.simonelectric.com/simon-catalogo-vehiculo-electrico?utm_campaign=SIC%20-%20Veh%C3%ADculo%20El%C3%A9ctrico&amp;utm_medium=email&amp;_hsmi=87085363&amp;_hsenc=p2ANqtz-9iUOLTPwv5bTbOVgyRH-AYpAXhKhELQEJwtyIsG9roJqm2J6tJZas_K0UFYq_6BdTly3Ra&amp;utm_content=87085363&amp;utm_source=hs_email" TargetMode="External"/><Relationship Id="rId3545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2216" Type="http://schemas.openxmlformats.org/officeDocument/2006/relationships/hyperlink" Target="https://resources.simonelectric.com/simon-catalogo-vehiculo-electrico?utm_campaign=SIC%20-%20Veh%C3%ADculo%20El%C3%A9ctrico&amp;utm_medium=email&amp;_hsenc=p2ANqtz-8pjec9RKG2rGbYuaX1xnNSSu5ahXl05jlwSOiLu2AHpKd4XNWHcNc9kzRRvZmt58rL4fNO&amp;_hsmi=87085363&amp;utm_content=87085363&amp;utm_source=hs_email&amp;hsCtaTracking=6fedf137-fd90-4f17-bfb4-d61f710ec7f8%7Cf2771843-6636-4969-9010-2d8d0389b89c" TargetMode="External"/><Relationship Id="rId3548" Type="http://schemas.openxmlformats.org/officeDocument/2006/relationships/hyperlink" Target="https://resources.simonelectric.com/simon-material-formativo-vehiculo-electrico" TargetMode="External"/><Relationship Id="rId2217" Type="http://schemas.openxmlformats.org/officeDocument/2006/relationships/hyperlink" Target="https://resources.simonelectric.com/simon-catalogo-vehiculo-electrico?utm_campaign=SIC%20-%20Veh%C3%ADculo%20El%C3%A9ctrico&amp;utm_medium=email&amp;_hsenc=p2ANqtz--CDh9qfI9OeTQ2TjNEG8ETjNegXv3UaHJohi8Ks4Myc3vcsD_OWgAuymVV_3VOy9uSRZQp&amp;_hsmi=87085363&amp;utm_content=87085363&amp;utm_source=hs_email&amp;hsCtaTracking=6fedf137-fd90-4f17-bfb4-d61f710ec7f8%7Cf2771843-6636-4969-9010-2d8d0389b89c" TargetMode="External"/><Relationship Id="rId354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218" Type="http://schemas.openxmlformats.org/officeDocument/2006/relationships/hyperlink" Target="https://resources.simonelectric.com/simon-catalogo-vehiculo-electrico?utm_campaign=SIC%20-%20Veh%C3%ADculo%20El%C3%A9ctrico&amp;utm_medium=email&amp;_hsenc=p2ANqtz-_IICjBPW4eI4Z7OniKX9np_MmxvZCWtP8mUHaZVoJEuzvTnRHeLAv1oLLMvDalOY7irF7391bBR3TRgt4bFapd6TMdKA&amp;utm_source=hs_email&amp;utm_content=87085363&amp;hsCtaTracking=6fedf137-fd90-4f17-bfb4-d61f710ec7f8%7Cf2771843-6636-4969-9010-2d8d0389b89c" TargetMode="External"/><Relationship Id="rId2219" Type="http://schemas.openxmlformats.org/officeDocument/2006/relationships/hyperlink" Target="https://resources.simonelectric.com/simon-catalogo-vehiculo-electrico?utm_campaign=SIC%20-%20Veh%C3%ADculo%20El%C3%A9ctrico&amp;utm_medium=email&amp;_hsenc=p2ANqtz-8JtcZvoYHbjJdbrzf9aRklnXvHT2inqjsSwynmBAeF8340ipmTxO9y1fyXejAGK-NiJdSC&amp;_hsmi=87085363&amp;utm_content=87085363&amp;utm_source=hs_email&amp;hsCtaTracking=6fedf137-fd90-4f17-bfb4-d61f710ec7f8%7Cf2771843-6636-4969-9010-2d8d0389b89c" TargetMode="External"/><Relationship Id="rId354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54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210" Type="http://schemas.openxmlformats.org/officeDocument/2006/relationships/hyperlink" Target="https://resources.simonelectric.com/simon-catalogo-vehiculo-electrico?utm_campaign=SIC%20-%20Veh%C3%ADculo%20El%C3%A9ctrico&amp;utm_medium=email&amp;_hsmi=87085363&amp;_hsenc=p2ANqtz-9yrB4Sw3VCWomQiwU2JVMIbXFlNeDTftlEoiOdrUM0DJBbjql_k6gJTRUsluq0LbXYKULQ&amp;utm_content=87085363&amp;utm_source=hs_email" TargetMode="External"/><Relationship Id="rId354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211" Type="http://schemas.openxmlformats.org/officeDocument/2006/relationships/hyperlink" Target="https://resources.simonelectric.com/simon-catalogo-vehiculo-electrico?utm_campaign=SIC%20-%20Veh%C3%ADculo%20El%C3%A9ctrico&amp;utm_medium=email&amp;_hsmi=87085302&amp;_hsenc=p2ANqtz-8q4L2YzcHr6iShuExzhuXh5uQKg4vMHhCoshpAnoEq43psthu1SvmaIQg1rpge3KakG6iZ&amp;utm_content=87085302&amp;utm_source=hs_email" TargetMode="External"/><Relationship Id="rId3541" Type="http://schemas.openxmlformats.org/officeDocument/2006/relationships/hyperlink" Target="https://resources.simonelectric.com/simon-catalogo-vehiculo-electrico?__hstc=83084745.681d72d7ae51487c9d3314118e5857c2.1573060979452.1582768377888.1582979772631.9&amp;__hssc=83084745.1.1582979772631&amp;__hsfp=1183290012" TargetMode="External"/><Relationship Id="rId2212" Type="http://schemas.openxmlformats.org/officeDocument/2006/relationships/hyperlink" Target="https://resources.simonelectric.com/simon-catalogo-vehiculo-electrico?utm_campaign=SIC%20-%20Veh%C3%ADculo%20El%C3%A9ctrico&amp;utm_medium=email&amp;_hsenc=p2ANqtz-9RSuWylA1n8IOq9Fsj_LMtvIEoEfN2np-nGcP5bujFeGh0IykTsJhn27RjL8yOaaLaVbbF&amp;_hsmi=87085363&amp;utm_content=87085363&amp;utm_source=hs_email&amp;hsCtaTracking=6fedf137-fd90-4f17-bfb4-d61f710ec7f8%7Cf2771843-6636-4969-9010-2d8d0389b89c" TargetMode="External"/><Relationship Id="rId3544" Type="http://schemas.openxmlformats.org/officeDocument/2006/relationships/hyperlink" Target="https://resources.simonelectric.com/simon-material-formativo-vehiculo-electrico" TargetMode="External"/><Relationship Id="rId2213" Type="http://schemas.openxmlformats.org/officeDocument/2006/relationships/hyperlink" Target="https://resources.simonelectric.com/simon-catalogo-vehiculo-electrico?utm_campaign=SIC%20-%20Veh%C3%ADculo%20El%C3%A9ctrico&amp;utm_medium=email&amp;_hsmi=87085363&amp;_hsenc=p2ANqtz-__8C-iFTJEak7FjZCKinWd7X6gXdrXxT1KCgtqUaQa_u3kyOLizVITMrEAPhf84yInRfyd&amp;utm_content=87085363&amp;utm_source=hs_email" TargetMode="External"/><Relationship Id="rId354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247" Type="http://schemas.openxmlformats.org/officeDocument/2006/relationships/hyperlink" Target="https://resources.simonelectric.com/simon-ebook-vehiculo-electrico?utm_campaign=SIC%20-%20Veh%C3%ADculo%20El%C3%A9ctrico&amp;utm_medium=email&amp;_hsenc=p2ANqtz-8by9OFoc1Kw34xcM6N4DJ6VBD7LXvi6yxDN1dWkaqSlvt4M72omw69VCSj-_0rBXtcnvV-9cw375NOYQCeoRVlbCvX3w&amp;_hsmi=71033675&amp;utm_source=hs_automation&amp;utm_content=71033675&amp;hsCtaTracking=2e94ebfc-d414-4389-870c-d2f266a9420b%7C587ac4dc-a49a-4bdc-b449-e36f5d95395b" TargetMode="External"/><Relationship Id="rId3579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2248" Type="http://schemas.openxmlformats.org/officeDocument/2006/relationships/hyperlink" Target="https://resources.simonelectric.com/simon-ebook-vehiculo-electrico-0?gclid=Cj0KCQjwhZr1BRCLARIsALjRVQMYMOM3X-CbbF644baJmdN3lXMdrH2AMd-vNh_yhQpVcN1jPw34v5saAkDqEALw_wcB" TargetMode="External"/><Relationship Id="rId3578" Type="http://schemas.openxmlformats.org/officeDocument/2006/relationships/hyperlink" Target="https://resources.simonelectric.com/simon-ebook-vehiculo-electrico" TargetMode="External"/><Relationship Id="rId224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27" Type="http://schemas.openxmlformats.org/officeDocument/2006/relationships/hyperlink" Target="https://resources.simonelectric.com/simon-ebook-vehiculo-electrico?utm_campaign=SIC%20-%20Veh%C3%ADculo%20El%C3%A9ctrico&amp;utm_medium=email&amp;_hsmi=71033675&amp;_hsenc=p2ANqtz-_zG6QpChJ0BgEYZm3SrwIV42S0cvBq_pVS5nGXvMI0tjATy4uyvpUYHnWeav8GnDgdMOl4-a3lJJr9vKkmtaos39z4Pg&amp;utm_content=71033675&amp;utm_source=hs_automation" TargetMode="External"/><Relationship Id="rId326" Type="http://schemas.openxmlformats.org/officeDocument/2006/relationships/hyperlink" Target="https://resources.simonelectric.com/simon-ebook-vehiculo-electrico?utm_campaign=SIC%20-%20Veh%C3%ADculo%20El%C3%A9ctrico&amp;utm_medium=email&amp;_hsmi=71033675&amp;_hsenc=p2ANqtz-_zG6QpChJ0BgEYZm3SrwIV42S0cvBq_pVS5nGXvMI0tjATy4uyvpUYHnWeav8GnDgdMOl4-a3lJJr9vKkmtaos39z4Pg&amp;utm_content=71033675&amp;utm_source=hs_automation" TargetMode="External"/><Relationship Id="rId325" Type="http://schemas.openxmlformats.org/officeDocument/2006/relationships/hyperlink" Target="https://resources.simonelectric.com/simon-catalogo-vehiculo-electrico" TargetMode="External"/><Relationship Id="rId324" Type="http://schemas.openxmlformats.org/officeDocument/2006/relationships/hyperlink" Target="https://resources.simonelectric.com/simon-ebook-vehiculo-electrico?utm_campaign=SIC%20-%20Veh%C3%ADculo%20El%C3%A9ctrico&amp;utm_medium=email&amp;_hsenc=p2ANqtz--esOj6NLkoWja7GeDP-WLNaJG8U6bK059ToZAVLiJQJD0ZT4mPsRveI18d0Yb10PXaNU0AI1PVw0k6eHV0LxPwZLgu77bWgTxcja1B-K6xyHc81Q8&amp;_hsmi=71033675&amp;utm_content=71033675&amp;utm_source=hs_automation&amp;hsCtaTracking=2e94ebfc-d414-4389-870c-d2f266a9420b%7C587ac4dc-a49a-4bdc-b449-e36f5d95395b" TargetMode="External"/><Relationship Id="rId329" Type="http://schemas.openxmlformats.org/officeDocument/2006/relationships/hyperlink" Target="https://resources.simonelectric.com/simon-ebook-vehiculo-electrico?utm_campaign=SIC%20-%20Veh%C3%ADculo%20El%C3%A9ctrico&amp;utm_medium=email&amp;_hsenc=p2ANqtz--5ATqLy7RrwGr7IgNuauVwI54fJ2kUDjeDeHpW7W5KwYi3nHnmSUrPZXv1dPYJPShBdl5axZ3NlWdwF1nLqHMx2QUG2Q&amp;_hsmi=71033675&amp;utm_content=71033675&amp;utm_source=hs_automation&amp;hsCtaTracking=2e94ebfc-d414-4389-870c-d2f266a9420b%7C587ac4dc-a49a-4bdc-b449-e36f5d95395b" TargetMode="External"/><Relationship Id="rId32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57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240" Type="http://schemas.openxmlformats.org/officeDocument/2006/relationships/hyperlink" Target="https://resources.simonelectric.com/simon-catalogo-vehiculo-electrico" TargetMode="External"/><Relationship Id="rId357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241" Type="http://schemas.openxmlformats.org/officeDocument/2006/relationships/hyperlink" Target="https://resources.simonelectric.com/simon-catalogo-vehiculo-electrico" TargetMode="External"/><Relationship Id="rId3573" Type="http://schemas.openxmlformats.org/officeDocument/2006/relationships/hyperlink" Target="https://resources.simonelectric.com/simon-material-formativo-vehiculo-electrico" TargetMode="External"/><Relationship Id="rId224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572" Type="http://schemas.openxmlformats.org/officeDocument/2006/relationships/hyperlink" Target="https://resources.simonelectric.com/simon-catalogo-vehiculo-electrico" TargetMode="External"/><Relationship Id="rId323" Type="http://schemas.openxmlformats.org/officeDocument/2006/relationships/hyperlink" Target="https://resources.simonelectric.com/simon-ebook-vehiculo-electrico?utm_campaign=SIC%20-%20Veh%C3%ADculo%20El%C3%A9ctrico&amp;utm_medium=email&amp;_hsenc=p2ANqtz-9w-D_BVmgoHEhD0NGdVLAd9UWJoBO21GWm-RrY8p_Bz2MMd1sM1WDlHsccaKyqSSxZcSyf7Esetn29RIc5PNOUA5GUnA&amp;_hsmi=71033675&amp;utm_content=71033675&amp;utm_source=hs_automation&amp;hsCtaTracking=2e94ebfc-d414-4389-870c-d2f266a9420b%7C587ac4dc-a49a-4bdc-b449-e36f5d95395b" TargetMode="External"/><Relationship Id="rId2243" Type="http://schemas.openxmlformats.org/officeDocument/2006/relationships/hyperlink" Target="https://resources.simonelectric.com/simon-material-formativo-vehiculo-electrico" TargetMode="External"/><Relationship Id="rId3575" Type="http://schemas.openxmlformats.org/officeDocument/2006/relationships/hyperlink" Target="https://resources.simonelectric.com/simon-ebook-vehiculo-electrico" TargetMode="External"/><Relationship Id="rId322" Type="http://schemas.openxmlformats.org/officeDocument/2006/relationships/hyperlink" Target="https://resources.simonelectric.com/simon-catalogo-vehiculo-electrico" TargetMode="External"/><Relationship Id="rId2244" Type="http://schemas.openxmlformats.org/officeDocument/2006/relationships/hyperlink" Target="https://resources.simonelectric.com/simon-ebook-vehiculo-electrico?utm_campaign=SIC%20-%20Veh%C3%ADculo%20El%C3%A9ctrico&amp;utm_medium=email&amp;_hsenc=p2ANqtz-_5pvExJRZ83knJhxZblSo0DnxDC3sWNHGE1seyFPSd5d4dtVIfonClTWFu8CZowWOj43wTi4SZhmMnEjtBymZKb125WQ&amp;_hsmi=71033675&amp;utm_source=hs_automation&amp;utm_content=71033675&amp;hsCtaTracking=2e94ebfc-d414-4389-870c-d2f266a9420b%7C587ac4dc-a49a-4bdc-b449-e36f5d95395b" TargetMode="External"/><Relationship Id="rId3574" Type="http://schemas.openxmlformats.org/officeDocument/2006/relationships/hyperlink" Target="https://resources.simonelectric.com/simon-catalogo-vehiculo-electrico?__hstc=83084745.dfd286c51276d904944d3fff7c26b4a3.1582707747527.1582707747527.1582707747527.1&amp;__hssc=83084745.4.1582707747527&amp;__hsfp=1183290012" TargetMode="External"/><Relationship Id="rId321" Type="http://schemas.openxmlformats.org/officeDocument/2006/relationships/hyperlink" Target="https://resources.simonelectric.com/simon-catalogo-vehiculo-electrico?utm_campaign=SIC%20-%20Veh%C3%ADculo%20El%C3%A9ctrico&amp;utm_medium=email&amp;_hsenc=p2ANqtz-_0Ns8tI2I7-g_5km_bTtoup9SlHKLCzBFWVAR6xl7oKly69T9Y7-6UmAh5R1ihavhNlV9V&amp;_hsmi=87085302&amp;utm_content=87085302&amp;utm_source=hs_email&amp;hsCtaTracking=6fedf137-fd90-4f17-bfb4-d61f710ec7f8%7Cf2771843-6636-4969-9010-2d8d0389b89c" TargetMode="External"/><Relationship Id="rId2245" Type="http://schemas.openxmlformats.org/officeDocument/2006/relationships/hyperlink" Target="https://resources.simonelectric.com/simon-catalogo-vehiculo-electrico?__hstc=83084745.92d32663709a2c43baf9a31397061d01.1588056915841.1588056915841.1588060622653.2&amp;__hssc=83084745.5.1588060622653&amp;__hsfp=3837633668" TargetMode="External"/><Relationship Id="rId3577" Type="http://schemas.openxmlformats.org/officeDocument/2006/relationships/hyperlink" Target="https://resources.simonelectric.com/simon-ebook-vehiculo-electrico" TargetMode="External"/><Relationship Id="rId320" Type="http://schemas.openxmlformats.org/officeDocument/2006/relationships/hyperlink" Target="https://resources.simonelectric.com/simon-ebook-vehiculo-electrico?utm_referrer=https%3A%2F%2Fwww.simonelectric.com%2Fblog%2Fcargador-del-vehiculo-electrico-y-transicion-la-movilidad-electrica%3Futm_campaign%3DSIC%2520-%2520Blog%2520digest%26utm_medium%3Demail%26_hsmi%3D88911100%26_hsenc%3Dp2ANqtz-8OP6IqlAlvmz1_-8ydvyVNXWFgtkdZTRrMwynGK_8q-nTxrP1MvGtqt64KCbu9d2iWkdSB5sCNt5_aVaJBgjuVFd-uAt2fAUkj-AQgaQv0yiCOXl8%26utm_content%3D88911100%26utm_source%3Dhs_email" TargetMode="External"/><Relationship Id="rId2246" Type="http://schemas.openxmlformats.org/officeDocument/2006/relationships/hyperlink" Target="https://resources.simonelectric.com/simon-ebook-vehiculo-electrico" TargetMode="External"/><Relationship Id="rId3576" Type="http://schemas.openxmlformats.org/officeDocument/2006/relationships/hyperlink" Target="https://resources.simonelectric.com/simon-ebook-vehiculo-electrico-0?gclid=EAIaIQobChMIp5b5x-vt5wIVMQYGAB1azg0qEAEYASAAEgK85PD_BwE" TargetMode="External"/><Relationship Id="rId2236" Type="http://schemas.openxmlformats.org/officeDocument/2006/relationships/hyperlink" Target="https://resources.simonelectric.com/simon-ebook-vehiculo-electrico" TargetMode="External"/><Relationship Id="rId3568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237" Type="http://schemas.openxmlformats.org/officeDocument/2006/relationships/hyperlink" Target="https://resources.simonelectric.com/simon-ebook-vehiculo-electrico" TargetMode="External"/><Relationship Id="rId3567" Type="http://schemas.openxmlformats.org/officeDocument/2006/relationships/hyperlink" Target="https://resources.simonelectric.com/simon-material-formativo-vehiculo-electrico" TargetMode="External"/><Relationship Id="rId2238" Type="http://schemas.openxmlformats.org/officeDocument/2006/relationships/hyperlink" Target="https://resources.simonelectric.com/simon-ebook-vehiculo-electrico-ppc?utm_source=facebook&amp;utm_medium=social_ads&amp;utm_campaign=vehiculo_electrico&amp;fbclid=IwAR2jUPm1hnYomTcmddUYyyMR6pd2cJ0eGT9DAaeYs7KKdt35m6x1HzB7v3U" TargetMode="External"/><Relationship Id="rId2239" Type="http://schemas.openxmlformats.org/officeDocument/2006/relationships/hyperlink" Target="https://resources.simonelectric.com/simon-ebook-vehiculo-electrico-0?gclid=EAIaIQobChMIn-v59cKL6QIVyu0YCh3dLwCzEAEYASAAEgJjfvD_BwE" TargetMode="External"/><Relationship Id="rId3569" Type="http://schemas.openxmlformats.org/officeDocument/2006/relationships/hyperlink" Target="https://resources.simonelectric.com/simon-material-formativo-vehiculo-electrico" TargetMode="External"/><Relationship Id="rId316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1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14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313" Type="http://schemas.openxmlformats.org/officeDocument/2006/relationships/hyperlink" Target="https://resources.simonelectric.com/simon-catalogo-vehiculo-electrico" TargetMode="External"/><Relationship Id="rId319" Type="http://schemas.openxmlformats.org/officeDocument/2006/relationships/hyperlink" Target="https://resources.simonelectric.com/simon-catalogo-vehiculo-electrico" TargetMode="External"/><Relationship Id="rId318" Type="http://schemas.openxmlformats.org/officeDocument/2006/relationships/hyperlink" Target="https://resources.simonelectric.com/simon-ebook-vehiculo-electrico?utm_referrer=https%3A%2F%2Fwww.simonelectric.com%2Fblog%2Fvehiculo-electrico-todo-lo-que-tienes-que-saber-de-movilidad-sostenible" TargetMode="External"/><Relationship Id="rId317" Type="http://schemas.openxmlformats.org/officeDocument/2006/relationships/hyperlink" Target="https://resources.simonelectric.com/simon-catalogo-vehiculo-electrico" TargetMode="External"/><Relationship Id="rId356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230" Type="http://schemas.openxmlformats.org/officeDocument/2006/relationships/hyperlink" Target="https://resources.simonelectric.com/simon-catalogo-vehiculo-electrico?utm_campaign=SIC%20-%20Veh%C3%ADculo%20El%C3%A9ctrico&amp;utm_medium=email&amp;_hsenc=p2ANqtz-9fElZhrMObWGy4CVigxqjGXqn64hHh9KYCmi1cHzKqv6RbYNTlaNcHUB6eZHmLp3hTJ1iY&amp;_hsmi=87085363&amp;utm_content=87085363&amp;utm_source=hs_email&amp;hsCtaTracking=6fedf137-fd90-4f17-bfb4-d61f710ec7f8%7Cf2771843-6636-4969-9010-2d8d0389b89c" TargetMode="External"/><Relationship Id="rId356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231" Type="http://schemas.openxmlformats.org/officeDocument/2006/relationships/hyperlink" Target="https://resources.simonelectric.com/simon-catalogo-vehiculo-electrico?utm_campaign=SIC%20-%20Veh%C3%ADculo%20El%C3%A9ctrico&amp;utm_medium=email&amp;_hsmi=87085363&amp;_hsenc=p2ANqtz-9YcZQVer9Bc2GdaCwxRHWkkn73880ZiAW8DO4C2Yr4t4A2RDKJRULEcWUBJJsgwxUoG0Gj&amp;utm_content=87085363&amp;utm_source=hs_email" TargetMode="External"/><Relationship Id="rId3561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1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232" Type="http://schemas.openxmlformats.org/officeDocument/2006/relationships/hyperlink" Target="https://resources.simonelectric.com/simon-catalogo-vehiculo-electrico?utm_campaign=SIC%20-%20Veh%C3%ADculo%20El%C3%A9ctrico&amp;utm_medium=email&amp;_hsenc=p2ANqtz--ryxfdGENDtm7atnJTi3ZO-xgayfTzzjpDcnNqw0BIvxv89j-b5JQaW0rc7SB6AUEGENOL&amp;_hsmi=87085363&amp;utm_content=87085363&amp;utm_source=hs_email&amp;hsCtaTracking=6fedf137-fd90-4f17-bfb4-d61f710ec7f8%7Cf2771843-6636-4969-9010-2d8d0389b89c" TargetMode="External"/><Relationship Id="rId3564" Type="http://schemas.openxmlformats.org/officeDocument/2006/relationships/hyperlink" Target="https://resources.simonelectric.com/simon-ebook-vehiculo-electrico" TargetMode="External"/><Relationship Id="rId31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233" Type="http://schemas.openxmlformats.org/officeDocument/2006/relationships/hyperlink" Target="https://resources.simonelectric.com/simon-catalogo-vehiculo-electrico?utm_campaign=SIC%20-%20Veh%C3%ADculo%20El%C3%A9ctrico&amp;utm_medium=email&amp;_hsenc=p2ANqtz-9piLtnQugNhuR4OweyQ6Dp8bEEBv1wx5_OfrG5aiPgtiPGkMV7C7AzH4aN5HGcMW8gBt2G&amp;_hsmi=87085363&amp;utm_content=87085363&amp;utm_source=hs_email&amp;hsCtaTracking=6fedf137-fd90-4f17-bfb4-d61f710ec7f8%7Cf2771843-6636-4969-9010-2d8d0389b89c" TargetMode="External"/><Relationship Id="rId3563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10" Type="http://schemas.openxmlformats.org/officeDocument/2006/relationships/hyperlink" Target="https://resources.simonelectric.com/simon-material-formativo-vehiculo-electrico" TargetMode="External"/><Relationship Id="rId223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56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235" Type="http://schemas.openxmlformats.org/officeDocument/2006/relationships/hyperlink" Target="https://resources.simonelectric.com/simon-ebook-vehiculo-electrico-0?gclid=CjwKCAjwqJ_1BRBZEiwAv73uwE49BKqiZGNRYN49c2Bv4LD2_vkN2WRHTUYOicygWRqv9YcOcqA-UBoClyUQAvD_BwE" TargetMode="External"/><Relationship Id="rId3565" Type="http://schemas.openxmlformats.org/officeDocument/2006/relationships/hyperlink" Target="https://resources.simonelectric.com/simon-ebook-vehiculo-electrico-0?gclid=EAIaIQobChMIxaaDy6vw5wIVxJMbCh1nxwvjEAEYASAAEgLGL_D_BwE" TargetMode="External"/><Relationship Id="rId4040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sh-yG9KI_Qk3Fk-zNVX2hEkYulGpgEmGQ_k0NWKhzhYGvNTk8E92OW2sVXm0i5lWocveL8EECD7uq0MFo4EmynXT5sA%26_hsmi%3D81085386" TargetMode="External"/><Relationship Id="rId4042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_BMzN2_PJPm5PXZ5gxeg7ksM6o7mJnDqhlTA_631M77EvBBK-95KgKrrTgwNlGbtsQCoBQ-0ARaQ4mlLWZgliEJUxRQ%26_hsmi%3D81085386" TargetMode="External"/><Relationship Id="rId4041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044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CK0GkI4f3q8CAypPoJHMGq5XfIzj-zCQWeNZyyVEu1D1NDEvjtmET1GG4nHaNpuVqicoPETB3cEZaA_snMBXHgeHDcw%26_hsmi%3D81085386" TargetMode="External"/><Relationship Id="rId4043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046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045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4ii63KNwwpFjABxASnmQMTwBfRPJjlASXMl1F0rAIo-oycSGFcLtBN7mlSC99CIdlHB6GPRGd-1dQFJc1dRL3HXmLRA%26_hsmi%3D81085387" TargetMode="External"/><Relationship Id="rId4048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BcGjxH78_dgKNKVBZ9nE8mlFOBs2JAl0cy05hYtg1Ei10eDVAKJFCEvA2qFUlhooq8SD8OoNY2bxu9pUSNLi-M542ZgmeviB7bFZhokx_gijJ3Sg%26_hsmi%3D81085387" TargetMode="External"/><Relationship Id="rId4047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BcGjxH78_dgKNKVBZ9nE8mlFOBs2JAl0cy05hYtg1Ei10eDVAKJFCEvA2qFUlhooq8SD8OoNY2bxu9pUSNLi-M542ZgmeviB7bFZhokx_gijJ3Sg%26_hsmi%3D81085387" TargetMode="External"/><Relationship Id="rId4049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EpOnUsLSvxOVs9NAiNeVCmfJGvSE2rsw72Cx9ZrPJTHDTPavmbblfQKQH93pAWwPsEZaPfUFhWHTj_jyjqYbwIM6cxHJOCMW1MLcVSq28lqJTP4E%26_hsmi%3D81085388" TargetMode="External"/><Relationship Id="rId4031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030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IejIHUpDLnbC2MIu6DPUwHXY_2G0gTQ6d3GUTV_PkbDqZXBthb5xgQ4u0deRDRTJAeexdSJVNDXpeg_X06l74Y7M81g%26_hsmi%3D81085386" TargetMode="External"/><Relationship Id="rId297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_X7Cn0UVjzi5n1N72S8cbULPYSISu4KnGFPapUGAWDVWLWtwGKXICm6L__XdsX79bytb8OKtH91HUL6cpFmhhHDiRCYCJhcJjrcxDeK7bJ6OwNtI0&amp;utm_content=89784488&amp;utm_source=hs_email" TargetMode="External"/><Relationship Id="rId4033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vLdFSUkYCjV6d286LMNw64dyGMq_vo-rNJd1kLf2xqn17pHT8Hg02ZMzmE1BXuPBtO6QFP68nj1NCIokPP_KBBpyQqQ%26_hsmi%3D81085386" TargetMode="External"/><Relationship Id="rId296" Type="http://schemas.openxmlformats.org/officeDocument/2006/relationships/hyperlink" Target="https://resources.simonelectric.com/simon-material-formativo-vehiculo-electrico?utm_campaign=SIC%20-%20Veh%C3%ADculo%20El%C3%A9ctrico&amp;utm_medium=email&amp;_hsenc=p2ANqtz-8UKjJltWBJNWCzOrFjeiTQ6bfGE5D2WQ6uJnOLzL6j9siW81CC3DvxG4sOU3Egng5PYApUAlr2mjNuwqhRyFvUOUey7A&amp;_hsmi=89784488&amp;utm_content=89784488&amp;utm_source=hs_email&amp;hsCtaTracking=f8a31ce8-daf1-4d69-a5d6-c3349f3aab91%7C75f9b9fd-a2b2-4ad4-9d4a-0dcb7c99194f" TargetMode="External"/><Relationship Id="rId403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95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9n9Hk9oa5HuZcP0dUCAgkHV8xpe0k2YQkgFDakM68QgfRQo56xZEm8Nyw6L_yy7KloOh5xg_EHyuBzFtrXU_Q3yxY9Yg&amp;utm_content=89784488&amp;utm_source=hs_email" TargetMode="External"/><Relationship Id="rId4035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" TargetMode="External"/><Relationship Id="rId294" Type="http://schemas.openxmlformats.org/officeDocument/2006/relationships/hyperlink" Target="https://resources.simonelectric.com/simon-material-formativo-vehiculo-electrico?utm_campaign=SIC%20-%20Veh%C3%ADculo%20El%C3%A9ctrico&amp;utm_medium=email&amp;_hsenc=p2ANqtz-_iw8rDTBiwOhzqbWX2NzQcyiLAJGw4pgsjsPB-CulOGi5p1InKMqINkc1osIZfpb85bQlgUHGfCu4126iOH6mq1FxsPg&amp;_hsmi=89784488&amp;utm_content=89784488&amp;utm_source=hs_email&amp;hsCtaTracking=f8a31ce8-daf1-4d69-a5d6-c3349f3aab91%7C75f9b9fd-a2b2-4ad4-9d4a-0dcb7c99194f" TargetMode="External"/><Relationship Id="rId4034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Zk8ttPMRvEEtiZbzSkhCbGYXmhechFYhP6B8MUKboTcdMxd5cP5MzfMokGaY0JPcIeJBdCXUupTlWuI_NaCmBjprp1g%26_hsmi%3D81085386" TargetMode="External"/><Relationship Id="rId4037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k_7VceOH_L2T0KpmrW_N86-78gSCVK8MfEGRAIL0hMnT8V9999Fmxz6xUv3lQEwnkslXUY5ty-_0436hk29A4NM3ykg%26_hsmi%3D81085386" TargetMode="External"/><Relationship Id="rId4036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99" Type="http://schemas.openxmlformats.org/officeDocument/2006/relationships/hyperlink" Target="https://resources.simonelectric.com/simon-material-formativo-vehiculo-electrico?utm_campaign=SIC%20-%20Veh%C3%ADculo%20El%C3%A9ctrico&amp;utm_medium=email&amp;_hsenc=p2ANqtz-9VgmIE_a9rYc2AwTvI66twJ5CR_stur5hcSeJ8qbkgF33x9qxROg0ZDjmGVqKQJ2l-iRF5vRuQccUP1pJAlXTOSYu2rCExlxjhj6J9wpnsjYZ3AV4&amp;_hsmi=89784488&amp;utm_content=89784488&amp;utm_source=hs_email&amp;hsCtaTracking=f8a31ce8-daf1-4d69-a5d6-c3349f3aab91%7C75f9b9fd-a2b2-4ad4-9d4a-0dcb7c99194f" TargetMode="External"/><Relationship Id="rId403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98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-MFVacGrRA7EfHNqRUqIG8pirutnejMDEPMpTrn9kosx61HdmhlQ9M_Hj0Gfqdc0YCsmrviDsi0cZOcoYTdE-rrJqzqA&amp;utm_content=89784488&amp;utm_source=hs_email" TargetMode="External"/><Relationship Id="rId403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060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WLuI1CCHc2-e2O6vrMlNxTkZxCS9d7TmcLF11PNR5-GWJHOJZx0Wq3y_4EPqWCHZQnc3n4Aj1KGLGUVpCELx_Fcfxrw%26_hsmi%3D81085387" TargetMode="External"/><Relationship Id="rId4062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061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4064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jIbtTlw4BSNZJhnq1VccsTGqJCn-lin-e4JUMqGKGyBHtCfidKsTxT6zaYi2LpZVSuc9sywsnr1Gp5NCeayIGappfcA%26_hsmi%3D81085388" TargetMode="External"/><Relationship Id="rId4063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066" Type="http://schemas.openxmlformats.org/officeDocument/2006/relationships/hyperlink" Target="https://resources.simonelectric.com/simon-ebook-vehiculo-electrico?utm_campaign=SIC%20-%20Veh%C3%ADculo%20El%C3%A9ctrico&amp;utm_medium=email&amp;_hsenc=p2ANqtz-9PrW8A2rAFF3mHTJI5vs6RR2qyVU8ftYSpWVhsUDz9XQCL8PuwCIv2ln0QJOb-kHSp5YLI-FNtfCpOYeikblE6LVK2uA&amp;_hsmi=71033675&amp;utm_source=hs_automation&amp;utm_content=71033675&amp;hsCtaTracking=2e94ebfc-d414-4389-870c-d2f266a9420b%7C587ac4dc-a49a-4bdc-b449-e36f5d95395b" TargetMode="External"/><Relationship Id="rId4065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uzbX44UY0l5HC2S3SP334mnYWYUsOl9A8-ZQlyGNI88sfhdJL5ywXOmTiN3zR9pr74JbwW7lZiMHYY84pwbbXPRFXLN7n3_uDeYNArAg4waK3H0I%26_hsmi%3D81085387" TargetMode="External"/><Relationship Id="rId4068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8oSEEddNS7NZ_CTRWO4kEi5S5n9CAgTkaVz0_uD9iNNgNqBNnw2VWpJQqVLukSIMFhHJFxoQIGAdUpsKiKRU2510x4PQ&amp;_hsmi=71033675" TargetMode="External"/><Relationship Id="rId4067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59_Ev6X8oFQLdvRqjVQl1FrMsZoo2W3TdKjYLM8b7-0iZdvhWgAEPcHQJusmMhxQukEsvoPTLzmA8PyslfOk_jVhGxA%26_hsmi%3D81085388" TargetMode="External"/><Relationship Id="rId4069" Type="http://schemas.openxmlformats.org/officeDocument/2006/relationships/drawing" Target="../drawings/drawing1.xml"/><Relationship Id="rId4051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bedon4OnHtbab7LK6y9cnWY1dv3g8GcDt2rvAttgxXe-uw_8qm1rr2Va_vT3zHC-8uEcjx3R9xV9qtz5JoqKGQBRGQk_TnC5A3__B1lOLXU3ZZAE%26_hsmi%3D81085388" TargetMode="External"/><Relationship Id="rId4050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l0NyLVFCbam9Y-ZR7KpYWgqvxzoagAB_rVdycJhz7bGKLBPvarxn3bOFePT8vQSOWJD-MkmmxvQqoq_X5FNZD2xtEukAeuG4ac8CwPTcdpW4Xm_I%26_hsmi%3D81085388" TargetMode="External"/><Relationship Id="rId4053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ARMZgF41oQrY3Dr3YBQILPeuA6Qtk9UvW0UoyExbxMqrHghaV4KK2e0Hc7MHagxP4MUKD5hpneHXv9XcU3167sFGC4Q%26_hsmi%3D81085388" TargetMode="External"/><Relationship Id="rId4052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1hC24j82T34LZZd6DvK0j9XAfnRPIQ7nW1k2w_zmi7EUJPd8jxPo5Zxi4f9a5BMqIjNiF689dU8TYO-rynkCKbEnpVA%26_hsmi%3D81085388" TargetMode="External"/><Relationship Id="rId4055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x1woma6UuTzHLPOc6TVXc542TXwZPMQBUMubnxllpnc0ivo6HZSVV38uYVvpyyfIE1-dimsTpBR40GPdrP0C-bw7Sd7na2_3iKWHwHtC5Eo2JqOM%26_hsmi%3D81085387" TargetMode="External"/><Relationship Id="rId4054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DeO2s7RYUtwx4bg0DjMUBfHuQznc_Mvnv5Qtu6kHTTlt1Gr0J4eq6xvY-7EtBy1cy_4NlgOQPsnkhH1B-fCeO7l5c3Q%26_hsmi%3D81085387" TargetMode="External"/><Relationship Id="rId4057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IoDhrznkcWPj-DlE5xJxoOFCi0d0rX_2RWO8uar0NV5CaheMcEAZzy28A6T-OS4ULv7kSuPz_5ZTfEXX9IQX-u9i1tg%26_hsmi%3D81085388" TargetMode="External"/><Relationship Id="rId4056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54t1hgMK5dl1v088U8yTfP1DCeo75G1OvraahTTFltv6YZ9W8JgCKq2oNZ5Y4cQ0fhKbAUTzYWDgMKXE7ajZpD1wUTg%26_hsmi%3D81085387" TargetMode="External"/><Relationship Id="rId405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058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mEGcIRDEWQXXvGHXp9EChVP19RFzBawahFXgfN61MeQx9hF1MlR6xCv9o3uugeHFxIj-jkcehV5hRBc5kJbkvYE6QXg%26_hsmi%3D81085388" TargetMode="External"/><Relationship Id="rId4008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fRqBE5eLFL0AiGdAWBH4BuNBr74Au62AeZ-zuvgPZevWZ0zBYYu6r5gKVI6SCPi9G0P15ZHBYxYotXqf0o5szek3Brw%26_hsmi%3D81085387" TargetMode="External"/><Relationship Id="rId4007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5BJHmS4vny0pCIBb6N2p4P7QXOhyoOa-ZE4Q_lIQEI1R9xYKS4XOCbrddHBwowL7axzoLeqCw-g4SOaPKYSTXoevlxQ%26_hsmi%3D81085386" TargetMode="External"/><Relationship Id="rId4009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PqdMrdd1xJrxzsRTUW75A8x972lZeDMMCJA011Os4T45V2yXMu8H5ZvIrxr0BgfLpu-kwS6xk_Zyg1Z_4aC1Cc7Nsi1S7rBFnX4q9c8BccfpVU7E%26_hsmi%3D81085386" TargetMode="External"/><Relationship Id="rId271" Type="http://schemas.openxmlformats.org/officeDocument/2006/relationships/hyperlink" Target="https://resources.simonelectric.com/simon-material-formativo-vehiculo-electrico?utm_campaign=SIC%20-%20Veh%C3%ADculo%20El%C3%A9ctrico&amp;utm_medium=email&amp;_hsenc=p2ANqtz-9-xITFQxeZtibET9VdlrA78fV05WeLXCPNJk_JHL-3AqG0kjXmypc1QIrcbCQrmiE9noKcJEmX4PJCVd8x6d84uef_Og&amp;_hsmi=89784488&amp;utm_content=89784488&amp;utm_source=hs_email&amp;hsCtaTracking=f8a31ce8-daf1-4d69-a5d6-c3349f3aab91%7C75f9b9fd-a2b2-4ad4-9d4a-0dcb7c99194f" TargetMode="External"/><Relationship Id="rId270" Type="http://schemas.openxmlformats.org/officeDocument/2006/relationships/hyperlink" Target="https://resources.simonelectric.com/simon-material-formativo-vehiculo-electrico?utm_campaign=SIC%20-%20Veh%C3%ADculo%20El%C3%A9ctrico&amp;utm_medium=email&amp;_hsenc=p2ANqtz-8KfdyV6aCK32EfMfYNKciy55GMfGEaEV1EtWtzHpo9y0D41POCfNxYu_bsfL1KMbWvTBqX-UNAl1Ha1On-Yrf5tVXX1Q&amp;_hsmi=89784488&amp;utm_content=89784488&amp;utm_source=hs_email&amp;hsCtaTracking=f8a31ce8-daf1-4d69-a5d6-c3349f3aab91%7C75f9b9fd-a2b2-4ad4-9d4a-0dcb7c99194f" TargetMode="External"/><Relationship Id="rId269" Type="http://schemas.openxmlformats.org/officeDocument/2006/relationships/hyperlink" Target="https://resources.simonelectric.com/simon-material-formativo-vehiculo-electrico?utm_campaign=SIC%20-%20Veh%C3%ADculo%20El%C3%A9ctrico&amp;utm_medium=email&amp;_hsenc=p2ANqtz-88dRQb8sslsJzeyCzwHrkkJObLzGdfXwhiClz9olRsIc6z33vU2SE30xDeiC1g4twpc6F30rXTbUwS-P4P3BasKfeGZg&amp;_hsmi=89784488&amp;utm_content=89784488&amp;utm_source=hs_email&amp;hsCtaTracking=f8a31ce8-daf1-4d69-a5d6-c3349f3aab91%7C75f9b9fd-a2b2-4ad4-9d4a-0dcb7c99194f" TargetMode="External"/><Relationship Id="rId264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_-GzDJgOGofH96AfpwzO4WuzGfa3-d0DZEgyCWjKTpSoROii3LtqFexw2Fa3vGiqeYklBQ2Sjzq0G6wQqNsfAzW5yiKA&amp;utm_content=89784488&amp;utm_source=hs_email" TargetMode="External"/><Relationship Id="rId4000" Type="http://schemas.openxmlformats.org/officeDocument/2006/relationships/hyperlink" Target="https://resources.simonelectric.com/simon-ebook-vehiculo-electrico" TargetMode="External"/><Relationship Id="rId263" Type="http://schemas.openxmlformats.org/officeDocument/2006/relationships/hyperlink" Target="https://resources.simonelectric.com/simon-material-formativo-vehiculo-electrico?utm_campaign=SIC%20-%20Veh%C3%ADculo%20El%C3%A9ctrico&amp;utm_medium=email&amp;_hsenc=p2ANqtz-_3m7_wxx11ALagZEbrEfQbqa61dAaZBvTxaxyuiE_-8bxZkkQM94JTK7J_AH5WvD5x6hh7H7VNgx68BnSF_MO7YkFBSA&amp;_hsmi=89784488&amp;utm_content=89784488&amp;utm_source=hs_email&amp;hsCtaTracking=f8a31ce8-daf1-4d69-a5d6-c3349f3aab91%7C75f9b9fd-a2b2-4ad4-9d4a-0dcb7c99194f" TargetMode="External"/><Relationship Id="rId262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91h7pJO7k82IMmZhN1GLvZ_YRXhm74BtkKsQCYZ3kRJQk49pIU0pQVw10lL61uPWJSyyY8vj3KDqMM3V49c5kOQxCAsA&amp;utm_content=89784488&amp;utm_source=hs_email" TargetMode="External"/><Relationship Id="rId4002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-A-Oz_o7g4F-LJoOI1DN59kF00nR8XZeqKntgGNiaa6OF53UkcGTD2711T4j-qqQIhseYUpsjl60AiB9C7Xmd5B9M4mw&amp;_hsmi=71034014" TargetMode="External"/><Relationship Id="rId261" Type="http://schemas.openxmlformats.org/officeDocument/2006/relationships/hyperlink" Target="https://resources.simonelectric.com/simon-material-formativo-vehiculo-electrico?utm_campaign=SIC%20-%20Veh%C3%ADculo%20El%C3%A9ctrico&amp;utm_medium=email&amp;_hsenc=p2ANqtz-8KSailGBwhWeVZOCJcJ426iZzN-Zdwq807nM3kOX7t9jRXU5OSkNn-_VKRi5dpNteiqU2cRaDlGB2C-EyCSsb_i2alAQ&amp;_hsmi=89784488&amp;utm_content=89784488&amp;utm_source=hs_email&amp;hsCtaTracking=f8a31ce8-daf1-4d69-a5d6-c3349f3aab91%7C75f9b9fd-a2b2-4ad4-9d4a-0dcb7c99194f" TargetMode="External"/><Relationship Id="rId4001" Type="http://schemas.openxmlformats.org/officeDocument/2006/relationships/hyperlink" Target="https://resources.simonelectric.com/simon-catalogo-vehiculo-electrico" TargetMode="External"/><Relationship Id="rId268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8CA6xbghoCAxetwk4vv2HUSEYUpu84OuMOHGqHGjqpo1EDJpIwYip5RyXWEXfWUrtZdJdHRfWUI9pZUiPWK49xW5RqSw&amp;utm_content=89784488&amp;utm_source=hs_email" TargetMode="External"/><Relationship Id="rId4004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U_2Nc_lhh4PMmiog1e4KeFYoT-rahUXWWpsRVCsQF1WHqact5F1l4Uz99Ujc0FIx5S4a0Hb7AtVVXBOKo7_-u-kG9Cw%26_hsmi%3D81085386" TargetMode="External"/><Relationship Id="rId267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8L0GFKhuoXkASTkNmiqzPBGLO-RM77q_TSUSRhvnHqgvBioBSe5xSZuX70CImx7uvHzTv-zJ_qZQ6nIVUNlJSRo0-6XIuPCLs_Dcgv2sZcKUugs-c&amp;utm_content=89784488&amp;utm_source=hs_email" TargetMode="External"/><Relationship Id="rId400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66" Type="http://schemas.openxmlformats.org/officeDocument/2006/relationships/hyperlink" Target="https://resources.simonelectric.com/simon-material-formativo-vehiculo-electrico?utm_campaign=SIC%20-%20Veh%C3%ADculo%20El%C3%A9ctrico&amp;utm_medium=email&amp;_hsenc=p2ANqtz-8UKkd_Dl1APVtVJi6TIO4nXyGJSWe_tJQtCl-7yKdb92odr7hnz0EpI-4Qwsj-KmaRDCqrJA1SQjfp5JtFNpQCBpUS1w&amp;_hsmi=89784488&amp;utm_content=89784488&amp;utm_source=hs_email&amp;hsCtaTracking=f8a31ce8-daf1-4d69-a5d6-c3349f3aab91%7C75f9b9fd-a2b2-4ad4-9d4a-0dcb7c99194f" TargetMode="External"/><Relationship Id="rId4006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65" Type="http://schemas.openxmlformats.org/officeDocument/2006/relationships/hyperlink" Target="https://resources.simonelectric.com/simon-material-formativo-vehiculo-electrico?utm_campaign=SIC%20-%20Veh%C3%ADculo%20El%C3%A9ctrico&amp;utm_medium=email&amp;_hsenc=p2ANqtz--AQ55cNpkf9hUBKBxGmMiVb0T40MViEXw6ixZGO0KoexmT5zEejuERnyrkKO6IULC3BcfXgKcmmIKLgNnv9wqI9co_-BziO7KqmNMqe2GEfu1vH_E&amp;_hsmi=89784488&amp;utm_content=89784488&amp;utm_source=hs_email&amp;hsCtaTracking=f8a31ce8-daf1-4d69-a5d6-c3349f3aab91%7C75f9b9fd-a2b2-4ad4-9d4a-0dcb7c99194f" TargetMode="External"/><Relationship Id="rId4005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kGgKm6kiIZ1aIxcK67DlNTDIwhgRYRNHC5hda-v3JhQ5acCqCrM4MlndapbaLvf_qw_ZgDqOVXn0SonPbcuKRnv57OQ%26_hsmi%3D81085386" TargetMode="External"/><Relationship Id="rId260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-KnVxOuDdVi5hBRxSIoUI2eCjyIet12f7StTsIpJF91NQ7BMJqcUw_1eKCliHxftRVEeIWWYTbZ4qFzXe7ijpDmx_kiw&amp;utm_content=89784488&amp;utm_source=hs_email" TargetMode="External"/><Relationship Id="rId259" Type="http://schemas.openxmlformats.org/officeDocument/2006/relationships/hyperlink" Target="https://resources.simonelectric.com/simon-material-formativo-vehiculo-electrico?utm_campaign=SIC%20-%20Veh%C3%ADculo%20El%C3%A9ctrico&amp;utm_medium=email&amp;_hsenc=p2ANqtz-9sG6cdWzxfbSz14LDqi9_8C8jdvxE9iinzOX9kZHXy1mnGIKbZR9ET5RqNZcivT4RgPgK3gueGfBS0x7ZfPltLK4lQ0g&amp;_hsmi=89784488&amp;utm_content=89784488&amp;utm_source=hs_email&amp;hsCtaTracking=f8a31ce8-daf1-4d69-a5d6-c3349f3aab91%7C75f9b9fd-a2b2-4ad4-9d4a-0dcb7c99194f" TargetMode="External"/><Relationship Id="rId258" Type="http://schemas.openxmlformats.org/officeDocument/2006/relationships/hyperlink" Target="https://resources.simonelectric.com/simon-material-formativo-vehiculo-electrico?utm_campaign=SIC%20-%20Veh%C3%ADculo%20El%C3%A9ctrico&amp;utm_medium=email&amp;_hsenc=p2ANqtz-9LxobRrpzJ6Xny6OSmO0q5hLX2KgPZPL5YvHZrMxaYJgxVbX1dnb3ocfCMPjGzrpO_y1_iv2MMPmtJyeDUBp-SLcyy2A&amp;_hsmi=89784488&amp;utm_content=89784488&amp;utm_source=hs_email&amp;hsCtaTracking=f8a31ce8-daf1-4d69-a5d6-c3349f3aab91%7C75f9b9fd-a2b2-4ad4-9d4a-0dcb7c99194f" TargetMode="External"/><Relationship Id="rId2290" Type="http://schemas.openxmlformats.org/officeDocument/2006/relationships/hyperlink" Target="https://resources.simonelectric.com/simon-ebook-vehiculo-electrico?utm_campaign=SIC%20-%20Veh%C3%ADculo%20El%C3%A9ctrico&amp;utm_medium=email&amp;_hsenc=p2ANqtz-_GD7yFKetpGeW3nbvasHqgLBfVL9xJYtL-AsaK8NfJASHDIpSKa3ldYBSdN_Ni3fSlYtcG3-zkOD5LB8wHVJyAAsvEQKO2EPO48guTzDV12W8fuj8&amp;_hsmi=71033675&amp;utm_source=hs_automation&amp;utm_content=71033675&amp;hsCtaTracking=2e94ebfc-d414-4389-870c-d2f266a9420b%7C587ac4dc-a49a-4bdc-b449-e36f5d95395b" TargetMode="External"/><Relationship Id="rId2291" Type="http://schemas.openxmlformats.org/officeDocument/2006/relationships/hyperlink" Target="https://resources.simonelectric.com/simon-ebook-vehiculo-electrico?utm_campaign=SIC%20-%20Veh%C3%ADculo%20El%C3%A9ctrico&amp;utm_medium=email&amp;_hsenc=p2ANqtz-8FOso4CNegT781YH-K7EedGCV7AXxIs5f6LJoBI8wkCaoRWOcPUzmqT75or6VwAUO_3etZsrkTD5cAZ43S91hWJ6NAQVYr8NS3tIoQ0r4_7744YH8&amp;_hsmi=71033675&amp;utm_source=hs_automation&amp;utm_content=71033675&amp;hsCtaTracking=2e94ebfc-d414-4389-870c-d2f266a9420b%7C587ac4dc-a49a-4bdc-b449-e36f5d95395b" TargetMode="External"/><Relationship Id="rId2292" Type="http://schemas.openxmlformats.org/officeDocument/2006/relationships/hyperlink" Target="https://resources.simonelectric.com/simon-ebook-vehiculo-electrico?utm_campaign=SIC%20-%20Veh%C3%ADculo%20El%C3%A9ctrico&amp;utm_medium=email&amp;_hsenc=p2ANqtz-_4oxGjdVL2ijGjpYCLkIIo3UGOJ0Tz31MwS4BDrltd4TSEtc9IYx9GQKLaQ_hhkSWfGtiHi1tMILddEeNEv5_0MhT7rw&amp;_hsmi=71033675&amp;utm_source=hs_automation&amp;utm_content=71033675&amp;hsCtaTracking=2e94ebfc-d414-4389-870c-d2f266a9420b%7C587ac4dc-a49a-4bdc-b449-e36f5d95395b" TargetMode="External"/><Relationship Id="rId2293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-U6a8xJuYpvESvfewBbJBpNDLCmXzDl9xajOlwI4biZoXo73JiERI1Kdo8Ai4xQE12Qetriu9wWh99hd1gZPdnBP3CBg&amp;_hsmi=71033675" TargetMode="External"/><Relationship Id="rId253" Type="http://schemas.openxmlformats.org/officeDocument/2006/relationships/hyperlink" Target="https://resources.simonelectric.com/simon-material-formativo-vehiculo-electrico?utm_campaign=SIC%20-%20Veh%C3%ADculo%20El%C3%A9ctrico&amp;utm_medium=email&amp;_hsenc=p2ANqtz-89ITU9swKGI3FaDOWZIHRwAO1VuR1hBF81SJFoEZvRCLk9W6gmp_LIoNrkGt8ImjH839uUOYNVR1toy7EpDQn4IhQwow&amp;_hsmi=89784488&amp;utm_content=89784488&amp;utm_source=hs_email&amp;hsCtaTracking=f8a31ce8-daf1-4d69-a5d6-c3349f3aab91%7C75f9b9fd-a2b2-4ad4-9d4a-0dcb7c99194f" TargetMode="External"/><Relationship Id="rId2294" Type="http://schemas.openxmlformats.org/officeDocument/2006/relationships/hyperlink" Target="https://resources.simonelectric.com/simon-ebook-vehiculo-electrico?utm_campaign=SIC%20-%20Veh%C3%ADculo%20El%C3%A9ctrico&amp;utm_medium=email&amp;_hsenc=p2ANqtz-9bL1EuBAfWGU1-s3B6Hb1aeztwbxCkXXOh-9Y4CvRW6uKglOlVRpIJCH2ylxu_jABB-76n6MEDGeoPH0hyHXWapHTanEGFSSKS-tg_piNzc7-zvqw&amp;_hsmi=71033675&amp;utm_source=hs_automation&amp;utm_content=71033675&amp;hsCtaTracking=2e94ebfc-d414-4389-870c-d2f266a9420b%7C587ac4dc-a49a-4bdc-b449-e36f5d95395b" TargetMode="External"/><Relationship Id="rId252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8l7th1FVpIUS8412f4xa-1KMyOWKbayHtiNgFMYvXoKDwZPt13Y1ZOUV7_hNZM0rH7T5yWoP3htIMrmX4Vxh5LKjqaCA&amp;utm_content=89784488&amp;utm_source=hs_email" TargetMode="External"/><Relationship Id="rId2295" Type="http://schemas.openxmlformats.org/officeDocument/2006/relationships/hyperlink" Target="https://resources.simonelectric.com/simon-ebook-vehiculo-electrico?utm_campaign=SIC%20-%20Veh%C3%ADculo%20El%C3%A9ctrico&amp;utm_medium=email&amp;_hsenc=p2ANqtz-8uwLGsO4Ewqfj09FMt1BGsJWFqNf_CB8PPoHQOPuaMSc22p9TjO79Tz05d5rM5cKhufLZ-eXa49Um7Xy0NKJN-fe23WA&amp;_hsmi=71033675&amp;utm_source=hs_automation&amp;utm_content=71033675&amp;hsCtaTracking=2e94ebfc-d414-4389-870c-d2f266a9420b%7C587ac4dc-a49a-4bdc-b449-e36f5d95395b" TargetMode="External"/><Relationship Id="rId251" Type="http://schemas.openxmlformats.org/officeDocument/2006/relationships/hyperlink" Target="https://resources.simonelectric.com/simon-material-formativo-vehiculo-electrico?utm_campaign=SIC%20-%20Veh%C3%ADculo%20El%C3%A9ctrico&amp;utm_medium=email&amp;_hsenc=p2ANqtz--5iUHZOyB5Oxa5D68M9E2jNWabFAbgUBIdXRilRszt7B_ZL6gZHLnveKQ8kI3r6pLsRafxO4TDhlVYCeHcT7y83RIfkMLZ9GNm-wClpgDG8NiwNIw&amp;_hsmi=89784488&amp;utm_content=89784488&amp;utm_source=hs_email&amp;hsCtaTracking=f8a31ce8-daf1-4d69-a5d6-c3349f3aab91%7C75f9b9fd-a2b2-4ad4-9d4a-0dcb7c99194f" TargetMode="External"/><Relationship Id="rId2296" Type="http://schemas.openxmlformats.org/officeDocument/2006/relationships/hyperlink" Target="https://resources.simonelectric.com/simon-ebook-vehiculo-electrico?utm_campaign=SIC%20-%20Veh%C3%ADculo%20El%C3%A9ctrico&amp;utm_medium=email&amp;_hsenc=p2ANqtz-_HAQiQbvJsQpXLyYzqV_eado2aflY4rUP8PV7bZir6g4q9nsAMUyNagBEakxKBkZcu6lCNRrCsSw0_TxA4NPT12GgcQTBVDd2DulqrF140IJ2kM74&amp;_hsmi=71033675&amp;utm_source=hs_automation&amp;utm_content=71033675&amp;hsCtaTracking=2e94ebfc-d414-4389-870c-d2f266a9420b%7C587ac4dc-a49a-4bdc-b449-e36f5d95395b" TargetMode="External"/><Relationship Id="rId250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8jq2T8kU6LS90u4XDKpKF02Es1j2u7ebetjevvNjD0QNIVsxuyOB2JFMBJo64xB1pcgVGHVIr3mNX18Qd6wofOO8ZVpN1RNxDF_SJ0IwXHXHmb9W4&amp;utm_content=89784488&amp;utm_source=hs_email" TargetMode="External"/><Relationship Id="rId2297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-LUpvO32GryimLu-kGkFBGZurIBluoRe-C8To6XOeioqnkAO7_s3AhAcnVG7jGQPtKvRPQo65ho9FhQgSp8aAcgbAwCQ&amp;_hsmi=71033675" TargetMode="External"/><Relationship Id="rId257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_xRXUzPmBxKPcZyPqddGK3kEzSUqu9lYjvkTo-ix3zNMILExS-E6LYeXhGG6YUvUhffiqgfxWhX4iYoouyetb94Zw79R8zSCAfjB9EsEvpEwfOXSs&amp;utm_content=89784488&amp;utm_source=hs_email" TargetMode="External"/><Relationship Id="rId2298" Type="http://schemas.openxmlformats.org/officeDocument/2006/relationships/hyperlink" Target="https://resources.simonelectric.com/simon-ebook-vehiculo-electrico?utm_campaign=SIC%20-%20Veh%C3%ADculo%20El%C3%A9ctrico&amp;utm_source=hs_email&amp;utm_medium=email&amp;utm_content=71033675&amp;_hsenc=p2ANqtz--hjpowJghruRZbYIMx1MPOjxdu4iPZixNnGBdxUzfalTLpUC_AeDB6zXRhlZXibBHFrmCccMev2WtaQwCwCMvyJYO81w" TargetMode="External"/><Relationship Id="rId256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2299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-TvDhl2MuMygPFasklHrW3OOe5neB2cCwW1OIcnaUGG0NNPmxrW8oQtR0UkxVx43HZLmmZeGqTIFS8EYoKu3o2eFDUmg&amp;_hsmi=71034014" TargetMode="External"/><Relationship Id="rId255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-nRMBALkowjJsQRlwcXGUXg3Uci-Avn0CShrNXsjQq1e2jsA9DqoywuEKAQoS9ihqtC-Tdcejs1FixDFGm1mHzUAv83w&amp;utm_content=89784488&amp;utm_source=hs_email" TargetMode="External"/><Relationship Id="rId254" Type="http://schemas.openxmlformats.org/officeDocument/2006/relationships/hyperlink" Target="https://resources.simonelectric.com/simon-material-formativo-vehiculo-electrico?utm_campaign=SIC%20-%20Veh%C3%ADculo%20El%C3%A9ctrico&amp;utm_medium=email&amp;_hsenc=p2ANqtz-8eSYhfPZPKXj9ptO2VQY9B22wJpvHJn06nTi4lWwH1GlmleY1hY1Cxjjjlo6lDQVnm_FaztSKAeSPtJUfHUr54Yc197w&amp;_hsmi=89784488&amp;utm_content=89784488&amp;utm_source=hs_email&amp;hsCtaTracking=f8a31ce8-daf1-4d69-a5d6-c3349f3aab91%7C75f9b9fd-a2b2-4ad4-9d4a-0dcb7c99194f" TargetMode="External"/><Relationship Id="rId4029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wAdYrUv1Cz9H4AUzUYGnD3zS4Brku3h9wJeJsqyg3mER4JV8N_rURiQ6g7dbev_tNcCWSjD-NtBE5klqVUZ_Qwiz3EA%26_hsmi%3D81085388" TargetMode="External"/><Relationship Id="rId293" Type="http://schemas.openxmlformats.org/officeDocument/2006/relationships/hyperlink" Target="https://resources.simonelectric.com/simon-material-formativo-vehiculo-electrico?utm_campaign=SIC%20-%20Veh%C3%ADculo%20El%C3%A9ctrico&amp;utm_medium=email&amp;_hsenc=p2ANqtz-_mr1IAy2eT2OWvX6vN7rKwmgLTSIQYGJwjjslcMkXT4-EwjKieqUdtv5_spoz3RAZZUMTenxh4lnlmr8z_hWEKm4YZwQ&amp;_hsmi=89784488&amp;utm_content=89784488&amp;utm_source=hs_email&amp;hsCtaTracking=f8a31ce8-daf1-4d69-a5d6-c3349f3aab91%7C75f9b9fd-a2b2-4ad4-9d4a-0dcb7c99194f" TargetMode="External"/><Relationship Id="rId292" Type="http://schemas.openxmlformats.org/officeDocument/2006/relationships/hyperlink" Target="https://resources.simonelectric.com/simon-material-formativo-vehiculo-electrico?utm_campaign=SIC%20-%20Veh%C3%ADculo%20El%C3%A9ctrico&amp;utm_medium=email&amp;_hsenc=p2ANqtz-8BgmB9RUvgxL_OUYgisAyaiUlXCQyYOy5jdfQxu1tdXeVufYIcJHYwwnQFGyrrl7iwgeGQQgnWd9JrPIEYyACylAXBRVQu62ZQZrYhNQSkks7kg8M&amp;_hsmi=89784488&amp;utm_content=89784488&amp;utm_source=hs_email&amp;hsCtaTracking=f8a31ce8-daf1-4d69-a5d6-c3349f3aab91%7C75f9b9fd-a2b2-4ad4-9d4a-0dcb7c99194f" TargetMode="External"/><Relationship Id="rId291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_YZnldhQu9DnoGrV5dMFb34FF4LYpK2JlDzBwMcRhAlga4bFaVDLgX7aQOo2a_R5ugoDi4xwrRd_KKnzT7eA5DgdwCtA&amp;utm_content=89784488&amp;utm_source=hs_email" TargetMode="External"/><Relationship Id="rId290" Type="http://schemas.openxmlformats.org/officeDocument/2006/relationships/hyperlink" Target="https://resources.simonelectric.com/simon-material-formativo-vehiculo-electrico?utm_campaign=SIC%20-%20Veh%C3%ADculo%20El%C3%A9ctrico&amp;utm_medium=email&amp;_hsenc=p2ANqtz-_Ki2U8Ug5-464mAEiZsAt1ljjqi9RYn4NE5u31y1dvWfrJJLpAU1neTwNX34StO5gJ0wT7zHF9mwRLz_mtetBZlWbWwg&amp;_hsmi=89784488&amp;utm_content=89784488&amp;utm_source=hs_email&amp;hsCtaTracking=f8a31ce8-daf1-4d69-a5d6-c3349f3aab91%7C75f9b9fd-a2b2-4ad4-9d4a-0dcb7c99194f" TargetMode="External"/><Relationship Id="rId4020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i70z1OhF4OI3wlfP1wS01RVOIT7yW_6bYmbLBd8X2H38hkb3ciSvZQ4TeA3ANUTgYnyq_NE2ABWl1_tadbpzExSZ34ky83w3Pu7E41jDkfvb4Lt4%26_hsmi%3D81085388" TargetMode="External"/><Relationship Id="rId286" Type="http://schemas.openxmlformats.org/officeDocument/2006/relationships/hyperlink" Target="https://resources.simonelectric.com/simon-material-formativo-vehiculo-electrico?utm_campaign=SIC%20-%20Veh%C3%ADculo%20El%C3%A9ctrico&amp;utm_medium=email&amp;_hsenc=p2ANqtz--2nluWYt16Ih-iI8rkIVVN_NrgAD0vSCK8DzR0zREDnHP3T_cDSr8_7LLG18RkMdNMN9jjPAdwU1-SKjeTNdW3qw4vTg&amp;_hsmi=89784488&amp;utm_content=89784488&amp;utm_source=hs_email&amp;hsCtaTracking=f8a31ce8-daf1-4d69-a5d6-c3349f3aab91%7C75f9b9fd-a2b2-4ad4-9d4a-0dcb7c99194f" TargetMode="External"/><Relationship Id="rId4022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h290rby0-zWDkPyhQmyUuO8iTg2Vyk0pUDNeNhvjUBVfmBvVz96NuBcIzbG0wqzFBe17pXyfIcMUbOZesbVQj6FXnuPsJ1pkgv0K-qo8ozDeY1xw%26_hsmi%3D81085386" TargetMode="External"/><Relationship Id="rId285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_a3-w7j6lACpbIBr3wTA5Qrum0Hoqg5S7k0zL_0zo53GwihpMjxGczaAN5uoxFSvs3-9ehjG6mGHj_54AVB4s24zRwQcjeb7UvJdue1uqK_AdlT_k&amp;utm_content=89784488&amp;utm_source=hs_email" TargetMode="External"/><Relationship Id="rId4021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RroO-tujw1W8zV-HQttjVs6nDAeVbqlnECTKX1rdF35W2QfoXUkyFjje8bD7E12HpOouoqrwejtEaauypK1dQbjFXMg%26_hsmi%3D81085386" TargetMode="External"/><Relationship Id="rId284" Type="http://schemas.openxmlformats.org/officeDocument/2006/relationships/hyperlink" Target="https://resources.simonelectric.com/simon-material-formativo-vehiculo-electrico?utm_campaign=SIC%20-%20Veh%C3%ADculo%20El%C3%A9ctrico&amp;utm_medium=email&amp;_hsenc=p2ANqtz-8Uhr1Rn6c6jtGeLY0zEBouUWejOwBdlr7r3z0z2W2pPPAidH5om0yFyiEQRWqAdB4fV90XqL44K7FU3abW5W9d4OJ8xA&amp;_hsmi=89784488&amp;utm_content=89784488&amp;utm_source=hs_email&amp;hsCtaTracking=f8a31ce8-daf1-4d69-a5d6-c3349f3aab91%7C75f9b9fd-a2b2-4ad4-9d4a-0dcb7c99194f" TargetMode="External"/><Relationship Id="rId4024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7otxNaDZbEkwTRDjNaYYrnu6eEzqIXG6YL6z1tYI1-eDLIPdJVacZZvuL9gPfWgAb4XTooHAMEFa9hXhFHq0e4LlzJA%26_hsmi%3D81085386" TargetMode="External"/><Relationship Id="rId283" Type="http://schemas.openxmlformats.org/officeDocument/2006/relationships/hyperlink" Target="https://resources.simonelectric.com/simon-material-formativo-vehiculo-electrico?utm_campaign=SIC%20-%20Veh%C3%ADculo%20El%C3%A9ctrico&amp;utm_medium=email&amp;_hsenc=p2ANqtz--a6uYxvgKsm13YT-M1cWGx4IUMPEkfBhOK22rWJjq3HwK6R_9RxrXZlP_sLDK9g2FMIvDtonJR2vvbj1-xahE0A5VTNw&amp;_hsmi=89784488&amp;utm_content=89784488&amp;utm_source=hs_email&amp;hsCtaTracking=f8a31ce8-daf1-4d69-a5d6-c3349f3aab91%7C75f9b9fd-a2b2-4ad4-9d4a-0dcb7c99194f" TargetMode="External"/><Relationship Id="rId4023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026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89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8R3YvDMeXFHJuhTNQuTlxLmkX_ftoObMP9DSR_0sQLUstYpvTXXmNgSqYlre4lrxQZEfMtuPBolcCR49y9bX4dR9Jnew&amp;utm_content=89784488&amp;utm_source=hs_email" TargetMode="External"/><Relationship Id="rId4025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88" Type="http://schemas.openxmlformats.org/officeDocument/2006/relationships/hyperlink" Target="https://resources.simonelectric.com/simon-material-formativo-vehiculo-electrico?utm_campaign=SIC%20-%20Veh%C3%ADculo%20El%C3%A9ctrico&amp;utm_medium=email&amp;_hsenc=p2ANqtz-8YBHjXnko1A7wAcsNWUUZpgmEJYGACvDU-zSn5SYwXRFeqPdjJ0tW3QAJENH0NtqOsE8ORtdLfHaExJIuy4SSKhhLJqw&amp;_hsmi=89784488&amp;utm_content=89784488&amp;utm_source=hs_email&amp;hsCtaTracking=f8a31ce8-daf1-4d69-a5d6-c3349f3aab91%7C75f9b9fd-a2b2-4ad4-9d4a-0dcb7c99194f" TargetMode="External"/><Relationship Id="rId402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87" Type="http://schemas.openxmlformats.org/officeDocument/2006/relationships/hyperlink" Target="https://resources.simonelectric.com/simon-material-formativo-vehiculo-electrico?utm_campaign=SIC%20-%20Veh%C3%ADculo%20El%C3%A9ctrico&amp;utm_medium=email&amp;_hsenc=p2ANqtz--1UfzSXCvL035hl5WLXWbH5-pUn3SDc7UGyulLxq9lzvdkvmXcvgs3-xfe-3-mC6fQdxlPVoknMjCEnkIaTLfIVxEi3Q&amp;_hsmi=89784488&amp;utm_content=89784488&amp;utm_source=hs_email&amp;hsCtaTracking=f8a31ce8-daf1-4d69-a5d6-c3349f3aab91%7C75f9b9fd-a2b2-4ad4-9d4a-0dcb7c99194f" TargetMode="External"/><Relationship Id="rId4027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Ejukf4FFgdHyYKjsYGdWGLvRDWc2x-EzCL4kCf2x4WXZpIDFIJKA9rRSMR06hMwjNBqPuE6_BIU-0QLzhOFSxWg4OWe68whw6H5JD3Ndzkm4_cv8%26_hsmi%3D81085387" TargetMode="External"/><Relationship Id="rId4019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NN0r6kMyeBukcbrPbrPDcaS3cX_4D62jEP2XeqCGNIuQMlScC5CM7h9iUbu8Up0lhPH6qtHpwvVDKasN264hnbLX32A%26_hsmi%3D81085386" TargetMode="External"/><Relationship Id="rId401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82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-dvxUBs16zVuQj-MsZZ90XaCTfcwGFVyK5oiaUYaWVV5G5DW8RDEOtRW4Us7Re0D9EJ72ViaZqi9PL0KujgAnl7vKCyg&amp;utm_content=89784488&amp;utm_source=hs_email" TargetMode="External"/><Relationship Id="rId281" Type="http://schemas.openxmlformats.org/officeDocument/2006/relationships/hyperlink" Target="https://resources.simonelectric.com/simon-material-formativo-vehiculo-electrico?utm_campaign=SIC%20-%20Veh%C3%ADculo%20El%C3%A9ctrico&amp;utm_medium=email&amp;_hsenc=p2ANqtz-9eY1fJ4L314xF9cF7zuj1MIv9frkeU3Mh-23lKT1ISSG-BvLHc9TdI_LijUFSa1emSdA277XVDyQ9wciP_cehKki7ezI4WP750g9927G6-ZSkc-is&amp;_hsmi=89784488&amp;utm_content=89784488&amp;utm_source=hs_email&amp;hsCtaTracking=f8a31ce8-daf1-4d69-a5d6-c3349f3aab91%7C75f9b9fd-a2b2-4ad4-9d4a-0dcb7c99194f" TargetMode="External"/><Relationship Id="rId280" Type="http://schemas.openxmlformats.org/officeDocument/2006/relationships/hyperlink" Target="https://resources.simonelectric.com/simon-material-formativo-vehiculo-electrico?utm_campaign=SIC%20-%20Veh%C3%ADculo%20El%C3%A9ctrico&amp;utm_medium=email&amp;_hsenc=p2ANqtz--127iSMP7uaSOoHkwQoJH-bu3YfmCINFZ3YZr0awZua7Hf_97kwc3f-JD7L3ww34_1NxQAVEkWfM1G-SbW6r7B8GXAbQ&amp;_hsmi=89784488&amp;utm_content=89784488&amp;utm_source=hs_email&amp;hsCtaTracking=f8a31ce8-daf1-4d69-a5d6-c3349f3aab91%7C75f9b9fd-a2b2-4ad4-9d4a-0dcb7c99194f" TargetMode="External"/><Relationship Id="rId275" Type="http://schemas.openxmlformats.org/officeDocument/2006/relationships/hyperlink" Target="https://resources.simonelectric.com/simon-material-formativo-vehiculo-electrico?utm_campaign=SIC%20-%20Veh%C3%ADculo%20El%C3%A9ctrico&amp;utm_medium=email&amp;_hsenc=p2ANqtz-8s2K-x_md7Nns7ccmTP0Lj7LrZeJIvk0zmzNg8GIBgjpORQqxTcRWaJrev4h4R9CB7bxIuTlIJlPn_-e-e6pNTGxiNvw&amp;_hsmi=89784488&amp;utm_content=89784488&amp;utm_source=hs_email&amp;hsCtaTracking=f8a31ce8-daf1-4d69-a5d6-c3349f3aab91%7C75f9b9fd-a2b2-4ad4-9d4a-0dcb7c99194f" TargetMode="External"/><Relationship Id="rId4011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_Z8mLtOlGCxg6AF6x_H7hLeBRrvOCgkgJ1gLOoSmubJQzVSMQfAsyk74tL7_OUYhy5ru8gYEFDBdT_IxF1I1u5_2lYrQ&amp;_hsmi=71034014" TargetMode="External"/><Relationship Id="rId274" Type="http://schemas.openxmlformats.org/officeDocument/2006/relationships/hyperlink" Target="https://resources.simonelectric.com/simon-material-formativo-vehiculo-electrico?utm_campaign=SIC%20-%20Veh%C3%ADculo%20El%C3%A9ctrico&amp;utm_medium=email&amp;_hsenc=p2ANqtz-9RQ4io0g05hBu9OKOp1ns2I1YRc6L2nxfxrlrx8Ks4IsFVcvtVAqYGkqgZoYGtMFHsmL7rgfKeHVElbDvfg8hAZ72nLw&amp;_hsmi=89784488&amp;utm_content=89784488&amp;utm_source=hs_email&amp;hsCtaTracking=f8a31ce8-daf1-4d69-a5d6-c3349f3aab91%7C75f9b9fd-a2b2-4ad4-9d4a-0dcb7c99194f" TargetMode="External"/><Relationship Id="rId4010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73" Type="http://schemas.openxmlformats.org/officeDocument/2006/relationships/hyperlink" Target="https://resources.simonelectric.com/simon-material-formativo-vehiculo-electrico?utm_campaign=SIC%20-%20Veh%C3%ADculo%20El%C3%A9ctrico&amp;utm_medium=email&amp;_hsenc=p2ANqtz--wjvcNDLkiypcEf19EkdAuJC4pDaYYGZwNWC7hQkzaY-HgC6gWDWxBwS9RGg9EiNT7sUX579d_fMdqFoyuPAOGaWB_0GHDhN-WDJMRWgzfOaEYVmM&amp;_hsmi=89784488&amp;utm_content=89784488&amp;utm_source=hs_email&amp;hsCtaTracking=f8a31ce8-daf1-4d69-a5d6-c3349f3aab91%7C75f9b9fd-a2b2-4ad4-9d4a-0dcb7c99194f" TargetMode="External"/><Relationship Id="rId4013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_WvIQYkAkzS7X1siq7M27peGQSvQv7SH28mgavbLi6cJYsOHRiTZVw4FLJnhoCIz4jrG38yt1ItjpsYV9JuNxE_kCww%26_hsmi%3D81085387" TargetMode="External"/><Relationship Id="rId272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-FF3nza6lj8OanoqvotoIHSCmeHEQGkTIJ32AnDhlH-gH75t0lXN2Xm64nMRxNEkcBa2l1PswRQiKa05Xx1IEwm_VuqQ&amp;utm_content=89784488&amp;utm_source=hs_email" TargetMode="External"/><Relationship Id="rId401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79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-exV2MsmuaMmmBtdjGyzQ1ru0KD8zP7vuWr2aYXE-EMNh6uFA0MS_jurE-kYSl2I0IuIAJAd_3_ZG1Jlnsxxgr3CJ8vg&amp;utm_content=89784488&amp;utm_source=hs_email" TargetMode="External"/><Relationship Id="rId4015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qk1Ph3I2xCR343HmsI5ajV7mwSeNcMpbg99aE8_Nes-4ejpYq9i_CJPuCXsEU9SOYIgN9artmhRyi6v_WJQyGCPztO83clZWOXSsAYOuHNrg-bkc%26_hsmi%3D81085386" TargetMode="External"/><Relationship Id="rId278" Type="http://schemas.openxmlformats.org/officeDocument/2006/relationships/hyperlink" Target="https://resources.simonelectric.com/simon-material-formativo-vehiculo-electrico?utm_campaign=SIC%20-%20Veh%C3%ADculo%20El%C3%A9ctrico&amp;utm_medium=email&amp;_hsenc=p2ANqtz-9H3BBVU5jnHBU-PaT8gpy7ilEMpP15qEMoibRaPLKoLUXWz_qXJDOL7ekOfa06y0tJRna4uBdDoQJy1ifPDuQgk0IIag&amp;_hsmi=89784488&amp;utm_content=89784488&amp;utm_source=hs_email&amp;hsCtaTracking=f8a31ce8-daf1-4d69-a5d6-c3349f3aab91%7C75f9b9fd-a2b2-4ad4-9d4a-0dcb7c99194f" TargetMode="External"/><Relationship Id="rId401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77" Type="http://schemas.openxmlformats.org/officeDocument/2006/relationships/hyperlink" Target="https://resources.simonelectric.com/simon-material-formativo-vehiculo-electrico?utm_campaign=SIC%20-%20Veh%C3%ADculo%20El%C3%A9ctrico&amp;utm_medium=email&amp;_hsenc=p2ANqtz-89PDS_R2hT3PoHiFy45qw1EpIicibkShuae8lUXuenbTbwT71plenSnQjvKFde8_BtoqpxNgKj28SvBnJ0kOQJAe2AqQ&amp;_hsmi=89784488&amp;utm_content=89784488&amp;utm_source=hs_email&amp;hsCtaTracking=f8a31ce8-daf1-4d69-a5d6-c3349f3aab91%7C75f9b9fd-a2b2-4ad4-9d4a-0dcb7c99194f" TargetMode="External"/><Relationship Id="rId401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76" Type="http://schemas.openxmlformats.org/officeDocument/2006/relationships/hyperlink" Target="https://resources.simonelectric.com/simon-material-formativo-vehiculo-electrico?utm_campaign=SIC%20-%20Veh%C3%ADculo%20El%C3%A9ctrico&amp;utm_medium=email&amp;_hsenc=p2ANqtz-_QBaaAskZw8ZU20q8NT7n21B5oYPOcGmoWlbQOvQMAUseob4pPDXylZg_aEGQ5rAjV53rsEy-G1MxCaQXP4GMd4SVmsg&amp;_hsmi=89784488&amp;utm_content=89784488&amp;utm_source=hs_email&amp;hsCtaTracking=f8a31ce8-daf1-4d69-a5d6-c3349f3aab91%7C75f9b9fd-a2b2-4ad4-9d4a-0dcb7c99194f" TargetMode="External"/><Relationship Id="rId4016" Type="http://schemas.openxmlformats.org/officeDocument/2006/relationships/hyperlink" Target="https://resources.simonelectric.com/simon-ebook-vehiculo-electrico" TargetMode="External"/><Relationship Id="rId1851" Type="http://schemas.openxmlformats.org/officeDocument/2006/relationships/hyperlink" Target="https://resources.simonelectric.com/simon-catalogo-vehiculo-electrico?utm_campaign=SIC%20-%20Veh%C3%ADculo%20El%C3%A9ctrico&amp;utm_medium=email&amp;_hsenc=p2ANqtz-_KgiKasAmkbNHezN9TsbgT9fjo8-qpbsON1hf5qomVAogNm9-_yaRD9eQkgA_QaFIyvfNl&amp;_hsmi=87085363&amp;utm_content=87085363&amp;utm_source=hs_email&amp;hsCtaTracking=6fedf137-fd90-4f17-bfb4-d61f710ec7f8%7Cf2771843-6636-4969-9010-2d8d0389b89c" TargetMode="External"/><Relationship Id="rId1852" Type="http://schemas.openxmlformats.org/officeDocument/2006/relationships/hyperlink" Target="https://resources.simonelectric.com/simon-catalogo-vehiculo-electrico?utm_campaign=SIC%20-%20Veh%C3%ADculo%20El%C3%A9ctrico&amp;utm_medium=email&amp;_hsenc=p2ANqtz-8XBwBhgoH63FDuohd4XcyNwCcl_A0ffxGim_p67CB_F-ns3Na-K-F-YEHfj7nPQlcTm6bg&amp;_hsmi=87085302&amp;utm_content=87085302&amp;utm_source=hs_email&amp;hsCtaTracking=6fedf137-fd90-4f17-bfb4-d61f710ec7f8%7Cf2771843-6636-4969-9010-2d8d0389b89c" TargetMode="External"/><Relationship Id="rId1853" Type="http://schemas.openxmlformats.org/officeDocument/2006/relationships/hyperlink" Target="https://resources.simonelectric.com/simon-catalogo-vehiculo-electrico?utm_campaign=SIC%20-%20Veh%C3%ADculo%20El%C3%A9ctrico&amp;utm_medium=email&amp;_hsmi=87085302&amp;_hsenc=p2ANqtz-_hLn59ONKy90dqrhJ7E2ZVkBBO3AN3sbSMa1bOm4KeL9yr8q3MlYonWiSQBDCexvn0bhzI&amp;utm_content=87085302&amp;utm_source=hs_email" TargetMode="External"/><Relationship Id="rId1854" Type="http://schemas.openxmlformats.org/officeDocument/2006/relationships/hyperlink" Target="https://resources.simonelectric.com/simon-catalogo-vehiculo-electrico?utm_campaign=SIC%20-%20Veh%C3%ADculo%20El%C3%A9ctrico&amp;utm_medium=email&amp;_hsenc=p2ANqtz-8Muz6KboX44VUamp_ll6II7tlR4mk372DxNRBpYWDNYAQ27iEQvZ7Dl3YMCI-ue11G1V94&amp;_hsmi=87085302&amp;utm_content=87085302&amp;utm_source=hs_email&amp;hsCtaTracking=6fedf137-fd90-4f17-bfb4-d61f710ec7f8%7Cf2771843-6636-4969-9010-2d8d0389b89c" TargetMode="External"/><Relationship Id="rId1855" Type="http://schemas.openxmlformats.org/officeDocument/2006/relationships/hyperlink" Target="https://resources.simonelectric.com/simon-catalogo-vehiculo-electrico?utm_campaign=SIC%20-%20Veh%C3%ADculo%20El%C3%A9ctrico&amp;utm_medium=email&amp;_hsenc=p2ANqtz-9-KkKnfKH4ZxC3jI17-Bri9-LvGf-uMw5JejY9giYHUr-egIWRI9rwdEc8snYzS61Mkgtd&amp;_hsmi=87085363&amp;utm_content=87085363&amp;utm_source=hs_email&amp;hsCtaTracking=6fedf137-fd90-4f17-bfb4-d61f710ec7f8%7Cf2771843-6636-4969-9010-2d8d0389b89c" TargetMode="External"/><Relationship Id="rId1856" Type="http://schemas.openxmlformats.org/officeDocument/2006/relationships/hyperlink" Target="https://resources.simonelectric.com/simon-catalogo-vehiculo-electrico?utm_campaign=SIC%20-%20Veh%C3%ADculo%20El%C3%A9ctrico&amp;utm_medium=email&amp;_hsmi=87085302&amp;_hsenc=p2ANqtz-94v3722URPcnRnw2eCWr6FISFz1TOrfTck0x63a6wTh2KN3hVgVd41utX1AyCjgNh58OpC&amp;utm_content=87085302&amp;utm_source=hs_email" TargetMode="External"/><Relationship Id="rId1857" Type="http://schemas.openxmlformats.org/officeDocument/2006/relationships/hyperlink" Target="https://resources.simonelectric.com/simon-catalogo-vehiculo-electrico?utm_campaign=SIC%20-%20Veh%C3%ADculo%20El%C3%A9ctrico&amp;utm_medium=email&amp;_hsenc=p2ANqtz-8eHR72okzHElB6m_1x-M_doJiJTsweKYhnqDXFtN1v5D4qVStYiI-oFSqKX4ahjT_hh8Ci&amp;_hsmi=87085363&amp;utm_content=87085363&amp;utm_source=hs_email&amp;hsCtaTracking=6fedf137-fd90-4f17-bfb4-d61f710ec7f8%7Cf2771843-6636-4969-9010-2d8d0389b89c" TargetMode="External"/><Relationship Id="rId1858" Type="http://schemas.openxmlformats.org/officeDocument/2006/relationships/hyperlink" Target="https://resources.simonelectric.com/simon-catalogo-vehiculo-electrico?utm_campaign=SIC%20-%20Veh%C3%ADculo%20El%C3%A9ctrico&amp;utm_medium=email&amp;_hsenc=p2ANqtz-91narCpgZQpDO_iQI4TiMrj3M_GxL0mFJmhqJ5WVKImK6qfTlVVqohtmrhMon4KB-phV-i&amp;_hsmi=87085363&amp;utm_content=87085363&amp;utm_source=hs_email&amp;hsCtaTracking=6fedf137-fd90-4f17-bfb4-d61f710ec7f8%7Cf2771843-6636-4969-9010-2d8d0389b89c" TargetMode="External"/><Relationship Id="rId1859" Type="http://schemas.openxmlformats.org/officeDocument/2006/relationships/hyperlink" Target="https://resources.simonelectric.com/simon-catalogo-vehiculo-electrico?utm_campaign=SIC%20-%20Veh%C3%ADculo%20El%C3%A9ctrico&amp;utm_medium=email&amp;_hsenc=p2ANqtz-9SiYnpYpxMkpav13ix2VWZk-cQw8Q30gl_7mgr9Uh9RJqbd1LfOJ62ZYwP0qaoG9q3dK4mDAoXdci9grQKRMpY8UWrcA&amp;utm_source=hs_email&amp;utm_content=87085302&amp;hsCtaTracking=6fedf137-fd90-4f17-bfb4-d61f710ec7f8%7Cf2771843-6636-4969-9010-2d8d0389b89c" TargetMode="External"/><Relationship Id="rId1850" Type="http://schemas.openxmlformats.org/officeDocument/2006/relationships/hyperlink" Target="https://resources.simonelectric.com/simon-catalogo-vehiculo-electrico?utm_campaign=SIC%20-%20Veh%C3%ADculo%20El%C3%A9ctrico&amp;utm_medium=email&amp;_hsenc=p2ANqtz--4FMUHNbi1WDqOajiOpisWxb6dXqq3ndvWKB32-uhrBQKtWbFbqgatjVV1yy8f8B4IQgBS&amp;_hsmi=87085363&amp;utm_content=87085363&amp;utm_source=hs_email&amp;hsCtaTracking=6fedf137-fd90-4f17-bfb4-d61f710ec7f8%7Cf2771843-6636-4969-9010-2d8d0389b89c" TargetMode="External"/><Relationship Id="rId1840" Type="http://schemas.openxmlformats.org/officeDocument/2006/relationships/hyperlink" Target="https://resources.simonelectric.com/simon-catalogo-vehiculo-electrico?utm_campaign=SIC%20-%20Veh%C3%ADculo%20El%C3%A9ctrico&amp;utm_medium=email&amp;_hsenc=p2ANqtz-9SLnVUn4zuI8xgvl1lq_IAu4kNO_yIXJO4tezy8xrfF2M7D6VUYDa9inajRIvU6DzWOza1&amp;_hsmi=87085302&amp;utm_content=87085302&amp;utm_source=hs_email&amp;hsCtaTracking=6fedf137-fd90-4f17-bfb4-d61f710ec7f8%7Cf2771843-6636-4969-9010-2d8d0389b89c" TargetMode="External"/><Relationship Id="rId1841" Type="http://schemas.openxmlformats.org/officeDocument/2006/relationships/hyperlink" Target="https://resources.simonelectric.com/simon-catalogo-vehiculo-electrico?utm_campaign=SIC%20-%20Veh%C3%ADculo%20El%C3%A9ctrico&amp;utm_medium=email&amp;_hsenc=p2ANqtz-_8qvXIhNw_F3peXe_VGngkUX93-JsyY82G8n3HLu6UzulnTEvUNiT8v0QlNnD5Ni9GjBOy&amp;_hsmi=87085363&amp;utm_content=87085363&amp;utm_source=hs_email&amp;hsCtaTracking=6fedf137-fd90-4f17-bfb4-d61f710ec7f8%7Cf2771843-6636-4969-9010-2d8d0389b89c" TargetMode="External"/><Relationship Id="rId1842" Type="http://schemas.openxmlformats.org/officeDocument/2006/relationships/hyperlink" Target="https://resources.simonelectric.com/simon-catalogo-vehiculo-electrico?utm_campaign=SIC%20-%20Veh%C3%ADculo%20El%C3%A9ctrico&amp;utm_medium=email&amp;_hsenc=p2ANqtz-8u930_PUECkvL97LcooHrqBZ8j-207EOnQtzIejrbW1i5AkBgGsZTU1epl-qgNrhAjBHYK&amp;_hsmi=87085363&amp;utm_content=87085363&amp;utm_source=hs_email&amp;hsCtaTracking=6fedf137-fd90-4f17-bfb4-d61f710ec7f8%7Cf2771843-6636-4969-9010-2d8d0389b89c" TargetMode="External"/><Relationship Id="rId1843" Type="http://schemas.openxmlformats.org/officeDocument/2006/relationships/hyperlink" Target="https://resources.simonelectric.com/simon-catalogo-vehiculo-electrico?utm_campaign=SIC%20-%20Veh%C3%ADculo%20El%C3%A9ctrico&amp;utm_medium=email&amp;_hsenc=p2ANqtz-8wcxVUJgRO9V9JQA0IpdHdWvMTSt9PM0hWE9YlLnx-xVtiSq4_-WHsObdlGlQxvQvn3gzR&amp;_hsmi=87085363&amp;utm_content=87085363&amp;utm_source=hs_email&amp;hsCtaTracking=6fedf137-fd90-4f17-bfb4-d61f710ec7f8%7Cf2771843-6636-4969-9010-2d8d0389b89c" TargetMode="External"/><Relationship Id="rId1844" Type="http://schemas.openxmlformats.org/officeDocument/2006/relationships/hyperlink" Target="https://resources.simonelectric.com/simon-catalogo-vehiculo-electrico?utm_campaign=SIC%20-%20Veh%C3%ADculo%20El%C3%A9ctrico&amp;utm_medium=email&amp;_hsenc=p2ANqtz-9IlyaF9sfEhO4GyUAydUWhtU62qLh6pWttK8CT6Fr3ik8_CUFsJsjacsP7bBKGCu0G7UEo&amp;_hsmi=87085363&amp;utm_content=87085363&amp;utm_source=hs_email&amp;hsCtaTracking=6fedf137-fd90-4f17-bfb4-d61f710ec7f8%7Cf2771843-6636-4969-9010-2d8d0389b89c" TargetMode="External"/><Relationship Id="rId1845" Type="http://schemas.openxmlformats.org/officeDocument/2006/relationships/hyperlink" Target="https://resources.simonelectric.com/simon-catalogo-vehiculo-electrico?utm_campaign=SIC%20-%20Veh%C3%ADculo%20El%C3%A9ctrico&amp;utm_medium=email&amp;_hsenc=p2ANqtz-8nJPdR3BLXQW80Ju1hNw1lhKbluKVFhGCmN97O9Mz39G6SEZVjdffBrzjyr4FVkA9F5_jg&amp;_hsmi=87085302&amp;utm_content=87085302&amp;utm_source=hs_email&amp;hsCtaTracking=6fedf137-fd90-4f17-bfb4-d61f710ec7f8%7Cf2771843-6636-4969-9010-2d8d0389b89c" TargetMode="External"/><Relationship Id="rId1846" Type="http://schemas.openxmlformats.org/officeDocument/2006/relationships/hyperlink" Target="https://resources.simonelectric.com/simon-catalogo-vehiculo-electrico?utm_campaign=SIC%20-%20Veh%C3%ADculo%20El%C3%A9ctrico&amp;utm_medium=email&amp;_hsenc=p2ANqtz-_Ime1MmEIqGod4n1gTQ-m2zgfYIO0PDtfJMzF5xJUUs8FsSiIeyv11hqxbqgJ080O3QTzH&amp;_hsmi=87085363&amp;utm_content=87085363&amp;utm_source=hs_email&amp;hsCtaTracking=6fedf137-fd90-4f17-bfb4-d61f710ec7f8%7Cf2771843-6636-4969-9010-2d8d0389b89c" TargetMode="External"/><Relationship Id="rId1847" Type="http://schemas.openxmlformats.org/officeDocument/2006/relationships/hyperlink" Target="https://resources.simonelectric.com/simon-catalogo-vehiculo-electrico?utm_campaign=SIC%20-%20Veh%C3%ADculo%20El%C3%A9ctrico&amp;utm_medium=email&amp;_hsenc=p2ANqtz--YLfE2inqd5n7oI26hgsiMWNayTzycKL9ym249PRa3x2jveGnjfizWfaYS_CyfjX7KciQp&amp;_hsmi=87085363&amp;utm_content=87085363&amp;utm_source=hs_email&amp;hsCtaTracking=6fedf137-fd90-4f17-bfb4-d61f710ec7f8%7Cf2771843-6636-4969-9010-2d8d0389b89c" TargetMode="External"/><Relationship Id="rId1848" Type="http://schemas.openxmlformats.org/officeDocument/2006/relationships/hyperlink" Target="https://resources.simonelectric.com/simon-catalogo-vehiculo-electrico?utm_campaign=SIC%20-%20Veh%C3%ADculo%20El%C3%A9ctrico&amp;utm_medium=email&amp;_hsenc=p2ANqtz-89mLewzA4RbUaiigYu7xdaCKgZHyvNacbMMyfmDkR5TANIcmozxPB2n4gmHvovRBTUjbTh&amp;_hsmi=87085363&amp;utm_content=87085363&amp;utm_source=hs_email&amp;hsCtaTracking=6fedf137-fd90-4f17-bfb4-d61f710ec7f8%7Cf2771843-6636-4969-9010-2d8d0389b89c" TargetMode="External"/><Relationship Id="rId1849" Type="http://schemas.openxmlformats.org/officeDocument/2006/relationships/hyperlink" Target="https://resources.simonelectric.com/simon-catalogo-vehiculo-electrico?utm_campaign=SIC%20-%20Veh%C3%ADculo%20El%C3%A9ctrico&amp;utm_medium=email&amp;_hsmi=87085363&amp;_hsenc=p2ANqtz-9PCdn7N3GqIietwb0Q5HA-lYXeSgE6Y1rKwsjw4J_X4JvDUzxQYdT4OLIZznsHPJmIWMkw&amp;utm_content=87085363&amp;utm_source=hs_email" TargetMode="External"/><Relationship Id="rId1873" Type="http://schemas.openxmlformats.org/officeDocument/2006/relationships/hyperlink" Target="https://resources.simonelectric.com/simon-catalogo-vehiculo-electrico?utm_campaign=SIC%20-%20Veh%C3%ADculo%20El%C3%A9ctrico&amp;utm_medium=email&amp;_hsenc=p2ANqtz-__0NjTITcTKplQOED93p5MIaSB4eeCSxj_rs9CQeMelQxh30UiztUayyVRv04IKsmGsUZTrs6fx1KExim_fHs27Ak_1mYegt-ES1yAQfqKAlXfhIg&amp;utm_source=hs_email&amp;utm_content=87085302&amp;hsCtaTracking=6fedf137-fd90-4f17-bfb4-d61f710ec7f8%7Cf2771843-6636-4969-9010-2d8d0389b89c" TargetMode="External"/><Relationship Id="rId1874" Type="http://schemas.openxmlformats.org/officeDocument/2006/relationships/hyperlink" Target="https://resources.simonelectric.com/simon-catalogo-vehiculo-electrico?utm_campaign=SIC%20-%20Veh%C3%ADculo%20El%C3%A9ctrico&amp;utm_medium=email&amp;_hsenc=p2ANqtz-88hS3OqdvSez4c4YiuUAi1RwRmEhCq6T1X1AcRLjwjvSuPbvl02_90iv-vJHquc_mrd6xR&amp;_hsmi=87085363&amp;utm_content=87085363&amp;utm_source=hs_email&amp;hsCtaTracking=6fedf137-fd90-4f17-bfb4-d61f710ec7f8%7Cf2771843-6636-4969-9010-2d8d0389b89c" TargetMode="External"/><Relationship Id="rId1875" Type="http://schemas.openxmlformats.org/officeDocument/2006/relationships/hyperlink" Target="https://resources.simonelectric.com/simon-catalogo-vehiculo-electrico?utm_campaign=SIC%20-%20Veh%C3%ADculo%20El%C3%A9ctrico&amp;utm_medium=email&amp;_hsenc=p2ANqtz-81zw7TWO9vwRZlN0h1KCHzaBN0HyBrH36t446r5xf7Y6G8_Ylc8p9M_vFC14X9hlhEYF-T&amp;_hsmi=87085363&amp;utm_content=87085363&amp;utm_source=hs_email&amp;hsCtaTracking=6fedf137-fd90-4f17-bfb4-d61f710ec7f8%7Cf2771843-6636-4969-9010-2d8d0389b89c" TargetMode="External"/><Relationship Id="rId1876" Type="http://schemas.openxmlformats.org/officeDocument/2006/relationships/hyperlink" Target="https://resources.simonelectric.com/simon-catalogo-vehiculo-electrico?utm_campaign=SIC%20-%20Veh%C3%ADculo%20El%C3%A9ctrico&amp;utm_medium=email&amp;_hsenc=p2ANqtz-__0NjTITcTKplQOED93p5MIaSB4eeCSxj_rs9CQeMelQxh30UiztUayyVRv04IKsmGsUZTrs6fx1KExim_fHs27Ak_1mYegt-ES1yAQfqKAlXfhIg&amp;utm_source=hs_email&amp;utm_content=87085302&amp;hsCtaTracking=6fedf137-fd90-4f17-bfb4-d61f710ec7f8%7Cf2771843-6636-4969-9010-2d8d0389b89c" TargetMode="External"/><Relationship Id="rId1877" Type="http://schemas.openxmlformats.org/officeDocument/2006/relationships/hyperlink" Target="https://resources.simonelectric.com/simon-catalogo-vehiculo-electrico?utm_campaign=SIC%20-%20Veh%C3%ADculo%20El%C3%A9ctrico&amp;utm_medium=email&amp;_hsenc=p2ANqtz-9Nb8in0hprN2_qL-vZ_frPqffnVCk8F1refaw-xoUMsML_JFoO7OW_X8WDIKXz88GO0qVi&amp;_hsmi=87085302&amp;utm_content=87085302&amp;utm_source=hs_email&amp;hsCtaTracking=6fedf137-fd90-4f17-bfb4-d61f710ec7f8%7Cf2771843-6636-4969-9010-2d8d0389b89c" TargetMode="External"/><Relationship Id="rId1878" Type="http://schemas.openxmlformats.org/officeDocument/2006/relationships/hyperlink" Target="https://resources.simonelectric.com/simon-catalogo-vehiculo-electrico?utm_campaign=SIC%20-%20Veh%C3%ADculo%20El%C3%A9ctrico&amp;utm_medium=email&amp;_hsenc=p2ANqtz-9rMKHFk78sIgPJElB4zjc_j44PyLiUGayDGr_hKyFJZ1pC1smHpIRbM6BcMxd65Vwe4Xxu&amp;_hsmi=87085363&amp;utm_content=87085363&amp;utm_source=hs_email&amp;hsCtaTracking=6fedf137-fd90-4f17-bfb4-d61f710ec7f8%7Cf2771843-6636-4969-9010-2d8d0389b89c" TargetMode="External"/><Relationship Id="rId1879" Type="http://schemas.openxmlformats.org/officeDocument/2006/relationships/hyperlink" Target="https://resources.simonelectric.com/simon-catalogo-vehiculo-electrico?utm_campaign=SIC%20-%20Veh%C3%ADculo%20El%C3%A9ctrico&amp;utm_medium=email&amp;_hsenc=p2ANqtz-8ux_OUSe3GyAJyBdxCpb61CT46XHIUjK-kh9ZDYgR8PKXpg4yKsgcK95GpV4JpakcqjsRB&amp;_hsmi=87085363&amp;utm_content=87085363&amp;utm_source=hs_email&amp;hsCtaTracking=6fedf137-fd90-4f17-bfb4-d61f710ec7f8%7Cf2771843-6636-4969-9010-2d8d0389b89c" TargetMode="External"/><Relationship Id="rId1870" Type="http://schemas.openxmlformats.org/officeDocument/2006/relationships/hyperlink" Target="https://resources.simonelectric.com/simon-catalogo-vehiculo-electrico?utm_campaign=SIC%20-%20Veh%C3%ADculo%20El%C3%A9ctrico&amp;utm_medium=email&amp;_hsenc=p2ANqtz-_YXrEjmBEJn67rR2s4u-AJ_2G_9ZgY9BlVHLw4Bh0CUg__ZgkHIwuOGy0C1aBStiQ9dJHy&amp;_hsmi=87085363&amp;utm_content=87085363&amp;utm_source=hs_email&amp;hsCtaTracking=6fedf137-fd90-4f17-bfb4-d61f710ec7f8%7Cf2771843-6636-4969-9010-2d8d0389b89c" TargetMode="External"/><Relationship Id="rId1871" Type="http://schemas.openxmlformats.org/officeDocument/2006/relationships/hyperlink" Target="https://resources.simonelectric.com/simon-catalogo-vehiculo-electrico?utm_campaign=SIC%20-%20Veh%C3%ADculo%20El%C3%A9ctrico&amp;utm_medium=email&amp;_hsenc=p2ANqtz--mLadMH5w8Tsl1PwbYBo_5htKbP2kdc7zfxBzOXPBgCicFjoTeBBW1rxOFr5Lw4ySLHuXVdhfq7y-pKCjT_QmSm5cysVSm7ly2914z_mbK5_wdl-E&amp;utm_source=hs_email&amp;utm_content=87085363&amp;hsCtaTracking=6fedf137-fd90-4f17-bfb4-d61f710ec7f8%7Cf2771843-6636-4969-9010-2d8d0389b89c" TargetMode="External"/><Relationship Id="rId1872" Type="http://schemas.openxmlformats.org/officeDocument/2006/relationships/hyperlink" Target="https://resources.simonelectric.com/simon-catalogo-vehiculo-electrico?utm_campaign=SIC%20-%20Veh%C3%ADculo%20El%C3%A9ctrico&amp;utm_medium=email&amp;_hsenc=p2ANqtz--zkCnhIqbJxVlgo4wyCtzsiesQ1J37CUQmzIo-Cfy5bSxHsE5M_Pi6gYDZwsfQCSFcZREu&amp;_hsmi=87085363&amp;utm_content=87085363&amp;utm_source=hs_email&amp;hsCtaTracking=6fedf137-fd90-4f17-bfb4-d61f710ec7f8%7Cf2771843-6636-4969-9010-2d8d0389b89c" TargetMode="External"/><Relationship Id="rId1862" Type="http://schemas.openxmlformats.org/officeDocument/2006/relationships/hyperlink" Target="https://resources.simonelectric.com/simon-catalogo-vehiculo-electrico?utm_campaign=SIC%20-%20Veh%C3%ADculo%20El%C3%A9ctrico&amp;utm_medium=email&amp;_hsenc=p2ANqtz-8x5fo5YrnUfKGO1YnksiBsymahjRW5SrTrRRYODosJU6byhn90NQyGzpkxo0ldm3gJGv6j&amp;_hsmi=87085363&amp;utm_content=87085363&amp;utm_source=hs_email&amp;hsCtaTracking=6fedf137-fd90-4f17-bfb4-d61f710ec7f8%7Cf2771843-6636-4969-9010-2d8d0389b89c" TargetMode="External"/><Relationship Id="rId1863" Type="http://schemas.openxmlformats.org/officeDocument/2006/relationships/hyperlink" Target="https://resources.simonelectric.com/simon-catalogo-vehiculo-electrico?utm_campaign=SIC%20-%20Veh%C3%ADculo%20El%C3%A9ctrico&amp;utm_medium=email&amp;_hsenc=p2ANqtz-8a0j5NwkIbdEDS58x6P6pxCDuw4Is-b8w2SDnWy7jrGl9ptE1TSwHkkUBkscJv7Bs9-z2b&amp;_hsmi=87085363&amp;utm_content=87085363&amp;utm_source=hs_email&amp;hsCtaTracking=6fedf137-fd90-4f17-bfb4-d61f710ec7f8%7Cf2771843-6636-4969-9010-2d8d0389b89c" TargetMode="External"/><Relationship Id="rId1864" Type="http://schemas.openxmlformats.org/officeDocument/2006/relationships/hyperlink" Target="https://resources.simonelectric.com/simon-catalogo-vehiculo-electrico?utm_campaign=SIC%20-%20Veh%C3%ADculo%20El%C3%A9ctrico&amp;utm_medium=email&amp;_hsmi=87085302&amp;_hsenc=p2ANqtz-99q6oGOZo3zolL8JB_SOze_4OclOWeH7bWGRLYY_NsPFT4aB-QKShZjhPbGIbpYzGDb4Vh&amp;utm_content=87085302&amp;utm_source=hs_email" TargetMode="External"/><Relationship Id="rId1865" Type="http://schemas.openxmlformats.org/officeDocument/2006/relationships/hyperlink" Target="https://resources.simonelectric.com/simon-catalogo-vehiculo-electrico?utm_campaign=SIC%20-%20Veh%C3%ADculo%20El%C3%A9ctrico&amp;utm_medium=email&amp;_hsenc=p2ANqtz-8mJXWckSEWy6Ro-DPB24LwBBPscbSueYib9azm03z5oON8A693hyEa8GXsfsMpDSCOCJd2&amp;_hsmi=87085363&amp;utm_content=87085363&amp;utm_source=hs_email&amp;hsCtaTracking=6fedf137-fd90-4f17-bfb4-d61f710ec7f8%7Cf2771843-6636-4969-9010-2d8d0389b89c" TargetMode="External"/><Relationship Id="rId1866" Type="http://schemas.openxmlformats.org/officeDocument/2006/relationships/hyperlink" Target="https://resources.simonelectric.com/simon-catalogo-vehiculo-electrico?utm_campaign=SIC%20-%20Veh%C3%ADculo%20El%C3%A9ctrico&amp;utm_medium=email&amp;_hsenc=p2ANqtz--a-EdLE0BCw21kkr3c1WkSWXmFM7M0_9V3kym8CZCDErxwlWDHq1NvL0e0P9cqn_UCPkwd&amp;_hsmi=87085302&amp;utm_content=87085302&amp;utm_source=hs_email&amp;hsCtaTracking=6fedf137-fd90-4f17-bfb4-d61f710ec7f8%7Cf2771843-6636-4969-9010-2d8d0389b89c" TargetMode="External"/><Relationship Id="rId1867" Type="http://schemas.openxmlformats.org/officeDocument/2006/relationships/hyperlink" Target="https://resources.simonelectric.com/simon-catalogo-vehiculo-electrico?utm_campaign=SIC%20-%20Veh%C3%ADculo%20El%C3%A9ctrico&amp;utm_medium=email&amp;_hsenc=p2ANqtz-9tXzSH-dV1qzQ_nejKTNhdFNOpKUbK2MAyzCtYFVJR4pbWnjDXeYZRD-4aI6PEzUeUqOnP&amp;_hsmi=87085363&amp;utm_content=87085363&amp;utm_source=hs_email&amp;hsCtaTracking=6fedf137-fd90-4f17-bfb4-d61f710ec7f8%7Cf2771843-6636-4969-9010-2d8d0389b89c" TargetMode="External"/><Relationship Id="rId1868" Type="http://schemas.openxmlformats.org/officeDocument/2006/relationships/hyperlink" Target="https://resources.simonelectric.com/simon-catalogo-vehiculo-electrico?utm_campaign=SIC%20-%20Veh%C3%ADculo%20El%C3%A9ctrico&amp;utm_medium=email&amp;_hsenc=p2ANqtz--Y9rHLvIYSrrQoq_uswa9mVqoomuRuQhd0vDtJizwSXWQwt1rqNCeGgLkiMUPDe_qQpWN6&amp;_hsmi=87085363&amp;utm_content=87085363&amp;utm_source=hs_email&amp;hsCtaTracking=6fedf137-fd90-4f17-bfb4-d61f710ec7f8%7Cf2771843-6636-4969-9010-2d8d0389b89c" TargetMode="External"/><Relationship Id="rId1869" Type="http://schemas.openxmlformats.org/officeDocument/2006/relationships/hyperlink" Target="https://resources.simonelectric.com/simon-catalogo-vehiculo-electrico?utm_campaign=SIC%20-%20Veh%C3%ADculo%20El%C3%A9ctrico&amp;utm_medium=email&amp;_hsenc=p2ANqtz-94zA2PqHHw5KpMh-Klm0sK-0u2D7QcRhFzRJw5aClC0xwz4oNDDgmGvHhj59czkIVAYcCq&amp;_hsmi=87085363&amp;utm_content=87085363&amp;utm_source=hs_email&amp;hsCtaTracking=6fedf137-fd90-4f17-bfb4-d61f710ec7f8%7Cf2771843-6636-4969-9010-2d8d0389b89c" TargetMode="External"/><Relationship Id="rId1860" Type="http://schemas.openxmlformats.org/officeDocument/2006/relationships/hyperlink" Target="https://resources.simonelectric.com/simon-catalogo-vehiculo-electrico?utm_campaign=SIC%20-%20Veh%C3%ADculo%20El%C3%A9ctrico&amp;utm_medium=email&amp;_hsmi=87085363&amp;_hsenc=p2ANqtz--cOsVM4fR6-ipSY9V0K-OdwL57ebUd38kicpP5I860sd1FKLpqMuplJEI0XwIVfT45i3jk&amp;utm_content=87085363&amp;utm_source=hs_email" TargetMode="External"/><Relationship Id="rId1861" Type="http://schemas.openxmlformats.org/officeDocument/2006/relationships/hyperlink" Target="https://resources.simonelectric.com/simon-catalogo-vehiculo-electrico?utm_campaign=SIC%20-%20Veh%C3%ADculo%20El%C3%A9ctrico&amp;utm_medium=email&amp;_hsenc=p2ANqtz-8rFBSeMC81TcuwB3y45ygcuvubjnFuACMy89Ha3tU43WkX-ADxK0L_wAP5ObLu-CvTagwV&amp;_hsmi=87085363&amp;utm_content=87085363&amp;utm_source=hs_email&amp;hsCtaTracking=6fedf137-fd90-4f17-bfb4-d61f710ec7f8%7Cf2771843-6636-4969-9010-2d8d0389b89c" TargetMode="External"/><Relationship Id="rId1810" Type="http://schemas.openxmlformats.org/officeDocument/2006/relationships/hyperlink" Target="https://resources.simonelectric.com/simon-catalogo-vehiculo-electrico?utm_campaign=SIC%20-%20Veh%C3%ADculo%20El%C3%A9ctrico&amp;utm_medium=email&amp;_hsenc=p2ANqtz-8kjv6e6OSWrKVR0Ls498kTcO97kPd0JMWRPjV43q3z_v2tArNhB__K7KlE3AwRC80mmdWE&amp;_hsmi=87085363&amp;utm_content=87085363&amp;utm_source=hs_email&amp;hsCtaTracking=6fedf137-fd90-4f17-bfb4-d61f710ec7f8%7Cf2771843-6636-4969-9010-2d8d0389b89c" TargetMode="External"/><Relationship Id="rId1811" Type="http://schemas.openxmlformats.org/officeDocument/2006/relationships/hyperlink" Target="https://resources.simonelectric.com/simon-catalogo-vehiculo-electrico?utm_campaign=SIC%20-%20Veh%C3%ADculo%20El%C3%A9ctrico&amp;utm_medium=email&amp;_hsmi=87085302&amp;_hsenc=p2ANqtz-_nicYc-UF0c4bo4D2Uaq7Bytj3Ly2kL0YtBglGrgNFJ3UQgar_NmpI7D9NspJ1r8xSfEu2&amp;utm_content=87085302&amp;utm_source=hs_email" TargetMode="External"/><Relationship Id="rId1812" Type="http://schemas.openxmlformats.org/officeDocument/2006/relationships/hyperlink" Target="https://resources.simonelectric.com/simon-catalogo-vehiculo-electrico?utm_campaign=SIC%20-%20Veh%C3%ADculo%20El%C3%A9ctrico&amp;utm_medium=email&amp;_hsmi=87085363&amp;_hsenc=p2ANqtz-8Yk9wGDHHquFN1kv2aFTjtdgff-BbcfJUh0JZwi7kVgVo6K2qvAxhV9vLytQdOrF1OrvRE&amp;utm_content=87085363&amp;utm_source=hs_email" TargetMode="External"/><Relationship Id="rId1813" Type="http://schemas.openxmlformats.org/officeDocument/2006/relationships/hyperlink" Target="https://resources.simonelectric.com/simon-catalogo-vehiculo-electrico?utm_campaign=SIC%20-%20Veh%C3%ADculo%20El%C3%A9ctrico&amp;utm_medium=email&amp;_hsenc=p2ANqtz-8di4LwCEr5t_ZhWnObWriyJC1qTKFh_pLa2NfVBSmSgq5QJQF0wpLIrioi4bD0rq_eSUsv&amp;_hsmi=87085363&amp;utm_content=87085363&amp;utm_source=hs_email&amp;hsCtaTracking=6fedf137-fd90-4f17-bfb4-d61f710ec7f8%7Cf2771843-6636-4969-9010-2d8d0389b89c" TargetMode="External"/><Relationship Id="rId1814" Type="http://schemas.openxmlformats.org/officeDocument/2006/relationships/hyperlink" Target="https://resources.simonelectric.com/simon-catalogo-vehiculo-electrico?utm_campaign=SIC%20-%20Veh%C3%ADculo%20El%C3%A9ctrico&amp;utm_medium=email&amp;_hsenc=p2ANqtz-__UI8D37kun29GuT9XJZ7Hybd5TLsSkisI89CCqY9tg5Rn4K8d7CR8HBQNAZAlw6Aa4zky&amp;_hsmi=87085363&amp;utm_content=87085363&amp;utm_source=hs_email&amp;hsCtaTracking=6fedf137-fd90-4f17-bfb4-d61f710ec7f8%7Cf2771843-6636-4969-9010-2d8d0389b89c" TargetMode="External"/><Relationship Id="rId1815" Type="http://schemas.openxmlformats.org/officeDocument/2006/relationships/hyperlink" Target="https://resources.simonelectric.com/simon-catalogo-vehiculo-electrico?utm_campaign=SIC%20-%20Veh%C3%ADculo%20El%C3%A9ctrico&amp;utm_medium=email&amp;_hsenc=p2ANqtz-94cUjy93ax5UvhDMQLYN3JznGDcZp-6SSG4GhFHHDSfGxWXH4raYWgy6L88Y_5SE2WONjJ&amp;_hsmi=87085363&amp;utm_content=87085363&amp;utm_source=hs_email&amp;hsCtaTracking=6fedf137-fd90-4f17-bfb4-d61f710ec7f8%7Cf2771843-6636-4969-9010-2d8d0389b89c" TargetMode="External"/><Relationship Id="rId1816" Type="http://schemas.openxmlformats.org/officeDocument/2006/relationships/hyperlink" Target="https://resources.simonelectric.com/simon-catalogo-vehiculo-electrico?utm_campaign=SIC%20-%20Veh%C3%ADculo%20El%C3%A9ctrico&amp;utm_medium=email&amp;_hsenc=p2ANqtz-8M5OfFoN5rMWT6FSHCvNzPSHHmqQAJ8KvypwZzczCyIoBcql6ec2om5YNQVeVkiUa9fDs2&amp;_hsmi=87085363&amp;utm_content=87085363&amp;utm_source=hs_email&amp;hsCtaTracking=6fedf137-fd90-4f17-bfb4-d61f710ec7f8%7Cf2771843-6636-4969-9010-2d8d0389b89c" TargetMode="External"/><Relationship Id="rId1817" Type="http://schemas.openxmlformats.org/officeDocument/2006/relationships/hyperlink" Target="https://resources.simonelectric.com/simon-catalogo-vehiculo-electrico?utm_campaign=SIC%20-%20Veh%C3%ADculo%20El%C3%A9ctrico&amp;utm_medium=email&amp;_hsenc=p2ANqtz--CEj384FL0PJjfL8SW_0ykuJR6PnRxauRLWWwXLTQYOAQHuQ6jxMxWixh8Po8JbISX6ZEJ&amp;_hsmi=87085363&amp;utm_content=87085363&amp;utm_source=hs_email&amp;hsCtaTracking=6fedf137-fd90-4f17-bfb4-d61f710ec7f8%7Cf2771843-6636-4969-9010-2d8d0389b89c" TargetMode="External"/><Relationship Id="rId1818" Type="http://schemas.openxmlformats.org/officeDocument/2006/relationships/hyperlink" Target="https://resources.simonelectric.com/simon-catalogo-vehiculo-electrico?utm_campaign=SIC%20-%20Veh%C3%ADculo%20El%C3%A9ctrico&amp;utm_medium=email&amp;_hsenc=p2ANqtz-_P4us3iBKs2ipxXWab74UO7GTjeKiKERywIbCJAWGpFY2labAVvoSjp697VZi4PY8t8paY&amp;_hsmi=87085363&amp;utm_content=87085363&amp;utm_source=hs_email&amp;hsCtaTracking=6fedf137-fd90-4f17-bfb4-d61f710ec7f8%7Cf2771843-6636-4969-9010-2d8d0389b89c" TargetMode="External"/><Relationship Id="rId1819" Type="http://schemas.openxmlformats.org/officeDocument/2006/relationships/hyperlink" Target="https://resources.simonelectric.com/simon-catalogo-vehiculo-electrico?utm_campaign=SIC%20-%20Veh%C3%ADculo%20El%C3%A9ctrico&amp;utm_medium=email&amp;_hsenc=p2ANqtz-9-fDZ-rmxcyl__C2-bP67s8QdKlqcR4wkdWcBrg-2sR0F6OY5WG-PY4dursN6NlmbVStEJ&amp;_hsmi=87085363&amp;utm_content=87085363&amp;utm_source=hs_email&amp;hsCtaTracking=6fedf137-fd90-4f17-bfb4-d61f710ec7f8%7Cf2771843-6636-4969-9010-2d8d0389b89c" TargetMode="External"/><Relationship Id="rId1800" Type="http://schemas.openxmlformats.org/officeDocument/2006/relationships/hyperlink" Target="https://resources.simonelectric.com/simon-catalogo-vehiculo-electrico?utm_campaign=SIC%20-%20Veh%C3%ADculo%20El%C3%A9ctrico&amp;utm_medium=email&amp;_hsenc=p2ANqtz-9OWYA7lTo6XMzoyknsTCOlTBwsxio9hKDAofsqgJXRhQnfUb4XaN9bOh__YjS6Bmak6g_M&amp;_hsmi=87085363&amp;utm_content=87085363&amp;utm_source=hs_email&amp;hsCtaTracking=6fedf137-fd90-4f17-bfb4-d61f710ec7f8%7Cf2771843-6636-4969-9010-2d8d0389b89c" TargetMode="External"/><Relationship Id="rId1801" Type="http://schemas.openxmlformats.org/officeDocument/2006/relationships/hyperlink" Target="https://resources.simonelectric.com/simon-catalogo-vehiculo-electrico?utm_campaign=SIC%20-%20Veh%C3%ADculo%20El%C3%A9ctrico&amp;utm_medium=email&amp;_hsenc=p2ANqtz-9wZ7jA1mTxpLib4EyGkno9kDbibBR-iSRK95xXcX4HB0C9ddLIyuLDfNG05OX4f77n9sVK&amp;_hsmi=87085302&amp;utm_content=87085302&amp;utm_source=hs_email&amp;hsCtaTracking=6fedf137-fd90-4f17-bfb4-d61f710ec7f8%7Cf2771843-6636-4969-9010-2d8d0389b89c" TargetMode="External"/><Relationship Id="rId1802" Type="http://schemas.openxmlformats.org/officeDocument/2006/relationships/hyperlink" Target="https://resources.simonelectric.com/simon-catalogo-vehiculo-electrico?utm_campaign=SIC%20-%20Veh%C3%ADculo%20El%C3%A9ctrico&amp;utm_medium=email&amp;_hsenc=p2ANqtz-9g0Y4aE2aNrpwB23-qoljzMokF91z1Kxaj7ul1Crmi3XIfkx4hqB09mZmvjVybnebfhaRD&amp;_hsmi=87085363&amp;utm_content=87085363&amp;utm_source=hs_email&amp;hsCtaTracking=6fedf137-fd90-4f17-bfb4-d61f710ec7f8%7Cf2771843-6636-4969-9010-2d8d0389b89c" TargetMode="External"/><Relationship Id="rId1803" Type="http://schemas.openxmlformats.org/officeDocument/2006/relationships/hyperlink" Target="https://resources.simonelectric.com/simon-catalogo-vehiculo-electrico?utm_campaign=SIC%20-%20Veh%C3%ADculo%20El%C3%A9ctrico&amp;utm_medium=email&amp;_hsenc=p2ANqtz--aqX4ZJfJ8x_nEHqA7bH95lwP0VOkF3SF3_WPGOMMXPWrMlM5qI6wE9cLgZWD_VWu-X7bu&amp;_hsmi=87085363&amp;utm_content=87085363&amp;utm_source=hs_email&amp;hsCtaTracking=6fedf137-fd90-4f17-bfb4-d61f710ec7f8%7Cf2771843-6636-4969-9010-2d8d0389b89c" TargetMode="External"/><Relationship Id="rId1804" Type="http://schemas.openxmlformats.org/officeDocument/2006/relationships/hyperlink" Target="https://resources.simonelectric.com/simon-catalogo-vehiculo-electrico?utm_campaign=SIC%20-%20Veh%C3%ADculo%20El%C3%A9ctrico&amp;utm_medium=email&amp;_hsenc=p2ANqtz--WcYSLwQgeCYVKSYJXNRfTRgxUV_vLPgoG9Nbh-0UckviLBocLTt18V2BaOs6bJd7_dcl7&amp;_hsmi=87085363&amp;utm_content=87085363&amp;utm_source=hs_email&amp;hsCtaTracking=6fedf137-fd90-4f17-bfb4-d61f710ec7f8%7Cf2771843-6636-4969-9010-2d8d0389b89c" TargetMode="External"/><Relationship Id="rId1805" Type="http://schemas.openxmlformats.org/officeDocument/2006/relationships/hyperlink" Target="https://resources.simonelectric.com/simon-catalogo-vehiculo-electrico?utm_campaign=SIC%20-%20Veh%C3%ADculo%20El%C3%A9ctrico&amp;utm_medium=email&amp;_hsenc=p2ANqtz-8dqhhXhXUubL89ETrflfwMgZNrGr5r9YQkkBD7VoAeBDqE7_rB3RTwP8jqflbStZIaA78B&amp;_hsmi=87085363&amp;utm_content=87085363&amp;utm_source=hs_email&amp;hsCtaTracking=6fedf137-fd90-4f17-bfb4-d61f710ec7f8%7Cf2771843-6636-4969-9010-2d8d0389b89c" TargetMode="External"/><Relationship Id="rId1806" Type="http://schemas.openxmlformats.org/officeDocument/2006/relationships/hyperlink" Target="https://resources.simonelectric.com/simon-catalogo-vehiculo-electrico?utm_campaign=SIC%20-%20Veh%C3%ADculo%20El%C3%A9ctrico&amp;utm_medium=email&amp;_hsenc=p2ANqtz--a7v8xiTe-kDehFchr5JCkfjQmn-M7fz6TSmkSb7fdZU1lokMJ0gms9HE6fKk677xj4vdE&amp;_hsmi=87085363&amp;utm_content=87085363&amp;utm_source=hs_email&amp;hsCtaTracking=6fedf137-fd90-4f17-bfb4-d61f710ec7f8%7Cf2771843-6636-4969-9010-2d8d0389b89c" TargetMode="External"/><Relationship Id="rId1807" Type="http://schemas.openxmlformats.org/officeDocument/2006/relationships/hyperlink" Target="https://resources.simonelectric.com/simon-catalogo-vehiculo-electrico?utm_campaign=SIC%20-%20Veh%C3%ADculo%20El%C3%A9ctrico&amp;utm_medium=email&amp;_hsenc=p2ANqtz-9f7h434mSBA9Bq3c9BfXHGWPbpRHZWVaZFu9SvGFLn7rgDD83qcNy_nnnZwUVzt2Vn4Jaz&amp;_hsmi=87085363&amp;utm_content=87085363&amp;utm_source=hs_email&amp;hsCtaTracking=6fedf137-fd90-4f17-bfb4-d61f710ec7f8%7Cf2771843-6636-4969-9010-2d8d0389b89c" TargetMode="External"/><Relationship Id="rId1808" Type="http://schemas.openxmlformats.org/officeDocument/2006/relationships/hyperlink" Target="https://resources.simonelectric.com/simon-catalogo-vehiculo-electrico?utm_campaign=SIC%20-%20Veh%C3%ADculo%20El%C3%A9ctrico&amp;utm_medium=email&amp;_hsenc=p2ANqtz-9B_8B64DE41yAFd_wSvWO4EXdUZNt-yQTrA1jOXP2CGu835keyi95i6cJU8e2sD6RrEv_7&amp;_hsmi=87085363&amp;utm_content=87085363&amp;utm_source=hs_email&amp;hsCtaTracking=6fedf137-fd90-4f17-bfb4-d61f710ec7f8%7Cf2771843-6636-4969-9010-2d8d0389b89c" TargetMode="External"/><Relationship Id="rId1809" Type="http://schemas.openxmlformats.org/officeDocument/2006/relationships/hyperlink" Target="https://resources.simonelectric.com/simon-catalogo-vehiculo-electrico?utm_campaign=SIC%20-%20Veh%C3%ADculo%20El%C3%A9ctrico&amp;utm_medium=email&amp;_hsenc=p2ANqtz-9xLGkAKowq3kxOMLFYkpFzYdsfmGF92yxIS3X37I3PJN-jVCKXm6ItBxM8T-xYUZ-ejdx9&amp;_hsmi=87085363&amp;utm_content=87085363&amp;utm_source=hs_email&amp;hsCtaTracking=6fedf137-fd90-4f17-bfb4-d61f710ec7f8%7Cf2771843-6636-4969-9010-2d8d0389b89c" TargetMode="External"/><Relationship Id="rId1830" Type="http://schemas.openxmlformats.org/officeDocument/2006/relationships/hyperlink" Target="https://resources.simonelectric.com/simon-catalogo-vehiculo-electrico?utm_campaign=SIC%20-%20Veh%C3%ADculo%20El%C3%A9ctrico&amp;utm_medium=email&amp;_hsenc=p2ANqtz-_NOl31RcqYjtFb-rGDnJGGgFw1fiQNtl4LP9-EYvhYHBTCfrJkvruZ8UaDAHJ3Fz6DPRwB&amp;_hsmi=87085363&amp;utm_content=87085363&amp;utm_source=hs_email&amp;hsCtaTracking=6fedf137-fd90-4f17-bfb4-d61f710ec7f8%7Cf2771843-6636-4969-9010-2d8d0389b89c" TargetMode="External"/><Relationship Id="rId1831" Type="http://schemas.openxmlformats.org/officeDocument/2006/relationships/hyperlink" Target="https://resources.simonelectric.com/simon-catalogo-vehiculo-electrico?utm_campaign=SIC%20-%20Veh%C3%ADculo%20El%C3%A9ctrico&amp;utm_medium=email&amp;_hsenc=p2ANqtz-8LaEdPOJYjna69wDf73uBxZ94qM7z9Bj1693BpewCWvqDBr65LqdG64Wpo8OYCCrBtIRZE&amp;_hsmi=87085302&amp;utm_content=87085302&amp;utm_source=hs_email&amp;hsCtaTracking=6fedf137-fd90-4f17-bfb4-d61f710ec7f8%7Cf2771843-6636-4969-9010-2d8d0389b89c" TargetMode="External"/><Relationship Id="rId1832" Type="http://schemas.openxmlformats.org/officeDocument/2006/relationships/hyperlink" Target="https://resources.simonelectric.com/simon-catalogo-vehiculo-electrico?utm_campaign=SIC%20-%20Veh%C3%ADculo%20El%C3%A9ctrico&amp;utm_medium=email&amp;_hsenc=p2ANqtz--4Kiu_Krinuao3fqc9x9q_EmlcEna2eXResVKeoTCPKh_76mXeDToOVUth1TldNKGG--_x&amp;_hsmi=87085363&amp;utm_content=87085363&amp;utm_source=hs_email&amp;hsCtaTracking=6fedf137-fd90-4f17-bfb4-d61f710ec7f8%7Cf2771843-6636-4969-9010-2d8d0389b89c" TargetMode="External"/><Relationship Id="rId1833" Type="http://schemas.openxmlformats.org/officeDocument/2006/relationships/hyperlink" Target="https://resources.simonelectric.com/simon-catalogo-vehiculo-electrico?utm_campaign=SIC%20-%20Veh%C3%ADculo%20El%C3%A9ctrico&amp;utm_medium=email&amp;_hsenc=p2ANqtz-_ivBt6-eCl-IAet116rQisIkG7v53ZvI7DsYCl4BdwBqvdR14o2usrMgki4w8e8dY5WlpT&amp;_hsmi=87085302&amp;utm_content=87085302&amp;utm_source=hs_email&amp;hsCtaTracking=6fedf137-fd90-4f17-bfb4-d61f710ec7f8%7Cf2771843-6636-4969-9010-2d8d0389b89c" TargetMode="External"/><Relationship Id="rId1834" Type="http://schemas.openxmlformats.org/officeDocument/2006/relationships/hyperlink" Target="https://resources.simonelectric.com/simon-catalogo-vehiculo-electrico?utm_campaign=SIC%20-%20Veh%C3%ADculo%20El%C3%A9ctrico&amp;utm_medium=email&amp;_hsenc=p2ANqtz-8H_qZ9oB-G154Gxr8is3MQu2xLYxa-JeHep_cCBujyFINu5btnhtejxR17S7x0rTe4BSvx&amp;_hsmi=87085363&amp;utm_content=87085363&amp;utm_source=hs_email&amp;hsCtaTracking=6fedf137-fd90-4f17-bfb4-d61f710ec7f8%7Cf2771843-6636-4969-9010-2d8d0389b89c" TargetMode="External"/><Relationship Id="rId1835" Type="http://schemas.openxmlformats.org/officeDocument/2006/relationships/hyperlink" Target="https://resources.simonelectric.com/simon-catalogo-vehiculo-electrico?utm_campaign=SIC%20-%20Veh%C3%ADculo%20El%C3%A9ctrico&amp;utm_medium=email&amp;_hsenc=p2ANqtz-82pTJjyfSxU2Y_K8A5Fxg8KPXz8VtYMibCuByO0JCxlMAzK54ingmU0gHDTaYJzzlne2OO&amp;_hsmi=87085363&amp;utm_content=87085363&amp;utm_source=hs_email&amp;hsCtaTracking=6fedf137-fd90-4f17-bfb4-d61f710ec7f8%7Cf2771843-6636-4969-9010-2d8d0389b89c" TargetMode="External"/><Relationship Id="rId1836" Type="http://schemas.openxmlformats.org/officeDocument/2006/relationships/hyperlink" Target="https://resources.simonelectric.com/simon-catalogo-vehiculo-electrico?utm_campaign=SIC%20-%20Veh%C3%ADculo%20El%C3%A9ctrico&amp;utm_medium=email&amp;_hsenc=p2ANqtz-9Tug6rklusWYPTbYQkYXEWDYdRX2pd1I9l0VxU9195R2vJmsp0bogYEDDJ5wuJXXEjlvL6&amp;_hsmi=87085363&amp;utm_content=87085363&amp;utm_source=hs_email&amp;hsCtaTracking=6fedf137-fd90-4f17-bfb4-d61f710ec7f8%7Cf2771843-6636-4969-9010-2d8d0389b89c" TargetMode="External"/><Relationship Id="rId1837" Type="http://schemas.openxmlformats.org/officeDocument/2006/relationships/hyperlink" Target="https://resources.simonelectric.com/simon-catalogo-vehiculo-electrico?utm_campaign=SIC%20-%20Veh%C3%ADculo%20El%C3%A9ctrico&amp;utm_medium=email&amp;_hsenc=p2ANqtz-9X5-ILTEyurrEuOoNkPvtbM_sRvkyX0Y0f6UFu9WgBXBBq4QuC9HJv7trigE-tDFeQmEon&amp;_hsmi=87085302&amp;utm_content=87085302&amp;utm_source=hs_email&amp;hsCtaTracking=6fedf137-fd90-4f17-bfb4-d61f710ec7f8%7Cf2771843-6636-4969-9010-2d8d0389b89c" TargetMode="External"/><Relationship Id="rId1838" Type="http://schemas.openxmlformats.org/officeDocument/2006/relationships/hyperlink" Target="https://resources.simonelectric.com/simon-catalogo-vehiculo-electrico?utm_campaign=SIC%20-%20Veh%C3%ADculo%20El%C3%A9ctrico&amp;utm_medium=email&amp;_hsenc=p2ANqtz--G4Bug4p_oVU5l_ZbUJUDo1KIWaEJ7zDPlo6TeeD0BzXANbEwQsEEGvJEbBoxS_2vEWv_V&amp;_hsmi=87085363&amp;utm_content=87085363&amp;utm_source=hs_email&amp;hsCtaTracking=6fedf137-fd90-4f17-bfb4-d61f710ec7f8%7Cf2771843-6636-4969-9010-2d8d0389b89c" TargetMode="External"/><Relationship Id="rId1839" Type="http://schemas.openxmlformats.org/officeDocument/2006/relationships/hyperlink" Target="https://resources.simonelectric.com/simon-catalogo-vehiculo-electrico?utm_campaign=SIC%20-%20Veh%C3%ADculo%20El%C3%A9ctrico&amp;utm_medium=email&amp;_hsenc=p2ANqtz-_PCCiMWxHHLS94scRVBsKL_UcSnpPGirH7_VpRAuP699i0fr-UEwi5pajbL6HYtxAICtxh&amp;_hsmi=87085363&amp;utm_content=87085363&amp;utm_source=hs_email&amp;hsCtaTracking=6fedf137-fd90-4f17-bfb4-d61f710ec7f8%7Cf2771843-6636-4969-9010-2d8d0389b89c" TargetMode="External"/><Relationship Id="rId1820" Type="http://schemas.openxmlformats.org/officeDocument/2006/relationships/hyperlink" Target="https://resources.simonelectric.com/simon-catalogo-vehiculo-electrico?utm_campaign=SIC%20-%20Veh%C3%ADculo%20El%C3%A9ctrico&amp;utm_medium=email&amp;_hsenc=p2ANqtz-_jwPBJaDiJwVivAh-tKC_KXZZ9TvP1LImPzW2UiLxVrSLAbnooyBKvMPkbpTgxleCqb2l7&amp;_hsmi=87085302&amp;utm_content=87085302&amp;utm_source=hs_email&amp;hsCtaTracking=6fedf137-fd90-4f17-bfb4-d61f710ec7f8%7Cf2771843-6636-4969-9010-2d8d0389b89c" TargetMode="External"/><Relationship Id="rId1821" Type="http://schemas.openxmlformats.org/officeDocument/2006/relationships/hyperlink" Target="https://resources.simonelectric.com/simon-catalogo-vehiculo-electrico?utm_campaign=SIC%20-%20Veh%C3%ADculo%20El%C3%A9ctrico&amp;utm_medium=email&amp;_hsenc=p2ANqtz-_3JIAXaH8RPxWQiVrGmk1lhNY5Wr6rsY54nQyc_AYLnwC6BDUz19EBf0fxWELe8Ox8hU7C&amp;_hsmi=87085363&amp;utm_content=87085363&amp;utm_source=hs_email&amp;hsCtaTracking=6fedf137-fd90-4f17-bfb4-d61f710ec7f8%7Cf2771843-6636-4969-9010-2d8d0389b89c" TargetMode="External"/><Relationship Id="rId1822" Type="http://schemas.openxmlformats.org/officeDocument/2006/relationships/hyperlink" Target="https://resources.simonelectric.com/simon-catalogo-vehiculo-electrico?utm_campaign=SIC%20-%20Veh%C3%ADculo%20El%C3%A9ctrico&amp;utm_medium=email&amp;_hsmi=87085363&amp;_hsenc=p2ANqtz-9v6KKuntLENkEsSrmuq9SVCCBUZULPpIYQj62Li79uyQ8HrF8ts_ZDAjOZ8cgqcD--TLWD&amp;utm_content=87085363&amp;utm_source=hs_email" TargetMode="External"/><Relationship Id="rId1823" Type="http://schemas.openxmlformats.org/officeDocument/2006/relationships/hyperlink" Target="https://resources.simonelectric.com/simon-catalogo-vehiculo-electrico?utm_campaign=SIC%20-%20Veh%C3%ADculo%20El%C3%A9ctrico&amp;utm_medium=email&amp;_hsenc=p2ANqtz-8LSKXQZQ5_8gKxIBL05gOhJ7PHyGcSlk8YAN-Q800H9iBTf9vLc5MJL-V4ZkMJbF7id-1Z&amp;_hsmi=87085363&amp;utm_content=87085363&amp;utm_source=hs_email&amp;hsCtaTracking=6fedf137-fd90-4f17-bfb4-d61f710ec7f8%7Cf2771843-6636-4969-9010-2d8d0389b89c" TargetMode="External"/><Relationship Id="rId1824" Type="http://schemas.openxmlformats.org/officeDocument/2006/relationships/hyperlink" Target="https://resources.simonelectric.com/simon-catalogo-vehiculo-electrico?utm_campaign=SIC%20-%20Veh%C3%ADculo%20El%C3%A9ctrico&amp;utm_medium=email&amp;_hsenc=p2ANqtz--7oPJlDnaRMrOkZlQI4BTAyaaEEOSxnm4UyO5K0ASfK_LDemnIdSYHdrnuhzDv94OMzLhb&amp;_hsmi=87085363&amp;utm_content=87085363&amp;utm_source=hs_email&amp;hsCtaTracking=6fedf137-fd90-4f17-bfb4-d61f710ec7f8%7Cf2771843-6636-4969-9010-2d8d0389b89c" TargetMode="External"/><Relationship Id="rId1825" Type="http://schemas.openxmlformats.org/officeDocument/2006/relationships/hyperlink" Target="https://resources.simonelectric.com/simon-catalogo-vehiculo-electrico?utm_campaign=SIC%20-%20Veh%C3%ADculo%20El%C3%A9ctrico&amp;utm_medium=email&amp;_hsenc=p2ANqtz-_tu0Xe6nzeZ5Hsp7MkjrxFD_Zebx2PWkSLXoq1GKtOjNx-5G6tka6ZQiOVUXnzuaPbY2xx&amp;_hsmi=87085363&amp;utm_content=87085363&amp;utm_source=hs_email&amp;hsCtaTracking=6fedf137-fd90-4f17-bfb4-d61f710ec7f8%7Cf2771843-6636-4969-9010-2d8d0389b89c" TargetMode="External"/><Relationship Id="rId1826" Type="http://schemas.openxmlformats.org/officeDocument/2006/relationships/hyperlink" Target="https://resources.simonelectric.com/simon-catalogo-vehiculo-electrico?utm_campaign=SIC%20-%20Veh%C3%ADculo%20El%C3%A9ctrico&amp;utm_medium=email&amp;_hsenc=p2ANqtz-912xWltavk0MJjiYpMwFrbCVKKxQmcTUUYGVZH2xZW0B2c4xI1bN6kkJWpW7M6QETF34cM&amp;_hsmi=87085363&amp;utm_content=87085363&amp;utm_source=hs_email&amp;hsCtaTracking=6fedf137-fd90-4f17-bfb4-d61f710ec7f8%7Cf2771843-6636-4969-9010-2d8d0389b89c" TargetMode="External"/><Relationship Id="rId1827" Type="http://schemas.openxmlformats.org/officeDocument/2006/relationships/hyperlink" Target="https://resources.simonelectric.com/simon-catalogo-vehiculo-electrico?utm_campaign=SIC%20-%20Veh%C3%ADculo%20El%C3%A9ctrico&amp;utm_medium=email&amp;_hsenc=p2ANqtz--h0ieUObSArGCmbY2aa66TxLGme03bl08pI8_FTFsMIgrQbxui0XnbnSo1QGKEgz06SIBN&amp;_hsmi=87085363&amp;utm_content=87085363&amp;utm_source=hs_email&amp;hsCtaTracking=6fedf137-fd90-4f17-bfb4-d61f710ec7f8%7Cf2771843-6636-4969-9010-2d8d0389b89c" TargetMode="External"/><Relationship Id="rId1828" Type="http://schemas.openxmlformats.org/officeDocument/2006/relationships/hyperlink" Target="https://resources.simonelectric.com/simon-catalogo-vehiculo-electrico?utm_campaign=SIC%20-%20Veh%C3%ADculo%20El%C3%A9ctrico&amp;utm_medium=email&amp;_hsenc=p2ANqtz-_IBA57EPIZSt0ClNeqeqIp2ilwV75UsNVVjbWIegzqUO1imHIvx389rVKUclg2nUcJk2wV&amp;_hsmi=87085363&amp;utm_content=87085363&amp;utm_source=hs_email&amp;hsCtaTracking=6fedf137-fd90-4f17-bfb4-d61f710ec7f8%7Cf2771843-6636-4969-9010-2d8d0389b89c" TargetMode="External"/><Relationship Id="rId1829" Type="http://schemas.openxmlformats.org/officeDocument/2006/relationships/hyperlink" Target="https://resources.simonelectric.com/simon-catalogo-vehiculo-electrico?utm_campaign=SIC%20-%20Veh%C3%ADculo%20El%C3%A9ctrico&amp;utm_medium=email&amp;_hsenc=p2ANqtz--Z9Jj6JzTTJ4lrSdId00exchHSK7ClaZYU-Anil167_U85kOJaI2wkoGMFfRzYUnZLIzfB&amp;_hsmi=87085363&amp;utm_content=87085363&amp;utm_source=hs_email&amp;hsCtaTracking=6fedf137-fd90-4f17-bfb4-d61f710ec7f8%7Cf2771843-6636-4969-9010-2d8d0389b89c" TargetMode="External"/><Relationship Id="rId2302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" TargetMode="External"/><Relationship Id="rId3634" Type="http://schemas.openxmlformats.org/officeDocument/2006/relationships/hyperlink" Target="https://resources.simonelectric.com/simon-ebook-vehiculo-electrico?utm_campaign=SIC%20-%20Veh%C3%ADculo%20El%C3%A9ctrico&amp;utm_medium=email&amp;_hsenc=p2ANqtz-9qPkrIbXDKDqC0K_dE3qoPMwxEzKBABN4uP9_832UtF-rZ2XfFiIdKPSL_UWzp9UZd6nyrnEkDauRyd_FGA48aOxtYRw&amp;_hsmi=71033675&amp;utm_source=hs_automation&amp;utm_content=71033675&amp;hsCtaTracking=2e94ebfc-d414-4389-870c-d2f266a9420b%7C587ac4dc-a49a-4bdc-b449-e36f5d95395b" TargetMode="External"/><Relationship Id="rId2303" Type="http://schemas.openxmlformats.org/officeDocument/2006/relationships/hyperlink" Target="https://resources.simonelectric.com/simon-ebook-vehiculo-electrico-0?gclid=EAIaIQobChMIpMip49GG6QIVkdLVCh3Z8APSEAEYASAAEgIEhfD_BwE" TargetMode="External"/><Relationship Id="rId3633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304" Type="http://schemas.openxmlformats.org/officeDocument/2006/relationships/hyperlink" Target="https://resources.simonelectric.com/simon-catalogo-vehiculo-electrico" TargetMode="External"/><Relationship Id="rId3636" Type="http://schemas.openxmlformats.org/officeDocument/2006/relationships/hyperlink" Target="https://resources.simonelectric.com/simon-ebook-vehiculo-electrico" TargetMode="External"/><Relationship Id="rId230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635" Type="http://schemas.openxmlformats.org/officeDocument/2006/relationships/hyperlink" Target="https://resources.simonelectric.com/simon-catalogo-vehiculo-electrico?__hstc=83084745.0b4b3fd47e114efb2c8af2e92ad9adf5.1582043403030.1582043403030.1582043403030.1&amp;__hssc=83084745.6.1582043403031&amp;__hsfp=1196594768" TargetMode="External"/><Relationship Id="rId2306" Type="http://schemas.openxmlformats.org/officeDocument/2006/relationships/hyperlink" Target="https://resources.simonelectric.com/simon-ebook-vehiculo-electrico-0?gclid=CjwKCAjw4pT1BRBUEiwAm5QuRwxIF9Aaubs9O2a6F1ss1crhRinqgcoanghK03YJcYIh46DMeLQJLhoCyaYQAvD_BwE" TargetMode="External"/><Relationship Id="rId3638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230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637" Type="http://schemas.openxmlformats.org/officeDocument/2006/relationships/hyperlink" Target="https://resources.simonelectric.com/simon-catalogo-vehiculo-electrico?__hstc=83084745.a37519ff942b547007a8c467cfdbd180.1582041962561.1582041962562.1582041962562.1&amp;__hssc=83084745.1.1582041962563&amp;__hsfp=2854026282" TargetMode="External"/><Relationship Id="rId2308" Type="http://schemas.openxmlformats.org/officeDocument/2006/relationships/hyperlink" Target="https://resources.simonelectric.com/simon-ebook-vehiculo-electrico-0?gclid=EAIaIQobChMIjbH6uruF6QIVQcbeCh0UDgwzEAEYASAAEgJ_0_D_BwE" TargetMode="External"/><Relationship Id="rId2309" Type="http://schemas.openxmlformats.org/officeDocument/2006/relationships/hyperlink" Target="https://resources.simonelectric.com/simon-ebook-vehiculo-electrico-0?gclid=EAIaIQobChMI7_Cst6KE6QIVBhPTCh3mnQRnEAEYASAAEgIyKvD_BwE" TargetMode="External"/><Relationship Id="rId363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63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300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3632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30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631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623" Type="http://schemas.openxmlformats.org/officeDocument/2006/relationships/hyperlink" Target="https://resources.simonelectric.com/simon-ebook-vehiculo-electrico?utm_campaign=SIC%20-%20Veh%C3%ADculo%20El%C3%A9ctrico&amp;utm_medium=email&amp;_hsenc=p2ANqtz-9qPkrIbXDKDqC0K_dE3qoPMwxEzKBABN4uP9_832UtF-rZ2XfFiIdKPSL_UWzp9UZd6nyrnEkDauRyd_FGA48aOxtYRw&amp;_hsmi=71033675&amp;utm_source=hs_automation&amp;utm_content=71033675&amp;hsCtaTracking=2e94ebfc-d414-4389-870c-d2f266a9420b%7C587ac4dc-a49a-4bdc-b449-e36f5d95395b" TargetMode="External"/><Relationship Id="rId3622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_BShzVCQKg7lb_hj7K-UaAwk7ixPvtbSrzud4N83D2GiEihc5T99_PYW7rG3k3i_sJFOny5eUUyRHzc1r768qgWRCnRBirfHJr47B5jA4jaUYz5KE&amp;_hsmi=71033675" TargetMode="External"/><Relationship Id="rId3625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-7ncRaNgZJwgmgkETjvM3CGMaKhSLYmkRtWrDQstvOkj4hhqqImQ26qbemYTcY5fhX1C1KJmPb43zKG_K_VglT8d3-uQ&amp;_hsmi=71034014" TargetMode="External"/><Relationship Id="rId3624" Type="http://schemas.openxmlformats.org/officeDocument/2006/relationships/hyperlink" Target="https://resources.simonelectric.com/simon-ebook-vehiculo-electrico?utm_referrer=https%3A%2F%2Fwww.simonelectric.com%2Fblog%2Fmovilidad-urbana-sostenible-plan-movem-de-la-diputacion-de-badajoz" TargetMode="External"/><Relationship Id="rId362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62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62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628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3621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81oxm78Y4vCtADit_b5WfLr_RQkcWOXaMAebxh_OgAmiKE0RGWV14uPhm2YIJNCcGJEJJ1ZoqL0Oe6Oxmp5M-BK4pf2w&amp;_hsmi=71033675" TargetMode="External"/><Relationship Id="rId362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324" Type="http://schemas.openxmlformats.org/officeDocument/2006/relationships/hyperlink" Target="https://resources.simonelectric.com/simon-ebook-vehiculo-electrico-0?gclid=EAIaIQobChMIzLLMj8eB6QIVlrcbCh27TAOGEAEYASAAEgLz7fD_BwE" TargetMode="External"/><Relationship Id="rId3656" Type="http://schemas.openxmlformats.org/officeDocument/2006/relationships/hyperlink" Target="https://resources.simonelectric.com/simon-ebook-vehiculo-electrico?utm_campaign=SIC%20-%20Veh%C3%ADculo%20El%C3%A9ctrico&amp;utm_medium=email&amp;_hsenc=p2ANqtz-_CBHoufARBCTZzqRodSIN7nl9svTJO548xf8W_xHyOu0u3hzhlxAwTptKAjHMfD9V7NZzNwqFUcMX9W3XQRTvYwTGjxFhgZPblMZV3OHl9IEvsuVI&amp;_hsmi=71033675&amp;utm_source=hs_automation&amp;utm_content=71033675&amp;hsCtaTracking=2e94ebfc-d414-4389-870c-d2f266a9420b%7C587ac4dc-a49a-4bdc-b449-e36f5d95395b" TargetMode="External"/><Relationship Id="rId2325" Type="http://schemas.openxmlformats.org/officeDocument/2006/relationships/hyperlink" Target="https://resources.simonelectric.com/simon-material-formativo-vehiculo-electrico" TargetMode="External"/><Relationship Id="rId3655" Type="http://schemas.openxmlformats.org/officeDocument/2006/relationships/hyperlink" Target="https://resources.simonelectric.com/simon-catalogo-vehiculo-electrico?__hstc=83084745.ca45e3aa4b229be2d8c896e29e8005ec.1581930078384.1581930078384.1581930078384.1&amp;__hssc=83084745.5.1581930078385&amp;__hsfp=1614285979" TargetMode="External"/><Relationship Id="rId232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658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-2SCXZ94mZwhmSeR8nhD0Y_v7H23Oz4PSuKrqCrDu7qDquEfG0_xhTzxkwN-PmFCzWfUrtVvEfdNXYS3GqlSvhOatsnfrnS1XsFNO8arZHL0v1HLY&amp;_hsmi=71033675" TargetMode="External"/><Relationship Id="rId2327" Type="http://schemas.openxmlformats.org/officeDocument/2006/relationships/hyperlink" Target="https://resources.simonelectric.com/simon-ebook-vehiculo-electrico-0?gclid=CjwKCAjwnIr1BRAWEiwA6GpwNWQWHHuhws1DAHsxyvG_3rzXWifqW13J6r5BN35iL78uUiOnJBX5gxoC5rkQAvD_BwE" TargetMode="External"/><Relationship Id="rId3657" Type="http://schemas.openxmlformats.org/officeDocument/2006/relationships/hyperlink" Target="https://resources.simonelectric.com/simon-ebook-vehiculo-electrico-tw" TargetMode="External"/><Relationship Id="rId2328" Type="http://schemas.openxmlformats.org/officeDocument/2006/relationships/hyperlink" Target="https://resources.simonelectric.com/simon-ebook-vehiculo-electrico-0?gclid=EAIaIQobChMIvJ3u06-B6QIVSCLTCh3iqA41EAEYASAAEgLQEfD_BwE" TargetMode="External"/><Relationship Id="rId2329" Type="http://schemas.openxmlformats.org/officeDocument/2006/relationships/hyperlink" Target="https://resources.simonelectric.com/simon-ebook-vehiculo-electrico-0?gclid=EAIaIQobChMI867Es66B6QIVxeIbCh0_UQ8TEAEYASAAEgLJiPD_BwE" TargetMode="External"/><Relationship Id="rId3659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-whMziGoorlhCAQfB5isWpxUN30JMSGM7iwSNJi3l0iOBFufMCYjI7GLPKK9ecV_mkL1r6-rUM8BDrPVdsEbqw1gdiorMHSWus7g16NQUUcVDRSI0&amp;_hsmi=71033675" TargetMode="External"/><Relationship Id="rId3650" Type="http://schemas.openxmlformats.org/officeDocument/2006/relationships/hyperlink" Target="https://resources.simonelectric.com/simon-catalogo-vehiculo-electrico?__hstc=83084745.b590c4cfe0d136ba601633b6a08a7f7b.1575281645258.1580824520408.1581941677642.7&amp;__hssc=83084745.8.1581941677642&amp;__hsfp=1614285979" TargetMode="External"/><Relationship Id="rId2320" Type="http://schemas.openxmlformats.org/officeDocument/2006/relationships/hyperlink" Target="https://resources.simonelectric.com/simon-ebook-vehiculo-electrico?utm_referrer=https%3A%2F%2Fwww.simonelectric.com%2Fblog%2Fmovilidad-urbana-sostenible-plan-movem-de-la-diputacion-de-badajoz" TargetMode="External"/><Relationship Id="rId365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32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65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322" Type="http://schemas.openxmlformats.org/officeDocument/2006/relationships/hyperlink" Target="https://resources.simonelectric.com/simon-ebook-vehiculo-electrico?utm_campaign=SIC%20-%20Veh%C3%ADculo%20El%C3%A9ctrico&amp;utm_medium=email&amp;_hsenc=p2ANqtz-9LIUltIvMZJeFmBTOpds33j04JQaPT-XTfDLvTCIGj21GjJXvv6CK8B9RLnYHkRa6GZ7XkYShYHtWEaqThqAjmHGXslQ&amp;_hsmi=71033675&amp;utm_source=hs_automation&amp;utm_content=71033675&amp;hsCtaTracking=2e94ebfc-d414-4389-870c-d2f266a9420b%7C587ac4dc-a49a-4bdc-b449-e36f5d95395b" TargetMode="External"/><Relationship Id="rId3654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-EMEE1afvcUbnIjtYrFGVvMCjPpH0rLWlLX719nMkBN1X9QexM4YgkgLRmLXs4hdQ2OFCe7JGEzLxFb96sKsOhh-RePHTASdns4Z4CJGV5N653FZ8&amp;_hsmi=71034014" TargetMode="External"/><Relationship Id="rId2323" Type="http://schemas.openxmlformats.org/officeDocument/2006/relationships/hyperlink" Target="https://resources.simonelectric.com/simon-ebook-vehiculo-electrico-0?gclid=CjwKCAjwnIr1BRAWEiwA6GpwNZi9EgclSYQShv87nQPNhOS4KHxJOtq__B2TjwKrS6f2xpM5DqdfQBoCXUcQAvD_BwE" TargetMode="External"/><Relationship Id="rId3653" Type="http://schemas.openxmlformats.org/officeDocument/2006/relationships/hyperlink" Target="https://resources.simonelectric.com/simon-ebook-vehiculo-electrico?utm_campaign=SIC%20-%20Veh%C3%ADculo%20El%C3%A9ctrico&amp;utm_medium=email&amp;_hsenc=p2ANqtz-9IMNR_VVZWabiHNaTBaKOzzh7zj3-xDQfUGzEaLOdjyHgJS8x2A14S-PXWLvLWidn1eYZoRH0utJhgblrOpRLO3n73Ng&amp;_hsmi=71033675&amp;utm_source=hs_automation&amp;utm_content=71033675&amp;hsCtaTracking=2e94ebfc-d414-4389-870c-d2f266a9420b%7C587ac4dc-a49a-4bdc-b449-e36f5d95395b" TargetMode="External"/><Relationship Id="rId2313" Type="http://schemas.openxmlformats.org/officeDocument/2006/relationships/hyperlink" Target="https://resources.simonelectric.com/simon-ebook-vehiculo-electrico-0?gclid=CjwKCAjwv4_1BRAhEiwAtMDLskkjZ4rOQJB9IdG4cK1rcFOmTJtOCIUot_QwK5WgzS5-Q1eaG_iUIBoCEswQAvD_BwE" TargetMode="External"/><Relationship Id="rId3645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%3Futm_campaign%3DSIC%2520-%2520Veh%25C3%25ADculo%2520El%25C3%25A9ctrico%26utm_source%3Dhs_automation%26utm_medium%3Demail%26utm_content%3D71033828%26_hsenc%3Dp2ANqtz-8LZI3jGTJ-Ge84AGjfTqmeZzTxMaS3NPn5VxQ9Yvpgut_4PuxxQPfl9x5dv4EzG9dQziJHNeejhTG4ucO1DscRFjMUgZRDrxOXelYYPfVceTbBSRU%26_hsmi%3D71033828" TargetMode="External"/><Relationship Id="rId2314" Type="http://schemas.openxmlformats.org/officeDocument/2006/relationships/hyperlink" Target="https://resources.simonelectric.com/simon-ebook-vehiculo-electrico-0?gclid=EAIaIQobChMI-7q6iNGD6QIVzJ4bCh0wZQtPEAEYASAAEgI1Z_D_BwE" TargetMode="External"/><Relationship Id="rId3644" Type="http://schemas.openxmlformats.org/officeDocument/2006/relationships/hyperlink" Target="https://resources.simonelectric.com/simon-catalogo-vehiculo-electrico?__hstc=83084745.a3a5ee108e88e2c51be1182cb687b77e.1524895290852.1581961638067.1582008018069.20&amp;__hssc=83084745.2.1582008018069&amp;__hsfp=1614285979" TargetMode="External"/><Relationship Id="rId231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647" Type="http://schemas.openxmlformats.org/officeDocument/2006/relationships/hyperlink" Target="https://resources.simonelectric.com/simon-material-formativo-vehiculo-electrico" TargetMode="External"/><Relationship Id="rId231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64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317" Type="http://schemas.openxmlformats.org/officeDocument/2006/relationships/hyperlink" Target="https://resources.simonelectric.com/simon-catalogo-vehiculo-electrico?__hstc=83084745.e822cd2996487e49627d1d3e0673a877.1587653940361.1587724592520.1587807269682.5&amp;__hssc=83084745.2.1587807269682&amp;__hsfp=3693779936" TargetMode="External"/><Relationship Id="rId364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318" Type="http://schemas.openxmlformats.org/officeDocument/2006/relationships/hyperlink" Target="https://resources.simonelectric.com/simon-material-formativo-vehiculo-electrico" TargetMode="External"/><Relationship Id="rId3648" Type="http://schemas.openxmlformats.org/officeDocument/2006/relationships/hyperlink" Target="https://resources.simonelectric.com/simon-material-formativo-vehiculo-electrico" TargetMode="External"/><Relationship Id="rId2319" Type="http://schemas.openxmlformats.org/officeDocument/2006/relationships/hyperlink" Target="https://resources.simonelectric.com/simon-ebook-vehiculo-electrico" TargetMode="External"/><Relationship Id="rId364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310" Type="http://schemas.openxmlformats.org/officeDocument/2006/relationships/hyperlink" Target="https://resources.simonelectric.com/simon-catalogo-vehiculo-electrico?__hstc=83084745.e6630a1ac9a05ed63985148e48626ba4.1584529591285.1584529591285.1587830772133.2&amp;__hssc=83084745.8.1587830772133&amp;__hsfp=578435309" TargetMode="External"/><Relationship Id="rId364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311" Type="http://schemas.openxmlformats.org/officeDocument/2006/relationships/hyperlink" Target="https://resources.simonelectric.com/simon-ebook-vehiculo-electrico-0?gclid=EAIaIQobChMIoNza3uaD6QIVF2wbCh3-EAlHEAEYASAAEgJbl_D_BwE" TargetMode="External"/><Relationship Id="rId3643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2312" Type="http://schemas.openxmlformats.org/officeDocument/2006/relationships/hyperlink" Target="https://resources.simonelectric.com/simon-ebook-vehiculo-electrico-0?gclid=CjwKCAjwv4_1BRAhEiwAtMDLsur2Ws-JTeBy295fON47FA6MTINbplawKQQkjJsRwXbZV5rZX0wAUhoCUDEQAvD_BwE" TargetMode="External"/><Relationship Id="rId3642" Type="http://schemas.openxmlformats.org/officeDocument/2006/relationships/hyperlink" Target="https://resources.simonelectric.com/simon-catalogo-vehiculo-electrico?__hstc=83084745.5aeeac9cbe2b8f44d4bb1f39a13137ca.1580717913552.1581970563587.1582017506663.5&amp;__hssc=83084745.5.1582017506663&amp;__hsfp=1614285979" TargetMode="External"/><Relationship Id="rId1895" Type="http://schemas.openxmlformats.org/officeDocument/2006/relationships/hyperlink" Target="https://resources.simonelectric.com/simon-catalogo-vehiculo-electrico?utm_campaign=SIC%20-%20Veh%C3%ADculo%20El%C3%A9ctrico&amp;utm_medium=email&amp;_hsenc=p2ANqtz-931JhqI-FOjonsYnlpbUsnQ6C0CZfvLb2ni6RWA4Kcsl7CbMTucTqELXrsDmvzGc77kV_7&amp;_hsmi=87085363&amp;utm_content=87085363&amp;utm_source=hs_email&amp;hsCtaTracking=6fedf137-fd90-4f17-bfb4-d61f710ec7f8%7Cf2771843-6636-4969-9010-2d8d0389b89c" TargetMode="External"/><Relationship Id="rId1896" Type="http://schemas.openxmlformats.org/officeDocument/2006/relationships/hyperlink" Target="https://resources.simonelectric.com/simon-catalogo-vehiculo-electrico?utm_campaign=SIC%20-%20Veh%C3%ADculo%20El%C3%A9ctrico&amp;utm_medium=email&amp;_hsenc=p2ANqtz-9DlkilpgDupGyb7jDIOx9Uv6X-BmMu2O3Clf5Yxu2IgGFKL2tq-0jOALDjE4kkvYSm0VDp&amp;_hsmi=87085363&amp;utm_content=87085363&amp;utm_source=hs_email&amp;hsCtaTracking=6fedf137-fd90-4f17-bfb4-d61f710ec7f8%7Cf2771843-6636-4969-9010-2d8d0389b89c" TargetMode="External"/><Relationship Id="rId1897" Type="http://schemas.openxmlformats.org/officeDocument/2006/relationships/hyperlink" Target="https://resources.simonelectric.com/simon-catalogo-vehiculo-electrico?utm_campaign=SIC%20-%20Veh%C3%ADculo%20El%C3%A9ctrico&amp;utm_medium=email&amp;_hsenc=p2ANqtz-8PMUvjDAElyDcV7v4Sv5VxotdRMfgXzU9REKiYyBg9rDWXC60xA9c9i75BpK7aDICaoNsg&amp;_hsmi=87085363&amp;utm_content=87085363&amp;utm_source=hs_email&amp;hsCtaTracking=6fedf137-fd90-4f17-bfb4-d61f710ec7f8%7Cf2771843-6636-4969-9010-2d8d0389b89c" TargetMode="External"/><Relationship Id="rId1898" Type="http://schemas.openxmlformats.org/officeDocument/2006/relationships/hyperlink" Target="https://resources.simonelectric.com/simon-catalogo-vehiculo-electrico?utm_campaign=SIC%20-%20Veh%C3%ADculo%20El%C3%A9ctrico&amp;utm_medium=email&amp;_hsenc=p2ANqtz-_1TpTF3zXIEuNSdk8feHxMe_VIg0O_XVF-LjDDiFWYmqugcIOWiBUATVaGOAsWHM9b1N5w&amp;_hsmi=87085363&amp;utm_content=87085363&amp;utm_source=hs_email&amp;hsCtaTracking=6fedf137-fd90-4f17-bfb4-d61f710ec7f8%7Cf2771843-6636-4969-9010-2d8d0389b89c" TargetMode="External"/><Relationship Id="rId1899" Type="http://schemas.openxmlformats.org/officeDocument/2006/relationships/hyperlink" Target="https://resources.simonelectric.com/simon-catalogo-vehiculo-electrico?utm_campaign=SIC%20-%20Veh%C3%ADculo%20El%C3%A9ctrico&amp;utm_medium=email&amp;_hsenc=p2ANqtz--kYStjsCuZ7J6xtlEU4gknNAfxoLd7gOXxwBL2scspsCVeezAQsCo_coYOPS7YdxoiOzj8&amp;_hsmi=87085363&amp;utm_content=87085363&amp;utm_source=hs_email&amp;hsCtaTracking=6fedf137-fd90-4f17-bfb4-d61f710ec7f8%7Cf2771843-6636-4969-9010-2d8d0389b89c" TargetMode="External"/><Relationship Id="rId1890" Type="http://schemas.openxmlformats.org/officeDocument/2006/relationships/hyperlink" Target="https://resources.simonelectric.com/simon-catalogo-vehiculo-electrico?utm_campaign=SIC%20-%20Veh%C3%ADculo%20El%C3%A9ctrico&amp;utm_medium=email&amp;_hsenc=p2ANqtz-8e7giNYQc5iVx7ItcxtrX35sHsOri1JKRHPl350XmL6B03uCe9Im5tjcBewMXsl3zzWe3i&amp;_hsmi=87085363&amp;utm_content=87085363&amp;utm_source=hs_email&amp;hsCtaTracking=6fedf137-fd90-4f17-bfb4-d61f710ec7f8%7Cf2771843-6636-4969-9010-2d8d0389b89c" TargetMode="External"/><Relationship Id="rId1891" Type="http://schemas.openxmlformats.org/officeDocument/2006/relationships/hyperlink" Target="https://resources.simonelectric.com/simon-catalogo-vehiculo-electrico?utm_campaign=SIC%20-%20Veh%C3%ADculo%20El%C3%A9ctrico&amp;utm_medium=email&amp;_hsenc=p2ANqtz--uJEWPtYgfXKMs_Rcqrm_2TWalyfsEgiqz7ylGj1BISszvuSCvwBxuwa8SPGMPhCV26_ap&amp;_hsmi=87085302&amp;utm_content=87085302&amp;utm_source=hs_email&amp;hsCtaTracking=6fedf137-fd90-4f17-bfb4-d61f710ec7f8%7Cf2771843-6636-4969-9010-2d8d0389b89c" TargetMode="External"/><Relationship Id="rId1892" Type="http://schemas.openxmlformats.org/officeDocument/2006/relationships/hyperlink" Target="https://resources.simonelectric.com/simon-catalogo-vehiculo-electrico?utm_campaign=SIC%20-%20Veh%C3%ADculo%20El%C3%A9ctrico&amp;utm_medium=email&amp;_hsmi=87085302&amp;_hsenc=p2ANqtz-_d5R-N5O17Ozt6Ga_rBjz_BUmvIr0YmpBJYUtJXfJ2kpVilI2MK_LYoBrLsb5zU9qfKxAS&amp;utm_content=87085302&amp;utm_source=hs_email" TargetMode="External"/><Relationship Id="rId1893" Type="http://schemas.openxmlformats.org/officeDocument/2006/relationships/hyperlink" Target="https://resources.simonelectric.com/simon-catalogo-vehiculo-electrico?utm_campaign=SIC%20-%20Veh%C3%ADculo%20El%C3%A9ctrico&amp;utm_medium=email&amp;_hsenc=p2ANqtz-9idKHhVforJzgu27LvnmRrRA54CAh2WFT9H3PRjUnyagZyR-1eMezvKsV7mGxMi7KmMVBB&amp;_hsmi=87085302&amp;utm_content=87085302&amp;utm_source=hs_email&amp;hsCtaTracking=6fedf137-fd90-4f17-bfb4-d61f710ec7f8%7Cf2771843-6636-4969-9010-2d8d0389b89c" TargetMode="External"/><Relationship Id="rId1894" Type="http://schemas.openxmlformats.org/officeDocument/2006/relationships/hyperlink" Target="https://resources.simonelectric.com/simon-catalogo-vehiculo-electrico?utm_campaign=SIC%20-%20Veh%C3%ADculo%20El%C3%A9ctrico&amp;utm_medium=email&amp;_hsenc=p2ANqtz-_n3VlJxlbH4V0vtdl5iFw26acs2ptOj9ixqNR_BFiHsqrAln7Z8NR8Tn_ngsEzj2pbMUh0&amp;_hsmi=87085363&amp;utm_content=87085363&amp;utm_source=hs_email&amp;hsCtaTracking=6fedf137-fd90-4f17-bfb4-d61f710ec7f8%7Cf2771843-6636-4969-9010-2d8d0389b89c" TargetMode="External"/><Relationship Id="rId1884" Type="http://schemas.openxmlformats.org/officeDocument/2006/relationships/hyperlink" Target="https://resources.simonelectric.com/simon-catalogo-vehiculo-electrico?utm_campaign=SIC%20-%20Veh%C3%ADculo%20El%C3%A9ctrico&amp;utm_medium=email&amp;_hsenc=p2ANqtz-9FPwEo97PzJlcogaIOStDTsbnIc8okai-sCB5fLZO0PPnVLNNRiiygaFDZ-_PRL2hVndnu&amp;_hsmi=87085363&amp;utm_content=87085363&amp;utm_source=hs_email&amp;hsCtaTracking=6fedf137-fd90-4f17-bfb4-d61f710ec7f8%7Cf2771843-6636-4969-9010-2d8d0389b89c" TargetMode="External"/><Relationship Id="rId1885" Type="http://schemas.openxmlformats.org/officeDocument/2006/relationships/hyperlink" Target="https://resources.simonelectric.com/simon-catalogo-vehiculo-electrico?utm_campaign=SIC%20-%20Veh%C3%ADculo%20El%C3%A9ctrico&amp;utm_medium=email&amp;_hsmi=87085302&amp;_hsenc=p2ANqtz-9NB0g2m1ZND1ZksjkHmIKzk9E99G6P_DOTXcEpWm9dlgEtn7sraOqrU3eg_me1pl6y9w0l&amp;utm_content=87085302&amp;utm_source=hs_email" TargetMode="External"/><Relationship Id="rId1886" Type="http://schemas.openxmlformats.org/officeDocument/2006/relationships/hyperlink" Target="https://resources.simonelectric.com/simon-catalogo-vehiculo-electrico?utm_campaign=SIC%20-%20Veh%C3%ADculo%20El%C3%A9ctrico&amp;utm_medium=email&amp;_hsenc=p2ANqtz--n9NS8q3bhk4xpdeVy9Yb-Hrvx7mt62hRbmLu1KwfT5ZUWRPoUEGEeWO0Ge_KgWTYxWN3J&amp;_hsmi=87085363&amp;utm_content=87085363&amp;utm_source=hs_email&amp;hsCtaTracking=6fedf137-fd90-4f17-bfb4-d61f710ec7f8%7Cf2771843-6636-4969-9010-2d8d0389b89c" TargetMode="External"/><Relationship Id="rId1887" Type="http://schemas.openxmlformats.org/officeDocument/2006/relationships/hyperlink" Target="https://resources.simonelectric.com/simon-catalogo-vehiculo-electrico?utm_campaign=SIC%20-%20Veh%C3%ADculo%20El%C3%A9ctrico&amp;utm_medium=email&amp;_hsenc=p2ANqtz--nHjEeyVIOnHRAt9cqdy-CCs6fuhsWyCrkC-7QnkZ-f-ReSMznsdyttcQd-_JxT8vDtZVz&amp;_hsmi=87085302&amp;utm_content=87085302&amp;utm_source=hs_email&amp;hsCtaTracking=6fedf137-fd90-4f17-bfb4-d61f710ec7f8%7Cf2771843-6636-4969-9010-2d8d0389b89c" TargetMode="External"/><Relationship Id="rId1888" Type="http://schemas.openxmlformats.org/officeDocument/2006/relationships/hyperlink" Target="https://resources.simonelectric.com/simon-catalogo-vehiculo-electrico?utm_campaign=SIC%20-%20Veh%C3%ADculo%20El%C3%A9ctrico&amp;utm_medium=email&amp;_hsenc=p2ANqtz-8IK_a6ixczX8jD8ZieWG-7L1qlliflOW_bPKAlVVy-anPll1fAjDYDOmDgt7JwPvtPlsSr&amp;_hsmi=87085363&amp;utm_content=87085363&amp;utm_source=hs_email&amp;hsCtaTracking=6fedf137-fd90-4f17-bfb4-d61f710ec7f8%7Cf2771843-6636-4969-9010-2d8d0389b89c" TargetMode="External"/><Relationship Id="rId1889" Type="http://schemas.openxmlformats.org/officeDocument/2006/relationships/hyperlink" Target="https://resources.simonelectric.com/simon-catalogo-vehiculo-electrico?utm_campaign=SIC%20-%20Veh%C3%ADculo%20El%C3%A9ctrico&amp;utm_medium=email&amp;_hsenc=p2ANqtz--FsRoiV7RodFDqhz8ViMu8xOz_1csesAqXefLaPh8CyesSCmrPMvc3xXzMSMlVAcUdUzoX&amp;_hsmi=87085363&amp;utm_content=87085363&amp;utm_source=hs_email&amp;hsCtaTracking=6fedf137-fd90-4f17-bfb4-d61f710ec7f8%7Cf2771843-6636-4969-9010-2d8d0389b89c" TargetMode="External"/><Relationship Id="rId1880" Type="http://schemas.openxmlformats.org/officeDocument/2006/relationships/hyperlink" Target="https://resources.simonelectric.com/simon-catalogo-vehiculo-electrico?utm_campaign=SIC%20-%20Veh%C3%ADculo%20El%C3%A9ctrico&amp;utm_medium=email&amp;_hsenc=p2ANqtz-_xEBCFEXtqQ3vNPHfK8AKwWaeBTLCMR7oKklbADswJA-nU3jMFyq3jzMzMM4WDtyWcgqtRt72gQkgiyDfzNaY6Zkv62w&amp;utm_source=hs_email&amp;utm_content=87085363&amp;hsCtaTracking=6fedf137-fd90-4f17-bfb4-d61f710ec7f8%7Cf2771843-6636-4969-9010-2d8d0389b89c" TargetMode="External"/><Relationship Id="rId1881" Type="http://schemas.openxmlformats.org/officeDocument/2006/relationships/hyperlink" Target="https://resources.simonelectric.com/simon-catalogo-vehiculo-electrico?utm_campaign=SIC%20-%20Veh%C3%ADculo%20El%C3%A9ctrico&amp;utm_medium=email&amp;_hsenc=p2ANqtz-9lhKS6rMZAVXxlmo9WwVNY3RawGkKzCLr--4sB-WjxAjI2KwSPQTjxWTsMpv34g4K8rxXZ&amp;_hsmi=87085302&amp;utm_content=87085302&amp;utm_source=hs_email&amp;hsCtaTracking=6fedf137-fd90-4f17-bfb4-d61f710ec7f8%7Cf2771843-6636-4969-9010-2d8d0389b89c" TargetMode="External"/><Relationship Id="rId1882" Type="http://schemas.openxmlformats.org/officeDocument/2006/relationships/hyperlink" Target="https://resources.simonelectric.com/simon-catalogo-vehiculo-electrico?utm_campaign=SIC%20-%20Veh%C3%ADculo%20El%C3%A9ctrico&amp;utm_medium=email&amp;_hsenc=p2ANqtz-9FpX3ds0nGXLfS5WKI6Dtxa8lhD8TUuxhX5ZH_Vc_9822deh500sgDhLMeuSqFwkQ8mr9_&amp;_hsmi=87085363&amp;utm_content=87085363&amp;utm_source=hs_email&amp;hsCtaTracking=6fedf137-fd90-4f17-bfb4-d61f710ec7f8%7Cf2771843-6636-4969-9010-2d8d0389b89c" TargetMode="External"/><Relationship Id="rId1883" Type="http://schemas.openxmlformats.org/officeDocument/2006/relationships/hyperlink" Target="https://resources.simonelectric.com/simon-catalogo-vehiculo-electrico?utm_campaign=SIC%20-%20Veh%C3%ADculo%20El%C3%A9ctrico&amp;utm_medium=email&amp;_hsenc=p2ANqtz-_CdbYD8t636YqGXW0_pfHwALKNGDHTKaYUB0v6VzMXiy97gILRQuMsVR9FM9fhxyrdxFQH&amp;_hsmi=87085363&amp;utm_content=87085363&amp;utm_source=hs_email&amp;hsCtaTracking=6fedf137-fd90-4f17-bfb4-d61f710ec7f8%7Cf2771843-6636-4969-9010-2d8d0389b89c" TargetMode="External"/><Relationship Id="rId361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611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97GtYVPWsKUdWUqnBtJ7Rkubr-Kl6xVB8F-ix6FC5eHjTjE-05el3crCemHnmVaYVcZl2d_NvCRcD0daBgR46Tg1e8ZQ%26_hsmi%3D71033828" TargetMode="External"/><Relationship Id="rId3614" Type="http://schemas.openxmlformats.org/officeDocument/2006/relationships/hyperlink" Target="https://resources.simonelectric.com/simon-ebook-vehiculo-electrico-0?gclid=Cj0KCQiA-bjyBRCcARIsAFboWg0TVHuYgWTUDhHjZ-bZWT-wve6nfRMOpm-QVjtpT7wDbfiw2D7tUmsaAlgXEALw_wcB" TargetMode="External"/><Relationship Id="rId3613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9dtLNght82W4PM1_IM5lCqciZpmWiZa4VER9txMN2brW_2rdJkMLFFbNM1k7hi1X9012lp3_-Q3oYwB_RAvfpc56ljKdDl25GRhSOv8lGmkcWMvAM&amp;_hsmi=71033675" TargetMode="External"/><Relationship Id="rId3616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3615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61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61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619" Type="http://schemas.openxmlformats.org/officeDocument/2006/relationships/hyperlink" Target="https://resources.simonelectric.com/simon-catalogo-vehiculo-electrico?__hstc=83084745.94def9047a244177735c8a61227fe9f6.1581499799508.1582035988991.1582192528036.4&amp;__hssc=83084745.7.1582192528036&amp;__hsfp=689805222" TargetMode="External"/><Relationship Id="rId3610" Type="http://schemas.openxmlformats.org/officeDocument/2006/relationships/hyperlink" Target="https://resources.simonelectric.com/simon-ebook-vehiculo-electrico?utm_campaign=SIC%20-%20Veh%C3%ADculo%20El%C3%A9ctrico&amp;utm_medium=email&amp;_hsenc=p2ANqtz-813ZIP8xMQarsvAHvlq4LsRH5Mwjx3mQIgpo-inEL9ANmXIun8iiUPptbdGmgl9QK0iZKVTXWKnkpT4e2TQOQc1W0bNOx9dfKtae1dmKgPPL55QsFay8CM4ccbbJBmr2czpgX3&amp;_hsmi=71033675&amp;utm_source=hs_automation&amp;utm_content=71033675&amp;hsCtaTracking=2e94ebfc-d414-4389-870c-d2f266a9420b%7C587ac4dc-a49a-4bdc-b449-e36f5d95395b" TargetMode="External"/><Relationship Id="rId3601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60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603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3602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605" Type="http://schemas.openxmlformats.org/officeDocument/2006/relationships/hyperlink" Target="https://resources.simonelectric.com/simon-catalogo-vehiculo-electrico?__hstc=83084745.1dcb345d8a75afc27c8e2d1748e3718c.1582303367058.1582303367058.1582303846307.2&amp;__hssc=83084745.1.1582303846307&amp;__hsfp=2782246528" TargetMode="External"/><Relationship Id="rId3604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607" Type="http://schemas.openxmlformats.org/officeDocument/2006/relationships/hyperlink" Target="https://resources.simonelectric.com/simon-ebook-vehiculo-electrico" TargetMode="External"/><Relationship Id="rId3606" Type="http://schemas.openxmlformats.org/officeDocument/2006/relationships/hyperlink" Target="https://resources.simonelectric.com/simon-ebook-vehiculo-electrico" TargetMode="External"/><Relationship Id="rId360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608" Type="http://schemas.openxmlformats.org/officeDocument/2006/relationships/hyperlink" Target="https://resources.simonelectric.com/simon-catalogo-vehiculo-electrico?__hstc=83084745.40924afef0792ed5791c09254370fbe7.1540833854345.1575016424870.1582299808254.10&amp;__hssc=83084745.1.1582299808254&amp;__hsfp=2523309921" TargetMode="External"/><Relationship Id="rId1059" Type="http://schemas.openxmlformats.org/officeDocument/2006/relationships/hyperlink" Target="https://resources.simonelectric.com/simon-catalogo-vehiculo-electrico?utm_campaign=SIC%20-%20Veh%C3%ADculo%20El%C3%A9ctrico&amp;utm_medium=email&amp;_hsenc=p2ANqtz--p_c07zw6jyWQUyHUv88mGjkFgdsIj4WDuJFwr9_WIIVaco07LQ7UHgXPmh3wKk8FUoebq&amp;_hsmi=87085363&amp;utm_content=87085363&amp;utm_source=hs_email&amp;hsCtaTracking=6fedf137-fd90-4f17-bfb4-d61f710ec7f8%7Cf2771843-6636-4969-9010-2d8d0389b89c" TargetMode="External"/><Relationship Id="rId228" Type="http://schemas.openxmlformats.org/officeDocument/2006/relationships/hyperlink" Target="https://resources.simonelectric.com/simon-material-formativo-vehiculo-electrico?utm_campaign=SIC%20-%20Veh%C3%ADculo%20El%C3%A9ctrico&amp;utm_medium=email&amp;_hsenc=p2ANqtz--dOKT8WBLaFy3TSQXTxrh2NfvnRTq2KfUgomhYKAIr2Lx3UrlX6anH1W6i_oeRIoegidu_M_pxa-n33WKjH5nzYQ97Lg&amp;_hsmi=89784488&amp;utm_content=89784488&amp;utm_source=hs_email&amp;hsCtaTracking=f8a31ce8-daf1-4d69-a5d6-c3349f3aab91%7C75f9b9fd-a2b2-4ad4-9d4a-0dcb7c99194f" TargetMode="External"/><Relationship Id="rId227" Type="http://schemas.openxmlformats.org/officeDocument/2006/relationships/hyperlink" Target="https://resources.simonelectric.com/simon-material-formativo-vehiculo-electrico?utm_campaign=SIC%20-%20Veh%C3%ADculo%20El%C3%A9ctrico&amp;utm_medium=email&amp;_hsenc=p2ANqtz--wsgYBvEwG-1qjyMZXPNVV5rUNzZjhl-JVkUw_Oe8LHMiCBDMJsS5pxHdVN7rRg1QLJD1SsuUJ7TE6vpfi2aAaBPFYFg&amp;_hsmi=89784488&amp;utm_content=89784488&amp;utm_source=hs_email&amp;hsCtaTracking=f8a31ce8-daf1-4d69-a5d6-c3349f3aab91%7C75f9b9fd-a2b2-4ad4-9d4a-0dcb7c99194f" TargetMode="External"/><Relationship Id="rId226" Type="http://schemas.openxmlformats.org/officeDocument/2006/relationships/hyperlink" Target="https://resources.simonelectric.com/simon-material-formativo-vehiculo-electrico?utm_campaign=SIC%20-%20Veh%C3%ADculo%20El%C3%A9ctrico&amp;utm_medium=email&amp;_hsenc=p2ANqtz--TNNqevGCCe_E1TwAWmdUEMf7PYD_Qsp9QykDHUWxDbtVCmdeFAF3CCPMoo44jJm-4ezWe5gPe_npD_jkdI2eKCVn5Iw&amp;_hsmi=89784488&amp;utm_content=89784488&amp;utm_source=hs_email&amp;hsCtaTracking=f8a31ce8-daf1-4d69-a5d6-c3349f3aab91%7C75f9b9fd-a2b2-4ad4-9d4a-0dcb7c99194f" TargetMode="External"/><Relationship Id="rId225" Type="http://schemas.openxmlformats.org/officeDocument/2006/relationships/hyperlink" Target="https://resources.simonelectric.com/simon-material-formativo-vehiculo-electrico?utm_campaign=SIC%20-%20Veh%C3%ADculo%20El%C3%A9ctrico&amp;utm_medium=email&amp;_hsenc=p2ANqtz-9uLu0g7koc7zmHixBUNmOI6RXCsOiJ3KoTLs974z36_VUzllppAaiCID5Zih_FR2JS6UxKy-CkYhrFpJk2WGoCFtUK4w&amp;_hsmi=89784488&amp;utm_content=89784488&amp;utm_source=hs_email&amp;hsCtaTracking=f8a31ce8-daf1-4d69-a5d6-c3349f3aab91%7C75f9b9fd-a2b2-4ad4-9d4a-0dcb7c99194f" TargetMode="External"/><Relationship Id="rId2380" Type="http://schemas.openxmlformats.org/officeDocument/2006/relationships/hyperlink" Target="https://resources.simonelectric.com/simon-material-formativo-vehiculo-electrico" TargetMode="External"/><Relationship Id="rId229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_yAtIkp7y1faRjz2HZI_OfosugmoFts_YJv-6o9Gsy6v1dyOdxurvaxFURxRBdsPwPZ_OjI-cOX-xn6Rncol6T7-HZWA&amp;utm_content=89784488&amp;utm_source=hs_email" TargetMode="External"/><Relationship Id="rId105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381" Type="http://schemas.openxmlformats.org/officeDocument/2006/relationships/hyperlink" Target="https://resources.simonelectric.com/simon-material-formativo-vehiculo-electrico" TargetMode="External"/><Relationship Id="rId220" Type="http://schemas.openxmlformats.org/officeDocument/2006/relationships/hyperlink" Target="https://resources.simonelectric.com/simon-material-formativo-vehiculo-electrico?utm_campaign=SIC%20-%20Veh%C3%ADculo%20El%C3%A9ctrico&amp;utm_medium=email&amp;_hsenc=p2ANqtz--pE20wuF0SzWBgg3xaGZnd96uNrD4VWxTSH8ZBWlmlcDU3SfISnSlKpLt9ZIremrqM_3-bDzJRl0n7C-XUO2y1QXOzgqekG4_zb-EnFb8GwC2XaRc&amp;_hsmi=89784488&amp;utm_content=89784488&amp;utm_source=hs_email&amp;hsCtaTracking=f8a31ce8-daf1-4d69-a5d6-c3349f3aab91%7C75f9b9fd-a2b2-4ad4-9d4a-0dcb7c99194f" TargetMode="External"/><Relationship Id="rId1051" Type="http://schemas.openxmlformats.org/officeDocument/2006/relationships/hyperlink" Target="https://resources.simonelectric.com/simon-ebook-vehiculo-electrico" TargetMode="External"/><Relationship Id="rId2382" Type="http://schemas.openxmlformats.org/officeDocument/2006/relationships/hyperlink" Target="https://resources.simonelectric.com/simon-material-formativo-vehiculo-electrico" TargetMode="External"/><Relationship Id="rId1052" Type="http://schemas.openxmlformats.org/officeDocument/2006/relationships/hyperlink" Target="https://resources.simonelectric.com/simon-catalogo-vehiculo-electrico?utm_campaign=SIC%20-%20Veh%C3%ADculo%20El%C3%A9ctrico&amp;utm_medium=email&amp;_hsenc=p2ANqtz--09Zgdr5XCYP3SyDN4mq-KvIWf72s7VfTKt8Hl2yyqVZE8VCOI0f6wAx9piLwoqQe6S2gw&amp;_hsmi=87085363&amp;utm_content=87085363&amp;utm_source=hs_email&amp;hsCtaTracking=6fedf137-fd90-4f17-bfb4-d61f710ec7f8%7Cf2771843-6636-4969-9010-2d8d0389b89c" TargetMode="External"/><Relationship Id="rId2383" Type="http://schemas.openxmlformats.org/officeDocument/2006/relationships/hyperlink" Target="https://resources.simonelectric.com/simon-material-formativo-vehiculo-electrico" TargetMode="External"/><Relationship Id="rId1053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384" Type="http://schemas.openxmlformats.org/officeDocument/2006/relationships/hyperlink" Target="https://resources.simonelectric.com/simon-material-formativo-vehiculo-electrico" TargetMode="External"/><Relationship Id="rId1054" Type="http://schemas.openxmlformats.org/officeDocument/2006/relationships/hyperlink" Target="https://resources.simonelectric.com/simon-ebook-vehiculo-electrico-0?gclid=Cj0KCQjw-_j1BRDkARIsAJcfmTGRKEi4GWj9AXX5nmmPhGUo7dweNzsRRQbkHmlMrlhoonMqEP9icmQaAiBPEALw_wcB" TargetMode="External"/><Relationship Id="rId2385" Type="http://schemas.openxmlformats.org/officeDocument/2006/relationships/hyperlink" Target="https://resources.simonelectric.com/simon-material-formativo-vehiculo-electrico" TargetMode="External"/><Relationship Id="rId224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-sqiPGedZM1mqL7fETP8YxJR3MSd0OTCQIeba_ROB1RODJDQyjOCo2EMfmIHrcsqLl2DlnmLOve9F8kxL-edsDRaB9gw&amp;utm_content=89784488&amp;utm_source=hs_email" TargetMode="External"/><Relationship Id="rId1055" Type="http://schemas.openxmlformats.org/officeDocument/2006/relationships/hyperlink" Target="https://resources.simonelectric.com/simon-catalogo-vehiculo-electrico" TargetMode="External"/><Relationship Id="rId2386" Type="http://schemas.openxmlformats.org/officeDocument/2006/relationships/hyperlink" Target="https://resources.simonelectric.com/simon-material-formativo-vehiculo-electrico" TargetMode="External"/><Relationship Id="rId223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886gaV9uNAIhXwy_FHu9o273fB6H4nIAbVrHVr-RSamcbO1BamBuTbyKYPiYpNHWH9U6Iq4qmIuZIzLhB7QDvQCmSskbvDvsmy-9GeFF_TjPqzbtQ&amp;utm_content=89784488&amp;utm_source=hs_email" TargetMode="External"/><Relationship Id="rId105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387" Type="http://schemas.openxmlformats.org/officeDocument/2006/relationships/hyperlink" Target="https://resources.simonelectric.com/simon-material-formativo-vehiculo-electrico" TargetMode="External"/><Relationship Id="rId222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-X7WLOOrfI4PIzKylVvVUdXZ06T24xFDYfNx92u_OOKDYvoBZ9g3UHwFtqQWlbFb58u0D2HWuZNUh9EWqAqSvM3quZBA&amp;utm_content=89784488&amp;utm_source=hs_email" TargetMode="External"/><Relationship Id="rId1057" Type="http://schemas.openxmlformats.org/officeDocument/2006/relationships/hyperlink" Target="https://resources.simonelectric.com/simon-catalogo-vehiculo-electrico?utm_campaign=SIC%20-%20Veh%C3%ADculo%20El%C3%A9ctrico&amp;utm_medium=email&amp;_hsenc=p2ANqtz-86QMn42-RplxuQX319iiAXSxITyuS3G5PoxEA038LqKEheWekzGOXJCRHNP6lComOu6laR&amp;_hsmi=87085363&amp;utm_content=87085363&amp;utm_source=hs_email&amp;hsCtaTracking=6fedf137-fd90-4f17-bfb4-d61f710ec7f8%7Cf2771843-6636-4969-9010-2d8d0389b89c" TargetMode="External"/><Relationship Id="rId2388" Type="http://schemas.openxmlformats.org/officeDocument/2006/relationships/hyperlink" Target="https://resources.simonelectric.com/simon-material-formativo-vehiculo-electrico" TargetMode="External"/><Relationship Id="rId221" Type="http://schemas.openxmlformats.org/officeDocument/2006/relationships/hyperlink" Target="https://resources.simonelectric.com/simon-material-formativo-vehiculo-electrico?utm_campaign=SIC%20-%20Veh%C3%ADculo%20El%C3%A9ctrico&amp;utm_medium=email&amp;_hsenc=p2ANqtz-87qG-YyYn77rbOJJqw6uhGwDLlNkBqu2IP1Jcy3mYxWffOG1CuMz6Wp1I8WZkcPLf3f7RaHIpcFEhAoUbGpRgRbyupHg&amp;_hsmi=89784488&amp;utm_content=89784488&amp;utm_source=hs_email&amp;hsCtaTracking=f8a31ce8-daf1-4d69-a5d6-c3349f3aab91%7C75f9b9fd-a2b2-4ad4-9d4a-0dcb7c99194f" TargetMode="External"/><Relationship Id="rId1058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%3Futm_campaign%3DSIC%2520-%2520Veh%25C3%25ADculo%2520El%25C3%25A9ctrico%26utm_source%3Dhs_automation%26utm_medium%3Demail%26utm_content%3D71033828%26_hsenc%3Dp2ANqtz--VSFJiwGZ0JkT35sBb2FIDKOIwG38SzCZnit4TUClhatbw-Jyu2RRiGVCH8NsrznQQTdwS5IhLzUlcr55ewNFNiJo48g%26_hsmi%3D71033828" TargetMode="External"/><Relationship Id="rId2389" Type="http://schemas.openxmlformats.org/officeDocument/2006/relationships/hyperlink" Target="https://resources.simonelectric.com/simon-material-formativo-vehiculo-electrico" TargetMode="External"/><Relationship Id="rId1048" Type="http://schemas.openxmlformats.org/officeDocument/2006/relationships/hyperlink" Target="https://resources.simonelectric.com/simon-ebook-vehiculo-electrico" TargetMode="External"/><Relationship Id="rId2379" Type="http://schemas.openxmlformats.org/officeDocument/2006/relationships/hyperlink" Target="https://resources.simonelectric.com/simon-material-formativo-vehiculo-electrico" TargetMode="External"/><Relationship Id="rId1049" Type="http://schemas.openxmlformats.org/officeDocument/2006/relationships/hyperlink" Target="https://resources.simonelectric.com/simon-catalogo-vehiculo-electrico?__hstc=83084745.2a675494b9f6043ead2a13baa2874879.1547109055250.1588286619191.1589637515551.9&amp;__hssc=83084745.33.1589637515551&amp;__hsfp=1601107752" TargetMode="External"/><Relationship Id="rId217" Type="http://schemas.openxmlformats.org/officeDocument/2006/relationships/hyperlink" Target="https://resources.simonelectric.com/simon-material-formativo-vehiculo-electrico?utm_campaign=SIC%20-%20Veh%C3%ADculo%20El%C3%A9ctrico&amp;utm_medium=email&amp;_hsenc=p2ANqtz-_AUT7-Enf6IJjQOyq1pZUW_IhDnsRez13uDygvsNYGXu3G-Tga1CpD4C8P2hmGhYrUHc-pL_Xv4YJdxnD905zSi0tudbcu9PUzSIc9clHXlk28Bko&amp;_hsmi=89784488&amp;utm_content=89784488&amp;utm_source=hs_email&amp;hsCtaTracking=f8a31ce8-daf1-4d69-a5d6-c3349f3aab91%7C75f9b9fd-a2b2-4ad4-9d4a-0dcb7c99194f" TargetMode="External"/><Relationship Id="rId216" Type="http://schemas.openxmlformats.org/officeDocument/2006/relationships/hyperlink" Target="https://resources.simonelectric.com/simon-material-formativo-vehiculo-electrico?utm_campaign=SIC%20-%20Veh%C3%ADculo%20El%C3%A9ctrico&amp;utm_medium=email&amp;_hsenc=p2ANqtz--XxYoopgXiqT82SGCZ_WnDE9lDS78aZy-LaWnJGpGgCZ2fmsxJVKFnrb6jwjhxmEwcZ4n6ADzAwHCFxUHe2BbBZOA_6vpLnoysb3iYOVgopgKUjuI&amp;_hsmi=89784488&amp;utm_content=89784488&amp;utm_source=hs_email&amp;hsCtaTracking=f8a31ce8-daf1-4d69-a5d6-c3349f3aab91%7C75f9b9fd-a2b2-4ad4-9d4a-0dcb7c99194f" TargetMode="External"/><Relationship Id="rId215" Type="http://schemas.openxmlformats.org/officeDocument/2006/relationships/hyperlink" Target="https://resources.simonelectric.com/simon-material-formativo-vehiculo-electrico?utm_campaign=SIC%20-%20Veh%C3%ADculo%20El%C3%A9ctrico&amp;utm_medium=email&amp;_hsenc=p2ANqtz-9Xs7mGbjh8jkt5BY1SVHjN06gRzRstcQua_zLdBgkrtWrjeo6I9XivxgmQ7fub1NYOu4xE39nDwArvDpuHOLuS5MA1Yg&amp;_hsmi=89784488&amp;utm_content=89784488&amp;utm_source=hs_email&amp;hsCtaTracking=f8a31ce8-daf1-4d69-a5d6-c3349f3aab91%7C75f9b9fd-a2b2-4ad4-9d4a-0dcb7c99194f" TargetMode="External"/><Relationship Id="rId214" Type="http://schemas.openxmlformats.org/officeDocument/2006/relationships/hyperlink" Target="https://resources.simonelectric.com/simon-material-formativo-vehiculo-electrico?utm_campaign=SIC%20-%20Veh%C3%ADculo%20El%C3%A9ctrico&amp;utm_medium=email&amp;_hsenc=p2ANqtz--3YTB0g8TsCNNy-a8cfIdxqEEal07V9wpM8tXd-fUPGBfoklY2nrRPWNp2T6V4RzwvY5xAgwh23DcYK1-rLvxCKOeyDw&amp;_hsmi=89784488&amp;utm_content=89784488&amp;utm_source=hs_email&amp;hsCtaTracking=f8a31ce8-daf1-4d69-a5d6-c3349f3aab91%7C75f9b9fd-a2b2-4ad4-9d4a-0dcb7c99194f" TargetMode="External"/><Relationship Id="rId219" Type="http://schemas.openxmlformats.org/officeDocument/2006/relationships/hyperlink" Target="https://resources.simonelectric.com/simon-material-formativo-vehiculo-electrico?utm_campaign=SIC%20-%20Veh%C3%ADculo%20El%C3%A9ctrico&amp;utm_medium=email&amp;_hsenc=p2ANqtz-_-NbfTxOQF_2tTktWlMFyWoVjzXIJPCPcjQgCdu7JHWzBphfUTsPZopgOR2FWTvqlfhFhRGYIbVcmpXN5aMFSaoEogKA&amp;_hsmi=89784488&amp;utm_content=89784488&amp;utm_source=hs_email&amp;hsCtaTracking=f8a31ce8-daf1-4d69-a5d6-c3349f3aab91%7C75f9b9fd-a2b2-4ad4-9d4a-0dcb7c99194f" TargetMode="External"/><Relationship Id="rId218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9rzeShI2RFVKEYCEA2y6_eANLvBxdLkT8PuKLPImU-0RD-ZyDwtSXm35OjLwX6WZeKt1vOhuHFlBrIGqA2y4foJEszmQ&amp;utm_content=89784488&amp;utm_source=hs_email" TargetMode="External"/><Relationship Id="rId2370" Type="http://schemas.openxmlformats.org/officeDocument/2006/relationships/hyperlink" Target="https://resources.simonelectric.com/simon-material-formativo-vehiculo-electrico" TargetMode="External"/><Relationship Id="rId104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371" Type="http://schemas.openxmlformats.org/officeDocument/2006/relationships/hyperlink" Target="https://resources.simonelectric.com/simon-material-formativo-vehiculo-electrico" TargetMode="External"/><Relationship Id="rId104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372" Type="http://schemas.openxmlformats.org/officeDocument/2006/relationships/hyperlink" Target="https://resources.simonelectric.com/simon-material-formativo-vehiculo-electrico" TargetMode="External"/><Relationship Id="rId104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373" Type="http://schemas.openxmlformats.org/officeDocument/2006/relationships/hyperlink" Target="https://resources.simonelectric.com/simon-material-formativo-vehiculo-electrico" TargetMode="External"/><Relationship Id="rId1043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-IHpMYEXa1uHL1jyZw6AntRKcNwYYOyKp4Vm23k46XdXKyxgeVs9FbfnmFrijKa6PkUAGFvfVG6PKKjeMGkqxocgHPwwWprbSKWuruQGXmj-vNLLk&amp;_hsmi=87865495" TargetMode="External"/><Relationship Id="rId2374" Type="http://schemas.openxmlformats.org/officeDocument/2006/relationships/hyperlink" Target="https://resources.simonelectric.com/simon-material-formativo-vehiculo-electrico" TargetMode="External"/><Relationship Id="rId213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9XC0rnRSsHv974wW1ny2IJ4hQRRFPAabo-9qlcIh8CkIPybGgzs2vkwDJGCBQsYQpCdY1DkIQbWVWsN5ZwLhgOljr5dg&amp;utm_content=89784488&amp;utm_source=hs_email" TargetMode="External"/><Relationship Id="rId104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375" Type="http://schemas.openxmlformats.org/officeDocument/2006/relationships/hyperlink" Target="https://resources.simonelectric.com/simon-material-formativo-vehiculo-electrico" TargetMode="External"/><Relationship Id="rId212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9iI6Lc5-SBWzaPIdAd9AdoMthSTtadqZ5IkOCtR4Sao23bdzq0iAg2732CPHK4lzUf-jsALPUemVmPKYVKa6MUHSLH_HxKolhy0-lftydabxb9ohQ&amp;utm_content=89784488&amp;utm_source=hs_email" TargetMode="External"/><Relationship Id="rId1045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8L4VXMg01lyBL6FOhgOdvI8FSEXy1lDSMPVLzyspoRatHClIiJx_WOQrAyMmogJMhJKos3vcmsmUduvHm1EDwmgULXlw%26_hsmi%3D71033828" TargetMode="External"/><Relationship Id="rId2376" Type="http://schemas.openxmlformats.org/officeDocument/2006/relationships/hyperlink" Target="https://resources.simonelectric.com/simon-material-formativo-vehiculo-electrico" TargetMode="External"/><Relationship Id="rId211" Type="http://schemas.openxmlformats.org/officeDocument/2006/relationships/hyperlink" Target="https://resources.simonelectric.com/simon-material-formativo-vehiculo-electrico?utm_campaign=SIC%20-%20Veh%C3%ADculo%20El%C3%A9ctrico&amp;utm_medium=email&amp;_hsenc=p2ANqtz-9KmaOxAkQ1lqGkC0estJsAfj3LPWgd3rwNX9EZhnSOtTsl_ooASd8mWyOXhtMRDwmKjFoKnDMeYi4uNAvtP9Xn24SOHbo8trWy2PTSjjm42wFaYZY&amp;_hsmi=89784488&amp;utm_content=89784488&amp;utm_source=hs_email&amp;hsCtaTracking=f8a31ce8-daf1-4d69-a5d6-c3349f3aab91%7C75f9b9fd-a2b2-4ad4-9d4a-0dcb7c99194f" TargetMode="External"/><Relationship Id="rId1046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8L4VXMg01lyBL6FOhgOdvI8FSEXy1lDSMPVLzyspoRatHClIiJx_WOQrAyMmogJMhJKos3vcmsmUduvHm1EDwmgULXlw%26_hsmi%3D71033828" TargetMode="External"/><Relationship Id="rId2377" Type="http://schemas.openxmlformats.org/officeDocument/2006/relationships/hyperlink" Target="https://resources.simonelectric.com/simon-material-formativo-vehiculo-electrico" TargetMode="External"/><Relationship Id="rId210" Type="http://schemas.openxmlformats.org/officeDocument/2006/relationships/hyperlink" Target="https://resources.simonelectric.com/simon-material-formativo-vehiculo-electrico?utm_campaign=SIC%20-%20Veh%C3%ADculo%20El%C3%A9ctrico&amp;utm_medium=email&amp;_hsenc=p2ANqtz-8S9_yN7rDrUlHd5HlobQEJUUXctJxGdGERHwFFnTuxtSmhBFCqcD4duB5bpcAmEb53PCs88zfNoP4voEGwrNpGR-jeLQ&amp;_hsmi=89784488&amp;utm_content=89784488&amp;utm_source=hs_email&amp;hsCtaTracking=f8a31ce8-daf1-4d69-a5d6-c3349f3aab91%7C75f9b9fd-a2b2-4ad4-9d4a-0dcb7c99194f" TargetMode="External"/><Relationship Id="rId1047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8L4VXMg01lyBL6FOhgOdvI8FSEXy1lDSMPVLzyspoRatHClIiJx_WOQrAyMmogJMhJKos3vcmsmUduvHm1EDwmgULXlw%26_hsmi%3D71033828" TargetMode="External"/><Relationship Id="rId2378" Type="http://schemas.openxmlformats.org/officeDocument/2006/relationships/hyperlink" Target="https://resources.simonelectric.com/simon-material-formativo-vehiculo-electrico" TargetMode="External"/><Relationship Id="rId249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_s6j9Z3Ln4jBAQRWusvsqy7jSHrD0hc3eFe1KGAPVxOJn64NkdFyuxvsJTMwzFCp3cvGBGm_ylE1nEp0bbeo-9n5pMA30NNUlWN-Zsy6bfT15Wwgg&amp;utm_content=89784488&amp;utm_source=hs_email" TargetMode="External"/><Relationship Id="rId248" Type="http://schemas.openxmlformats.org/officeDocument/2006/relationships/hyperlink" Target="https://resources.simonelectric.com/simon-material-formativo-vehiculo-electrico?utm_campaign=SIC%20-%20Veh%C3%ADculo%20El%C3%A9ctrico&amp;utm_medium=email&amp;_hsenc=p2ANqtz-9eDHb3lis_vDwWxMRyegr13UaoUs5JWOL8_cI2y0f_Lt2gmZapMgF63kkUhVfkmeekm8umV3Y7V0GYQYN8hziHCseSXA&amp;_hsmi=89784488&amp;utm_content=89784488&amp;utm_source=hs_email&amp;hsCtaTracking=f8a31ce8-daf1-4d69-a5d6-c3349f3aab91%7C75f9b9fd-a2b2-4ad4-9d4a-0dcb7c99194f" TargetMode="External"/><Relationship Id="rId247" Type="http://schemas.openxmlformats.org/officeDocument/2006/relationships/hyperlink" Target="https://resources.simonelectric.com/simon-material-formativo-vehiculo-electrico?utm_campaign=SIC%20-%20Veh%C3%ADculo%20El%C3%A9ctrico&amp;utm_medium=email&amp;_hsenc=p2ANqtz-9y1r-Pq3yrylYtOQ9nhQgemmYtA6YemxEsrJFn8ApcnvDPN4YLu2PF0vwGgxqvi76XuV6FIkXRbbMv3p_zG0AekJszb_hyG4Fu_ZKa9rsxUQLdI8Y&amp;_hsmi=89784488&amp;utm_content=89784488&amp;utm_source=hs_email&amp;hsCtaTracking=f8a31ce8-daf1-4d69-a5d6-c3349f3aab91%7C75f9b9fd-a2b2-4ad4-9d4a-0dcb7c99194f" TargetMode="External"/><Relationship Id="rId107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071" Type="http://schemas.openxmlformats.org/officeDocument/2006/relationships/hyperlink" Target="https://resources.simonelectric.com/simon-material-formativo-vehiculo-electrico" TargetMode="External"/><Relationship Id="rId107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42" Type="http://schemas.openxmlformats.org/officeDocument/2006/relationships/hyperlink" Target="https://resources.simonelectric.com/simon-material-formativo-vehiculo-electrico?utm_campaign=SIC%20-%20Veh%C3%ADculo%20El%C3%A9ctrico&amp;utm_medium=email&amp;_hsenc=p2ANqtz-81-biuiT9W6JGNUxRh0S-yGsCkjG08dPh_aHinjM1oWqdN_0auicPb6LYv6nIV_hnmZNWIkedLRgcVgbkjLuyViXC7RA&amp;_hsmi=89784488&amp;utm_content=89784488&amp;utm_source=hs_email&amp;hsCtaTracking=f8a31ce8-daf1-4d69-a5d6-c3349f3aab91%7C75f9b9fd-a2b2-4ad4-9d4a-0dcb7c99194f" TargetMode="External"/><Relationship Id="rId1073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41" Type="http://schemas.openxmlformats.org/officeDocument/2006/relationships/hyperlink" Target="https://resources.simonelectric.com/simon-material-formativo-vehiculo-electrico?utm_campaign=SIC%20-%20Veh%C3%ADculo%20El%C3%A9ctrico&amp;utm_medium=email&amp;_hsenc=p2ANqtz-9YezjHC094Ut6ur4xLollqgbAZ0qK-6NmUR3fWugP6rLK5iBBMHqQ0UAwX8vvF7LtdmYxg_pf906fD2G8JffVIKfoP0g&amp;_hsmi=89784488&amp;utm_content=89784488&amp;utm_source=hs_email&amp;hsCtaTracking=f8a31ce8-daf1-4d69-a5d6-c3349f3aab91%7C75f9b9fd-a2b2-4ad4-9d4a-0dcb7c99194f" TargetMode="External"/><Relationship Id="rId1074" Type="http://schemas.openxmlformats.org/officeDocument/2006/relationships/hyperlink" Target="https://resources.simonelectric.com/simon-catalogo-vehiculo-electrico?__hstc=83084745.9a7f48c18cfb8068f96de1853be65ace.1589442365913.1589442365913.1589442365913.1&amp;__hssc=83084745.1.1589442365913&amp;__hsfp=3584712527" TargetMode="External"/><Relationship Id="rId240" Type="http://schemas.openxmlformats.org/officeDocument/2006/relationships/hyperlink" Target="https://resources.simonelectric.com/simon-material-formativo-vehiculo-electrico?utm_campaign=SIC%20-%20Veh%C3%ADculo%20El%C3%A9ctrico&amp;utm_medium=email&amp;_hsenc=p2ANqtz-_XJk6POeqiLGKHrm7Du-jAV5IixSOSIotsDmuXBpe_ICjIYQ4Qq3I_E5y8niHqNPVHjiAYhLqo4BrRy3fzr9n2D4DFud0teFy_wZm6pvjHB7o75kg&amp;_hsmi=89784488&amp;utm_content=89784488&amp;utm_source=hs_email&amp;hsCtaTracking=f8a31ce8-daf1-4d69-a5d6-c3349f3aab91%7C75f9b9fd-a2b2-4ad4-9d4a-0dcb7c99194f" TargetMode="External"/><Relationship Id="rId1075" Type="http://schemas.openxmlformats.org/officeDocument/2006/relationships/hyperlink" Target="https://resources.simonelectric.com/simon-ebook-vehiculo-electrico?utm_campaign=SIC%20-%20Veh%C3%ADculo%20El%C3%A9ctrico&amp;utm_medium=email&amp;_hsenc=p2ANqtz--xNEECBPgQIpp7CqM54B1os9m1C9xMAX-9qAcU3ENmexuUva1f47jfQRf3tcIismsI0Akg1UV6O7aEsiDL8U_WBBWlnwazzo1KyvBsCoendCrO2rE&amp;_hsmi=67858848&amp;utm_source=hs_automation&amp;utm_content=67858848&amp;hsCtaTracking=4ffb3aa1-677f-463b-8339-fc65a1da68db%7C5790d3b1-fbc3-4c32-a016-744222ad1cdc" TargetMode="External"/><Relationship Id="rId1076" Type="http://schemas.openxmlformats.org/officeDocument/2006/relationships/hyperlink" Target="https://resources.simonelectric.com/simon-ebook-vehiculo-electrico" TargetMode="External"/><Relationship Id="rId246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8v8EQUQEHJrJvK5G6mTlhZQgvo8elArUaPUAmDJ-kC7kulEb-58aBXC4FRJwpqXIKj-QcUTDAzqjl-z3FD3PwptIzExQ&amp;utm_content=89784488&amp;utm_source=hs_email" TargetMode="External"/><Relationship Id="rId107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45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8xEhyRy7dfthRUCu0GYH2vP1Uh8LtR2eg3qMm8nlr_zeCzTRYfrazwswGxUikwQB6bKEg9SdmVPhFCriYpcRdaDun3tw&amp;utm_content=89784488&amp;utm_source=hs_email" TargetMode="External"/><Relationship Id="rId1078" Type="http://schemas.openxmlformats.org/officeDocument/2006/relationships/hyperlink" Target="https://resources.simonelectric.com/simon-catalogo-vehiculo-electrico?utm_campaign=SIC%20-%20Veh%C3%ADculo%20El%C3%A9ctrico&amp;utm_medium=email&amp;_hsenc=p2ANqtz-_zn_-OZ972HuDRiZ7TmXdxews--FBnJDE0K8kpLXiKDF94QpotsLQF5S-wSD1votgU1KxV&amp;_hsmi=87085363&amp;utm_content=87085363&amp;utm_source=hs_email&amp;hsCtaTracking=6fedf137-fd90-4f17-bfb4-d61f710ec7f8%7Cf2771843-6636-4969-9010-2d8d0389b89c" TargetMode="External"/><Relationship Id="rId244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9gesz6FVtmg4d3EP8bQJpt09aUnJN1uNYhaxzzMPxMB0c9qBgMed8YQNj5GOxN6TqP4WLOYW42nCHLtltpTU3J8XPu6Q&amp;utm_content=89784488&amp;utm_source=hs_email" TargetMode="External"/><Relationship Id="rId107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43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90mykk6cp_kf7Jg_j6obX2oqxSq-6YOa5d8gXvGfejlZD8wwjcvXaFgJnNfrfpvJVHt8zxgaGpIykIR1DDfNvpXjFicwq78iql1lJQO4vwX9P7x_c&amp;utm_content=89784488&amp;utm_source=hs_email" TargetMode="External"/><Relationship Id="rId239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8Vk-prEIHwubnspNN1mNr4rdT6DCibuPPbrxQIDSBwcL9gHYeQ8nqoYGG-MSDRBobDJABFnZsYB385s8IWTiO4aXzwAnBbZfo4XdLBbjOTcR3Gnnc&amp;utm_content=89784488&amp;utm_source=hs_email" TargetMode="External"/><Relationship Id="rId238" Type="http://schemas.openxmlformats.org/officeDocument/2006/relationships/hyperlink" Target="https://resources.simonelectric.com/simon-material-formativo-vehiculo-electrico?utm_campaign=SIC%20-%20Veh%C3%ADculo%20El%C3%A9ctrico&amp;utm_medium=email&amp;_hsenc=p2ANqtz-94y1nX4XR9Usok3qbVMXdThiEROF1s5ci2TLNb8RQ09HX3_qvohybbldBIvRFZH6jUk3rxjExzKNJPlJ1xn2SSJI7a2p3_c10smteyWjVy1XtYmsQ&amp;_hsmi=89784488&amp;utm_content=89784488&amp;utm_source=hs_email&amp;hsCtaTracking=f8a31ce8-daf1-4d69-a5d6-c3349f3aab91%7C75f9b9fd-a2b2-4ad4-9d4a-0dcb7c99194f" TargetMode="External"/><Relationship Id="rId237" Type="http://schemas.openxmlformats.org/officeDocument/2006/relationships/hyperlink" Target="https://resources.simonelectric.com/simon-material-formativo-vehiculo-electrico?utm_campaign=SIC%20-%20Veh%C3%ADculo%20El%C3%A9ctrico&amp;utm_medium=email&amp;_hsenc=p2ANqtz-8AQdhU0k4uNJYbc4ewQAuCPv0oIs48jcLhg05smkLQzIjTmVoZb3juonwnxKEScd7F3mnhd56YCHV3fAFxHVoXU1c7rQ&amp;_hsmi=89784488&amp;utm_content=89784488&amp;utm_source=hs_email&amp;hsCtaTracking=f8a31ce8-daf1-4d69-a5d6-c3349f3aab91%7C75f9b9fd-a2b2-4ad4-9d4a-0dcb7c99194f" TargetMode="External"/><Relationship Id="rId236" Type="http://schemas.openxmlformats.org/officeDocument/2006/relationships/hyperlink" Target="https://resources.simonelectric.com/simon-material-formativo-vehiculo-electrico?utm_campaign=SIC%20-%20Veh%C3%ADculo%20El%C3%A9ctrico&amp;utm_medium=email&amp;_hsenc=p2ANqtz-9tvquyJVtvmIQ4nCUM_7g-UllBA0Gj-NQzlmkGoZwYbqEeL77d1K-tkNdaoitXHmJxBrvaGgR19a3S2cqmC4_y0o9B3M_0hmtS1on_RJfAJZU4lyg&amp;_hsmi=89784488&amp;utm_content=89784488&amp;utm_source=hs_email&amp;hsCtaTracking=f8a31ce8-daf1-4d69-a5d6-c3349f3aab91%7C75f9b9fd-a2b2-4ad4-9d4a-0dcb7c99194f" TargetMode="External"/><Relationship Id="rId2390" Type="http://schemas.openxmlformats.org/officeDocument/2006/relationships/hyperlink" Target="https://resources.simonelectric.com/simon-material-formativo-vehiculo-electrico" TargetMode="External"/><Relationship Id="rId1060" Type="http://schemas.openxmlformats.org/officeDocument/2006/relationships/hyperlink" Target="https://resources.simonelectric.com/simon-catalogo-vehiculo-electrico?utm_campaign=SIC%20-%20Veh%C3%ADculo%20El%C3%A9ctrico&amp;utm_medium=email&amp;_hsenc=p2ANqtz--9T5FwQq0OmLrB8Yq9UUEgT3QrbXXRTBbRqEzUpfgm7veKfe1no-f9dfBoEI2SmCh0e9Vq&amp;_hsmi=87085363&amp;utm_content=87085363&amp;utm_source=hs_email&amp;hsCtaTracking=6fedf137-fd90-4f17-bfb4-d61f710ec7f8%7Cf2771843-6636-4969-9010-2d8d0389b89c" TargetMode="External"/><Relationship Id="rId2391" Type="http://schemas.openxmlformats.org/officeDocument/2006/relationships/hyperlink" Target="https://resources.simonelectric.com/simon-material-formativo-vehiculo-electrico" TargetMode="External"/><Relationship Id="rId1061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_wUXLAXC2RlsZujJ0asSWiVSNM7HTKFeW33zKWs1vdpUFk0oHsfpmrTPK2G_CSJEBSYyOnbti0NVCqF49mpQdGw5uN0A&amp;_hsmi=71034014" TargetMode="External"/><Relationship Id="rId2392" Type="http://schemas.openxmlformats.org/officeDocument/2006/relationships/hyperlink" Target="https://resources.simonelectric.com/simon-material-formativo-vehiculo-electrico" TargetMode="External"/><Relationship Id="rId231" Type="http://schemas.openxmlformats.org/officeDocument/2006/relationships/hyperlink" Target="https://resources.simonelectric.com/simon-material-formativo-vehiculo-electrico?utm_campaign=SIC%20-%20Veh%C3%ADculo%20El%C3%A9ctrico&amp;utm_medium=email&amp;_hsenc=p2ANqtz-8helK_q7dAiIiq4ab8lZiPKplGpf-nca3eE7aDt1ylqCNwsYETu2ciieSsL3T3LiPkfiAefoT9jr4cjU1uYP9PQdTKR_MjSDejj1misbvQQ9i4cUU&amp;_hsmi=89784488&amp;utm_content=89784488&amp;utm_source=hs_email&amp;hsCtaTracking=f8a31ce8-daf1-4d69-a5d6-c3349f3aab91%7C75f9b9fd-a2b2-4ad4-9d4a-0dcb7c99194f" TargetMode="External"/><Relationship Id="rId1062" Type="http://schemas.openxmlformats.org/officeDocument/2006/relationships/hyperlink" Target="https://resources.simonelectric.com/simon-catalogo-vehiculo-electrico" TargetMode="External"/><Relationship Id="rId2393" Type="http://schemas.openxmlformats.org/officeDocument/2006/relationships/hyperlink" Target="https://resources.simonelectric.com/simon-material-formativo-vehiculo-electrico" TargetMode="External"/><Relationship Id="rId230" Type="http://schemas.openxmlformats.org/officeDocument/2006/relationships/hyperlink" Target="https://resources.simonelectric.com/simon-catalogo-vehiculo-electrico" TargetMode="External"/><Relationship Id="rId106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394" Type="http://schemas.openxmlformats.org/officeDocument/2006/relationships/hyperlink" Target="https://resources.simonelectric.com/simon-material-formativo-vehiculo-electrico" TargetMode="External"/><Relationship Id="rId1064" Type="http://schemas.openxmlformats.org/officeDocument/2006/relationships/hyperlink" Target="https://resources.simonelectric.com/simon-material-formativo-vehiculo-electrico" TargetMode="External"/><Relationship Id="rId2395" Type="http://schemas.openxmlformats.org/officeDocument/2006/relationships/hyperlink" Target="https://resources.simonelectric.com/simon-material-formativo-vehiculo-electrico" TargetMode="External"/><Relationship Id="rId1065" Type="http://schemas.openxmlformats.org/officeDocument/2006/relationships/hyperlink" Target="https://resources.simonelectric.com/simon-catalogo-vehiculo-electrico?utm_campaign=SIC%20-%20Veh%C3%ADculo%20El%C3%A9ctrico&amp;utm_medium=email&amp;_hsenc=p2ANqtz--J3j9w9fXSGwie49VceyR3zgs1StlFYdxTsZYtW7Ksl85XMeQlgK9jEw2H8sw7QaA3mrlk&amp;_hsmi=87085363&amp;utm_content=87085363&amp;utm_source=hs_email&amp;hsCtaTracking=6fedf137-fd90-4f17-bfb4-d61f710ec7f8%7Cf2771843-6636-4969-9010-2d8d0389b89c" TargetMode="External"/><Relationship Id="rId2396" Type="http://schemas.openxmlformats.org/officeDocument/2006/relationships/hyperlink" Target="https://resources.simonelectric.com/simon-material-formativo-vehiculo-electrico" TargetMode="External"/><Relationship Id="rId235" Type="http://schemas.openxmlformats.org/officeDocument/2006/relationships/hyperlink" Target="https://resources.simonelectric.com/simon-material-formativo-vehiculo-electrico?utm_campaign=SIC%20-%20Veh%C3%ADculo%20El%C3%A9ctrico&amp;utm_medium=email&amp;_hsenc=p2ANqtz--z2aa5rZ1LvL5UYv9907wC8kPdWVpOp7T4Z1_vgMcT51kUcqisvai7vhhC7yjc6prvLG1KMcZdqRtbtiVTwOKSyM2cVM2-r-n07sBAt1leIX2GFJ8&amp;_hsmi=89784488&amp;utm_content=89784488&amp;utm_source=hs_email&amp;hsCtaTracking=f8a31ce8-daf1-4d69-a5d6-c3349f3aab91%7C75f9b9fd-a2b2-4ad4-9d4a-0dcb7c99194f" TargetMode="External"/><Relationship Id="rId1066" Type="http://schemas.openxmlformats.org/officeDocument/2006/relationships/hyperlink" Target="https://resources.simonelectric.com/simon-material-formativo-vehiculo-electrico?utm_campaign=SIC%20-%20Eventos&amp;utm_medium=email&amp;_hsenc=p2ANqtz-8b8rkxR3w5f6i8eHI3b7AjsV6az_k1_I7perK2sKhDTG-tIsa5Rf3FhRRAjsF4d7fkRsFnLDTpxTQ5PdGo-BUPqkwrig&amp;_hsmi=77897160&amp;utm_source=hs_email&amp;utm_content=77897160&amp;hsCtaTracking=f8a31ce8-daf1-4d69-a5d6-c3349f3aab91%7C75f9b9fd-a2b2-4ad4-9d4a-0dcb7c99194f" TargetMode="External"/><Relationship Id="rId2397" Type="http://schemas.openxmlformats.org/officeDocument/2006/relationships/hyperlink" Target="https://resources.simonelectric.com/simon-material-formativo-vehiculo-electrico" TargetMode="External"/><Relationship Id="rId234" Type="http://schemas.openxmlformats.org/officeDocument/2006/relationships/hyperlink" Target="https://resources.simonelectric.com/simon-material-formativo-vehiculo-electrico?utm_campaign=SIC%20-%20Veh%C3%ADculo%20El%C3%A9ctrico&amp;utm_medium=email&amp;_hsenc=p2ANqtz-80k0p3LSKiBeBHe25rjpoGUA4Zfir43gbhWAAFbfjUhxSpHtfBgqRO2Li6FKe0MoRb2sBkJZl3TsINoN5IpDM4zmfyvA&amp;_hsmi=89784488&amp;utm_content=89784488&amp;utm_source=hs_email&amp;hsCtaTracking=f8a31ce8-daf1-4d69-a5d6-c3349f3aab91%7C75f9b9fd-a2b2-4ad4-9d4a-0dcb7c99194f" TargetMode="External"/><Relationship Id="rId1067" Type="http://schemas.openxmlformats.org/officeDocument/2006/relationships/hyperlink" Target="https://resources.simonelectric.com/simon-ebook-vehiculo-electrico?utm_campaign=SIC%20-%20Veh%C3%ADculo%20El%C3%A9ctrico&amp;utm_medium=email&amp;_hsenc=p2ANqtz--Nqd-N1P4sspylWpIk9Tk7bwcr395gS8I3mY7w9KcqnLV1Ci002nHspq09Ygkt_tl6Tt102hqRlmtLM_BwOKzV3QSbKWmzC8kto-8HzXDVh3onaos&amp;_hsmi=71033675&amp;utm_source=hs_automation&amp;utm_content=71033675&amp;hsCtaTracking=2e94ebfc-d414-4389-870c-d2f266a9420b%7C587ac4dc-a49a-4bdc-b449-e36f5d95395b" TargetMode="External"/><Relationship Id="rId2398" Type="http://schemas.openxmlformats.org/officeDocument/2006/relationships/hyperlink" Target="https://resources.simonelectric.com/simon-material-formativo-vehiculo-electrico" TargetMode="External"/><Relationship Id="rId233" Type="http://schemas.openxmlformats.org/officeDocument/2006/relationships/hyperlink" Target="https://resources.simonelectric.com/simon-material-formativo-vehiculo-electrico?utm_campaign=SIC%20-%20Veh%C3%ADculo%20El%C3%A9ctrico&amp;utm_medium=email&amp;_hsenc=p2ANqtz-9R5SUm3jWhbcaq2PJ6dT64mMeS-79L2ElFn7EOOXWIGdS5qeImpjol8ppBBgOSWQG67Dh2Qm19kh6sAoqoFGsIjAU-Vw&amp;_hsmi=89784488&amp;utm_content=89784488&amp;utm_source=hs_email&amp;hsCtaTracking=f8a31ce8-daf1-4d69-a5d6-c3349f3aab91%7C75f9b9fd-a2b2-4ad4-9d4a-0dcb7c99194f" TargetMode="External"/><Relationship Id="rId106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399" Type="http://schemas.openxmlformats.org/officeDocument/2006/relationships/hyperlink" Target="https://resources.simonelectric.com/simon-material-formativo-vehiculo-electrico" TargetMode="External"/><Relationship Id="rId232" Type="http://schemas.openxmlformats.org/officeDocument/2006/relationships/hyperlink" Target="https://resources.simonelectric.com/simon-material-formativo-vehiculo-electrico?utm_campaign=SIC%20-%20Veh%C3%ADculo%20El%C3%A9ctrico&amp;utm_medium=email&amp;_hsenc=p2ANqtz-9IxYDJUKVr8nBW3GBO82aThQ1CKfWdhGOxXUw5GpMIom8-G4yrmdNfURkx3VH3yZQ2SeB8KVua642kNkZNmwPb1emkGGjwtLsxJA8Pb-uh5LSA3lA&amp;_hsmi=89784488&amp;utm_content=89784488&amp;utm_source=hs_email&amp;hsCtaTracking=f8a31ce8-daf1-4d69-a5d6-c3349f3aab91%7C75f9b9fd-a2b2-4ad4-9d4a-0dcb7c99194f" TargetMode="External"/><Relationship Id="rId1069" Type="http://schemas.openxmlformats.org/officeDocument/2006/relationships/hyperlink" Target="https://resources.simonelectric.com/simon-catalogo-vehiculo-electrico?__hstc=83084745.f5e60b21f22c0561b602402d00af8aa3.1589472572870.1589472572870.1589472572870.1&amp;__hssc=83084745.5.1589472572871&amp;__hsfp=3865976320" TargetMode="External"/><Relationship Id="rId1015" Type="http://schemas.openxmlformats.org/officeDocument/2006/relationships/hyperlink" Target="https://resources.simonelectric.com/simon-catalogo-vehiculo-electrico?utm_campaign=SIC%20-%20Veh%C3%ADculo%20El%C3%A9ctrico&amp;utm_medium=email&amp;_hsenc=p2ANqtz--dSd1LRaT4kCIu9GR_cOEKAgSLeUcN3P-oqvqmQyaAlN6QMY-hYF97l26hcas3__ihldx6BJB42R3VwQ5Gz-Go6Ohv4g&amp;_hsmi=87865495&amp;utm_source=hs_automation&amp;utm_content=87865495&amp;hsCtaTracking=6fedf137-fd90-4f17-bfb4-d61f710ec7f8%7Cf2771843-6636-4969-9010-2d8d0389b89c" TargetMode="External"/><Relationship Id="rId2346" Type="http://schemas.openxmlformats.org/officeDocument/2006/relationships/hyperlink" Target="https://resources.simonelectric.com/simon-ebook-vehiculo-electrico-ppc?utm_source=facebook&amp;utm_medium=social_ads&amp;utm_campaign=vehiculo_electrico&amp;fbclid=IwAR0fPl6bq-KB357bRTVw0AW6O8IPC5qMK3xOOgHUDRVVTjRypy9dt9EvU14" TargetMode="External"/><Relationship Id="rId3678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1016" Type="http://schemas.openxmlformats.org/officeDocument/2006/relationships/hyperlink" Target="https://resources.simonelectric.com/simon-catalogo-vehiculo-electrico?__hstc=83084745.6a974b34fd112aa6a18282b2e186a09f.1586689218281.1586689218281.1589799782622.2&amp;__hssc=83084745.1.1589799782622&amp;__hsfp=2738147310" TargetMode="External"/><Relationship Id="rId2347" Type="http://schemas.openxmlformats.org/officeDocument/2006/relationships/hyperlink" Target="https://resources.simonelectric.com/simon-material-formativo-vehiculo-electrico" TargetMode="External"/><Relationship Id="rId3677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1017" Type="http://schemas.openxmlformats.org/officeDocument/2006/relationships/hyperlink" Target="https://resources.simonelectric.com/simon-catalogo-vehiculo-electrico?utm_campaign=SIC%20-%20Veh%C3%ADculo%20El%C3%A9ctrico&amp;utm_medium=email&amp;_hsenc=p2ANqtz-_hX2dWSCOdHv8qUewtXYgR6kKEocLjjVBnKNihPHVnn29lJQlaMubTSTMzo7ASexIffNtqj3NxnhdtAM6kXxTPgd3L0w&amp;_hsmi=87865495&amp;utm_source=hs_automation&amp;utm_content=87865495&amp;hsCtaTracking=6fedf137-fd90-4f17-bfb4-d61f710ec7f8%7Cf2771843-6636-4969-9010-2d8d0389b89c" TargetMode="External"/><Relationship Id="rId2348" Type="http://schemas.openxmlformats.org/officeDocument/2006/relationships/hyperlink" Target="https://resources.simonelectric.com/simon-catalogo-vehiculo-electrico?__hstc=83084745.4c4555463f988c95767bfb6b52a9004f.1587653018046.1587659420270.1587672855130.4&amp;__hssc=83084745.9.1587672855130&amp;__hsfp=3685676717" TargetMode="External"/><Relationship Id="rId1018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8B8oL5d4nNbMuaWy_mVxZZFeio5jlqBLKjnRgAkDJ4IqC9vip3CcZ4XH1odFM6CBi60cWTvnxSBsdQp4GpcN-vcs5LGQ&amp;_hsmi=87865495" TargetMode="External"/><Relationship Id="rId2349" Type="http://schemas.openxmlformats.org/officeDocument/2006/relationships/hyperlink" Target="https://resources.simonelectric.com/simon-material-formativo-vehiculo-electrico" TargetMode="External"/><Relationship Id="rId3679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1019" Type="http://schemas.openxmlformats.org/officeDocument/2006/relationships/hyperlink" Target="https://resources.simonelectric.com/simon-catalogo-vehiculo-electrico?utm_campaign=SIC%20-%20Veh%C3%ADculo%20El%C3%A9ctrico&amp;utm_medium=email&amp;_hsenc=p2ANqtz-9-GXRCVcKLl50oQuAazuJ5h-UvHDzUgvK_F2D5qnHthOXn_NZ9P3iWrXszmV-bKOP-cnV1&amp;_hsmi=87085363&amp;utm_content=87085363&amp;utm_source=hs_email&amp;hsCtaTracking=6fedf137-fd90-4f17-bfb4-d61f710ec7f8%7Cf2771843-6636-4969-9010-2d8d0389b89c" TargetMode="External"/><Relationship Id="rId3670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2340" Type="http://schemas.openxmlformats.org/officeDocument/2006/relationships/hyperlink" Target="https://resources.simonelectric.com/simon-material-formativo-vehiculo-electrico" TargetMode="External"/><Relationship Id="rId3672" Type="http://schemas.openxmlformats.org/officeDocument/2006/relationships/hyperlink" Target="https://resources.simonelectric.com/simon-catalogo-vehiculo-electrico?__hstc=83084745.8df1688fe81c45af34c7ab19f0550f4e.1581839108405.1581839108405.1581839108405.1&amp;__hssc=83084745.1.1581839108407&amp;__hsfp=2212516658" TargetMode="External"/><Relationship Id="rId1010" Type="http://schemas.openxmlformats.org/officeDocument/2006/relationships/hyperlink" Target="https://resources.simonelectric.com/simon-catalogo-vehiculo-electrico?utm_campaign=SIC%20-%20Veh%C3%ADculo%20El%C3%A9ctrico&amp;utm_medium=email&amp;_hsenc=p2ANqtz-811ZAKvi-5GXJBHmB7ll6zC6dTYimCMUYhmnys8YzKuHqTvVDpkx_iEdn5TH-gefuLWJ66&amp;_hsmi=87085302&amp;utm_content=87085302&amp;utm_source=hs_email&amp;hsCtaTracking=6fedf137-fd90-4f17-bfb4-d61f710ec7f8%7Cf2771843-6636-4969-9010-2d8d0389b89c" TargetMode="External"/><Relationship Id="rId2341" Type="http://schemas.openxmlformats.org/officeDocument/2006/relationships/hyperlink" Target="https://resources.simonelectric.com/simon-material-formativo-vehiculo-electrico" TargetMode="External"/><Relationship Id="rId3671" Type="http://schemas.openxmlformats.org/officeDocument/2006/relationships/hyperlink" Target="https://resources.simonelectric.com/simon-ebook-vehiculo-electrico" TargetMode="External"/><Relationship Id="rId1011" Type="http://schemas.openxmlformats.org/officeDocument/2006/relationships/hyperlink" Target="https://resources.simonelectric.com/simon-catalogo-vehiculo-electrico?utm_campaign=SIC%20-%20Veh%C3%ADculo%20El%C3%A9ctrico&amp;utm_medium=email&amp;_hsenc=p2ANqtz-9fRIUON7iZ8BMFuzPHnIIuQWwsYdZJjC9xsgj8I_eb3wBcBckwUYUn_x4E69gmZBFg9AMrZzEI0cZQXjfH2h7oT8dM_w&amp;_hsmi=87865495&amp;utm_source=hs_automation&amp;utm_content=87865495&amp;hsCtaTracking=6fedf137-fd90-4f17-bfb4-d61f710ec7f8%7Cf2771843-6636-4969-9010-2d8d0389b89c" TargetMode="External"/><Relationship Id="rId2342" Type="http://schemas.openxmlformats.org/officeDocument/2006/relationships/hyperlink" Target="https://resources.simonelectric.com/simon-material-formativo-vehiculo-electrico" TargetMode="External"/><Relationship Id="rId3674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1012" Type="http://schemas.openxmlformats.org/officeDocument/2006/relationships/hyperlink" Target="https://resources.simonelectric.com/simon-catalogo-vehiculo-electrico?utm_campaign=SIC%20-%20Veh%C3%ADculo%20El%C3%A9ctrico&amp;utm_medium=email&amp;_hsenc=p2ANqtz--s4nU2-EAzbHPCSbE3A0V5qPq_AnPaqLSslU7mSq7qGaNFwFMe6VsRK9Z_dvWnGSLAAoPvfw4e0KmYEuq5HDetFpvR5w&amp;_hsmi=87865495&amp;utm_source=hs_automation&amp;utm_content=87865495&amp;hsCtaTracking=6fedf137-fd90-4f17-bfb4-d61f710ec7f8%7Cf2771843-6636-4969-9010-2d8d0389b89c" TargetMode="External"/><Relationship Id="rId2343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-_X3Immyw7w8JFlPLe6zdkthMSzttO8Yvu3Oi5jpKo6scjxBZpcHQt3wJE-7Acz0XTCdZGWA0f7xrPoybLMrU9xxg7Gg&amp;_hsmi=71033675" TargetMode="External"/><Relationship Id="rId3673" Type="http://schemas.openxmlformats.org/officeDocument/2006/relationships/hyperlink" Target="https://resources.simonelectric.com/simon-catalogo-vehiculo-electrico?__hstc=83084745.8df1688fe81c45af34c7ab19f0550f4e.1581839108405.1581839108405.1581839108405.1&amp;__hssc=83084745.1.1581839108407&amp;__hsfp=2212516658" TargetMode="External"/><Relationship Id="rId1013" Type="http://schemas.openxmlformats.org/officeDocument/2006/relationships/hyperlink" Target="https://resources.simonelectric.com/simon-catalogo-vehiculo-electrico" TargetMode="External"/><Relationship Id="rId2344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-bAzEU4SqahDqEEvzHcy0TrTCwbVCxWZ5ksg0lMVRsSdYZ4HGSaJfYMc0bKm_uoI3StCyXOy-Ucx-PB9dTUX-qauuAPg&amp;_hsmi=71033675" TargetMode="External"/><Relationship Id="rId3676" Type="http://schemas.openxmlformats.org/officeDocument/2006/relationships/hyperlink" Target="https://resources.simonelectric.com/simon-ebook-vehiculo-electrico" TargetMode="External"/><Relationship Id="rId1014" Type="http://schemas.openxmlformats.org/officeDocument/2006/relationships/hyperlink" Target="https://resources.simonelectric.com/simon-ebook-vehiculo-electrico" TargetMode="External"/><Relationship Id="rId234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675" Type="http://schemas.openxmlformats.org/officeDocument/2006/relationships/hyperlink" Target="https://resources.simonelectric.com/simon-catalogo-vehiculo-electrico?__hstc=83084745.45f3031983d8d31044450c3f9de244f1.1581770756493.1581770756493.1581770756493.1&amp;__hssc=83084745.7.1581770756494&amp;__hsfp=1717524264" TargetMode="External"/><Relationship Id="rId1004" Type="http://schemas.openxmlformats.org/officeDocument/2006/relationships/hyperlink" Target="https://resources.simonelectric.com/simon-catalogo-vehiculo-electrico?utm_campaign=SIC%20-%20Veh%C3%ADculo%20El%C3%A9ctrico&amp;utm_medium=email&amp;_hsenc=p2ANqtz-_3ybqvsiHZ4q_xszqZY5aBxm1fIgxAT_pZjy86dIneqgA7Tr9zr2tSI1e6HVNk45fA1A_KNzohDSY2giBa90U2fawlGA&amp;_hsmi=87865495&amp;utm_source=hs_automation&amp;utm_content=87865495&amp;hsCtaTracking=6fedf137-fd90-4f17-bfb4-d61f710ec7f8%7Cf2771843-6636-4969-9010-2d8d0389b89c" TargetMode="External"/><Relationship Id="rId2335" Type="http://schemas.openxmlformats.org/officeDocument/2006/relationships/hyperlink" Target="https://resources.simonelectric.com/simon-material-formativo-vehiculo-electrico" TargetMode="External"/><Relationship Id="rId3667" Type="http://schemas.openxmlformats.org/officeDocument/2006/relationships/hyperlink" Target="https://resources.simonelectric.com/simon-ebook-vehiculo-electrico" TargetMode="External"/><Relationship Id="rId1005" Type="http://schemas.openxmlformats.org/officeDocument/2006/relationships/hyperlink" Target="https://resources.simonelectric.com/simon-catalogo-vehiculo-electrico?utm_campaign=SIC%20-%20Veh%C3%ADculo%20El%C3%A9ctrico&amp;utm_medium=email&amp;_hsenc=p2ANqtz-9gXD2jckCIy8yknymw4rNn7-RxszTPGlcv4Vx7UaWN6ZgSZ4ySs14FR5tDhcpfchtLko6e8kjhXaj-moqHHmNHDxmvGA&amp;_hsmi=87865495&amp;utm_source=hs_automation&amp;utm_content=87865495&amp;hsCtaTracking=6fedf137-fd90-4f17-bfb4-d61f710ec7f8%7Cf2771843-6636-4969-9010-2d8d0389b89c" TargetMode="External"/><Relationship Id="rId2336" Type="http://schemas.openxmlformats.org/officeDocument/2006/relationships/hyperlink" Target="https://resources.simonelectric.com/simon-material-formativo-vehiculo-electrico" TargetMode="External"/><Relationship Id="rId3666" Type="http://schemas.openxmlformats.org/officeDocument/2006/relationships/hyperlink" Target="https://resources.simonelectric.com/simon-ebook-vehiculo-electrico?utm_campaign=SIC%20-%20Veh%C3%ADculo%20El%C3%A9ctrico&amp;utm_medium=email&amp;_hsenc=p2ANqtz--sj5kALN88ayZRrqaEFKIDldep7I9afL1BVjHZd6CS7y6HwbXGCqCcHNFyhGamyGi98eEhnqu9E2GWWY5JKCyW3E2yJQ&amp;_hsmi=71033675&amp;utm_source=hs_automation&amp;utm_content=71033675&amp;hsCtaTracking=2e94ebfc-d414-4389-870c-d2f266a9420b%7C587ac4dc-a49a-4bdc-b449-e36f5d95395b" TargetMode="External"/><Relationship Id="rId100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337" Type="http://schemas.openxmlformats.org/officeDocument/2006/relationships/hyperlink" Target="https://resources.simonelectric.com/simon-material-formativo-vehiculo-electrico" TargetMode="External"/><Relationship Id="rId366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007" Type="http://schemas.openxmlformats.org/officeDocument/2006/relationships/hyperlink" Target="https://resources.simonelectric.com/simon-catalogo-vehiculo-electrico?utm_campaign=SIC%20-%20Veh%C3%ADculo%20El%C3%A9ctrico&amp;utm_medium=email&amp;_hsenc=p2ANqtz-9KFnjt440RFSIL5vsOCnw61z7wxuXB2lKK-DezM7sYi4VRdA8e6yuQa7uRBO0mSb_QhCFXHpjoH4ojWJQFvAkSFcVQlw&amp;_hsmi=87865495&amp;utm_source=hs_automation&amp;utm_content=87865495&amp;hsCtaTracking=6fedf137-fd90-4f17-bfb4-d61f710ec7f8%7Cf2771843-6636-4969-9010-2d8d0389b89c" TargetMode="External"/><Relationship Id="rId2338" Type="http://schemas.openxmlformats.org/officeDocument/2006/relationships/hyperlink" Target="https://resources.simonelectric.com/simon-material-formativo-vehiculo-electrico" TargetMode="External"/><Relationship Id="rId3668" Type="http://schemas.openxmlformats.org/officeDocument/2006/relationships/hyperlink" Target="https://resources.simonelectric.com/simon-catalogo-vehiculo-electrico?__hstc=83084745.56419e51c8206d2decd4f986d427c9ee.1581857873706.1581857873706.1581857873706.1&amp;__hssc=83084745.10.1581857873706&amp;__hsfp=1738955151" TargetMode="External"/><Relationship Id="rId100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339" Type="http://schemas.openxmlformats.org/officeDocument/2006/relationships/hyperlink" Target="https://resources.simonelectric.com/simon-material-formativo-vehiculo-electrico" TargetMode="External"/><Relationship Id="rId1009" Type="http://schemas.openxmlformats.org/officeDocument/2006/relationships/hyperlink" Target="https://resources.simonelectric.com/simon-ebook-vehiculo-electrico?utm_referrer=https%3A%2F%2Fwww.simonelectric.com%2Fblog%2Fitc-bt-52-soluciones-de-rearme-automatico-de-infraestructura-de-recarga" TargetMode="External"/><Relationship Id="rId3661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2330" Type="http://schemas.openxmlformats.org/officeDocument/2006/relationships/hyperlink" Target="https://resources.simonelectric.com/simon-material-formativo-vehiculo-electrico" TargetMode="External"/><Relationship Id="rId366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000" Type="http://schemas.openxmlformats.org/officeDocument/2006/relationships/hyperlink" Target="https://resources.simonelectric.com/simon-catalogo-vehiculo-electrico?__hstc=83084745.034023d38de42d21affc4b58204da2e1.1589836238795.1589836238795.1589836238795.1&amp;__hssc=83084745.8.1589836238797&amp;__hsfp=2979902593" TargetMode="External"/><Relationship Id="rId233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663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1001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233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662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1002" Type="http://schemas.openxmlformats.org/officeDocument/2006/relationships/hyperlink" Target="https://resources.simonelectric.com/simon-ebook-vehiculo-electrico" TargetMode="External"/><Relationship Id="rId2333" Type="http://schemas.openxmlformats.org/officeDocument/2006/relationships/hyperlink" Target="https://resources.simonelectric.com/simon-material-formativo-vehiculo-electrico" TargetMode="External"/><Relationship Id="rId3665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9Q7Vu0arJqvuASqy4ncNzoOvyBUoLwaNAmgoP8uRE9aKZmG9dBrbGT71l08J0PZ8riuc-nAjDV_56SXKWgJKD5cMQ7hg&amp;_hsmi=71034014" TargetMode="External"/><Relationship Id="rId100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334" Type="http://schemas.openxmlformats.org/officeDocument/2006/relationships/hyperlink" Target="https://resources.simonelectric.com/simon-material-formativo-vehiculo-electrico" TargetMode="External"/><Relationship Id="rId3664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1037" Type="http://schemas.openxmlformats.org/officeDocument/2006/relationships/hyperlink" Target="https://resources.simonelectric.com/simon-catalogo-vehiculo-electrico?utm_campaign=SIC%20-%20Veh%C3%ADculo%20El%C3%A9ctrico&amp;utm_medium=email&amp;_hsenc=p2ANqtz-_xFKMmubh0WANPSB2OGi270BWjzWpPzqNPP9HYylEFwA0O9eh72RzyTSGYg0eMZh_H1YYZV_xtPNKSEPZuTNdkcih8_08dW4y1nQ32kN_987q9GjI&amp;_hsmi=87865495&amp;utm_source=hs_automation&amp;utm_content=87865495&amp;hsCtaTracking=6fedf137-fd90-4f17-bfb4-d61f710ec7f8%7Cf2771843-6636-4969-9010-2d8d0389b89c" TargetMode="External"/><Relationship Id="rId2368" Type="http://schemas.openxmlformats.org/officeDocument/2006/relationships/hyperlink" Target="https://resources.simonelectric.com/simon-ebook-vehiculo-electrico" TargetMode="External"/><Relationship Id="rId103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369" Type="http://schemas.openxmlformats.org/officeDocument/2006/relationships/hyperlink" Target="https://resources.simonelectric.com/simon-material-formativo-vehiculo-electrico" TargetMode="External"/><Relationship Id="rId369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03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06" Type="http://schemas.openxmlformats.org/officeDocument/2006/relationships/hyperlink" Target="https://resources.simonelectric.com/simon-material-formativo-vehiculo-electrico?utm_campaign=SIC%20-%20Veh%C3%ADculo%20El%C3%A9ctrico&amp;utm_medium=email&amp;_hsenc=p2ANqtz-_25OswONZpYfJhzLCpb-oXdnz02IRVfHh6FD-r4PZ0-iLbUGiGwc5EFO-NzvG1CFQ0LxpGFVZAtG2xGhY8obeu8PNjSg&amp;_hsmi=89784488&amp;utm_content=89784488&amp;utm_source=hs_email&amp;hsCtaTracking=f8a31ce8-daf1-4d69-a5d6-c3349f3aab91%7C75f9b9fd-a2b2-4ad4-9d4a-0dcb7c99194f" TargetMode="External"/><Relationship Id="rId205" Type="http://schemas.openxmlformats.org/officeDocument/2006/relationships/hyperlink" Target="https://resources.simonelectric.com/simon-catalogo-vehiculo-electrico?utm_campaign=SIC%20-%20Veh%C3%ADculo%20El%C3%A9ctrico&amp;utm_medium=email&amp;_hsmi=71034014&amp;_hsenc=p2ANqtz--blk9fa4id1zqM1HolTz0prsYr8ykG65DQIwH8JBGmBGi7WFpW4hR97yrvZ7Y4R13wk6A6-kzsvXqsYSSz7A2CTs-NTA&amp;utm_content=71034014&amp;utm_source=hs_automation" TargetMode="External"/><Relationship Id="rId204" Type="http://schemas.openxmlformats.org/officeDocument/2006/relationships/hyperlink" Target="https://resources.simonelectric.com/simon-catalogo-vehiculo-electrico?utm_campaign=SIC%20-%20Veh%C3%ADculo%20El%C3%A9ctrico&amp;utm_medium=email&amp;_hsmi=71034014&amp;_hsenc=p2ANqtz--5XRcERhBlsRPFfllzFBvlE9BHLNMSCam01UsOcNbx4wIi3iNGMgLxzwu2gWfzmuHStbrkEU11DIcecky64oab4NRUQg&amp;utm_content=71034014&amp;utm_source=hs_automation" TargetMode="External"/><Relationship Id="rId203" Type="http://schemas.openxmlformats.org/officeDocument/2006/relationships/hyperlink" Target="https://resources.simonelectric.com/simon-catalogo-vehiculo-electrico?utm_campaign=SIC%20-%20Veh%C3%ADculo%20El%C3%A9ctrico&amp;utm_medium=email&amp;_hsmi=71034014&amp;_hsenc=p2ANqtz--ZNeJMC1ugZ5dSuH8Uc5ttD2wnwz6hgFNfCuoQqR-4luv1jUmokFWu6iuYCNOZns2nCdgMSVU7SBwa_nD_veIbl4xnpg&amp;utm_content=71034014&amp;utm_source=hs_automation" TargetMode="External"/><Relationship Id="rId209" Type="http://schemas.openxmlformats.org/officeDocument/2006/relationships/hyperlink" Target="https://resources.simonelectric.com/simon-catalogo-vehiculo-electrico?utm_campaign=SIC%20-%20Veh%C3%ADculo%20El%C3%A9ctrico&amp;utm_medium=email&amp;_hsmi=71034014&amp;_hsenc=p2ANqtz-9yqgNwibWW9YWAJ30XiRIWLLu8MIehanDsMFnvfUB_z8F62SqJFx_uea_Th4mrt0wXLhHT9V0iC6gBzUhvAETGzAEfbg&amp;utm_content=71034014&amp;utm_source=hs_automation" TargetMode="External"/><Relationship Id="rId208" Type="http://schemas.openxmlformats.org/officeDocument/2006/relationships/hyperlink" Target="https://resources.simonelectric.com/simon-catalogo-vehiculo-electrico?utm_campaign=SIC%20-%20Veh%C3%ADculo%20El%C3%A9ctrico&amp;utm_medium=email&amp;_hsmi=71034014&amp;_hsenc=p2ANqtz-_-vZxjD2nEpBO0K3ga-3dRoSrxypksQ3cmtlr9t8j3BiN8PSO2THUFj7NGwGIjjNIv5zuLnh-lUwwM6sSaL5DyY2fOCQ&amp;utm_content=71034014&amp;utm_source=hs_automation" TargetMode="External"/><Relationship Id="rId3690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07" Type="http://schemas.openxmlformats.org/officeDocument/2006/relationships/hyperlink" Target="https://resources.simonelectric.com/simon-catalogo-vehiculo-electrico?utm_campaign=SIC%20-%20Veh%C3%ADculo%20El%C3%A9ctrico&amp;utm_medium=email&amp;_hsmi=71034014&amp;_hsenc=p2ANqtz---dr8gnJtd8uHD6357AUeSTt6tnjJy0FehAv9Lot9vK0ldla_GlJxIpsKhS9yruYEt67Aq6Lvb8ZfYql8Wdt2d1jsN1FYBivD1_f8OmMJeX84Onj8&amp;utm_content=71034014&amp;utm_source=hs_automation" TargetMode="External"/><Relationship Id="rId2360" Type="http://schemas.openxmlformats.org/officeDocument/2006/relationships/hyperlink" Target="https://resources.simonelectric.com/simon-material-formativo-vehiculo-electrico" TargetMode="External"/><Relationship Id="rId369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030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_hmJ5DHptiutHk0kgeKfnFeaZ-i_AIXbBRh3qWyaskrqWpBgFTYEtWQq06PEvJyQsSPA1qPZ_xOtmckwycPN3nmAe8mo_P3ihs6_lF5RGAaobYiS0&amp;_hsmi=71034014" TargetMode="External"/><Relationship Id="rId2361" Type="http://schemas.openxmlformats.org/officeDocument/2006/relationships/hyperlink" Target="https://resources.simonelectric.com/simon-material-formativo-vehiculo-electrico" TargetMode="External"/><Relationship Id="rId369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03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362" Type="http://schemas.openxmlformats.org/officeDocument/2006/relationships/hyperlink" Target="https://resources.simonelectric.com/simon-material-formativo-vehiculo-electrico" TargetMode="External"/><Relationship Id="rId3694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1032" Type="http://schemas.openxmlformats.org/officeDocument/2006/relationships/hyperlink" Target="https://resources.simonelectric.com/simon-ebook-vehiculo-electrico?utm_campaign=SIC%20-%20Veh%C3%ADculo%20El%C3%A9ctrico&amp;utm_medium=email&amp;_hsenc=p2ANqtz--0cEr3ty0rP5PZGp-9KNsSYj66knphj2GAJiMYn3JAQszaw3eVYOF1_wV1KO84fKxUp1bnqOHitXg9z730ha5QSomgIZetVcp_Pr4fxarqL_m1AKQ&amp;_hsmi=71033675&amp;utm_source=hs_automation&amp;utm_content=71033675&amp;hsCtaTracking=2e94ebfc-d414-4389-870c-d2f266a9420b%7C587ac4dc-a49a-4bdc-b449-e36f5d95395b" TargetMode="External"/><Relationship Id="rId2363" Type="http://schemas.openxmlformats.org/officeDocument/2006/relationships/hyperlink" Target="https://resources.simonelectric.com/simon-material-formativo-vehiculo-electrico" TargetMode="External"/><Relationship Id="rId3693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202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-i3kIzIbSxkOYJZD7QS23jZRMDS4XtNNUnI_Jc9oJrcQQdeRVw5FjvmX0lwEeaQDnL_scPGDWYVsyomJe1Or73gwgzYMubTXHSsxDSl-AhKABqWto&amp;utm_content=89784488&amp;utm_source=hs_email" TargetMode="External"/><Relationship Id="rId1033" Type="http://schemas.openxmlformats.org/officeDocument/2006/relationships/hyperlink" Target="https://resources.simonelectric.com/simon-ebook-vehiculo-electrico?utm_campaign=SIC%20-%20Veh%C3%ADculo%20El%C3%A9ctrico&amp;utm_medium=email&amp;_hsenc=p2ANqtz-8v2EagGmOT5P1u3sJdFVCkGM8A_n1XUWP35lcl4KciciiAQRNXGFVX5HvzNTXfoCXr6bIfKYdpkAhiIJtefDlVj2NXVZOGDJe0E2vBcg9F6juLx1U&amp;_hsmi=71033675&amp;utm_source=hs_automation&amp;utm_content=71033675&amp;hsCtaTracking=2e94ebfc-d414-4389-870c-d2f266a9420b%7C587ac4dc-a49a-4bdc-b449-e36f5d95395b" TargetMode="External"/><Relationship Id="rId2364" Type="http://schemas.openxmlformats.org/officeDocument/2006/relationships/hyperlink" Target="https://resources.simonelectric.com/simon-material-formativo-vehiculo-electrico" TargetMode="External"/><Relationship Id="rId369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01" Type="http://schemas.openxmlformats.org/officeDocument/2006/relationships/hyperlink" Target="https://resources.simonelectric.com/simon-material-formativo-vehiculo-electrico?utm_campaign=SIC%20-%20Veh%C3%ADculo%20El%C3%A9ctrico&amp;utm_medium=email&amp;_hsenc=p2ANqtz-9Rbv7FNynkl6yRPJU2ygcsa8ctwjowG3Z_jm0LooRNxCsgThp0hm8He7jWvs-DWKbip9_cmDXqoLK_chSsToImSMoEn8GWHNymNhu6O9MhKpqwoyY&amp;_hsmi=89784488&amp;utm_content=89784488&amp;utm_source=hs_email&amp;hsCtaTracking=f8a31ce8-daf1-4d69-a5d6-c3349f3aab91%7C75f9b9fd-a2b2-4ad4-9d4a-0dcb7c99194f" TargetMode="External"/><Relationship Id="rId1034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365" Type="http://schemas.openxmlformats.org/officeDocument/2006/relationships/hyperlink" Target="https://resources.simonelectric.com/simon-material-formativo-vehiculo-electrico" TargetMode="External"/><Relationship Id="rId3695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200" Type="http://schemas.openxmlformats.org/officeDocument/2006/relationships/hyperlink" Target="https://resources.simonelectric.com/simon-material-formativo-vehiculo-electrico?utm_campaign=SIC%20-%20Veh%C3%ADculo%20El%C3%A9ctrico&amp;utm_medium=email&amp;_hsenc=p2ANqtz-84ELoUVOddi5FtJPXabnZCKuwbgHFLi5eUIVNoXOWHB5b7R8M0O8_THQuEtwyuSaFwCezv6pySOJPBBvnjDrXqlbHCTw&amp;_hsmi=89784488&amp;utm_content=89784488&amp;utm_source=hs_email&amp;hsCtaTracking=f8a31ce8-daf1-4d69-a5d6-c3349f3aab91%7C75f9b9fd-a2b2-4ad4-9d4a-0dcb7c99194f" TargetMode="External"/><Relationship Id="rId1035" Type="http://schemas.openxmlformats.org/officeDocument/2006/relationships/hyperlink" Target="https://resources.simonelectric.com/simon-catalogo-vehiculo-electrico?__hstc=83084745.fb3653eee6e658aee82269e69e62c35e.1589749591027.1589749591027.1589749591027.1&amp;__hssc=83084745.6.1589749591027&amp;__hsfp=1329296311" TargetMode="External"/><Relationship Id="rId2366" Type="http://schemas.openxmlformats.org/officeDocument/2006/relationships/hyperlink" Target="https://resources.simonelectric.com/simon-ebook-vehiculo-electrico" TargetMode="External"/><Relationship Id="rId369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036" Type="http://schemas.openxmlformats.org/officeDocument/2006/relationships/hyperlink" Target="https://resources.simonelectric.com/simon-ebook-vehiculo-electrico-0?gclid=CjwKCAjwwYP2BRBGEiwAkoBpAmyY7rJyyfMr0gywuXlMw-edI_u96MPdzWvB2qXLZVb6lAmqwoTS6hoCnAEQAvD_BwE" TargetMode="External"/><Relationship Id="rId2367" Type="http://schemas.openxmlformats.org/officeDocument/2006/relationships/hyperlink" Target="https://resources.simonelectric.com/simon-material-formativo-vehiculo-electrico" TargetMode="External"/><Relationship Id="rId369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026" Type="http://schemas.openxmlformats.org/officeDocument/2006/relationships/hyperlink" Target="https://resources.simonelectric.com/simon-ebook-vehiculo-electrico" TargetMode="External"/><Relationship Id="rId2357" Type="http://schemas.openxmlformats.org/officeDocument/2006/relationships/hyperlink" Target="https://resources.simonelectric.com/simon-material-formativo-vehiculo-electrico" TargetMode="External"/><Relationship Id="rId368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027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8wk23WyWkM6n0gMLge51nutgXAgf37gZWw2hZ3FtDFdJJpLOK7-GEtc4GSFT86RPgj4zGEFlUCBGCEBK0ZZ8009Zb4AQ&amp;_hsmi=87865495" TargetMode="External"/><Relationship Id="rId2358" Type="http://schemas.openxmlformats.org/officeDocument/2006/relationships/hyperlink" Target="https://resources.simonelectric.com/simon-material-formativo-vehiculo-electrico" TargetMode="External"/><Relationship Id="rId3688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-olf7TJSfwCH3saoTv2LnK-8pyKdStqoDTnbdY2FfbJMuw0q0nn9rEjiAdG-H-3nPWy6oR5uuhFrTvt770eX_rJOCGvw&amp;_hsmi=71034014" TargetMode="External"/><Relationship Id="rId1028" Type="http://schemas.openxmlformats.org/officeDocument/2006/relationships/hyperlink" Target="https://resources.simonelectric.com/simon-ebook-vehiculo-electrico-ppc" TargetMode="External"/><Relationship Id="rId2359" Type="http://schemas.openxmlformats.org/officeDocument/2006/relationships/hyperlink" Target="https://resources.simonelectric.com/simon-material-formativo-vehiculo-electrico" TargetMode="External"/><Relationship Id="rId1029" Type="http://schemas.openxmlformats.org/officeDocument/2006/relationships/hyperlink" Target="https://resources.simonelectric.com/simon-material-formativo-vehiculo-electrico" TargetMode="External"/><Relationship Id="rId3681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_0rNoGVBdsadJ63xNvWhbRPdV2j6NkTEHG4Ku2KUpIJFPJXLeeWmO5hbPi3QurJo651hFtk3MvlKsbOLEYwBWorfhY0w&amp;_hsmi=71034014" TargetMode="External"/><Relationship Id="rId2350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" TargetMode="External"/><Relationship Id="rId3680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1020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92LKb_CUB6pZM-CVShMOfPwP58xwpHV-LD-rWBlBpxYZcswZYsFaz3nF4HTny5aYGqIHmVdPDbscZKLGuFH5GkorvjMg&amp;_hsmi=87865495" TargetMode="External"/><Relationship Id="rId2351" Type="http://schemas.openxmlformats.org/officeDocument/2006/relationships/hyperlink" Target="https://resources.simonelectric.com/simon-material-formativo-vehiculo-electrico" TargetMode="External"/><Relationship Id="rId3683" Type="http://schemas.openxmlformats.org/officeDocument/2006/relationships/hyperlink" Target="https://resources.simonelectric.com/simon-material-formativo-vehiculo-electrico" TargetMode="External"/><Relationship Id="rId1021" Type="http://schemas.openxmlformats.org/officeDocument/2006/relationships/hyperlink" Target="https://resources.simonelectric.com/simon-catalogo-vehiculo-electrico?utm_campaign=SIC%20-%20Veh%C3%ADculo%20El%C3%A9ctrico&amp;utm_medium=email&amp;_hsenc=p2ANqtz-9VvdIYMfTIGBo5rvab9I68CkR1WtcV2nNYZb6ewzLUzOFqWXSqOvJcaS3nuuGtMA27ok1FCkx94QvEev1f2y5ox4rCxw&amp;_hsmi=87865495&amp;utm_source=hs_automation&amp;utm_content=87865495&amp;hsCtaTracking=6fedf137-fd90-4f17-bfb4-d61f710ec7f8%7Cf2771843-6636-4969-9010-2d8d0389b89c" TargetMode="External"/><Relationship Id="rId2352" Type="http://schemas.openxmlformats.org/officeDocument/2006/relationships/hyperlink" Target="https://resources.simonelectric.com/simon-material-formativo-vehiculo-electrico" TargetMode="External"/><Relationship Id="rId3682" Type="http://schemas.openxmlformats.org/officeDocument/2006/relationships/hyperlink" Target="https://resources.simonelectric.com/simon-ebook-vehiculo-electrico" TargetMode="External"/><Relationship Id="rId1022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-cw15iyh9poOPwRXkFSgzASBdNFeY3bPJ-OIl5WQPXtoKKkRYwbuXME3HCCx96SNJhZk5iYL89gigsQv67u20MQtJlwIsXSci3EcQWPz8_Fua3T5M&amp;_hsmi=87865495" TargetMode="External"/><Relationship Id="rId2353" Type="http://schemas.openxmlformats.org/officeDocument/2006/relationships/hyperlink" Target="https://resources.simonelectric.com/simon-material-formativo-vehiculo-electrico" TargetMode="External"/><Relationship Id="rId3685" Type="http://schemas.openxmlformats.org/officeDocument/2006/relationships/hyperlink" Target="https://resources.simonelectric.com/simon-catalogo-vehiculo-electrico?__hstc=83084745.a478b7eff9b482ba9b748b53efb164d0.1555073189453.1571311364492.1581676008175.8&amp;__hssc=83084745.1.1581676008175&amp;__hsfp=4057972507" TargetMode="External"/><Relationship Id="rId1023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87OKXm2T0VUyrbrOTCqs68babwxp2X9kfpVCGes3Q_nIajb7BaAvg-w6ohSVQeHdkv_13PNQyTkW81e1-LnoM2-X-UXr5qv_Ye8usYIuAdrFh1uzQ&amp;_hsmi=87865495" TargetMode="External"/><Relationship Id="rId2354" Type="http://schemas.openxmlformats.org/officeDocument/2006/relationships/hyperlink" Target="https://resources.simonelectric.com/simon-material-formativo-vehiculo-electrico" TargetMode="External"/><Relationship Id="rId3684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1024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85LjeAkYAKnLkOZjAPY9PQASRIe-u6NO-eu2BOmbRHCHMZTagcmWcJE8x6Vuilp3k-EpMCW2dPSRMqQsqIUv1eDKzlYg&amp;_hsmi=87865495" TargetMode="External"/><Relationship Id="rId2355" Type="http://schemas.openxmlformats.org/officeDocument/2006/relationships/hyperlink" Target="https://resources.simonelectric.com/simon-material-formativo-vehiculo-electrico" TargetMode="External"/><Relationship Id="rId3687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9XdFFd89RCBwqZz0aHjAkaHJtP4IV2L7bmiFbPFqm3Z5soUSrMr6NXBSW5urew2vytL__-LCWUAGP7Vlgd2dccFQ1aMA&amp;_hsmi=71034014" TargetMode="External"/><Relationship Id="rId1025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_xrymqEAFkw7JM038wVlEkdzhQpes36n-f3WeZeoVk49tZ2oBt6bvhYvWhc8MoKdJ_Ra83bZh4HwVcXxU4xW1PtMGd_Q&amp;_hsmi=87865495" TargetMode="External"/><Relationship Id="rId2356" Type="http://schemas.openxmlformats.org/officeDocument/2006/relationships/hyperlink" Target="https://resources.simonelectric.com/simon-material-formativo-vehiculo-electrico" TargetMode="External"/><Relationship Id="rId3686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910" Type="http://schemas.openxmlformats.org/officeDocument/2006/relationships/hyperlink" Target="https://resources.simonelectric.com/simon-catalogo-vehiculo-electrico?utm_campaign=SIC%20-%20Veh%C3%ADculo%20El%C3%A9ctrico&amp;utm_medium=email&amp;_hsenc=p2ANqtz--XOp2hCYPu4fdDuFM8b2ykuAIWkOsloM2HTOgYjoqHyJUac6Ea5w-P8y7c4oSCfn1eTNPo&amp;_hsmi=87085302&amp;utm_content=87085302&amp;utm_source=hs_email&amp;hsCtaTracking=6fedf137-fd90-4f17-bfb4-d61f710ec7f8%7Cf2771843-6636-4969-9010-2d8d0389b89c" TargetMode="External"/><Relationship Id="rId1911" Type="http://schemas.openxmlformats.org/officeDocument/2006/relationships/hyperlink" Target="https://resources.simonelectric.com/simon-catalogo-vehiculo-electrico?utm_campaign=SIC%20-%20Veh%C3%ADculo%20El%C3%A9ctrico&amp;utm_medium=email&amp;_hsenc=p2ANqtz-868_9khPytUMMbo88lFJSHSjEsuo6cOjzDg3lR7hYqMQrV10NZRp9AuC4tpeqNIsHiOPrV&amp;_hsmi=87085363&amp;utm_content=87085363&amp;utm_source=hs_email&amp;hsCtaTracking=6fedf137-fd90-4f17-bfb4-d61f710ec7f8%7Cf2771843-6636-4969-9010-2d8d0389b89c" TargetMode="External"/><Relationship Id="rId1912" Type="http://schemas.openxmlformats.org/officeDocument/2006/relationships/hyperlink" Target="https://resources.simonelectric.com/simon-catalogo-vehiculo-electrico?utm_campaign=SIC%20-%20Veh%C3%ADculo%20El%C3%A9ctrico&amp;utm_medium=email&amp;_hsenc=p2ANqtz-9-UtCv4R4gwi7wym7TM1fy6wsfz2NdzzRcNkBCwQbXM4MSyo5kuI_AojkJHULKBZAM1ppMms_mD2-oj2-cHSi6vqdYaQ&amp;utm_source=hs_email&amp;utm_content=87085302&amp;hsCtaTracking=6fedf137-fd90-4f17-bfb4-d61f710ec7f8%7Cf2771843-6636-4969-9010-2d8d0389b89c" TargetMode="External"/><Relationship Id="rId1913" Type="http://schemas.openxmlformats.org/officeDocument/2006/relationships/hyperlink" Target="https://resources.simonelectric.com/simon-catalogo-vehiculo-electrico?utm_campaign=SIC%20-%20Veh%C3%ADculo%20El%C3%A9ctrico&amp;utm_medium=email&amp;_hsenc=p2ANqtz-8LslhLw0rzaXuVomqyLXRu98EQVUftBSa_cKrlLhpgGwavUlTprMOGhngjIesRMnMMpHBY&amp;_hsmi=87085363&amp;utm_content=87085363&amp;utm_source=hs_email&amp;hsCtaTracking=6fedf137-fd90-4f17-bfb4-d61f710ec7f8%7Cf2771843-6636-4969-9010-2d8d0389b89c" TargetMode="External"/><Relationship Id="rId1914" Type="http://schemas.openxmlformats.org/officeDocument/2006/relationships/hyperlink" Target="https://resources.simonelectric.com/simon-catalogo-vehiculo-electrico?utm_campaign=SIC%20-%20Veh%C3%ADculo%20El%C3%A9ctrico&amp;utm_medium=email&amp;_hsenc=p2ANqtz-8i3z8kinRSllf2PI60ouNxaTiLtiuC69z3bdADdCnvuVHum4IijBYaOJTylcNlvwRhN60B&amp;_hsmi=87085302&amp;utm_content=87085302&amp;utm_source=hs_email&amp;hsCtaTracking=6fedf137-fd90-4f17-bfb4-d61f710ec7f8%7Cf2771843-6636-4969-9010-2d8d0389b89c" TargetMode="External"/><Relationship Id="rId1915" Type="http://schemas.openxmlformats.org/officeDocument/2006/relationships/hyperlink" Target="https://resources.simonelectric.com/simon-catalogo-vehiculo-electrico?utm_campaign=SIC%20-%20Veh%C3%ADculo%20El%C3%A9ctrico&amp;utm_medium=email&amp;_hsenc=p2ANqtz-9xuRNMNAfbBYmUE0CP_zdtZ0tkzL-tjXqUTwVHsW6Ftqx3Y9FctVhhhLKEHSsA0Ezzsee6&amp;_hsmi=87085363&amp;utm_content=87085363&amp;utm_source=hs_email&amp;hsCtaTracking=6fedf137-fd90-4f17-bfb4-d61f710ec7f8%7Cf2771843-6636-4969-9010-2d8d0389b89c" TargetMode="External"/><Relationship Id="rId1916" Type="http://schemas.openxmlformats.org/officeDocument/2006/relationships/hyperlink" Target="https://resources.simonelectric.com/simon-catalogo-vehiculo-electrico?utm_campaign=SIC%20-%20Veh%C3%ADculo%20El%C3%A9ctrico&amp;utm_medium=email&amp;_hsenc=p2ANqtz--ShBREMK9G_rlNTOvhBdYgaLS9_y5_Uucyityr_p-85pmkIjhD-vC7rL12T5l7n-KNP3xv&amp;_hsmi=87085302&amp;utm_content=87085302&amp;utm_source=hs_email&amp;hsCtaTracking=6fedf137-fd90-4f17-bfb4-d61f710ec7f8%7Cf2771843-6636-4969-9010-2d8d0389b89c" TargetMode="External"/><Relationship Id="rId1917" Type="http://schemas.openxmlformats.org/officeDocument/2006/relationships/hyperlink" Target="https://resources.simonelectric.com/simon-catalogo-vehiculo-electrico?utm_campaign=SIC%20-%20Veh%C3%ADculo%20El%C3%A9ctrico&amp;utm_medium=email&amp;_hsenc=p2ANqtz-_srZwvZVhDCoHre6LL3Mu8RSMS_PsW8fNXZLRWHiQtOJS7LnSq_X6L87MJ8URf2-c05CnA&amp;_hsmi=87085363&amp;utm_content=87085363&amp;utm_source=hs_email&amp;hsCtaTracking=6fedf137-fd90-4f17-bfb4-d61f710ec7f8%7Cf2771843-6636-4969-9010-2d8d0389b89c" TargetMode="External"/><Relationship Id="rId1918" Type="http://schemas.openxmlformats.org/officeDocument/2006/relationships/hyperlink" Target="https://resources.simonelectric.com/simon-catalogo-vehiculo-electrico?utm_campaign=SIC%20-%20Veh%C3%ADculo%20El%C3%A9ctrico&amp;utm_medium=email&amp;_hsenc=p2ANqtz-8j7qp-N4AZzmczptNPJMfgzS6ZW-RshfNKi_fM6lSxkH6UX8bObZBmiRuj7_GzdyRir5Wj&amp;_hsmi=87085363&amp;utm_content=87085363&amp;utm_source=hs_email&amp;hsCtaTracking=6fedf137-fd90-4f17-bfb4-d61f710ec7f8%7Cf2771843-6636-4969-9010-2d8d0389b89c" TargetMode="External"/><Relationship Id="rId1919" Type="http://schemas.openxmlformats.org/officeDocument/2006/relationships/hyperlink" Target="https://resources.simonelectric.com/simon-catalogo-vehiculo-electrico?utm_campaign=SIC%20-%20Veh%C3%ADculo%20El%C3%A9ctrico&amp;utm_medium=email&amp;_hsenc=p2ANqtz-8p_7Np4PbHwWVxwgLZPq0_CsSBoaZjDEfP4fM4iMrtZTPxyPPwbI4QjtTg-x5R9XimbhCy&amp;_hsmi=87085363&amp;utm_content=87085363&amp;utm_source=hs_email&amp;hsCtaTracking=6fedf137-fd90-4f17-bfb4-d61f710ec7f8%7Cf2771843-6636-4969-9010-2d8d0389b89c" TargetMode="External"/><Relationship Id="rId1900" Type="http://schemas.openxmlformats.org/officeDocument/2006/relationships/hyperlink" Target="https://resources.simonelectric.com/simon-catalogo-vehiculo-electrico?utm_campaign=SIC%20-%20Veh%C3%ADculo%20El%C3%A9ctrico&amp;utm_medium=email&amp;_hsenc=p2ANqtz-83OxlkSSVkIGwsxDhnSFBLJucSqJDz80MGTP-bQR7huyVdBqVpMIWJq9eHmRYAZhdsHMgQ&amp;_hsmi=87085363&amp;utm_content=87085363&amp;utm_source=hs_email&amp;hsCtaTracking=6fedf137-fd90-4f17-bfb4-d61f710ec7f8%7Cf2771843-6636-4969-9010-2d8d0389b89c" TargetMode="External"/><Relationship Id="rId1901" Type="http://schemas.openxmlformats.org/officeDocument/2006/relationships/hyperlink" Target="https://resources.simonelectric.com/simon-catalogo-vehiculo-electrico?utm_campaign=SIC%20-%20Veh%C3%ADculo%20El%C3%A9ctrico&amp;utm_medium=email&amp;_hsenc=p2ANqtz-8inAC5v3Os0IPbbkBia8-6NOxgEDXcQFIcRGzLwEbUNVX0kMicASSUqmDBOqI4nb46fr7L&amp;_hsmi=87085363&amp;utm_content=87085363&amp;utm_source=hs_email&amp;hsCtaTracking=6fedf137-fd90-4f17-bfb4-d61f710ec7f8%7Cf2771843-6636-4969-9010-2d8d0389b89c" TargetMode="External"/><Relationship Id="rId1902" Type="http://schemas.openxmlformats.org/officeDocument/2006/relationships/hyperlink" Target="https://resources.simonelectric.com/simon-catalogo-vehiculo-electrico?utm_campaign=SIC%20-%20Veh%C3%ADculo%20El%C3%A9ctrico&amp;utm_medium=email&amp;_hsenc=p2ANqtz-8-W8Cef_wX7DRVN1ApHqg42tCvdhbe6ZsVoYImdti1zAVtCA6-H9ACEEExiatiR0Zj-YZi&amp;_hsmi=87085363&amp;utm_content=87085363&amp;utm_source=hs_email&amp;hsCtaTracking=6fedf137-fd90-4f17-bfb4-d61f710ec7f8%7Cf2771843-6636-4969-9010-2d8d0389b89c" TargetMode="External"/><Relationship Id="rId1903" Type="http://schemas.openxmlformats.org/officeDocument/2006/relationships/hyperlink" Target="https://resources.simonelectric.com/simon-catalogo-vehiculo-electrico?utm_campaign=SIC%20-%20Veh%C3%ADculo%20El%C3%A9ctrico&amp;utm_medium=email&amp;_hsenc=p2ANqtz-8GPwK_tZJArAqfC8pI3ykxGvoC2hvj15bBnXZd_a_furfoH7pHZD4LVSPSQeniW2Vr5zx4&amp;_hsmi=87085363&amp;utm_content=87085363&amp;utm_source=hs_email&amp;hsCtaTracking=6fedf137-fd90-4f17-bfb4-d61f710ec7f8%7Cf2771843-6636-4969-9010-2d8d0389b89c" TargetMode="External"/><Relationship Id="rId1904" Type="http://schemas.openxmlformats.org/officeDocument/2006/relationships/hyperlink" Target="https://resources.simonelectric.com/simon-catalogo-vehiculo-electrico?utm_campaign=SIC%20-%20Veh%C3%ADculo%20El%C3%A9ctrico&amp;utm_medium=email&amp;_hsenc=p2ANqtz--RDNVYzfMoF04dvme6kADsgBkNZ3FBz7qHJI7_wjTXDRfpLcjE1cZLYcCtmTKw3K3e2OpW&amp;_hsmi=87085302&amp;utm_content=87085302&amp;utm_source=hs_email&amp;hsCtaTracking=6fedf137-fd90-4f17-bfb4-d61f710ec7f8%7Cf2771843-6636-4969-9010-2d8d0389b89c" TargetMode="External"/><Relationship Id="rId1905" Type="http://schemas.openxmlformats.org/officeDocument/2006/relationships/hyperlink" Target="https://resources.simonelectric.com/simon-catalogo-vehiculo-electrico?utm_campaign=SIC%20-%20Veh%C3%ADculo%20El%C3%A9ctrico&amp;utm_medium=email&amp;_hsenc=p2ANqtz-98i6EFiFPFZG6it-MsVj59YPI3ErHcyjgz85k0wMw18ODe7cY1oXRYOVLL1GpOlg9VZ0yg&amp;_hsmi=87085363&amp;utm_content=87085363&amp;utm_source=hs_email&amp;hsCtaTracking=6fedf137-fd90-4f17-bfb4-d61f710ec7f8%7Cf2771843-6636-4969-9010-2d8d0389b89c" TargetMode="External"/><Relationship Id="rId1906" Type="http://schemas.openxmlformats.org/officeDocument/2006/relationships/hyperlink" Target="https://resources.simonelectric.com/simon-catalogo-vehiculo-electrico?utm_campaign=SIC%20-%20Veh%C3%ADculo%20El%C3%A9ctrico&amp;utm_medium=email&amp;_hsenc=p2ANqtz-_DsROYkdtTy8UynMqrKXnIJvOMStyiW36eiELyQO1f29XTz9tfianIJw0zteI4jgPHp-mn&amp;_hsmi=87085363&amp;utm_content=87085363&amp;utm_source=hs_email&amp;hsCtaTracking=6fedf137-fd90-4f17-bfb4-d61f710ec7f8%7Cf2771843-6636-4969-9010-2d8d0389b89c" TargetMode="External"/><Relationship Id="rId1907" Type="http://schemas.openxmlformats.org/officeDocument/2006/relationships/hyperlink" Target="https://resources.simonelectric.com/simon-catalogo-vehiculo-electrico?utm_campaign=SIC%20-%20Veh%C3%ADculo%20El%C3%A9ctrico&amp;utm_medium=email&amp;_hsenc=p2ANqtz-_vhZP3EYrg_7Vg4DtXbhtxpzwsPzcDLrgYvjyNM122Fxu9_SfaHXI3uGR-eJ3Va8aIFt1w&amp;_hsmi=87085363&amp;utm_content=87085363&amp;utm_source=hs_email&amp;hsCtaTracking=6fedf137-fd90-4f17-bfb4-d61f710ec7f8%7Cf2771843-6636-4969-9010-2d8d0389b89c" TargetMode="External"/><Relationship Id="rId1908" Type="http://schemas.openxmlformats.org/officeDocument/2006/relationships/hyperlink" Target="https://resources.simonelectric.com/simon-catalogo-vehiculo-electrico?utm_campaign=SIC%20-%20Veh%C3%ADculo%20El%C3%A9ctrico&amp;utm_medium=email&amp;_hsenc=p2ANqtz-_eXO1GoFqYFuQ8yjBvveYoPLOhw0ddRaRy-Gox97iYVBmHJVcCOVOspOinplClmXfZsy-k&amp;_hsmi=87085363&amp;utm_content=87085363&amp;utm_source=hs_email&amp;hsCtaTracking=6fedf137-fd90-4f17-bfb4-d61f710ec7f8%7Cf2771843-6636-4969-9010-2d8d0389b89c" TargetMode="External"/><Relationship Id="rId1909" Type="http://schemas.openxmlformats.org/officeDocument/2006/relationships/hyperlink" Target="https://resources.simonelectric.com/simon-catalogo-vehiculo-electrico?utm_campaign=SIC%20-%20Veh%C3%ADculo%20El%C3%A9ctrico&amp;utm_medium=email&amp;_hsenc=p2ANqtz--q2DeionmxN6JCPYI0n5NqQHudKz4D2A29Kaj5gRnp6o651cSx48j6jzmrLbcOCbDq-Oj3&amp;_hsmi=87085363&amp;utm_content=87085363&amp;utm_source=hs_email&amp;hsCtaTracking=6fedf137-fd90-4f17-bfb4-d61f710ec7f8%7Cf2771843-6636-4969-9010-2d8d0389b89c" TargetMode="External"/><Relationship Id="rId1090" Type="http://schemas.openxmlformats.org/officeDocument/2006/relationships/hyperlink" Target="https://resources.simonelectric.com/simon-catalogo-vehiculo-electrico" TargetMode="External"/><Relationship Id="rId1091" Type="http://schemas.openxmlformats.org/officeDocument/2006/relationships/hyperlink" Target="https://resources.simonelectric.com/simon-ebook-vehiculo-electrico" TargetMode="External"/><Relationship Id="rId1092" Type="http://schemas.openxmlformats.org/officeDocument/2006/relationships/hyperlink" Target="https://resources.simonelectric.com/simon-catalogo-vehiculo-electrico?utm_campaign=SIC%20-%20Veh%C3%ADculo%20El%C3%A9ctrico&amp;utm_medium=email&amp;_hsenc=p2ANqtz-9UYORDKVaGWnJgMVxXgNy6ukegmGK924irTaFMlJSk_AUdNirBwR9wK8m0c3Y9kkKxjzHE&amp;_hsmi=87085363&amp;utm_content=87085363&amp;utm_source=hs_email&amp;hsCtaTracking=6fedf137-fd90-4f17-bfb4-d61f710ec7f8%7Cf2771843-6636-4969-9010-2d8d0389b89c" TargetMode="External"/><Relationship Id="rId1093" Type="http://schemas.openxmlformats.org/officeDocument/2006/relationships/hyperlink" Target="https://resources.simonelectric.com/simon-ebook-vehiculo-electrico?utm_campaign=SIC%20-%20Veh%C3%ADculo%20El%C3%A9ctrico&amp;utm_medium=email&amp;_hsenc=p2ANqtz-8aUR3MrL3PLG_-IuFBxPko6gO1j8q98En3Gb5Qqc8hDR_aWPnUZfmOyaILGjupBF_bL2X-ALa4LlX-iaZMKR2VPmiNWA&amp;_hsmi=71033675&amp;utm_source=hs_automation&amp;utm_content=71033675&amp;hsCtaTracking=2e94ebfc-d414-4389-870c-d2f266a9420b%7C587ac4dc-a49a-4bdc-b449-e36f5d95395b" TargetMode="External"/><Relationship Id="rId1094" Type="http://schemas.openxmlformats.org/officeDocument/2006/relationships/hyperlink" Target="https://resources.simonelectric.com/simon-catalogo-vehiculo-electrico?utm_campaign=SIC%20-%20Veh%C3%ADculo%20El%C3%A9ctrico&amp;utm_medium=email&amp;_hsenc=p2ANqtz-_M-Ojxx5hqZuPMt-wOMQyoI7UpWiLQmNE25KEtwLIoBWkYpRyWUsmKE57ZbmCWSe_B1cfB&amp;_hsmi=87085363&amp;utm_content=87085363&amp;utm_source=hs_email&amp;hsCtaTracking=6fedf137-fd90-4f17-bfb4-d61f710ec7f8%7Cf2771843-6636-4969-9010-2d8d0389b89c" TargetMode="External"/><Relationship Id="rId1095" Type="http://schemas.openxmlformats.org/officeDocument/2006/relationships/hyperlink" Target="https://resources.simonelectric.com/simon-catalogo-vehiculo-electrico?utm_campaign=SIC%20-%20Veh%C3%ADculo%20El%C3%A9ctrico&amp;utm_medium=email&amp;_hsenc=p2ANqtz-9fR14OWdQXUN-fa-Id1YJD3kBHNVahr1vluNWP7bPfVYvgNqmPg4U7r0mYVWQXUSCu9H4_&amp;_hsmi=87085363&amp;utm_content=87085363&amp;utm_source=hs_email&amp;hsCtaTracking=6fedf137-fd90-4f17-bfb4-d61f710ec7f8%7Cf2771843-6636-4969-9010-2d8d0389b89c" TargetMode="External"/><Relationship Id="rId109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097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1098" Type="http://schemas.openxmlformats.org/officeDocument/2006/relationships/hyperlink" Target="https://resources.simonelectric.com/simon-catalogo-vehiculo-electrico?utm_campaign=SIC%20-%20Veh%C3%ADculo%20El%C3%A9ctrico&amp;utm_medium=email&amp;_hsenc=p2ANqtz-8RSb2u91kcvOJaQiCWhllspnXFcU2TKoP6tTzKz2S1uY0KfzIYokD72nY2x5gX-DZgWf5n&amp;_hsmi=87085363&amp;utm_content=87085363&amp;utm_source=hs_email&amp;hsCtaTracking=6fedf137-fd90-4f17-bfb4-d61f710ec7f8%7Cf2771843-6636-4969-9010-2d8d0389b89c" TargetMode="External"/><Relationship Id="rId1099" Type="http://schemas.openxmlformats.org/officeDocument/2006/relationships/hyperlink" Target="https://resources.simonelectric.com/simon-ebook-vehiculo-electrico?utm_campaign=SIC%20-%20Veh%C3%ADculo%20El%C3%A9ctrico&amp;utm_medium=email&amp;_hsenc=p2ANqtz-89eSUMZqFqnMlSqm8OxKD9JHIRjxIkpn0ivKP6evFt5QoQy1XkgVvfQgH3z5iXIsbUp9Md&amp;_hsmi=71033675&amp;utm_content=71033675&amp;utm_source=hs_automation&amp;hsCtaTracking=2e94ebfc-d414-4389-870c-d2f266a9420b%7C587ac4dc-a49a-4bdc-b449-e36f5d95395b" TargetMode="External"/><Relationship Id="rId1080" Type="http://schemas.openxmlformats.org/officeDocument/2006/relationships/hyperlink" Target="https://resources.simonelectric.com/simon-ebook-vehiculo-electrico-0?gclid=EAIaIQobChMI0vbCstOx6QIV0WHTCh07oAxBEAEYASAAEgJMf_D_BwE" TargetMode="External"/><Relationship Id="rId1081" Type="http://schemas.openxmlformats.org/officeDocument/2006/relationships/hyperlink" Target="https://resources.simonelectric.com/simon-ebook-vehiculo-electrico-0?gclid=CjwKCAjwte71BRBCEiwAU_V9h5fih78fNADZiUtux3Sd8MrUJ9HJVpRwdPzLAVOzdqhSYcBWZbjhbhoCZSwQAvD_BwE" TargetMode="External"/><Relationship Id="rId108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083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084" Type="http://schemas.openxmlformats.org/officeDocument/2006/relationships/hyperlink" Target="https://resources.simonelectric.com/simon-catalogo-vehiculo-electrico?utm_campaign=SIC%20-%20Veh%C3%ADculo%20El%C3%A9ctrico&amp;utm_medium=email&amp;_hsenc=p2ANqtz--UDa0jw-TdhRLjWjEOXUZx9RDZkbW-p6HCrMSXnDKzTXSe6xNLVpPY6buu98zeTMDCExVL&amp;_hsmi=87085363&amp;utm_content=87085363&amp;utm_source=hs_email&amp;hsCtaTracking=6fedf137-fd90-4f17-bfb4-d61f710ec7f8%7Cf2771843-6636-4969-9010-2d8d0389b89c" TargetMode="External"/><Relationship Id="rId108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086" Type="http://schemas.openxmlformats.org/officeDocument/2006/relationships/hyperlink" Target="https://resources.simonelectric.com/simon-ebook-vehiculo-electrico-ppc?utm_source=facebook&amp;utm_medium=social_ads&amp;utm_campaign=vehiculo_electrico&amp;fbclid=IwAR2lYc97YSq0dHtX_8zqSfxX96Hold3VYQi6CBT6drtqt3evjMJbV0n90DU" TargetMode="External"/><Relationship Id="rId108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088" Type="http://schemas.openxmlformats.org/officeDocument/2006/relationships/hyperlink" Target="https://resources.simonelectric.com/simon-ebook-vehiculo-electrico?__hssc=83084745.3.1589342219563&amp;__hstc=83084745.389c6137f44c8c435a1371c208d46b7f.1589342219563.1589342219563.1589342219563.1&amp;__hsfp=3242578741&amp;hsCtaTracking=2e94ebfc-d414-4389-870c-d2f266a9420b%7C587ac4dc-a49a-4bdc-b449-e36f5d95395b" TargetMode="External"/><Relationship Id="rId108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972" Type="http://schemas.openxmlformats.org/officeDocument/2006/relationships/hyperlink" Target="https://resources.simonelectric.com/simon-catalogo-vehiculo-electrico?utm_campaign=SIC%20-%20Veh%C3%ADculo%20El%C3%A9ctrico&amp;utm_medium=email&amp;_hsmi=87085363&amp;_hsenc=p2ANqtz--c2DmQ0JGnWus7twhRid-434lNHwCfzSNjQwOckQm6LlVdrYqyNb1zgY4uoPjezL3IXH6s&amp;utm_content=87085363&amp;utm_source=hs_email" TargetMode="External"/><Relationship Id="rId1973" Type="http://schemas.openxmlformats.org/officeDocument/2006/relationships/hyperlink" Target="https://resources.simonelectric.com/simon-catalogo-vehiculo-electrico?utm_campaign=SIC%20-%20Veh%C3%ADculo%20El%C3%A9ctrico&amp;utm_medium=email&amp;_hsenc=p2ANqtz-8v9QzwOawB9DVWX2zr5csCRZXei27SzIwLeQUAI7vqRWtaeo6J567sYRmPbtcvOW8CpqT_&amp;_hsmi=87085363&amp;utm_content=87085363&amp;utm_source=hs_email&amp;hsCtaTracking=6fedf137-fd90-4f17-bfb4-d61f710ec7f8%7Cf2771843-6636-4969-9010-2d8d0389b89c" TargetMode="External"/><Relationship Id="rId1974" Type="http://schemas.openxmlformats.org/officeDocument/2006/relationships/hyperlink" Target="https://resources.simonelectric.com/simon-catalogo-vehiculo-electrico?utm_campaign=SIC%20-%20Veh%C3%ADculo%20El%C3%A9ctrico&amp;utm_medium=email&amp;_hsenc=p2ANqtz-8q8AxIqdhOoOLfToLZvWasfQloHLYxCGrDyqc3TYrrOWSfLT_YR_ifk8JuxGu-9mhc6XVm&amp;_hsmi=87085363&amp;utm_content=87085363&amp;utm_source=hs_email&amp;hsCtaTracking=6fedf137-fd90-4f17-bfb4-d61f710ec7f8%7Cf2771843-6636-4969-9010-2d8d0389b89c" TargetMode="External"/><Relationship Id="rId1975" Type="http://schemas.openxmlformats.org/officeDocument/2006/relationships/hyperlink" Target="https://resources.simonelectric.com/simon-catalogo-vehiculo-electrico?utm_campaign=SIC%20-%20Veh%C3%ADculo%20El%C3%A9ctrico&amp;utm_medium=email&amp;_hsenc=p2ANqtz--d9KJ8WxK-HJzn1Z3JXI5TxW0iX0sWarbusggEEpuuPTN6xvWp_x69Ihf6kcSy7pKF1LYY&amp;_hsmi=87085363&amp;utm_content=87085363&amp;utm_source=hs_email&amp;hsCtaTracking=6fedf137-fd90-4f17-bfb4-d61f710ec7f8%7Cf2771843-6636-4969-9010-2d8d0389b89c" TargetMode="External"/><Relationship Id="rId1976" Type="http://schemas.openxmlformats.org/officeDocument/2006/relationships/hyperlink" Target="https://resources.simonelectric.com/simon-catalogo-vehiculo-electrico?utm_campaign=SIC%20-%20Veh%C3%ADculo%20El%C3%A9ctrico&amp;utm_medium=email&amp;_hsenc=p2ANqtz--VQWiuN1MfFtNFjigFAQlD_JOKrmNJNSJLBwkz9PWGDazKp2OYb6QpIBvJAdouW5xeh5LT&amp;_hsmi=87085363&amp;utm_content=87085363&amp;utm_source=hs_email&amp;hsCtaTracking=6fedf137-fd90-4f17-bfb4-d61f710ec7f8%7Cf2771843-6636-4969-9010-2d8d0389b89c" TargetMode="External"/><Relationship Id="rId1977" Type="http://schemas.openxmlformats.org/officeDocument/2006/relationships/hyperlink" Target="https://resources.simonelectric.com/simon-catalogo-vehiculo-electrico?utm_campaign=SIC%20-%20Veh%C3%ADculo%20El%C3%A9ctrico&amp;utm_medium=email&amp;_hsenc=p2ANqtz-9m_WFb15rf7JBRIazJ9rIvMrp_yotRyFl5zTbu8iCZcSM5u8hdy-1aSguDlx5tKD9xBtLQ&amp;_hsmi=87085363&amp;utm_content=87085363&amp;utm_source=hs_email&amp;hsCtaTracking=6fedf137-fd90-4f17-bfb4-d61f710ec7f8%7Cf2771843-6636-4969-9010-2d8d0389b89c" TargetMode="External"/><Relationship Id="rId1978" Type="http://schemas.openxmlformats.org/officeDocument/2006/relationships/hyperlink" Target="https://resources.simonelectric.com/simon-catalogo-vehiculo-electrico?utm_campaign=SIC%20-%20Veh%C3%ADculo%20El%C3%A9ctrico&amp;utm_medium=email&amp;_hsenc=p2ANqtz--hGJzz5eGGHPvzvFsijZpiaPgF_UTK1V9NtNi637hXqsM1DpHEIhDfCy-QdwMz3I6DUBtu&amp;_hsmi=87085363&amp;utm_content=87085363&amp;utm_source=hs_email&amp;hsCtaTracking=6fedf137-fd90-4f17-bfb4-d61f710ec7f8%7Cf2771843-6636-4969-9010-2d8d0389b89c" TargetMode="External"/><Relationship Id="rId1979" Type="http://schemas.openxmlformats.org/officeDocument/2006/relationships/hyperlink" Target="https://resources.simonelectric.com/simon-catalogo-vehiculo-electrico?utm_campaign=SIC%20-%20Veh%C3%ADculo%20El%C3%A9ctrico&amp;utm_medium=email&amp;_hsenc=p2ANqtz-9-FXGi1ckOwXMx1pQn1_LnXSrr5CPJTkcgvuH4sdXNenCnME7c2OOqbfDQOzdiN5OOGFh_&amp;_hsmi=87085363&amp;utm_content=87085363&amp;utm_source=hs_email&amp;hsCtaTracking=6fedf137-fd90-4f17-bfb4-d61f710ec7f8%7Cf2771843-6636-4969-9010-2d8d0389b89c" TargetMode="External"/><Relationship Id="rId1970" Type="http://schemas.openxmlformats.org/officeDocument/2006/relationships/hyperlink" Target="https://resources.simonelectric.com/simon-catalogo-vehiculo-electrico?utm_campaign=SIC%20-%20Veh%C3%ADculo%20El%C3%A9ctrico&amp;utm_medium=email&amp;_hsenc=p2ANqtz-8tapgcQW9DDL3gQbaorXd9pXuZdGDkxfrey0jq_4svmoRI98UchjvQocFd5Ho8xm_MBNKT&amp;_hsmi=87085302&amp;utm_content=87085302&amp;utm_source=hs_email&amp;hsCtaTracking=6fedf137-fd90-4f17-bfb4-d61f710ec7f8%7Cf2771843-6636-4969-9010-2d8d0389b89c" TargetMode="External"/><Relationship Id="rId1971" Type="http://schemas.openxmlformats.org/officeDocument/2006/relationships/hyperlink" Target="https://resources.simonelectric.com/simon-catalogo-vehiculo-electrico?utm_campaign=SIC%20-%20Veh%C3%ADculo%20El%C3%A9ctrico&amp;utm_medium=email&amp;_hsenc=p2ANqtz-_oomnvjdQj-e71hcLI6Uu7qR-7HT0Uulp00D4hbBqL2Gd_iDq1UE-unvDR21MtAJ5LR4zP&amp;_hsmi=87085363&amp;utm_content=87085363&amp;utm_source=hs_email&amp;hsCtaTracking=6fedf137-fd90-4f17-bfb4-d61f710ec7f8%7Cf2771843-6636-4969-9010-2d8d0389b89c" TargetMode="External"/><Relationship Id="rId1961" Type="http://schemas.openxmlformats.org/officeDocument/2006/relationships/hyperlink" Target="https://resources.simonelectric.com/simon-catalogo-vehiculo-electrico?utm_campaign=SIC%20-%20Veh%C3%ADculo%20El%C3%A9ctrico&amp;utm_medium=email&amp;_hsenc=p2ANqtz-_XUfAqLclK7POmYtfW36lML8kQmUkqogVTXvJoCh5hPXtoakedZI6RuX8RyB0BdjJuPXD6&amp;_hsmi=87085363&amp;utm_content=87085363&amp;utm_source=hs_email&amp;hsCtaTracking=6fedf137-fd90-4f17-bfb4-d61f710ec7f8%7Cf2771843-6636-4969-9010-2d8d0389b89c" TargetMode="External"/><Relationship Id="rId1962" Type="http://schemas.openxmlformats.org/officeDocument/2006/relationships/hyperlink" Target="https://resources.simonelectric.com/simon-catalogo-vehiculo-electrico?utm_campaign=SIC%20-%20Veh%C3%ADculo%20El%C3%A9ctrico&amp;utm_medium=email&amp;_hsenc=p2ANqtz-9v0tF507w-TPi6uuBJx_cVDvO-pibR9Lq5_aFoSrN81W7k-t5IcUMLYqeDadqKFf5hKglL&amp;_hsmi=87085363&amp;utm_content=87085363&amp;utm_source=hs_email&amp;hsCtaTracking=6fedf137-fd90-4f17-bfb4-d61f710ec7f8%7Cf2771843-6636-4969-9010-2d8d0389b89c" TargetMode="External"/><Relationship Id="rId1963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964" Type="http://schemas.openxmlformats.org/officeDocument/2006/relationships/hyperlink" Target="https://resources.simonelectric.com/simon-catalogo-vehiculo-electrico?utm_campaign=SIC%20-%20Veh%C3%ADculo%20El%C3%A9ctrico&amp;utm_medium=email&amp;_hsenc=p2ANqtz-8nRmDcWkosvkOEGLNDOm7b9M8hox3wUVSZ-Tc9DJ_TJXxLbmlt6gswVG5uNeOFE1lTqNhj&amp;_hsmi=87085363&amp;utm_content=87085363&amp;utm_source=hs_email&amp;hsCtaTracking=6fedf137-fd90-4f17-bfb4-d61f710ec7f8%7Cf2771843-6636-4969-9010-2d8d0389b89c" TargetMode="External"/><Relationship Id="rId1965" Type="http://schemas.openxmlformats.org/officeDocument/2006/relationships/hyperlink" Target="https://resources.simonelectric.com/simon-catalogo-vehiculo-electrico?utm_campaign=SIC%20-%20Veh%C3%ADculo%20El%C3%A9ctrico&amp;utm_medium=email&amp;_hsenc=p2ANqtz-9Sec7kt_vjjhDFobZ1c8psLljoUHExNEjR_Te6coBE060ecIK-RBZlLxl1xt7itRo99g1Z&amp;_hsmi=87085302&amp;utm_content=87085302&amp;utm_source=hs_email&amp;hsCtaTracking=6fedf137-fd90-4f17-bfb4-d61f710ec7f8%7Cf2771843-6636-4969-9010-2d8d0389b89c" TargetMode="External"/><Relationship Id="rId1966" Type="http://schemas.openxmlformats.org/officeDocument/2006/relationships/hyperlink" Target="https://resources.simonelectric.com/simon-catalogo-vehiculo-electrico?utm_campaign=SIC%20-%20Veh%C3%ADculo%20El%C3%A9ctrico&amp;utm_medium=email&amp;_hsenc=p2ANqtz-9dnUM93kmDJZMxlO_RCRe_f98TkNe2YbKL5Qhe6SPrFCMTXco2jytBWa_2e05mJUjPWIae&amp;_hsmi=87085363&amp;utm_content=87085363&amp;utm_source=hs_email&amp;hsCtaTracking=6fedf137-fd90-4f17-bfb4-d61f710ec7f8%7Cf2771843-6636-4969-9010-2d8d0389b89c" TargetMode="External"/><Relationship Id="rId1967" Type="http://schemas.openxmlformats.org/officeDocument/2006/relationships/hyperlink" Target="https://resources.simonelectric.com/simon-catalogo-vehiculo-electrico?utm_campaign=SIC%20-%20Veh%C3%ADculo%20El%C3%A9ctrico&amp;utm_medium=email&amp;_hsenc=p2ANqtz-9FAv4weEczGRkDR0qN_d5tp6_7iDAhpHoEuDDAZ4K8qxNw17T3vmPKe3urfZyoQ_x53fKX&amp;_hsmi=87085363&amp;utm_content=87085363&amp;utm_source=hs_email&amp;hsCtaTracking=6fedf137-fd90-4f17-bfb4-d61f710ec7f8%7Cf2771843-6636-4969-9010-2d8d0389b89c" TargetMode="External"/><Relationship Id="rId1968" Type="http://schemas.openxmlformats.org/officeDocument/2006/relationships/hyperlink" Target="https://resources.simonelectric.com/simon-catalogo-vehiculo-electrico?utm_campaign=SIC%20-%20Veh%C3%ADculo%20El%C3%A9ctrico&amp;utm_medium=email&amp;_hsenc=p2ANqtz-9NB-IOXTk1OciTd4GP_zEstZkHdyGmTdmIFEJdsIzahg8GW43o7fpGOrA7f2gVv92p9qvc&amp;_hsmi=87085363&amp;utm_content=87085363&amp;utm_source=hs_email&amp;hsCtaTracking=6fedf137-fd90-4f17-bfb4-d61f710ec7f8%7Cf2771843-6636-4969-9010-2d8d0389b89c" TargetMode="External"/><Relationship Id="rId1969" Type="http://schemas.openxmlformats.org/officeDocument/2006/relationships/hyperlink" Target="https://resources.simonelectric.com/simon-catalogo-vehiculo-electrico?utm_campaign=SIC%20-%20Veh%C3%ADculo%20El%C3%A9ctrico&amp;utm_medium=email&amp;_hsenc=p2ANqtz-96FVdWJCc2rWvqkrhaCRT_qQLYQHVfYeRU7FjwZT-wVwETewKkwWENq8NV6vrdgry_wRwG&amp;_hsmi=87085363&amp;utm_content=87085363&amp;utm_source=hs_email&amp;hsCtaTracking=6fedf137-fd90-4f17-bfb4-d61f710ec7f8%7Cf2771843-6636-4969-9010-2d8d0389b89c" TargetMode="External"/><Relationship Id="rId1960" Type="http://schemas.openxmlformats.org/officeDocument/2006/relationships/hyperlink" Target="https://resources.simonelectric.com/simon-catalogo-vehiculo-electrico?utm_campaign=SIC%20-%20Veh%C3%ADculo%20El%C3%A9ctrico&amp;utm_medium=email&amp;_hsenc=p2ANqtz--PrZC6Y5EnYPSXd7luGFZT8LsjNpoTMdHr-wve7VaKak7LaFMsFvFDR4_T8wve4BAVxoCR&amp;_hsmi=87085302&amp;utm_content=87085302&amp;utm_source=hs_email&amp;hsCtaTracking=6fedf137-fd90-4f17-bfb4-d61f710ec7f8%7Cf2771843-6636-4969-9010-2d8d0389b89c" TargetMode="External"/><Relationship Id="rId1994" Type="http://schemas.openxmlformats.org/officeDocument/2006/relationships/hyperlink" Target="https://resources.simonelectric.com/simon-catalogo-vehiculo-electrico?utm_campaign=SIC%20-%20Veh%C3%ADculo%20El%C3%A9ctrico&amp;utm_medium=email&amp;_hsenc=p2ANqtz--8a7sinDoDj8oNM3FjKZES4Z7Vd_t2glkpW7vlUYttTZzsLCXP6V79iHmXBICGHrJanDRB&amp;_hsmi=87085363&amp;utm_content=87085363&amp;utm_source=hs_email&amp;hsCtaTracking=6fedf137-fd90-4f17-bfb4-d61f710ec7f8%7Cf2771843-6636-4969-9010-2d8d0389b89c" TargetMode="External"/><Relationship Id="rId1995" Type="http://schemas.openxmlformats.org/officeDocument/2006/relationships/hyperlink" Target="https://resources.simonelectric.com/simon-catalogo-vehiculo-electrico?utm_campaign=SIC%20-%20Veh%C3%ADculo%20El%C3%A9ctrico&amp;utm_medium=email&amp;_hsenc=p2ANqtz-8is65zWih1W0TVd7Y3JejWGTltp4T3SsvOP04fCFg_NsCEkRIXg8KE9d2rz3Ql_wd548Yv&amp;_hsmi=87085363&amp;utm_content=87085363&amp;utm_source=hs_email&amp;hsCtaTracking=6fedf137-fd90-4f17-bfb4-d61f710ec7f8%7Cf2771843-6636-4969-9010-2d8d0389b89c" TargetMode="External"/><Relationship Id="rId1996" Type="http://schemas.openxmlformats.org/officeDocument/2006/relationships/hyperlink" Target="https://resources.simonelectric.com/simon-catalogo-vehiculo-electrico?utm_campaign=SIC%20-%20Veh%C3%ADculo%20El%C3%A9ctrico&amp;utm_medium=email&amp;_hsenc=p2ANqtz-9UmLC3MgRom1ORhglMyFmb1VtiMAq-PzEDBfliBwUgW0_aUvEuFwPjokRgmZl3UrAmfOZK&amp;_hsmi=87085363&amp;utm_content=87085363&amp;utm_source=hs_email&amp;hsCtaTracking=6fedf137-fd90-4f17-bfb4-d61f710ec7f8%7Cf2771843-6636-4969-9010-2d8d0389b89c" TargetMode="External"/><Relationship Id="rId1997" Type="http://schemas.openxmlformats.org/officeDocument/2006/relationships/hyperlink" Target="https://resources.simonelectric.com/simon-catalogo-vehiculo-electrico?utm_campaign=SIC%20-%20Veh%C3%ADculo%20El%C3%A9ctrico&amp;utm_medium=email&amp;_hsenc=p2ANqtz-9z5JbuNfcOgqKygWqNoC3d0wW1Vnn4Or7lmFHupWJL_wvH0A4RVeCu6U4zC2xdXWRZ5-yN&amp;_hsmi=87085363&amp;utm_content=87085363&amp;utm_source=hs_email&amp;hsCtaTracking=6fedf137-fd90-4f17-bfb4-d61f710ec7f8%7Cf2771843-6636-4969-9010-2d8d0389b89c" TargetMode="External"/><Relationship Id="rId1998" Type="http://schemas.openxmlformats.org/officeDocument/2006/relationships/hyperlink" Target="https://resources.simonelectric.com/simon-catalogo-vehiculo-electrico?utm_campaign=SIC%20-%20Veh%C3%ADculo%20El%C3%A9ctrico&amp;utm_medium=email&amp;_hsenc=p2ANqtz-9btYBIvg6N4Qp0XjQb3O6x5gJYbSDZxpwQKz_W29firRNhCoqBnepU-NC6TfXVS8AR2Uo8&amp;_hsmi=87085363&amp;utm_content=87085363&amp;utm_source=hs_email&amp;hsCtaTracking=6fedf137-fd90-4f17-bfb4-d61f710ec7f8%7Cf2771843-6636-4969-9010-2d8d0389b89c" TargetMode="External"/><Relationship Id="rId1999" Type="http://schemas.openxmlformats.org/officeDocument/2006/relationships/hyperlink" Target="https://resources.simonelectric.com/simon-catalogo-vehiculo-electrico?utm_campaign=SIC%20-%20Veh%C3%ADculo%20El%C3%A9ctrico&amp;utm_medium=email&amp;_hsenc=p2ANqtz-9tdKT9yRee0tkdioHMkZMOqUAex4uLrT-SEjdNTGWmw8bce28Sn19oTzxmBOGVIbW8_UGl&amp;_hsmi=87085363&amp;utm_content=87085363&amp;utm_source=hs_email&amp;hsCtaTracking=6fedf137-fd90-4f17-bfb4-d61f710ec7f8%7Cf2771843-6636-4969-9010-2d8d0389b89c" TargetMode="External"/><Relationship Id="rId1990" Type="http://schemas.openxmlformats.org/officeDocument/2006/relationships/hyperlink" Target="https://resources.simonelectric.com/simon-catalogo-vehiculo-electrico?utm_campaign=SIC%20-%20Veh%C3%ADculo%20El%C3%A9ctrico&amp;utm_medium=email&amp;_hsenc=p2ANqtz-8m-GA0I7TIUyhwXJuHOU7tltyxgsn5mYyVTU7PtHYlWYhwxbG84qHbkoCqk4AQTEjd3JOq&amp;_hsmi=87085363&amp;utm_content=87085363&amp;utm_source=hs_email&amp;hsCtaTracking=6fedf137-fd90-4f17-bfb4-d61f710ec7f8%7Cf2771843-6636-4969-9010-2d8d0389b89c" TargetMode="External"/><Relationship Id="rId1991" Type="http://schemas.openxmlformats.org/officeDocument/2006/relationships/hyperlink" Target="https://resources.simonelectric.com/simon-catalogo-vehiculo-electrico?utm_campaign=SIC%20-%20Veh%C3%ADculo%20El%C3%A9ctrico&amp;utm_medium=email&amp;_hsenc=p2ANqtz-_8o2jALUnwo5Me7VpfHGEgkVWzrfueHHOz65p4dRcERHmdzm7zKG8zPgCgRY3xd9CUZ1gC&amp;_hsmi=87085363&amp;utm_content=87085363&amp;utm_source=hs_email&amp;hsCtaTracking=6fedf137-fd90-4f17-bfb4-d61f710ec7f8%7Cf2771843-6636-4969-9010-2d8d0389b89c" TargetMode="External"/><Relationship Id="rId1992" Type="http://schemas.openxmlformats.org/officeDocument/2006/relationships/hyperlink" Target="https://resources.simonelectric.com/simon-catalogo-vehiculo-electrico?utm_campaign=SIC%20-%20Veh%C3%ADculo%20El%C3%A9ctrico&amp;utm_medium=email&amp;_hsenc=p2ANqtz-82xGGwW6A48X2EAZgYC1MdvgWVxrCbPi06o9W9kFfzBGzoWg8SClJ5FbgvJndGSKSsFiOe&amp;_hsmi=87085363&amp;utm_content=87085363&amp;utm_source=hs_email&amp;hsCtaTracking=6fedf137-fd90-4f17-bfb4-d61f710ec7f8%7Cf2771843-6636-4969-9010-2d8d0389b89c" TargetMode="External"/><Relationship Id="rId1993" Type="http://schemas.openxmlformats.org/officeDocument/2006/relationships/hyperlink" Target="https://resources.simonelectric.com/simon-catalogo-vehiculo-electrico?utm_campaign=SIC%20-%20Veh%C3%ADculo%20El%C3%A9ctrico&amp;utm_medium=email&amp;_hsenc=p2ANqtz--4afJE322zeylCCqNDlp9Eq6Ggo-kO82sq5kYGASUioa4tYRtsL3bdsJ0eGuG-4T7RmOH2&amp;_hsmi=87085363&amp;utm_content=87085363&amp;utm_source=hs_email&amp;hsCtaTracking=6fedf137-fd90-4f17-bfb4-d61f710ec7f8%7Cf2771843-6636-4969-9010-2d8d0389b89c" TargetMode="External"/><Relationship Id="rId1983" Type="http://schemas.openxmlformats.org/officeDocument/2006/relationships/hyperlink" Target="https://resources.simonelectric.com/simon-catalogo-vehiculo-electrico?utm_campaign=SIC%20-%20Veh%C3%ADculo%20El%C3%A9ctrico&amp;utm_medium=email&amp;_hsenc=p2ANqtz--rv3UO6vyBPnrQJPDVE7JMtc_Zlg8XPm7eyCQxCD_1Wq0yglG3NOhzn4Td3cSj3Eftrs56&amp;_hsmi=87085363&amp;utm_content=87085363&amp;utm_source=hs_email&amp;hsCtaTracking=6fedf137-fd90-4f17-bfb4-d61f710ec7f8%7Cf2771843-6636-4969-9010-2d8d0389b89c" TargetMode="External"/><Relationship Id="rId1984" Type="http://schemas.openxmlformats.org/officeDocument/2006/relationships/hyperlink" Target="https://resources.simonelectric.com/simon-catalogo-vehiculo-electrico?utm_campaign=SIC%20-%20Veh%C3%ADculo%20El%C3%A9ctrico&amp;utm_medium=email&amp;_hsmi=87085302&amp;_hsenc=p2ANqtz--zafl3fDISVCTBaHmKR_7-EBPTo45aQQXZY9TQZlqVdw5vdQmy6jXkHDqfYi1qV8xzqiWO&amp;utm_content=87085302&amp;utm_source=hs_email" TargetMode="External"/><Relationship Id="rId1985" Type="http://schemas.openxmlformats.org/officeDocument/2006/relationships/hyperlink" Target="https://resources.simonelectric.com/simon-catalogo-vehiculo-electrico?utm_campaign=SIC%20-%20Veh%C3%ADculo%20El%C3%A9ctrico&amp;utm_medium=email&amp;_hsenc=p2ANqtz-8Mk3pQXue-ZL8KOZT5AXWP7eXeh5NGRBgbSLjuft442EmEjx75Za0jK5kkVrm5w2_RwaLi&amp;_hsmi=87085302&amp;utm_content=87085302&amp;utm_source=hs_email&amp;hsCtaTracking=6fedf137-fd90-4f17-bfb4-d61f710ec7f8%7Cf2771843-6636-4969-9010-2d8d0389b89c" TargetMode="External"/><Relationship Id="rId1986" Type="http://schemas.openxmlformats.org/officeDocument/2006/relationships/hyperlink" Target="https://resources.simonelectric.com/simon-catalogo-vehiculo-electrico?utm_campaign=SIC%20-%20Veh%C3%ADculo%20El%C3%A9ctrico&amp;utm_medium=email&amp;_hsenc=p2ANqtz-86YMaVYcNQAej4aWXvftoqm6ggr5XN_1pYozGoxFoBMsknu8-2z1h-_PymH1JvMcl25r-V&amp;_hsmi=87085363&amp;utm_content=87085363&amp;utm_source=hs_email&amp;hsCtaTracking=6fedf137-fd90-4f17-bfb4-d61f710ec7f8%7Cf2771843-6636-4969-9010-2d8d0389b89c" TargetMode="External"/><Relationship Id="rId1987" Type="http://schemas.openxmlformats.org/officeDocument/2006/relationships/hyperlink" Target="https://resources.simonelectric.com/simon-catalogo-vehiculo-electrico?utm_campaign=SIC%20-%20Veh%C3%ADculo%20El%C3%A9ctrico&amp;utm_medium=email&amp;_hsenc=p2ANqtz-8dx3ai-ayOPAb2APrp1r8Vcr3HUKujdPv5M8MA4elQtB5LcZ4MwJKUB-4QVYXxCBw5mBh1&amp;_hsmi=87085363&amp;utm_content=87085363&amp;utm_source=hs_email&amp;hsCtaTracking=6fedf137-fd90-4f17-bfb4-d61f710ec7f8%7Cf2771843-6636-4969-9010-2d8d0389b89c" TargetMode="External"/><Relationship Id="rId1988" Type="http://schemas.openxmlformats.org/officeDocument/2006/relationships/hyperlink" Target="https://resources.simonelectric.com/simon-catalogo-vehiculo-electrico?utm_campaign=SIC%20-%20Veh%C3%ADculo%20El%C3%A9ctrico&amp;utm_medium=email&amp;_hsenc=p2ANqtz-_KKRPMI-a1xEXfh3cIt1d7kMB_dC5wN4dH4-Va3faoYOnqA-XAe8kq_i2s1vLlbL5AToBy&amp;_hsmi=87085363&amp;utm_content=87085363&amp;utm_source=hs_email&amp;hsCtaTracking=6fedf137-fd90-4f17-bfb4-d61f710ec7f8%7Cf2771843-6636-4969-9010-2d8d0389b89c" TargetMode="External"/><Relationship Id="rId1989" Type="http://schemas.openxmlformats.org/officeDocument/2006/relationships/hyperlink" Target="https://resources.simonelectric.com/simon-catalogo-vehiculo-electrico?utm_campaign=SIC%20-%20Veh%C3%ADculo%20El%C3%A9ctrico&amp;utm_medium=email&amp;_hsenc=p2ANqtz-8javb-EyVIVX1AGzc_gikJJoqs_IcvKXVwAo6dnkY6WjjC502oPEOlVM3CKwmyJj-de-YX&amp;_hsmi=87085302&amp;utm_content=87085302&amp;utm_source=hs_email&amp;hsCtaTracking=6fedf137-fd90-4f17-bfb4-d61f710ec7f8%7Cf2771843-6636-4969-9010-2d8d0389b89c" TargetMode="External"/><Relationship Id="rId1980" Type="http://schemas.openxmlformats.org/officeDocument/2006/relationships/hyperlink" Target="https://resources.simonelectric.com/simon-catalogo-vehiculo-electrico?utm_campaign=SIC%20-%20Veh%C3%ADculo%20El%C3%A9ctrico&amp;utm_medium=email&amp;_hsenc=p2ANqtz-94VwcvP53fFTAGojfRG4AAqTr_j4i3VE92Pw65Py9ULAPPyuWZKNAhHpwyYFv1G7VMe1df&amp;_hsmi=87085363&amp;utm_content=87085363&amp;utm_source=hs_email&amp;hsCtaTracking=6fedf137-fd90-4f17-bfb4-d61f710ec7f8%7Cf2771843-6636-4969-9010-2d8d0389b89c" TargetMode="External"/><Relationship Id="rId1981" Type="http://schemas.openxmlformats.org/officeDocument/2006/relationships/hyperlink" Target="https://resources.simonelectric.com/simon-catalogo-vehiculo-electrico?utm_campaign=SIC%20-%20Veh%C3%ADculo%20El%C3%A9ctrico&amp;utm_medium=email&amp;_hsenc=p2ANqtz--ybFM2z1S47Nf3wkVxsR7c8J5KomzZHrxA6sdW-c9_WJs6sT22qJMwVzFWLD1bVWMElP-w&amp;_hsmi=87085363&amp;utm_content=87085363&amp;utm_source=hs_email&amp;hsCtaTracking=6fedf137-fd90-4f17-bfb4-d61f710ec7f8%7Cf2771843-6636-4969-9010-2d8d0389b89c" TargetMode="External"/><Relationship Id="rId1982" Type="http://schemas.openxmlformats.org/officeDocument/2006/relationships/hyperlink" Target="https://resources.simonelectric.com/simon-catalogo-vehiculo-electrico?utm_campaign=SIC%20-%20Veh%C3%ADculo%20El%C3%A9ctrico&amp;utm_medium=email&amp;_hsenc=p2ANqtz-9LdwDjZw7hwdZAzMixdbfZTE3_xii_yqsJyLAOoejYYImlq5wOajDuUZAJtkLiBMeVYDvI&amp;_hsmi=87085363&amp;utm_content=87085363&amp;utm_source=hs_email&amp;hsCtaTracking=6fedf137-fd90-4f17-bfb4-d61f710ec7f8%7Cf2771843-6636-4969-9010-2d8d0389b89c" TargetMode="External"/><Relationship Id="rId1930" Type="http://schemas.openxmlformats.org/officeDocument/2006/relationships/hyperlink" Target="https://resources.simonelectric.com/simon-catalogo-vehiculo-electrico?utm_campaign=SIC%20-%20Veh%C3%ADculo%20El%C3%A9ctrico&amp;utm_medium=email&amp;_hsenc=p2ANqtz-_WLoyC6io21fg4KxqHuELXlKhYaDO_PD7_E5bg1q2MRg3V4E7xCMVT4Z-gwJYrLkiE78gC&amp;_hsmi=87085363&amp;utm_content=87085363&amp;utm_source=hs_email&amp;hsCtaTracking=6fedf137-fd90-4f17-bfb4-d61f710ec7f8%7Cf2771843-6636-4969-9010-2d8d0389b89c" TargetMode="External"/><Relationship Id="rId1931" Type="http://schemas.openxmlformats.org/officeDocument/2006/relationships/hyperlink" Target="https://resources.simonelectric.com/simon-catalogo-vehiculo-electrico?utm_campaign=SIC%20-%20Veh%C3%ADculo%20El%C3%A9ctrico&amp;utm_medium=email&amp;_hsenc=p2ANqtz-9-xEbMIIADVysLe9vJtyMGPDgu8F6SA88mg9_dYxmzEGN8Q31SXM-uFuMAqHKct28sMChW&amp;_hsmi=87085363&amp;utm_content=87085363&amp;utm_source=hs_email&amp;hsCtaTracking=6fedf137-fd90-4f17-bfb4-d61f710ec7f8%7Cf2771843-6636-4969-9010-2d8d0389b89c" TargetMode="External"/><Relationship Id="rId1932" Type="http://schemas.openxmlformats.org/officeDocument/2006/relationships/hyperlink" Target="https://resources.simonelectric.com/simon-catalogo-vehiculo-electrico?utm_campaign=SIC%20-%20Veh%C3%ADculo%20El%C3%A9ctrico&amp;utm_medium=email&amp;_hsmi=87085302&amp;_hsenc=p2ANqtz-8Jnw09jUTxGTvDz2aFcMgvirwoOPe_Dsq7zpPjhpX_pfnkJDLBpjFthdr6-so2eNN2j4h2&amp;utm_content=87085302&amp;utm_source=hs_email" TargetMode="External"/><Relationship Id="rId1933" Type="http://schemas.openxmlformats.org/officeDocument/2006/relationships/hyperlink" Target="https://resources.simonelectric.com/simon-catalogo-vehiculo-electrico?utm_campaign=SIC%20-%20Veh%C3%ADculo%20El%C3%A9ctrico&amp;utm_medium=email&amp;_hsenc=p2ANqtz-_gnDxhoxYPIox_dnfiRz8C66Bs-UyI9CQy2AUr_fUiKb4HT8DOrXfBe6OJc90iToDNDzHK&amp;_hsmi=87085363&amp;utm_content=87085363&amp;utm_source=hs_email&amp;hsCtaTracking=6fedf137-fd90-4f17-bfb4-d61f710ec7f8%7Cf2771843-6636-4969-9010-2d8d0389b89c" TargetMode="External"/><Relationship Id="rId1934" Type="http://schemas.openxmlformats.org/officeDocument/2006/relationships/hyperlink" Target="https://resources.simonelectric.com/simon-catalogo-vehiculo-electrico?utm_campaign=SIC%20-%20Veh%C3%ADculo%20El%C3%A9ctrico&amp;utm_medium=email&amp;_hsenc=p2ANqtz-9cUgpu1IiL5hSScE3Ttah4CV-iBzYJl0PbEvs1jw8mpJisdKBlg7RFeCePsCoUDrhqE_AK&amp;_hsmi=87085363&amp;utm_content=87085363&amp;utm_source=hs_email&amp;hsCtaTracking=6fedf137-fd90-4f17-bfb4-d61f710ec7f8%7Cf2771843-6636-4969-9010-2d8d0389b89c" TargetMode="External"/><Relationship Id="rId1935" Type="http://schemas.openxmlformats.org/officeDocument/2006/relationships/hyperlink" Target="https://resources.simonelectric.com/simon-catalogo-vehiculo-electrico?utm_campaign=SIC%20-%20Veh%C3%ADculo%20El%C3%A9ctrico&amp;utm_medium=email&amp;_hsenc=p2ANqtz-98bn1K5g5yNNP2YfJ6eemUZJ98_ysdIGYQeHQ4-kRS5wXVkcq0VdCkKfyTj32KbEG8nt2M&amp;_hsmi=87085302&amp;utm_content=87085302&amp;utm_source=hs_email&amp;hsCtaTracking=6fedf137-fd90-4f17-bfb4-d61f710ec7f8%7Cf2771843-6636-4969-9010-2d8d0389b89c" TargetMode="External"/><Relationship Id="rId1936" Type="http://schemas.openxmlformats.org/officeDocument/2006/relationships/hyperlink" Target="https://resources.simonelectric.com/simon-catalogo-vehiculo-electrico?utm_campaign=SIC%20-%20Veh%C3%ADculo%20El%C3%A9ctrico&amp;utm_medium=email&amp;_hsenc=p2ANqtz-_teLrjZPiXt2X9L1klhXHskVJHL4eO8Nh-SamguLuFzHocrGfWY0dCtiG36PwsY45d4uHc&amp;_hsmi=87085363&amp;utm_content=87085363&amp;utm_source=hs_email&amp;hsCtaTracking=6fedf137-fd90-4f17-bfb4-d61f710ec7f8%7Cf2771843-6636-4969-9010-2d8d0389b89c" TargetMode="External"/><Relationship Id="rId1937" Type="http://schemas.openxmlformats.org/officeDocument/2006/relationships/hyperlink" Target="https://resources.simonelectric.com/simon-catalogo-vehiculo-electrico?utm_campaign=SIC%20-%20Veh%C3%ADculo%20El%C3%A9ctrico&amp;utm_medium=email&amp;_hsenc=p2ANqtz--DjjKXizNMfpPDscU6_u2G70NvZtytGjCES6i8RqgiwTBKP3LDvOrIu7G0Yc72yG3p0cl0&amp;_hsmi=87085363&amp;utm_content=87085363&amp;utm_source=hs_email&amp;hsCtaTracking=6fedf137-fd90-4f17-bfb4-d61f710ec7f8%7Cf2771843-6636-4969-9010-2d8d0389b89c" TargetMode="External"/><Relationship Id="rId1938" Type="http://schemas.openxmlformats.org/officeDocument/2006/relationships/hyperlink" Target="https://resources.simonelectric.com/simon-catalogo-vehiculo-electrico?utm_campaign=SIC%20-%20Veh%C3%ADculo%20El%C3%A9ctrico&amp;utm_medium=email&amp;_hsenc=p2ANqtz-_V-qCsADxfyfY383yT8FU3ZfblBUVBuwh77XtiOOCQvz5rUjijhMaK8waXTcCrMH9gI54O&amp;_hsmi=87085363&amp;utm_content=87085363&amp;utm_source=hs_email&amp;hsCtaTracking=6fedf137-fd90-4f17-bfb4-d61f710ec7f8%7Cf2771843-6636-4969-9010-2d8d0389b89c" TargetMode="External"/><Relationship Id="rId1939" Type="http://schemas.openxmlformats.org/officeDocument/2006/relationships/hyperlink" Target="https://resources.simonelectric.com/simon-catalogo-vehiculo-electrico?utm_campaign=SIC%20-%20Veh%C3%ADculo%20El%C3%A9ctrico&amp;utm_medium=email&amp;_hsenc=p2ANqtz--VVFGFuc5qBgobi5MnNGHUQ06id2Qlzke6wiTi_rii3eHON4R87-gGhu2HT7V5vxaA5dr1&amp;_hsmi=87085302&amp;utm_content=87085302&amp;utm_source=hs_email&amp;hsCtaTracking=6fedf137-fd90-4f17-bfb4-d61f710ec7f8%7Cf2771843-6636-4969-9010-2d8d0389b89c" TargetMode="External"/><Relationship Id="rId1920" Type="http://schemas.openxmlformats.org/officeDocument/2006/relationships/hyperlink" Target="https://resources.simonelectric.com/simon-catalogo-vehiculo-electrico?utm_campaign=SIC%20-%20Veh%C3%ADculo%20El%C3%A9ctrico&amp;utm_medium=email&amp;_hsenc=p2ANqtz--GMG9am9h0uCRBtBMYmbARSvNg3OMxyg0Bt_xKCVjQJce_HX4QW5MapUWrXhyW_IZVfzle&amp;_hsmi=87085302&amp;utm_content=87085302&amp;utm_source=hs_email&amp;hsCtaTracking=6fedf137-fd90-4f17-bfb4-d61f710ec7f8%7Cf2771843-6636-4969-9010-2d8d0389b89c" TargetMode="External"/><Relationship Id="rId1921" Type="http://schemas.openxmlformats.org/officeDocument/2006/relationships/hyperlink" Target="https://resources.simonelectric.com/simon-catalogo-vehiculo-electrico?utm_campaign=SIC%20-%20Veh%C3%ADculo%20El%C3%A9ctrico&amp;utm_medium=email&amp;_hsenc=p2ANqtz-_EMl24ZMbseDnR58hVqmq6x5SXH1KYfLH3gDcBOIeLDYjr3zCBJiKYpGhQtfeSyHlS1ay9&amp;_hsmi=87085302&amp;utm_content=87085302&amp;utm_source=hs_email&amp;hsCtaTracking=6fedf137-fd90-4f17-bfb4-d61f710ec7f8%7Cf2771843-6636-4969-9010-2d8d0389b89c" TargetMode="External"/><Relationship Id="rId1922" Type="http://schemas.openxmlformats.org/officeDocument/2006/relationships/hyperlink" Target="https://resources.simonelectric.com/simon-catalogo-vehiculo-electrico?utm_campaign=SIC%20-%20Veh%C3%ADculo%20El%C3%A9ctrico&amp;utm_medium=email&amp;_hsenc=p2ANqtz-_bOwNZoZ_KOXJnuueEbhnyYbXfXnkW3GPUyodyRrSStMWuzs2eWG1dZgs-QHSqRvrYCJLm&amp;_hsmi=87085363&amp;utm_content=87085363&amp;utm_source=hs_email&amp;hsCtaTracking=6fedf137-fd90-4f17-bfb4-d61f710ec7f8%7Cf2771843-6636-4969-9010-2d8d0389b89c" TargetMode="External"/><Relationship Id="rId1923" Type="http://schemas.openxmlformats.org/officeDocument/2006/relationships/hyperlink" Target="https://resources.simonelectric.com/simon-catalogo-vehiculo-electrico?utm_campaign=SIC%20-%20Veh%C3%ADculo%20El%C3%A9ctrico&amp;utm_medium=email&amp;_hsenc=p2ANqtz--hwcjOaXMcEUENaeYJtCccwki7y8sSl5W1flfbVfIkZ-32pwZNvobwEsnuNGvBBZ_eIz56&amp;_hsmi=87085363&amp;utm_content=87085363&amp;utm_source=hs_email&amp;hsCtaTracking=6fedf137-fd90-4f17-bfb4-d61f710ec7f8%7Cf2771843-6636-4969-9010-2d8d0389b89c" TargetMode="External"/><Relationship Id="rId1924" Type="http://schemas.openxmlformats.org/officeDocument/2006/relationships/hyperlink" Target="https://resources.simonelectric.com/simon-catalogo-vehiculo-electrico?utm_campaign=SIC%20-%20Veh%C3%ADculo%20El%C3%A9ctrico&amp;utm_medium=email&amp;_hsenc=p2ANqtz-8YdfdTFzPmbPmEcB4hpcqJqzyZ-R7tFaTwgtMrk9faneAcrJ1AXrJM-zOLqWjdQH78sDps&amp;_hsmi=87085363&amp;utm_content=87085363&amp;utm_source=hs_email&amp;hsCtaTracking=6fedf137-fd90-4f17-bfb4-d61f710ec7f8%7Cf2771843-6636-4969-9010-2d8d0389b89c" TargetMode="External"/><Relationship Id="rId1925" Type="http://schemas.openxmlformats.org/officeDocument/2006/relationships/hyperlink" Target="https://resources.simonelectric.com/simon-catalogo-vehiculo-electrico?utm_campaign=SIC%20-%20Veh%C3%ADculo%20El%C3%A9ctrico&amp;utm_medium=email&amp;_hsenc=p2ANqtz--hsckqriUCuLqwee7O2nHjleQb-lNLGP3GWyucADazEk1tWB5tEIXZoal2dd-2VuZN_AvN&amp;_hsmi=87085363&amp;utm_content=87085363&amp;utm_source=hs_email&amp;hsCtaTracking=6fedf137-fd90-4f17-bfb4-d61f710ec7f8%7Cf2771843-6636-4969-9010-2d8d0389b89c" TargetMode="External"/><Relationship Id="rId1926" Type="http://schemas.openxmlformats.org/officeDocument/2006/relationships/hyperlink" Target="https://resources.simonelectric.com/simon-catalogo-vehiculo-electrico?utm_campaign=SIC%20-%20Veh%C3%ADculo%20El%C3%A9ctrico&amp;utm_medium=email&amp;_hsenc=p2ANqtz-9fmP53irEtGS6BOvDUhXptkL9lHuePRW1JdKsb3mNIa8IvSj3uJUQROF08SrBHJkRjphZJ&amp;_hsmi=87085363&amp;utm_content=87085363&amp;utm_source=hs_email&amp;hsCtaTracking=6fedf137-fd90-4f17-bfb4-d61f710ec7f8%7Cf2771843-6636-4969-9010-2d8d0389b89c" TargetMode="External"/><Relationship Id="rId1927" Type="http://schemas.openxmlformats.org/officeDocument/2006/relationships/hyperlink" Target="https://resources.simonelectric.com/simon-catalogo-vehiculo-electrico?utm_campaign=SIC%20-%20Veh%C3%ADculo%20El%C3%A9ctrico&amp;utm_medium=email&amp;_hsenc=p2ANqtz-9vGa_xFnqfvT2BtkEejmbTJTx70Ld87xhJEsgXZWIy-XggvogkuaCHUIQTZvf4WfXWD7SZ&amp;_hsmi=87085363&amp;utm_content=87085363&amp;utm_source=hs_email&amp;hsCtaTracking=6fedf137-fd90-4f17-bfb4-d61f710ec7f8%7Cf2771843-6636-4969-9010-2d8d0389b89c" TargetMode="External"/><Relationship Id="rId1928" Type="http://schemas.openxmlformats.org/officeDocument/2006/relationships/hyperlink" Target="https://resources.simonelectric.com/simon-catalogo-vehiculo-electrico?utm_campaign=SIC%20-%20Veh%C3%ADculo%20El%C3%A9ctrico&amp;utm_medium=email&amp;_hsenc=p2ANqtz-8VcOTqD9CtoSvRPhR2FExd6riP9hmd4bYMiaj15GvfE78bbc88WXHmpjBSr-Ac4AF-3oMR&amp;_hsmi=87085363&amp;utm_content=87085363&amp;utm_source=hs_email&amp;hsCtaTracking=6fedf137-fd90-4f17-bfb4-d61f710ec7f8%7Cf2771843-6636-4969-9010-2d8d0389b89c" TargetMode="External"/><Relationship Id="rId1929" Type="http://schemas.openxmlformats.org/officeDocument/2006/relationships/hyperlink" Target="https://resources.simonelectric.com/simon-catalogo-vehiculo-electrico?utm_campaign=SIC%20-%20Veh%C3%ADculo%20El%C3%A9ctrico&amp;utm_medium=email&amp;_hsenc=p2ANqtz-9DFGzi79O8dORwmaNoKoGG5lD74Y2rhFdWyUbEIsTAQfvpy3tucwo58uOtlRSZOQmCv8Aa&amp;_hsmi=87085363&amp;utm_content=87085363&amp;utm_source=hs_email&amp;hsCtaTracking=6fedf137-fd90-4f17-bfb4-d61f710ec7f8%7Cf2771843-6636-4969-9010-2d8d0389b89c" TargetMode="External"/><Relationship Id="rId1950" Type="http://schemas.openxmlformats.org/officeDocument/2006/relationships/hyperlink" Target="https://resources.simonelectric.com/simon-catalogo-vehiculo-electrico?utm_campaign=SIC%20-%20Veh%C3%ADculo%20El%C3%A9ctrico&amp;utm_medium=email&amp;_hsenc=p2ANqtz--OYRsIq2qy98ZGZA2OB1pT9sHqmhkS97c3m1JlllNPKX7WvtfmYs_bY6-zykjZlB_UxBt3&amp;_hsmi=87085363&amp;utm_content=87085363&amp;utm_source=hs_email&amp;hsCtaTracking=6fedf137-fd90-4f17-bfb4-d61f710ec7f8%7Cf2771843-6636-4969-9010-2d8d0389b89c" TargetMode="External"/><Relationship Id="rId1951" Type="http://schemas.openxmlformats.org/officeDocument/2006/relationships/hyperlink" Target="https://resources.simonelectric.com/simon-catalogo-vehiculo-electrico?utm_campaign=SIC%20-%20Veh%C3%ADculo%20El%C3%A9ctrico&amp;utm_medium=email&amp;_hsenc=p2ANqtz--wfi5iZGAc0oSUTkWRBSbCyv3mcEgHz9dpBVwycszv6xtzvWzYK0wCxvlTnES0ckLzUGvO&amp;_hsmi=87085302&amp;utm_content=87085302&amp;utm_source=hs_email&amp;hsCtaTracking=6fedf137-fd90-4f17-bfb4-d61f710ec7f8%7Cf2771843-6636-4969-9010-2d8d0389b89c" TargetMode="External"/><Relationship Id="rId1952" Type="http://schemas.openxmlformats.org/officeDocument/2006/relationships/hyperlink" Target="https://resources.simonelectric.com/simon-catalogo-vehiculo-electrico?utm_campaign=SIC%20-%20Veh%C3%ADculo%20El%C3%A9ctrico&amp;utm_medium=email&amp;_hsenc=p2ANqtz-8ghcdqG1X1-COyt2O0w62F-46iNF5e4Q0DB2SpS0_zy2kLbCwu-gu165PA-NXlicddX9w7&amp;_hsmi=87085302&amp;utm_content=87085302&amp;utm_source=hs_email&amp;hsCtaTracking=6fedf137-fd90-4f17-bfb4-d61f710ec7f8%7Cf2771843-6636-4969-9010-2d8d0389b89c" TargetMode="External"/><Relationship Id="rId1953" Type="http://schemas.openxmlformats.org/officeDocument/2006/relationships/hyperlink" Target="https://resources.simonelectric.com/simon-catalogo-vehiculo-electrico?utm_campaign=SIC%20-%20Veh%C3%ADculo%20El%C3%A9ctrico&amp;utm_medium=email&amp;_hsenc=p2ANqtz-8ksu2Z_GLzXrXhCVZTW671FnFyaAWERdZD3yMP9VrnAKQcNKB4aWA29IN-bxBgPwJUQOgj&amp;_hsmi=87085363&amp;utm_content=87085363&amp;utm_source=hs_email&amp;hsCtaTracking=6fedf137-fd90-4f17-bfb4-d61f710ec7f8%7Cf2771843-6636-4969-9010-2d8d0389b89c" TargetMode="External"/><Relationship Id="rId1954" Type="http://schemas.openxmlformats.org/officeDocument/2006/relationships/hyperlink" Target="https://resources.simonelectric.com/simon-catalogo-vehiculo-electrico?utm_campaign=SIC%20-%20Veh%C3%ADculo%20El%C3%A9ctrico&amp;utm_medium=email&amp;_hsenc=p2ANqtz-_oQA5YmOukvyIiWYEcaZw_esrZLQtHbs1qaNXqzCjVMIcXDgYzd-vsltjeyMeXXqqwPuQN&amp;_hsmi=87085363&amp;utm_content=87085363&amp;utm_source=hs_email&amp;hsCtaTracking=6fedf137-fd90-4f17-bfb4-d61f710ec7f8%7Cf2771843-6636-4969-9010-2d8d0389b89c" TargetMode="External"/><Relationship Id="rId1955" Type="http://schemas.openxmlformats.org/officeDocument/2006/relationships/hyperlink" Target="https://resources.simonelectric.com/simon-catalogo-vehiculo-electrico?utm_campaign=SIC%20-%20Veh%C3%ADculo%20El%C3%A9ctrico&amp;utm_medium=email&amp;_hsenc=p2ANqtz-9lq0bSvrEnmnKmohkyZVfvFhFH2vbBzow6yasXOJSiAvZ7zT-9HvwAaUPhoh_Ywd8mlY6Y&amp;_hsmi=87085363&amp;utm_content=87085363&amp;utm_source=hs_email&amp;hsCtaTracking=6fedf137-fd90-4f17-bfb4-d61f710ec7f8%7Cf2771843-6636-4969-9010-2d8d0389b89c" TargetMode="External"/><Relationship Id="rId1956" Type="http://schemas.openxmlformats.org/officeDocument/2006/relationships/hyperlink" Target="https://resources.simonelectric.com/simon-catalogo-vehiculo-electrico?utm_campaign=SIC%20-%20Veh%C3%ADculo%20El%C3%A9ctrico&amp;utm_medium=email&amp;_hsenc=p2ANqtz-_VAXWrhfvfavPMqN70PFOxTBjyfWWtvdSVPacwcrbcr2_eIfzQupNF4KatLgcJwEA0_df4&amp;_hsmi=87085302&amp;utm_content=87085302&amp;utm_source=hs_email&amp;hsCtaTracking=6fedf137-fd90-4f17-bfb4-d61f710ec7f8%7Cf2771843-6636-4969-9010-2d8d0389b89c" TargetMode="External"/><Relationship Id="rId1957" Type="http://schemas.openxmlformats.org/officeDocument/2006/relationships/hyperlink" Target="https://resources.simonelectric.com/simon-catalogo-vehiculo-electrico?utm_campaign=SIC%20-%20Veh%C3%ADculo%20El%C3%A9ctrico&amp;utm_medium=email&amp;_hsenc=p2ANqtz-8bpck2MDJWkuVOaFYUaDuOiJL3q4zjBuZCEzP-gwSi3MHGJHwGL_QoqHHeXF2FsJxTTBen&amp;_hsmi=87085363&amp;utm_content=87085363&amp;utm_source=hs_email&amp;hsCtaTracking=6fedf137-fd90-4f17-bfb4-d61f710ec7f8%7Cf2771843-6636-4969-9010-2d8d0389b89c" TargetMode="External"/><Relationship Id="rId1958" Type="http://schemas.openxmlformats.org/officeDocument/2006/relationships/hyperlink" Target="https://resources.simonelectric.com/simon-catalogo-vehiculo-electrico?utm_campaign=SIC%20-%20Veh%C3%ADculo%20El%C3%A9ctrico&amp;utm_medium=email&amp;_hsenc=p2ANqtz-_r0yhfF7fGkHgzUHOkDCVY8TcuPHq0yi_NQP0A21S2tRFehvMhQzE6g6WVnfLBxTXJeOAb&amp;_hsmi=87085363&amp;utm_content=87085363&amp;utm_source=hs_email&amp;hsCtaTracking=6fedf137-fd90-4f17-bfb4-d61f710ec7f8%7Cf2771843-6636-4969-9010-2d8d0389b89c" TargetMode="External"/><Relationship Id="rId1959" Type="http://schemas.openxmlformats.org/officeDocument/2006/relationships/hyperlink" Target="https://resources.simonelectric.com/simon-catalogo-vehiculo-electrico?utm_campaign=SIC%20-%20Veh%C3%ADculo%20El%C3%A9ctrico&amp;utm_medium=email&amp;_hsenc=p2ANqtz--T0_zArsufgb9pn34lwDoaB1FJ1ih5lQms9c6C4GEWsny6K4905FMeE28YbSGQwnHg4L_s&amp;_hsmi=87085363&amp;utm_content=87085363&amp;utm_source=hs_email&amp;hsCtaTracking=6fedf137-fd90-4f17-bfb4-d61f710ec7f8%7Cf2771843-6636-4969-9010-2d8d0389b89c" TargetMode="External"/><Relationship Id="rId1940" Type="http://schemas.openxmlformats.org/officeDocument/2006/relationships/hyperlink" Target="https://resources.simonelectric.com/simon-catalogo-vehiculo-electrico?utm_campaign=SIC%20-%20Veh%C3%ADculo%20El%C3%A9ctrico&amp;utm_medium=email&amp;_hsenc=p2ANqtz-__2cqJUQ6hlyGb9fV2R5VgkgeX0XT2TtJmTttGEVfvUKK5b1XU8NXhjhDrXuVl_0AEHYzX&amp;_hsmi=87085363&amp;utm_content=87085363&amp;utm_source=hs_email&amp;hsCtaTracking=6fedf137-fd90-4f17-bfb4-d61f710ec7f8%7Cf2771843-6636-4969-9010-2d8d0389b89c" TargetMode="External"/><Relationship Id="rId1941" Type="http://schemas.openxmlformats.org/officeDocument/2006/relationships/hyperlink" Target="https://resources.simonelectric.com/simon-catalogo-vehiculo-electrico?utm_campaign=SIC%20-%20Veh%C3%ADculo%20El%C3%A9ctrico&amp;utm_medium=email&amp;_hsenc=p2ANqtz-9-_C4iyF-MvRNAWQcWTUjycvJmrl1zrgBHD8eE7mwRow15IlzoLewlqI-ucDmnVUhmjgyN&amp;_hsmi=87085302&amp;utm_content=87085302&amp;utm_source=hs_email&amp;hsCtaTracking=6fedf137-fd90-4f17-bfb4-d61f710ec7f8%7Cf2771843-6636-4969-9010-2d8d0389b89c" TargetMode="External"/><Relationship Id="rId1942" Type="http://schemas.openxmlformats.org/officeDocument/2006/relationships/hyperlink" Target="https://resources.simonelectric.com/simon-catalogo-vehiculo-electrico?utm_campaign=SIC%20-%20Veh%C3%ADculo%20El%C3%A9ctrico&amp;utm_medium=email&amp;_hsenc=p2ANqtz-_Ve2Nkjhf-ZVTyJW6OWT2UyqpmNrGWKFm5Twa0rFURlHiuG93-imP6VheP8fjgDwk9asVM&amp;_hsmi=87085363&amp;utm_content=87085363&amp;utm_source=hs_email&amp;hsCtaTracking=6fedf137-fd90-4f17-bfb4-d61f710ec7f8%7Cf2771843-6636-4969-9010-2d8d0389b89c" TargetMode="External"/><Relationship Id="rId1943" Type="http://schemas.openxmlformats.org/officeDocument/2006/relationships/hyperlink" Target="https://resources.simonelectric.com/simon-catalogo-vehiculo-electrico?utm_campaign=SIC%20-%20Veh%C3%ADculo%20El%C3%A9ctrico&amp;utm_medium=email&amp;_hsenc=p2ANqtz-95CYMBY7odf5KF-wWxzQxLDFE27nPmMwoX55YdVrMme7N5XEgPq1t_XZVELdqsjiWrnslB&amp;_hsmi=87085363&amp;utm_content=87085363&amp;utm_source=hs_email&amp;hsCtaTracking=6fedf137-fd90-4f17-bfb4-d61f710ec7f8%7Cf2771843-6636-4969-9010-2d8d0389b89c" TargetMode="External"/><Relationship Id="rId1944" Type="http://schemas.openxmlformats.org/officeDocument/2006/relationships/hyperlink" Target="https://resources.simonelectric.com/simon-catalogo-vehiculo-electrico?utm_campaign=SIC%20-%20Veh%C3%ADculo%20El%C3%A9ctrico&amp;utm_medium=email&amp;_hsenc=p2ANqtz-_tBwcurYhTVhEzVHElbW29UydlfknkMLyt2uT_n8GHBtUwn6AQHLqy4Dj1Um0pga4Pngrr&amp;_hsmi=87085363&amp;utm_content=87085363&amp;utm_source=hs_email&amp;hsCtaTracking=6fedf137-fd90-4f17-bfb4-d61f710ec7f8%7Cf2771843-6636-4969-9010-2d8d0389b89c" TargetMode="External"/><Relationship Id="rId1945" Type="http://schemas.openxmlformats.org/officeDocument/2006/relationships/hyperlink" Target="https://resources.simonelectric.com/simon-catalogo-vehiculo-electrico?__hstc=83084745.a7503098933abe2ed02522052a5a77d9.1588150712815.1588150712815.1588150879363.2&amp;__hssc=83084745.2.1588150879363&amp;__hsfp=3307008459" TargetMode="External"/><Relationship Id="rId1946" Type="http://schemas.openxmlformats.org/officeDocument/2006/relationships/hyperlink" Target="https://resources.simonelectric.com/simon-catalogo-vehiculo-electrico?utm_campaign=SIC%20-%20Veh%C3%ADculo%20El%C3%A9ctrico&amp;utm_medium=email&amp;_hsenc=p2ANqtz--V7MGe7JT7EWrLH0AeI0D99gCr33W9a0z5LGt7WFb4pIh1nhD4E2mzRILZpsCybn3MSmcJ&amp;_hsmi=87085363&amp;utm_content=87085363&amp;utm_source=hs_email&amp;hsCtaTracking=6fedf137-fd90-4f17-bfb4-d61f710ec7f8%7Cf2771843-6636-4969-9010-2d8d0389b89c" TargetMode="External"/><Relationship Id="rId1947" Type="http://schemas.openxmlformats.org/officeDocument/2006/relationships/hyperlink" Target="https://resources.simonelectric.com/simon-catalogo-vehiculo-electrico?utm_campaign=SIC%20-%20Veh%C3%ADculo%20El%C3%A9ctrico&amp;utm_medium=email&amp;_hsenc=p2ANqtz-_A3Zfd0tnANWOP61HrtwMLD_jDPFWJulKIFu4alKQegyrzE2Uakj__RAAxux2cwIEjUYnd&amp;_hsmi=87085363&amp;utm_content=87085363&amp;utm_source=hs_email&amp;hsCtaTracking=6fedf137-fd90-4f17-bfb4-d61f710ec7f8%7Cf2771843-6636-4969-9010-2d8d0389b89c" TargetMode="External"/><Relationship Id="rId1948" Type="http://schemas.openxmlformats.org/officeDocument/2006/relationships/hyperlink" Target="https://resources.simonelectric.com/simon-catalogo-vehiculo-electrico?utm_campaign=SIC%20-%20Veh%C3%ADculo%20El%C3%A9ctrico&amp;utm_medium=email&amp;_hsmi=87085363&amp;_hsenc=p2ANqtz-_H1nUeAuiSTeMEyqjz9DYws9AUuAhb3xSCFRQ3rGbdbLmUbXl0dTNvelvk2atvtSPRBWxD&amp;utm_content=87085363&amp;utm_source=hs_email" TargetMode="External"/><Relationship Id="rId1949" Type="http://schemas.openxmlformats.org/officeDocument/2006/relationships/hyperlink" Target="https://resources.simonelectric.com/simon-catalogo-vehiculo-electrico?utm_campaign=SIC%20-%20Veh%C3%ADculo%20El%C3%A9ctrico&amp;utm_medium=email&amp;_hsenc=p2ANqtz-8skUMJdSSe3ALEiidEvvzM5friM6O0jwTVcLEs4QDNzYH5QoadA62PwHbWfkrmA1dTIvpZ&amp;_hsmi=87085363&amp;utm_content=87085363&amp;utm_source=hs_email&amp;hsCtaTracking=6fedf137-fd90-4f17-bfb4-d61f710ec7f8%7Cf2771843-6636-4969-9010-2d8d0389b89c" TargetMode="External"/><Relationship Id="rId2423" Type="http://schemas.openxmlformats.org/officeDocument/2006/relationships/hyperlink" Target="https://resources.simonelectric.com/simon-ebook-vehiculo-electrico" TargetMode="External"/><Relationship Id="rId375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424" Type="http://schemas.openxmlformats.org/officeDocument/2006/relationships/hyperlink" Target="https://resources.simonelectric.com/simon-ebook-vehiculo-electrico" TargetMode="External"/><Relationship Id="rId3754" Type="http://schemas.openxmlformats.org/officeDocument/2006/relationships/hyperlink" Target="https://resources.simonelectric.com/simon-catalogo-vehiculo-electrico?__hstc=83084745.799d24d878f124cdabd73c88c4c84fdf.1571303286906.1580906989452.1580987071734.4&amp;__hssc=83084745.11.1580987071734&amp;__hsfp=2523309921" TargetMode="External"/><Relationship Id="rId2425" Type="http://schemas.openxmlformats.org/officeDocument/2006/relationships/hyperlink" Target="https://resources.simonelectric.com/simon-catalogo-vehiculo-electrico?__hstc=83084745.bcf08aad916431131b1c7e46234a00e2.1587653006424.1587655246879.1587658861102.3&amp;__hssc=83084745.1.1587658861102&amp;__hsfp=700867237" TargetMode="External"/><Relationship Id="rId3757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-Ib2GRYX_GFRXu0SSEdIHnPY6aaZ3hdB8TcMtfZt6dovC8Nnyxts0HWOiIKVmvR9H0lW-TBm4lmtyMx1DXR9vVBbT0PQ&amp;_hsmi=71033675" TargetMode="External"/><Relationship Id="rId2426" Type="http://schemas.openxmlformats.org/officeDocument/2006/relationships/hyperlink" Target="https://resources.simonelectric.com/simon-material-formativo-vehiculo-electrico" TargetMode="External"/><Relationship Id="rId375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427" Type="http://schemas.openxmlformats.org/officeDocument/2006/relationships/hyperlink" Target="https://resources.simonelectric.com/simon-material-formativo-vehiculo-electrico" TargetMode="External"/><Relationship Id="rId3759" Type="http://schemas.openxmlformats.org/officeDocument/2006/relationships/hyperlink" Target="https://resources.simonelectric.com/simon-ebook-vehiculo-electrico?utm_campaign=SIC%20-%20Veh%C3%ADculo%20El%C3%A9ctrico&amp;utm_medium=email&amp;_hsenc=p2ANqtz-_JsEdo4FJY3qG6RlfrXXQCPa2_sdYHvfIii_1S7uk8l2P4NbMD4NAJcwteUR1G_VFElUjwp7H2zaSvVu6wGIkPLZtGzg&amp;_hsmi=71033675&amp;utm_source=hs_automation&amp;utm_content=71033675&amp;hsCtaTracking=2e94ebfc-d414-4389-870c-d2f266a9420b%7C587ac4dc-a49a-4bdc-b449-e36f5d95395b" TargetMode="External"/><Relationship Id="rId2428" Type="http://schemas.openxmlformats.org/officeDocument/2006/relationships/hyperlink" Target="https://resources.simonelectric.com/simon-material-formativo-vehiculo-electrico" TargetMode="External"/><Relationship Id="rId3758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%3Futm_campaign%3DSIC%2520-%2520Veh%25C3%25ADculo%2520El%25C3%25A9ctrico%26utm_source%3Dhs_automation%26utm_medium%3Demail%26utm_content%3D71033828%26_hsenc%3Dp2ANqtz-8RoE--gqSlMIcL7WC0KzQuJxvWwt_3S69bJ538AeF6F-Jobs5UNjVyH2i_CvTpoSl8ucu6bFG9o2a3O2PK4KAA2BDnTg%26_hsmi%3D71033828" TargetMode="External"/><Relationship Id="rId2429" Type="http://schemas.openxmlformats.org/officeDocument/2006/relationships/hyperlink" Target="https://resources.simonelectric.com/simon-material-formativo-vehiculo-electrico" TargetMode="External"/><Relationship Id="rId50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0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0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0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01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500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50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50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05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50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751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420" Type="http://schemas.openxmlformats.org/officeDocument/2006/relationships/hyperlink" Target="https://resources.simonelectric.com/simon-ebook-vehiculo-electrico" TargetMode="External"/><Relationship Id="rId3750" Type="http://schemas.openxmlformats.org/officeDocument/2006/relationships/hyperlink" Target="https://resources.simonelectric.com/simon-ebook-vehiculo-electrico" TargetMode="External"/><Relationship Id="rId2421" Type="http://schemas.openxmlformats.org/officeDocument/2006/relationships/hyperlink" Target="https://resources.simonelectric.com/simon-catalogo-vehiculo-electrico?__hstc=83084745.cd8c29e3ef3098b894b0ff3ec5a6561b.1587653065408.1587657016813.1587658948646.3&amp;__hssc=83084745.5.1587658948646&amp;__hsfp=1274965994" TargetMode="External"/><Relationship Id="rId3753" Type="http://schemas.openxmlformats.org/officeDocument/2006/relationships/hyperlink" Target="https://resources.simonelectric.com/simon-catalogo-vehiculo-electrico?__hstc=83084745.1774e341d4e6277bb68df8054409219c.1580994858273.1580994858273.1580994858273.1&amp;__hssc=83084745.5.1580994858274&amp;__hsfp=1388327447" TargetMode="External"/><Relationship Id="rId2422" Type="http://schemas.openxmlformats.org/officeDocument/2006/relationships/hyperlink" Target="https://resources.simonelectric.com/simon-catalogo-vehiculo-electrico" TargetMode="External"/><Relationship Id="rId375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412" Type="http://schemas.openxmlformats.org/officeDocument/2006/relationships/hyperlink" Target="https://resources.simonelectric.com/simon-material-formativo-vehiculo-electrico" TargetMode="External"/><Relationship Id="rId3744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413" Type="http://schemas.openxmlformats.org/officeDocument/2006/relationships/hyperlink" Target="https://resources.simonelectric.com/simon-material-formativo-vehiculo-electrico" TargetMode="External"/><Relationship Id="rId3743" Type="http://schemas.openxmlformats.org/officeDocument/2006/relationships/hyperlink" Target="https://resources.simonelectric.com/simon-ebook-vehiculo-electrico" TargetMode="External"/><Relationship Id="rId2414" Type="http://schemas.openxmlformats.org/officeDocument/2006/relationships/hyperlink" Target="https://resources.simonelectric.com/simon-material-formativo-vehiculo-electrico" TargetMode="External"/><Relationship Id="rId3746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_kJi5SfliUNByrqIB-UBwVcLcGSuVtfq-FJhcYGOHMILnLDhgZRXAC3glct4x5doW1Rhcry-2dLj-u50oOHV-XrWSncA&amp;_hsmi=71034014" TargetMode="External"/><Relationship Id="rId2415" Type="http://schemas.openxmlformats.org/officeDocument/2006/relationships/hyperlink" Target="https://resources.simonelectric.com/simon-material-formativo-vehiculo-electrico" TargetMode="External"/><Relationship Id="rId3745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89AboYlwZ9X6y2JXqbsHvpZCBh7vY8cA4enCE67gKSe97AU45GoAK3M4xNdXYArQr5lHDqZnku3gkJivQKoF6TwfyrJw&amp;_hsmi=71034014" TargetMode="External"/><Relationship Id="rId2416" Type="http://schemas.openxmlformats.org/officeDocument/2006/relationships/hyperlink" Target="https://resources.simonelectric.com/simon-material-formativo-vehiculo-electrico" TargetMode="External"/><Relationship Id="rId3748" Type="http://schemas.openxmlformats.org/officeDocument/2006/relationships/hyperlink" Target="https://resources.simonelectric.com/simon-catalogo-vehiculo-electrico?__hstc=83084745.280ca9f5c65eee3a9659405652ab9480.1581078224752.1581078224752.1581078224752.1&amp;__hssc=83084745.4.1581078224755&amp;__hsfp=1540626750" TargetMode="External"/><Relationship Id="rId2417" Type="http://schemas.openxmlformats.org/officeDocument/2006/relationships/hyperlink" Target="https://resources.simonelectric.com/simon-material-formativo-vehiculo-electrico" TargetMode="External"/><Relationship Id="rId374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418" Type="http://schemas.openxmlformats.org/officeDocument/2006/relationships/hyperlink" Target="https://resources.simonelectric.com/simon-catalogo-vehiculo-electrico?__hstc=83084745.aac938e47ea331d53975d39a4f8bc3e0.1587658846815.1587658846815.1587658846815.1&amp;__hssc=83084745.3.1587658846815&amp;__hsfp=2240145725" TargetMode="External"/><Relationship Id="rId2419" Type="http://schemas.openxmlformats.org/officeDocument/2006/relationships/hyperlink" Target="https://resources.simonelectric.com/simon-ebook-vehiculo-electrico" TargetMode="External"/><Relationship Id="rId3749" Type="http://schemas.openxmlformats.org/officeDocument/2006/relationships/hyperlink" Target="https://resources.simonelectric.com/simon-ebook-vehiculo-electrico?utm_campaign=SIC%20-%20Veh%C3%ADculo%20El%C3%A9ctrico&amp;utm_medium=email&amp;_hsenc=p2ANqtz-9MgZwYhLoI5TPM589r_S7rLdfVxJxBuzQbZF5molqJNYZaiwxrTMgKz400JESSopgJXa_4VqjAIN60OeHpxwVvknaw_Q&amp;_hsmi=71033675&amp;utm_source=hs_automation&amp;utm_content=71033675&amp;hsCtaTracking=2e94ebfc-d414-4389-870c-d2f266a9420b%7C587ac4dc-a49a-4bdc-b449-e36f5d95395b" TargetMode="External"/><Relationship Id="rId3740" Type="http://schemas.openxmlformats.org/officeDocument/2006/relationships/hyperlink" Target="https://resources.simonelectric.com/simon-ebook-vehiculo-electrico?__hssc=83084745.1.1581260388828&amp;__hstc=83084745.967665d8bdad7cacc9929e1ed9f5b063.1581256138908.1581256138908.1581260388828.2&amp;__hsfp=2986513318&amp;hsCtaTracking=2e94ebfc-d414-4389-870c-d2f266a9420b%7C587ac4dc-a49a-4bdc-b449-e36f5d95395b" TargetMode="External"/><Relationship Id="rId2410" Type="http://schemas.openxmlformats.org/officeDocument/2006/relationships/hyperlink" Target="https://resources.simonelectric.com/simon-material-formativo-vehiculo-electrico" TargetMode="External"/><Relationship Id="rId3742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2411" Type="http://schemas.openxmlformats.org/officeDocument/2006/relationships/hyperlink" Target="https://resources.simonelectric.com/simon-material-formativo-vehiculo-electrico" TargetMode="External"/><Relationship Id="rId3741" Type="http://schemas.openxmlformats.org/officeDocument/2006/relationships/hyperlink" Target="https://resources.simonelectric.com/simon-ebook-vehiculo-electrico" TargetMode="External"/><Relationship Id="rId1114" Type="http://schemas.openxmlformats.org/officeDocument/2006/relationships/hyperlink" Target="https://resources.simonelectric.com/simon-material-formativo-vehiculo-electrico" TargetMode="External"/><Relationship Id="rId2445" Type="http://schemas.openxmlformats.org/officeDocument/2006/relationships/hyperlink" Target="https://resources.simonelectric.com/simon-material-formativo-vehiculo-electrico" TargetMode="External"/><Relationship Id="rId3777" Type="http://schemas.openxmlformats.org/officeDocument/2006/relationships/hyperlink" Target="https://resources.simonelectric.com/simon-catalogo-vehiculo-electrico?__hstc=83084745.62051e47f89016cd1fe61d6f604cd8cd.1580560897759.1580589203194.1580816071900.4&amp;__hssc=83084745.1.1580816071900&amp;__hsfp=2783527544" TargetMode="External"/><Relationship Id="rId1115" Type="http://schemas.openxmlformats.org/officeDocument/2006/relationships/hyperlink" Target="https://resources.simonelectric.com/simon-ebook-vehiculo-electrico?utm_campaign=SIC%20-%20Veh%C3%ADculo%20El%C3%A9ctrico&amp;utm_medium=email&amp;_hsenc=p2ANqtz-8jqaayXlxzOmynIvLSWKW5MdW6ncPUJm3uYO4jSDukhoNBR_HwDB4qOgY5JYDeK31MRrQahU0gixSmNpvdvTYHBvcXbA&amp;_hsmi=71033675&amp;utm_source=hs_automation&amp;utm_content=71033675&amp;hsCtaTracking=2e94ebfc-d414-4389-870c-d2f266a9420b%7C587ac4dc-a49a-4bdc-b449-e36f5d95395b" TargetMode="External"/><Relationship Id="rId2446" Type="http://schemas.openxmlformats.org/officeDocument/2006/relationships/hyperlink" Target="https://resources.simonelectric.com/simon-material-formativo-vehiculo-electrico" TargetMode="External"/><Relationship Id="rId377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116" Type="http://schemas.openxmlformats.org/officeDocument/2006/relationships/hyperlink" Target="https://resources.simonelectric.com/simon-ebook-vehiculo-electrico?utm_campaign=SIC%20-%20Veh%C3%ADculo%20El%C3%A9ctrico&amp;utm_medium=email&amp;_hsenc=p2ANqtz-96jqoWAgTSg4IplDLvQuFL2yjlvbd24d7NKCPDQh5Xp-09NHjIctrSnJ74Ddcuzqh0aY9lR6-ebXYX4nB_uQPhp3SShA&amp;_hsmi=71033675&amp;utm_source=hs_automation&amp;utm_content=71033675&amp;hsCtaTracking=2e94ebfc-d414-4389-870c-d2f266a9420b%7C587ac4dc-a49a-4bdc-b449-e36f5d95395b" TargetMode="External"/><Relationship Id="rId2447" Type="http://schemas.openxmlformats.org/officeDocument/2006/relationships/hyperlink" Target="https://resources.simonelectric.com/simon-material-formativo-vehiculo-electrico" TargetMode="External"/><Relationship Id="rId3779" Type="http://schemas.openxmlformats.org/officeDocument/2006/relationships/hyperlink" Target="https://resources.simonelectric.com/simon-ebook-vehiculo-electrico?utm_referrer=https%3A%2F%2Fwww.simonelectric.com%2Fvehiculo-electrico%2Fsoluciones-recarga-interior" TargetMode="External"/><Relationship Id="rId1117" Type="http://schemas.openxmlformats.org/officeDocument/2006/relationships/hyperlink" Target="https://resources.simonelectric.com/simon-ebook-vehiculo-electrico?utm_campaign=SIC%20-%20Veh%C3%ADculo%20El%C3%A9ctrico&amp;utm_medium=email&amp;_hsmi=71033675&amp;_hsenc=p2ANqtz-_fX3BuFhu0SPGF346S4I-aVPsnkf2-vkwG_1XLFpOMaPNY5dTraXfrdWlOknWn6bY69JLg&amp;utm_content=71033675&amp;utm_source=hs_automation" TargetMode="External"/><Relationship Id="rId2448" Type="http://schemas.openxmlformats.org/officeDocument/2006/relationships/hyperlink" Target="https://resources.simonelectric.com/simon-material-formativo-vehiculo-electrico" TargetMode="External"/><Relationship Id="rId3778" Type="http://schemas.openxmlformats.org/officeDocument/2006/relationships/hyperlink" Target="https://resources.simonelectric.com/simon-ebook-vehiculo-electrico" TargetMode="External"/><Relationship Id="rId111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449" Type="http://schemas.openxmlformats.org/officeDocument/2006/relationships/hyperlink" Target="https://resources.simonelectric.com/simon-material-formativo-vehiculo-electrico" TargetMode="External"/><Relationship Id="rId1119" Type="http://schemas.openxmlformats.org/officeDocument/2006/relationships/hyperlink" Target="https://resources.simonelectric.com/simon-catalogo-vehiculo-electrico?utm_campaign=SIC%20-%20Veh%C3%ADculo%20El%C3%A9ctrico&amp;utm_medium=email&amp;_hsenc=p2ANqtz-9iQZ6upd_7K5SeB676BadB0aviR8gcc8qURWGMl2oibQSa0TpinbDwqFTOgzWDGSve5Mr4&amp;_hsmi=87085302&amp;utm_content=87085302&amp;utm_source=hs_email&amp;hsCtaTracking=6fedf137-fd90-4f17-bfb4-d61f710ec7f8%7Cf2771843-6636-4969-9010-2d8d0389b89c" TargetMode="External"/><Relationship Id="rId525" Type="http://schemas.openxmlformats.org/officeDocument/2006/relationships/hyperlink" Target="https://resources.simonelectric.com/simon-ebook-vehiculo-electrico?utm_referrer=https%3A%2F%2Fwww.simonelectric.com%2Fblog%2Fcargador-del-vehiculo-electrico-y-transicion-la-movilidad-electrica%3Futm_campaign%3DSIC%2520-%2520Blog%2520digest%26utm_medium%3Demail%26_hsmi%3D88911100%26_hsenc%3Dp2ANqtz-8khS65xMX0O2Hy6thIeCRCEz6Vf9oWvZSjdlfpv2oZOuyM0gs1ghJdn2Kx6LY-IYczf4tRm6l0dHUKL0UdEK-Zo9y4UQy2eSuZyExDvoP-oiZrGAc%26utm_content%3D88911100%26utm_source%3Dhs_email" TargetMode="External"/><Relationship Id="rId52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23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52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2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52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2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52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77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440" Type="http://schemas.openxmlformats.org/officeDocument/2006/relationships/hyperlink" Target="https://resources.simonelectric.com/simon-material-formativo-vehiculo-electrico" TargetMode="External"/><Relationship Id="rId377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52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10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%3Futm_campaign%3DSIC%2520-%2520Veh%25C3%25ADculo%2520El%25C3%25A9ctrico%26utm_source%3Dhs_automation%26utm_medium%3Demail%26utm_content%3D71033828%26_hsenc%3Dp2ANqtz--BA_qzZJBhHGqcPMg4wZ1-iFqJP4HanNGtqfJTMJ5BpxHiFgLs4izQlhiTe8W-UkZ5trZ_YZIH2MYe8FZmbVavQ6P2zQ%26_hsmi%3D71033828" TargetMode="External"/><Relationship Id="rId2441" Type="http://schemas.openxmlformats.org/officeDocument/2006/relationships/hyperlink" Target="https://resources.simonelectric.com/simon-material-formativo-vehiculo-electrico" TargetMode="External"/><Relationship Id="rId3773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520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111" Type="http://schemas.openxmlformats.org/officeDocument/2006/relationships/hyperlink" Target="https://resources.simonelectric.com/simon-ebook-vehiculo-electrico?utm_campaign=SIC%20-%20Veh%C3%ADculo%20El%C3%A9ctrico&amp;utm_medium=email&amp;_hsenc=p2ANqtz-8awzY7EBwus-RS1tsD6_707o_abeUt-7_mFOKeaUZa3tUrnhfdShZzDWf2pG8fiLRccXhveR2TwxBsUOKvdvPAS-0yKWl2QxE0Ns6uSwKRKrV89Ys&amp;_hsmi=71033675&amp;utm_source=hs_automation&amp;utm_content=71033675&amp;hsCtaTracking=2e94ebfc-d414-4389-870c-d2f266a9420b%7C587ac4dc-a49a-4bdc-b449-e36f5d95395b" TargetMode="External"/><Relationship Id="rId2442" Type="http://schemas.openxmlformats.org/officeDocument/2006/relationships/hyperlink" Target="https://resources.simonelectric.com/simon-material-formativo-vehiculo-electrico" TargetMode="External"/><Relationship Id="rId3772" Type="http://schemas.openxmlformats.org/officeDocument/2006/relationships/hyperlink" Target="https://resources.simonelectric.com/simon-ebook-vehiculo-electrico" TargetMode="External"/><Relationship Id="rId1112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9yJ_yBexvqJVUMZp4XNRlP6e6Ht1zacPtbRxfULpRk7WJmZT4cQtUfUPVH0dfPjnUzc0zIb0Jc5S3obUKNppDCuBcmWQ%26_hsmi%3D71033828" TargetMode="External"/><Relationship Id="rId2443" Type="http://schemas.openxmlformats.org/officeDocument/2006/relationships/hyperlink" Target="https://resources.simonelectric.com/simon-material-formativo-vehiculo-electrico" TargetMode="External"/><Relationship Id="rId3775" Type="http://schemas.openxmlformats.org/officeDocument/2006/relationships/hyperlink" Target="https://resources.simonelectric.com/simon-material-formativo-vehiculo-electrico" TargetMode="External"/><Relationship Id="rId1113" Type="http://schemas.openxmlformats.org/officeDocument/2006/relationships/hyperlink" Target="https://resources.simonelectric.com/simon-material-formativo-vehiculo-electrico" TargetMode="External"/><Relationship Id="rId2444" Type="http://schemas.openxmlformats.org/officeDocument/2006/relationships/hyperlink" Target="https://resources.simonelectric.com/simon-material-formativo-vehiculo-electrico" TargetMode="External"/><Relationship Id="rId377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103" Type="http://schemas.openxmlformats.org/officeDocument/2006/relationships/hyperlink" Target="https://resources.simonelectric.com/simon-catalogo-vehiculo-electrico?utm_campaign=SIC%20-%20Veh%C3%ADculo%20El%C3%A9ctrico&amp;utm_medium=email&amp;_hsenc=p2ANqtz-8hMcaKBvev6w6q5pibXnidTn9ETqG1ZyJms8h4h71dzpSd6Mqwhpq0mcnRpxCavwZDBzBg&amp;_hsmi=87085363&amp;utm_content=87085363&amp;utm_source=hs_email&amp;hsCtaTracking=6fedf137-fd90-4f17-bfb4-d61f710ec7f8%7Cf2771843-6636-4969-9010-2d8d0389b89c" TargetMode="External"/><Relationship Id="rId2434" Type="http://schemas.openxmlformats.org/officeDocument/2006/relationships/hyperlink" Target="https://resources.simonelectric.com/simon-material-formativo-vehiculo-electrico" TargetMode="External"/><Relationship Id="rId376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10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435" Type="http://schemas.openxmlformats.org/officeDocument/2006/relationships/hyperlink" Target="https://resources.simonelectric.com/simon-material-formativo-vehiculo-electrico" TargetMode="External"/><Relationship Id="rId3765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10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436" Type="http://schemas.openxmlformats.org/officeDocument/2006/relationships/hyperlink" Target="https://resources.simonelectric.com/simon-material-formativo-vehiculo-electrico" TargetMode="External"/><Relationship Id="rId3768" Type="http://schemas.openxmlformats.org/officeDocument/2006/relationships/hyperlink" Target="https://resources.simonelectric.com/simon-ebook-vehiculo-electrico?utm_campaign=SIC%20-%20Veh%C3%ADculo%20El%C3%A9ctrico&amp;utm_medium=email&amp;_hsenc=p2ANqtz-9AwPiWAoN6lJbXVAPlJ7lt5w62WvfDP8S6Feki6be1--4i5amDlpfHx54V6HTVAJxv5NRD-zBUdn1GP-c62eX1wYjHdVaFCfMnaw-B1LIXyjR2JFA&amp;utm_source=hs_email&amp;utm_content=71033675&amp;hsCtaTracking=2e94ebfc-d414-4389-870c-d2f266a9420b%7C587ac4dc-a49a-4bdc-b449-e36f5d95395b" TargetMode="External"/><Relationship Id="rId1106" Type="http://schemas.openxmlformats.org/officeDocument/2006/relationships/hyperlink" Target="https://resources.simonelectric.com/simon-ebook-vehiculo-electrico?utm_campaign=SIC%20-%20Veh%C3%ADculo%20El%C3%A9ctrico&amp;utm_medium=email&amp;_hsenc=p2ANqtz-8pTH0orYErtNM11e0eE_vVTGcNUaY0LS3gaTClDoSaPkUBM8CyJbmkRxahe5dAvRvbQOUjQMKKPXDZs88Qhe75--DmPMDitjff_GdbR58xktVKjdk&amp;_hsmi=71033675&amp;utm_source=hs_automation&amp;utm_content=71033675&amp;hsCtaTracking=2e94ebfc-d414-4389-870c-d2f266a9420b%7C587ac4dc-a49a-4bdc-b449-e36f5d95395b" TargetMode="External"/><Relationship Id="rId2437" Type="http://schemas.openxmlformats.org/officeDocument/2006/relationships/hyperlink" Target="https://resources.simonelectric.com/simon-material-formativo-vehiculo-electrico" TargetMode="External"/><Relationship Id="rId376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10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438" Type="http://schemas.openxmlformats.org/officeDocument/2006/relationships/hyperlink" Target="https://resources.simonelectric.com/simon-material-formativo-vehiculo-electrico" TargetMode="External"/><Relationship Id="rId1108" Type="http://schemas.openxmlformats.org/officeDocument/2006/relationships/hyperlink" Target="https://resources.simonelectric.com/simon-ebook-vehiculo-electrico?utm_campaign=SIC%20-%20Veh%C3%ADculo%20El%C3%A9ctrico&amp;utm_medium=email&amp;_hsenc=p2ANqtz-_i0hX49Ptj_Vy0GkqEWcayzR8BZEY-OIdOLB_418uF8fR4MA_Q3wfK6JUB8shrL85wBKPr&amp;_hsmi=71033675&amp;utm_content=71033675&amp;utm_source=hs_automation&amp;hsCtaTracking=2e94ebfc-d414-4389-870c-d2f266a9420b%7C587ac4dc-a49a-4bdc-b449-e36f5d95395b" TargetMode="External"/><Relationship Id="rId2439" Type="http://schemas.openxmlformats.org/officeDocument/2006/relationships/hyperlink" Target="https://resources.simonelectric.com/simon-material-formativo-vehiculo-electrico" TargetMode="External"/><Relationship Id="rId376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109" Type="http://schemas.openxmlformats.org/officeDocument/2006/relationships/hyperlink" Target="https://resources.simonelectric.com/simon-ebook-vehiculo-electrico?utm_campaign=SIC%20-%20Veh%C3%ADculo%20El%C3%A9ctrico&amp;utm_medium=email&amp;_hsenc=p2ANqtz-_7BNILzlpEQlBygAYceWhfA_HKs5G7EL5HMJ5YTBYFggj3mGFN9UgA-1kLv2BZbmW6iBzN_WZP9xa5klktmsmVfyodLw&amp;_hsmi=71033675&amp;utm_source=hs_automation&amp;utm_content=71033675&amp;hsCtaTracking=2e94ebfc-d414-4389-870c-d2f266a9420b%7C587ac4dc-a49a-4bdc-b449-e36f5d95395b" TargetMode="External"/><Relationship Id="rId51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51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1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1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11" Type="http://schemas.openxmlformats.org/officeDocument/2006/relationships/hyperlink" Target="https://resources.simonelectric.com/simon-catalogo-vehiculo-electrico" TargetMode="External"/><Relationship Id="rId51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1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1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15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760" Type="http://schemas.openxmlformats.org/officeDocument/2006/relationships/hyperlink" Target="https://resources.simonelectric.com/simon-ebook-vehiculo-electrico?utm_campaign=SIC%20-%20Veh%C3%ADculo%20El%C3%A9ctrico&amp;utm_medium=email&amp;_hsenc=p2ANqtz--s1g3imrQOh13NH6CUKV-YpYQHwAt0w97OD2qTKZyQO56eVCrcnc6j5ajfENjVDjbaGegGlQVaNh3nAcFBz7d57TQvQQ&amp;_hsmi=71033675&amp;utm_source=hs_automation&amp;utm_content=71033675&amp;hsCtaTracking=2e94ebfc-d414-4389-870c-d2f266a9420b%7C587ac4dc-a49a-4bdc-b449-e36f5d95395b" TargetMode="External"/><Relationship Id="rId51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430" Type="http://schemas.openxmlformats.org/officeDocument/2006/relationships/hyperlink" Target="https://resources.simonelectric.com/simon-ebook-vehiculo-electrico" TargetMode="External"/><Relationship Id="rId376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100" Type="http://schemas.openxmlformats.org/officeDocument/2006/relationships/hyperlink" Target="https://resources.simonelectric.com/simon-catalogo-vehiculo-electrico?__hstc=83084745.67ffaa503bafbb6c3ffeb9f5d7208d1f.1589220919217.1589220919217.1589220919217.1&amp;__hssc=83084745.1.1589220919217&amp;__hsfp=3058755970" TargetMode="External"/><Relationship Id="rId2431" Type="http://schemas.openxmlformats.org/officeDocument/2006/relationships/hyperlink" Target="https://resources.simonelectric.com/simon-material-formativo-vehiculo-electrico" TargetMode="External"/><Relationship Id="rId376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101" Type="http://schemas.openxmlformats.org/officeDocument/2006/relationships/hyperlink" Target="https://resources.simonelectric.com/simon-material-formativo-vehiculo-electrico" TargetMode="External"/><Relationship Id="rId2432" Type="http://schemas.openxmlformats.org/officeDocument/2006/relationships/hyperlink" Target="https://resources.simonelectric.com/simon-ebook-vehiculo-electrico" TargetMode="External"/><Relationship Id="rId3764" Type="http://schemas.openxmlformats.org/officeDocument/2006/relationships/hyperlink" Target="https://resources.simonelectric.com/simon-catalogo-vehiculo-electrico?__hstc=83084745.b2c12b7d88ce5cff5a0fe5d5f3349bcc.1528795551580.1571728960493.1580927502850.14&amp;__hssc=83084745.5.1580927502850&amp;__hsfp=1348086788" TargetMode="External"/><Relationship Id="rId1102" Type="http://schemas.openxmlformats.org/officeDocument/2006/relationships/hyperlink" Target="https://resources.simonelectric.com/simon-ebook-vehiculo-electrico?utm_referrer=https%3A%2F%2Fwww.simonelectric.com%2Fvehiculo-electrico%2Fsoluciones-recarga-exterior" TargetMode="External"/><Relationship Id="rId2433" Type="http://schemas.openxmlformats.org/officeDocument/2006/relationships/hyperlink" Target="https://resources.simonelectric.com/simon-material-formativo-vehiculo-electrico" TargetMode="External"/><Relationship Id="rId376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711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710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713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712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715" Type="http://schemas.openxmlformats.org/officeDocument/2006/relationships/hyperlink" Target="https://resources.simonelectric.com/simon-material-formativo-vehiculo-electrico" TargetMode="External"/><Relationship Id="rId3714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" TargetMode="External"/><Relationship Id="rId3717" Type="http://schemas.openxmlformats.org/officeDocument/2006/relationships/hyperlink" Target="https://resources.simonelectric.com/simon-material-formativo-vehiculo-electrico" TargetMode="External"/><Relationship Id="rId3716" Type="http://schemas.openxmlformats.org/officeDocument/2006/relationships/hyperlink" Target="https://resources.simonelectric.com/simon-material-formativo-vehiculo-electrico" TargetMode="External"/><Relationship Id="rId3719" Type="http://schemas.openxmlformats.org/officeDocument/2006/relationships/hyperlink" Target="https://resources.simonelectric.com/simon-material-formativo-vehiculo-electrico" TargetMode="External"/><Relationship Id="rId3718" Type="http://schemas.openxmlformats.org/officeDocument/2006/relationships/hyperlink" Target="https://resources.simonelectric.com/simon-material-formativo-vehiculo-electrico" TargetMode="External"/><Relationship Id="rId370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702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3701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_TjGjsyyjrRE7rCEPWlwd3yuTVCOs-7SLG37WAWZWDuHhq2dbHijotHSm8OAXyKSfXzTJwGxtAI-xzW6eQo58l9pNSSw&amp;_hsmi=71033675" TargetMode="External"/><Relationship Id="rId3704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703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706" Type="http://schemas.openxmlformats.org/officeDocument/2006/relationships/hyperlink" Target="https://resources.simonelectric.com/simon-material-formativo-vehiculo-electrico" TargetMode="External"/><Relationship Id="rId3705" Type="http://schemas.openxmlformats.org/officeDocument/2006/relationships/hyperlink" Target="https://resources.simonelectric.com/simon-ebook-vehiculo-electrico" TargetMode="External"/><Relationship Id="rId3708" Type="http://schemas.openxmlformats.org/officeDocument/2006/relationships/hyperlink" Target="https://resources.simonelectric.com/simon-material-formativo-vehiculo-electrico" TargetMode="External"/><Relationship Id="rId3707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70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401" Type="http://schemas.openxmlformats.org/officeDocument/2006/relationships/hyperlink" Target="https://resources.simonelectric.com/simon-material-formativo-vehiculo-electrico" TargetMode="External"/><Relationship Id="rId373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402" Type="http://schemas.openxmlformats.org/officeDocument/2006/relationships/hyperlink" Target="https://resources.simonelectric.com/simon-ebook-vehiculo-electrico" TargetMode="External"/><Relationship Id="rId373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403" Type="http://schemas.openxmlformats.org/officeDocument/2006/relationships/hyperlink" Target="https://resources.simonelectric.com/simon-material-formativo-vehiculo-electrico" TargetMode="External"/><Relationship Id="rId3735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8uSQqzUIMFI879O964Z__gHCKuLVaWipAFxulNYoglThBcAOy0w9H6cEjLKdCpWK1ywkGZagvt_M7WnSKouJYcmnmjKA&amp;_hsmi=71034014" TargetMode="External"/><Relationship Id="rId2404" Type="http://schemas.openxmlformats.org/officeDocument/2006/relationships/hyperlink" Target="https://resources.simonelectric.com/simon-material-formativo-vehiculo-electrico" TargetMode="External"/><Relationship Id="rId3734" Type="http://schemas.openxmlformats.org/officeDocument/2006/relationships/hyperlink" Target="https://resources.simonelectric.com/simon-ebook-vehiculo-electrico?utm_referrer=https%3A%2F%2Fwww.simonelectric.com%2Fintl%2Fnode%2F481" TargetMode="External"/><Relationship Id="rId2405" Type="http://schemas.openxmlformats.org/officeDocument/2006/relationships/hyperlink" Target="https://resources.simonelectric.com/simon-material-formativo-vehiculo-electrico" TargetMode="External"/><Relationship Id="rId373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406" Type="http://schemas.openxmlformats.org/officeDocument/2006/relationships/hyperlink" Target="https://resources.simonelectric.com/simon-material-formativo-vehiculo-electrico" TargetMode="External"/><Relationship Id="rId3736" Type="http://schemas.openxmlformats.org/officeDocument/2006/relationships/hyperlink" Target="https://resources.simonelectric.com/simon-ebook-vehiculo-electrico?utm_campaign=SIC%20-%20Veh%C3%ADculo%20El%C3%A9ctrico&amp;utm_medium=email&amp;_hsenc=p2ANqtz-_bOcoy-OgCX1zuTWVEiEC9Sd8D9bShJEO8S_i2ZULqx2D3oyiwoHgbDNEgiAtdTTTLX11fAes6LqUI5NOBFIy_zPq2mg&amp;_hsmi=71033675&amp;utm_source=hs_automation&amp;utm_content=71033675&amp;hsCtaTracking=2e94ebfc-d414-4389-870c-d2f266a9420b%7C587ac4dc-a49a-4bdc-b449-e36f5d95395b" TargetMode="External"/><Relationship Id="rId2407" Type="http://schemas.openxmlformats.org/officeDocument/2006/relationships/hyperlink" Target="https://resources.simonelectric.com/simon-material-formativo-vehiculo-electrico" TargetMode="External"/><Relationship Id="rId373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408" Type="http://schemas.openxmlformats.org/officeDocument/2006/relationships/hyperlink" Target="https://resources.simonelectric.com/simon-ebook-vehiculo-electrico" TargetMode="External"/><Relationship Id="rId3738" Type="http://schemas.openxmlformats.org/officeDocument/2006/relationships/hyperlink" Target="https://resources.simonelectric.com/simon-ebook-vehiculo-electrico?utm_referrer=https%3A%2F%2Fwww.simonelectric.com%2Fblog%2Finstalacion-de-un-punto-de-recarga-para-un-coche-electrico%3Futm_source%3Dtwitter%26utm_medium%3Dsocial_ads%26utm_campaign%3Dvehiculo_electrico" TargetMode="External"/><Relationship Id="rId2409" Type="http://schemas.openxmlformats.org/officeDocument/2006/relationships/hyperlink" Target="https://resources.simonelectric.com/simon-material-formativo-vehiculo-electrico" TargetMode="External"/><Relationship Id="rId373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400" Type="http://schemas.openxmlformats.org/officeDocument/2006/relationships/hyperlink" Target="https://resources.simonelectric.com/simon-material-formativo-vehiculo-electrico" TargetMode="External"/><Relationship Id="rId3730" Type="http://schemas.openxmlformats.org/officeDocument/2006/relationships/hyperlink" Target="https://resources.simonelectric.com/simon-ebook-vehiculo-electrico" TargetMode="External"/><Relationship Id="rId3722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3721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" TargetMode="External"/><Relationship Id="rId3724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-BOpEWiTFxQI9yaSTxlk-aGUX5ggnuDR8NvCOaG3sgg4E0_GSIInZzvj5KGsB8M178uYHkXnw1i8zNGZHInRIRzHmsHRWBnFzsnUthRrH7G_iDnQA&amp;_hsmi=71033675" TargetMode="External"/><Relationship Id="rId372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726" Type="http://schemas.openxmlformats.org/officeDocument/2006/relationships/hyperlink" Target="https://resources.simonelectric.com/simon-catalogo-vehiculo-electrico?__hstc=83084745.dbcdd5aaf943053a5618ce9b98d8b59e.1581317553260.1581317553260.1581349476941.2&amp;__hssc=83084745.3.1581349476941&amp;__hsfp=3296011490" TargetMode="External"/><Relationship Id="rId3725" Type="http://schemas.openxmlformats.org/officeDocument/2006/relationships/hyperlink" Target="https://resources.simonelectric.com/simon-ebook-vehiculo-electrico?utm_referrer=https%3A%2F%2Fwww.simonelectric.com%2F" TargetMode="External"/><Relationship Id="rId3728" Type="http://schemas.openxmlformats.org/officeDocument/2006/relationships/hyperlink" Target="https://resources.simonelectric.com/simon-material-formativo-vehiculo-electrico" TargetMode="External"/><Relationship Id="rId372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729" Type="http://schemas.openxmlformats.org/officeDocument/2006/relationships/hyperlink" Target="https://resources.simonelectric.com/simon-catalogo-vehiculo-electrico" TargetMode="External"/><Relationship Id="rId372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59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589" Type="http://schemas.openxmlformats.org/officeDocument/2006/relationships/hyperlink" Target="https://resources.simonelectric.com/simon-catalogo-vehiculo-electrico?__hstc=83084745.1bf5911e44ab8ae2715399d19bbecc72.1584981382242.1590401971247.1590751187744.4&amp;__hssc=83084745.12.1590751187744&amp;__hsfp=85153389" TargetMode="External"/><Relationship Id="rId588" Type="http://schemas.openxmlformats.org/officeDocument/2006/relationships/hyperlink" Target="https://resources.simonelectric.com/simon-ebook-vehiculo-electrico-ppc?utm_source=facebook&amp;utm_medium=social_ads&amp;utm_campaign=vehiculo_electrico&amp;fbclid=IwAR3PjUMODhdqjKIwaY0fcKZHsMQ0tJASdnqkS19kL00T4x4dzML8dIknIjI" TargetMode="External"/><Relationship Id="rId1170" Type="http://schemas.openxmlformats.org/officeDocument/2006/relationships/hyperlink" Target="https://resources.simonelectric.com/simon-ebook-vehiculo-electrico" TargetMode="External"/><Relationship Id="rId117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583" Type="http://schemas.openxmlformats.org/officeDocument/2006/relationships/hyperlink" Target="https://resources.simonelectric.com/simon-catalogo-vehiculo-electrico?utm_campaign=SIC%20-%20Veh%C3%ADculo%20El%C3%A9ctrico&amp;utm_medium=email&amp;_hsmi=87085363&amp;_hsenc=p2ANqtz-8waxyqa7lzMJK_-CcZntUs_sIcIgGbTp7NFN7lmzHTLmc7fXAu0xrMyorylN3bo1clHHQ6&amp;utm_content=87085363&amp;utm_source=hs_email" TargetMode="External"/><Relationship Id="rId1172" Type="http://schemas.openxmlformats.org/officeDocument/2006/relationships/hyperlink" Target="https://resources.simonelectric.com/simon-catalogo-vehiculo-electrico?utm_campaign=SIC%20-%20Veh%C3%ADculo%20El%C3%A9ctrico&amp;utm_medium=email&amp;_hsenc=p2ANqtz--45iW7q9PAfABUqfmyFbRHsa1bLZ5aAoGg73tZBuLKEj6aPdCWXLFGs-8LHoHa9383XYz1&amp;_hsmi=87085363&amp;utm_content=87085363&amp;utm_source=hs_email&amp;hsCtaTracking=6fedf137-fd90-4f17-bfb4-d61f710ec7f8%7Cf2771843-6636-4969-9010-2d8d0389b89c" TargetMode="External"/><Relationship Id="rId582" Type="http://schemas.openxmlformats.org/officeDocument/2006/relationships/hyperlink" Target="https://resources.simonelectric.com/simon-catalogo-vehiculo-electrico?utm_campaign=SIC%20-%20Veh%C3%ADculo%20El%C3%A9ctrico&amp;utm_medium=email&amp;_hsenc=p2ANqtz-8s42I7YODQDO1WQ5NbXC7EzKUCljtQ-h1E_z-WzWoco7tukMfGR9ehkw3dCPhWi1hUDIw5AEDs6KcSq-RWvVZlSBzvuQ&amp;_hsmi=87865495&amp;utm_source=hs_automation&amp;utm_content=87865495&amp;hsCtaTracking=6fedf137-fd90-4f17-bfb4-d61f710ec7f8%7Cf2771843-6636-4969-9010-2d8d0389b89c" TargetMode="External"/><Relationship Id="rId1173" Type="http://schemas.openxmlformats.org/officeDocument/2006/relationships/hyperlink" Target="https://resources.simonelectric.com/simon-ebook-vehiculo-electrico?utm_campaign=SIC%20-%20Veh%C3%ADculo%20El%C3%A9ctrico&amp;utm_medium=email&amp;_hsenc=p2ANqtz--y0URpxgnhWb0zSWIShd6NO9qQA-SdPPC0zHQIqShV-rpN6yF-wBsZNeq8XtxxWyoCSaoj&amp;_hsmi=71033675&amp;utm_content=71033675&amp;utm_source=hs_automation&amp;hsCtaTracking=2e94ebfc-d414-4389-870c-d2f266a9420b%7C587ac4dc-a49a-4bdc-b449-e36f5d95395b" TargetMode="External"/><Relationship Id="rId58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17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80" Type="http://schemas.openxmlformats.org/officeDocument/2006/relationships/hyperlink" Target="https://resources.simonelectric.com/simon-ebook-vehiculo-electrico-ppc?utm_source=facebook&amp;utm_medium=social_ads&amp;utm_campaign=vehiculo_electrico&amp;fbclid=IwAR2WPKo0MATSu57eUl3SA9cPB381SKFGDuKsnZdGHzNOEz-tdtxFKWzDmqM" TargetMode="External"/><Relationship Id="rId1175" Type="http://schemas.openxmlformats.org/officeDocument/2006/relationships/hyperlink" Target="https://resources.simonelectric.com/simon-catalogo-vehiculo-electrico?utm_campaign=SIC%20-%20Veh%C3%ADculo%20El%C3%A9ctrico&amp;utm_medium=email&amp;_hsenc=p2ANqtz--Ye-sZ1GHAEpTQZTZ6n5fajgWTOS_6AdX6dNQpI5rcpfOI2Anr17s58x5y9-vMgy1AHZsh&amp;_hsmi=87085363&amp;utm_content=87085363&amp;utm_source=hs_email&amp;hsCtaTracking=6fedf137-fd90-4f17-bfb4-d61f710ec7f8%7Cf2771843-6636-4969-9010-2d8d0389b89c" TargetMode="External"/><Relationship Id="rId58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176" Type="http://schemas.openxmlformats.org/officeDocument/2006/relationships/hyperlink" Target="https://resources.simonelectric.com/simon-catalogo-vehiculo-electrico?utm_campaign=SIC%20-%20Veh%C3%ADculo%20El%C3%A9ctrico&amp;utm_medium=email&amp;_hsmi=87085363&amp;_hsenc=p2ANqtz-_GKv27I3wemSGgA8E-0nDeAcBoc7h7OQek7jtHajuWR5QCrjqapbLqnzgz_vUyReqtug4q&amp;utm_content=87085363&amp;utm_source=hs_email" TargetMode="External"/><Relationship Id="rId58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17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8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78" Type="http://schemas.openxmlformats.org/officeDocument/2006/relationships/hyperlink" Target="https://resources.simonelectric.com/simon-catalogo-vehiculo-electrico?utm_campaign=SIC%20-%20Veh%C3%ADculo%20El%C3%A9ctrico&amp;utm_medium=email&amp;_hsenc=p2ANqtz-8tVef8KutlUo8BtoxQ3D2VSuJfWOLZsdWtH41A8XKXAo-dZgJEtJ1evso-RGrpeIV193GQ&amp;_hsmi=87085363&amp;utm_content=87085363&amp;utm_source=hs_email&amp;hsCtaTracking=6fedf137-fd90-4f17-bfb4-d61f710ec7f8%7Cf2771843-6636-4969-9010-2d8d0389b89c" TargetMode="External"/><Relationship Id="rId58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17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69" Type="http://schemas.openxmlformats.org/officeDocument/2006/relationships/hyperlink" Target="https://resources.simonelectric.com/simon-ebook-vehiculo-electrico?utm_referrer=https%3A%2F%2Fwww.simonelectric.com%2Fblog%2Fvehiculo-electrico-todo-lo-que-tienes-que-saber-de-movilidad-sostenible%3Futm_campaign%3DSIC%2520-%2520Blog%2520digest%26utm_medium%3Demail%26_hsmi%3D87201776%26_hsenc%3Dp2ANqtz--A9I19PNRNwiVGwcwtpoPXapSEWjw3klRiMf2h0RFc75LJfgSylb_jTtE7TohDWMaUNl8V%26utm_content%3D87201776%26utm_source%3Dhs_email" TargetMode="External"/><Relationship Id="rId579" Type="http://schemas.openxmlformats.org/officeDocument/2006/relationships/hyperlink" Target="https://resources.simonelectric.com/simon-catalogo-vehiculo-electrico?utm_campaign=SIC%20-%20Veh%C3%ADculo%20El%C3%A9ctrico&amp;utm_medium=email&amp;_hsmi=71034014&amp;_hsenc=p2ANqtz-8WRycYrztOh0zcCabrWwo_LC7lUmcvttRPikIaIHQdNp81UYINdH2-NsJQODt906imcjvLHCfGExXDvBeiKa_qF1D07A&amp;utm_content=71034014&amp;utm_source=hs_automation" TargetMode="External"/><Relationship Id="rId578" Type="http://schemas.openxmlformats.org/officeDocument/2006/relationships/hyperlink" Target="https://resources.simonelectric.com/simon-catalogo-vehiculo-electrico?utm_campaign=SIC%20-%20Veh%C3%ADculo%20El%C3%A9ctrico&amp;utm_medium=email&amp;_hsenc=p2ANqtz-_LMhCavP7zngCPeFT8Mj5uKigVCFqhSZoZJEEb7Hn0QU_zJJQEFYlLgy1WIbmB4tX2eVXd&amp;_hsmi=87085363&amp;utm_content=87085363&amp;utm_source=hs_email&amp;hsCtaTracking=6fedf137-fd90-4f17-bfb4-d61f710ec7f8%7Cf2771843-6636-4969-9010-2d8d0389b89c" TargetMode="External"/><Relationship Id="rId577" Type="http://schemas.openxmlformats.org/officeDocument/2006/relationships/hyperlink" Target="https://resources.simonelectric.com/simon-catalogo-vehiculo-electrico?utm_campaign=SIC%20-%20Veh%C3%ADculo%20El%C3%A9ctrico&amp;utm_medium=email&amp;_hsenc=p2ANqtz-9tX6ZwrvHW5AzCXGy4vS0lljrfZNVjsClagsha6Ku4UwHIgxFy_Pcd8hNaE2wRuggy0meW&amp;_hsmi=87085363&amp;utm_content=87085363&amp;utm_source=hs_email&amp;hsCtaTracking=6fedf137-fd90-4f17-bfb4-d61f710ec7f8%7Cf2771843-6636-4969-9010-2d8d0389b89c" TargetMode="External"/><Relationship Id="rId2490" Type="http://schemas.openxmlformats.org/officeDocument/2006/relationships/hyperlink" Target="https://resources.simonelectric.com/simon-material-formativo-vehiculo-electrico" TargetMode="External"/><Relationship Id="rId1160" Type="http://schemas.openxmlformats.org/officeDocument/2006/relationships/hyperlink" Target="https://resources.simonelectric.com/simon-ebook-vehiculo-electrico-ppc?utm_source=facebook&amp;utm_medium=social_ads&amp;utm_campaign=vehiculo_electrico&amp;fbclid=IwAR24C7f8oA_rBMO87rJJWAc3mIcBKWGHhy9ei2fFvUYR7d69urOmLo9hznM" TargetMode="External"/><Relationship Id="rId2491" Type="http://schemas.openxmlformats.org/officeDocument/2006/relationships/hyperlink" Target="https://resources.simonelectric.com/simon-material-formativo-vehiculo-electrico" TargetMode="External"/><Relationship Id="rId572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161" Type="http://schemas.openxmlformats.org/officeDocument/2006/relationships/hyperlink" Target="https://resources.simonelectric.com/simon-catalogo-vehiculo-electrico" TargetMode="External"/><Relationship Id="rId2492" Type="http://schemas.openxmlformats.org/officeDocument/2006/relationships/hyperlink" Target="https://resources.simonelectric.com/simon-material-formativo-vehiculo-electrico" TargetMode="External"/><Relationship Id="rId571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%3Futm_campaign%3DSIC%2520-%2520Veh%25C3%25ADculo%2520El%25C3%25A9ctrico%26utm_medium%3Demail%26_hsmi%3D71033996%26_hsenc%3Dp2ANqtz--k6_xITtMp3NfUzE1bkH13YV5ZboOJEo-106NuUNNc88aDncmKK8NNysq46EUTQHdBGNIo0yeanfSMZaMF3lD94rbRqg%26utm_content%3D71033996%26utm_source%3Dhs_automation" TargetMode="External"/><Relationship Id="rId116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493" Type="http://schemas.openxmlformats.org/officeDocument/2006/relationships/hyperlink" Target="https://resources.simonelectric.com/simon-material-formativo-vehiculo-electrico" TargetMode="External"/><Relationship Id="rId57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163" Type="http://schemas.openxmlformats.org/officeDocument/2006/relationships/hyperlink" Target="https://resources.simonelectric.com/simon-catalogo-vehiculo-electrico?utm_campaign=SIC%20-%20Veh%C3%ADculo%20El%C3%A9ctrico&amp;utm_medium=email&amp;_hsenc=p2ANqtz-98u2oDcXn-ntHq30tUlKPyD8cbcVnzhX5K-VKcdL_TpaVk30Plo1Ibp1i1zU1GvDwmvdqz&amp;_hsmi=87085363&amp;utm_content=87085363&amp;utm_source=hs_email&amp;hsCtaTracking=6fedf137-fd90-4f17-bfb4-d61f710ec7f8%7Cf2771843-6636-4969-9010-2d8d0389b89c" TargetMode="External"/><Relationship Id="rId2494" Type="http://schemas.openxmlformats.org/officeDocument/2006/relationships/hyperlink" Target="https://resources.simonelectric.com/simon-material-formativo-vehiculo-electrico" TargetMode="External"/><Relationship Id="rId1164" Type="http://schemas.openxmlformats.org/officeDocument/2006/relationships/hyperlink" Target="https://resources.simonelectric.com/simon-ebook-vehiculo-electrico?utm_campaign=SIC%20-%20Veh%C3%ADculo%20El%C3%A9ctrico&amp;utm_medium=email&amp;_hsenc=p2ANqtz-99LKXHsNVXiQJCczuxT-7yvRaEAVZWTvfJHgggxA-iuNL1UoGPg0v_JWvHfgEQM2M-rufL&amp;_hsmi=71033675&amp;utm_content=71033675&amp;utm_source=hs_automation&amp;hsCtaTracking=2e94ebfc-d414-4389-870c-d2f266a9420b%7C587ac4dc-a49a-4bdc-b449-e36f5d95395b" TargetMode="External"/><Relationship Id="rId2495" Type="http://schemas.openxmlformats.org/officeDocument/2006/relationships/hyperlink" Target="https://resources.simonelectric.com/simon-material-formativo-vehiculo-electrico" TargetMode="External"/><Relationship Id="rId576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%3Futm_campaign%3DSIC%2520-%2520Veh%25C3%25ADculo%2520El%25C3%25A9ctrico%26utm_medium%3Demail%26_hsmi%3D71033828%26_hsenc%3Dp2ANqtz-_ST99lP_VE7i3C44tobwrSdDwCDonr_I82rqTeLR_tUpjaaWe28dlB1cTXcbgjmM-1sDjrQpA6maY2G8F_kAeC0h3owQ%26utm_content%3D71033828%26utm_source%3Dhs_automation" TargetMode="External"/><Relationship Id="rId116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496" Type="http://schemas.openxmlformats.org/officeDocument/2006/relationships/hyperlink" Target="https://resources.simonelectric.com/simon-material-formativo-vehiculo-electrico" TargetMode="External"/><Relationship Id="rId575" Type="http://schemas.openxmlformats.org/officeDocument/2006/relationships/hyperlink" Target="https://resources.simonelectric.com/simon-catalogo-vehiculo-electrico?__hstc=83084745.215d13cb4045f97bb971c6ba189433e9.1591024111122.1591024111122.1591024111122.1&amp;__hssc=83084745.3.1591024111122&amp;__hsfp=278132700" TargetMode="External"/><Relationship Id="rId1166" Type="http://schemas.openxmlformats.org/officeDocument/2006/relationships/hyperlink" Target="https://resources.simonelectric.com/simon-catalogo-vehiculo-electrico?utm_campaign=SIC%20-%20Veh%C3%ADculo%20El%C3%A9ctrico&amp;utm_medium=email&amp;_hsenc=p2ANqtz-8wbagiOxJPRBN1Px_PrZ_V2-28QmpcFrPKH_R_AEMlJSZNH_N9lyfNqCLfBWGvlzw93YMb&amp;_hsmi=87085302&amp;utm_content=87085302&amp;utm_source=hs_email&amp;hsCtaTracking=6fedf137-fd90-4f17-bfb4-d61f710ec7f8%7Cf2771843-6636-4969-9010-2d8d0389b89c" TargetMode="External"/><Relationship Id="rId2497" Type="http://schemas.openxmlformats.org/officeDocument/2006/relationships/hyperlink" Target="https://resources.simonelectric.com/simon-ebook-vehiculo-electrico" TargetMode="External"/><Relationship Id="rId57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16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498" Type="http://schemas.openxmlformats.org/officeDocument/2006/relationships/hyperlink" Target="https://resources.simonelectric.com/simon-material-formativo-vehiculo-electrico" TargetMode="External"/><Relationship Id="rId573" Type="http://schemas.openxmlformats.org/officeDocument/2006/relationships/hyperlink" Target="https://resources.simonelectric.com/simon-material-formativo-vehiculo-electrico" TargetMode="External"/><Relationship Id="rId116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499" Type="http://schemas.openxmlformats.org/officeDocument/2006/relationships/hyperlink" Target="https://resources.simonelectric.com/simon-material-formativo-vehiculo-electrico" TargetMode="External"/><Relationship Id="rId1190" Type="http://schemas.openxmlformats.org/officeDocument/2006/relationships/hyperlink" Target="https://resources.simonelectric.com/simon-ebook-vehiculo-electrico" TargetMode="External"/><Relationship Id="rId119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192" Type="http://schemas.openxmlformats.org/officeDocument/2006/relationships/hyperlink" Target="https://resources.simonelectric.com/simon-catalogo-vehiculo-electrico?utm_campaign=SIC%20-%20Veh%C3%ADculo%20El%C3%A9ctrico&amp;utm_medium=email&amp;_hsmi=87085363&amp;_hsenc=p2ANqtz-_W9iKX9uFYNJ3mmUr3aR7OlBvp2vx_azAQLxigjVqjaANCnDETDDDGAJR8ylDKqH8TR8jd&amp;utm_content=87085363&amp;utm_source=hs_email" TargetMode="External"/><Relationship Id="rId1193" Type="http://schemas.openxmlformats.org/officeDocument/2006/relationships/hyperlink" Target="https://resources.simonelectric.com/simon-catalogo-vehiculo-electrico?__hstc=83084745.edc65995d8075337de864b8c01471242.1564646672418.1588577751963.1588758332674.18&amp;__hssc=83084745.1.1588758332674&amp;__hsfp=34496765" TargetMode="External"/><Relationship Id="rId119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195" Type="http://schemas.openxmlformats.org/officeDocument/2006/relationships/hyperlink" Target="https://resources.simonelectric.com/simon-catalogo-vehiculo-electrico?utm_campaign=SIC%20-%20Veh%C3%ADculo%20El%C3%A9ctrico&amp;utm_medium=email&amp;_hsenc=p2ANqtz-_WoR1aFUWSnzQJH-0KrVFApFECqQ9eBIArAdOrMQoORBO0d15v7Clo0SP2FbDhJ6fmMOmD&amp;_hsmi=87085363&amp;utm_content=87085363&amp;utm_source=hs_email&amp;hsCtaTracking=6fedf137-fd90-4f17-bfb4-d61f710ec7f8%7Cf2771843-6636-4969-9010-2d8d0389b89c" TargetMode="External"/><Relationship Id="rId1196" Type="http://schemas.openxmlformats.org/officeDocument/2006/relationships/hyperlink" Target="https://resources.simonelectric.com/simon-catalogo-vehiculo-electrico?utm_campaign=SIC%20-%20Veh%C3%ADculo%20El%C3%A9ctrico&amp;utm_medium=email&amp;_hsenc=p2ANqtz--QD7GOIiRpXwVRWrwulOK3klmRlv38hPRqcwWQYC8JJs5yj9tVIFSpF35M3_HPYmO0-dNJ&amp;_hsmi=87085363&amp;utm_content=87085363&amp;utm_source=hs_email&amp;hsCtaTracking=6fedf137-fd90-4f17-bfb4-d61f710ec7f8%7Cf2771843-6636-4969-9010-2d8d0389b89c" TargetMode="External"/><Relationship Id="rId1197" Type="http://schemas.openxmlformats.org/officeDocument/2006/relationships/hyperlink" Target="https://resources.simonelectric.com/simon-ebook-vehiculo-electrico-ppc?utm_source=facebook&amp;utm_medium=social_ads&amp;utm_campaign=vehiculo_electrico&amp;fbclid=IwAR3v57PQsxSi6f1eBz_UOpXWYA-j-3tAKwgdIaCAT9jI6SB4aH6qdU1kkZ8" TargetMode="External"/><Relationship Id="rId1198" Type="http://schemas.openxmlformats.org/officeDocument/2006/relationships/hyperlink" Target="https://resources.simonelectric.com/simon-catalogo-vehiculo-electrico?__hstc=83084745.8bc4e1dc0c20e3a416f766a18de58b12.1585551468278.1588572754279.1588747649083.16&amp;__hssc=83084745.7.1588747649083&amp;__hsfp=2471010493" TargetMode="External"/><Relationship Id="rId1199" Type="http://schemas.openxmlformats.org/officeDocument/2006/relationships/hyperlink" Target="https://resources.simonelectric.com/simon-ebook-vehiculo-electrico" TargetMode="External"/><Relationship Id="rId599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1180" Type="http://schemas.openxmlformats.org/officeDocument/2006/relationships/hyperlink" Target="https://resources.simonelectric.com/simon-catalogo-vehiculo-electrico?utm_campaign=SIC%20-%20Veh%C3%ADculo%20El%C3%A9ctrico&amp;utm_medium=email&amp;_hsenc=p2ANqtz--UMwA67FkXWtKW7Ep4kHdLvAo5MSvCHI9CRuuFGFegz6hwBx92xaphQJdLn--II8x8ftIM&amp;_hsmi=87085363&amp;utm_content=87085363&amp;utm_source=hs_email&amp;hsCtaTracking=6fedf137-fd90-4f17-bfb4-d61f710ec7f8%7Cf2771843-6636-4969-9010-2d8d0389b89c" TargetMode="External"/><Relationship Id="rId118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18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59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8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593" Type="http://schemas.openxmlformats.org/officeDocument/2006/relationships/hyperlink" Target="https://resources.simonelectric.com/simon-catalogo-vehiculo-electrico?__hstc=83084745.5d0fdbd3d422697324b68ec4b8e81a7d.1590740194776.1590740194776.1590741022424.2&amp;__hssc=83084745.3161723.1590740194776&amp;__hsfp=2269788561" TargetMode="External"/><Relationship Id="rId1184" Type="http://schemas.openxmlformats.org/officeDocument/2006/relationships/hyperlink" Target="https://resources.simonelectric.com/simon-catalogo-vehiculo-electrico" TargetMode="External"/><Relationship Id="rId592" Type="http://schemas.openxmlformats.org/officeDocument/2006/relationships/hyperlink" Target="https://resources.simonelectric.com/simon-ebook-vehiculo-electrico" TargetMode="External"/><Relationship Id="rId1185" Type="http://schemas.openxmlformats.org/officeDocument/2006/relationships/hyperlink" Target="https://resources.simonelectric.com/simon-catalogo-vehiculo-electrico" TargetMode="External"/><Relationship Id="rId591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18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598" Type="http://schemas.openxmlformats.org/officeDocument/2006/relationships/hyperlink" Target="https://resources.simonelectric.com/simon-ebook-vehiculo-electrico" TargetMode="External"/><Relationship Id="rId1187" Type="http://schemas.openxmlformats.org/officeDocument/2006/relationships/hyperlink" Target="https://resources.simonelectric.com/simon-ebook-vehiculo-electrico" TargetMode="External"/><Relationship Id="rId597" Type="http://schemas.openxmlformats.org/officeDocument/2006/relationships/hyperlink" Target="https://resources.simonelectric.com/simon-ebook-vehiculo-electrico" TargetMode="External"/><Relationship Id="rId1188" Type="http://schemas.openxmlformats.org/officeDocument/2006/relationships/hyperlink" Target="https://resources.simonelectric.com/simon-catalogo-vehiculo-electrico?__hstc=83084745.23576574e1518e20f530f75d748d6174.1588779942991.1588779942991.1588779942991.1&amp;__hssc=83084745.77.1588779942992&amp;__hsfp=2471010493" TargetMode="External"/><Relationship Id="rId596" Type="http://schemas.openxmlformats.org/officeDocument/2006/relationships/hyperlink" Target="https://resources.simonelectric.com/simon-ebook-vehiculo-electrico" TargetMode="External"/><Relationship Id="rId118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595" Type="http://schemas.openxmlformats.org/officeDocument/2006/relationships/hyperlink" Target="https://resources.simonelectric.com/simon-ebook-vehiculo-electrico-0?gclid=Cj0KCQjwwr32BRD4ARIsAAJNf_1yVywU2GYwufnvpqKL6n3fF3PPRryrOzkcfs4csySZ_4LTtzJDGPMaAgrSEALw_wcB" TargetMode="External"/><Relationship Id="rId1136" Type="http://schemas.openxmlformats.org/officeDocument/2006/relationships/hyperlink" Target="https://resources.simonelectric.com/simon-ebook-vehiculo-electrico" TargetMode="External"/><Relationship Id="rId2467" Type="http://schemas.openxmlformats.org/officeDocument/2006/relationships/hyperlink" Target="https://resources.simonelectric.com/simon-material-formativo-vehiculo-electrico" TargetMode="External"/><Relationship Id="rId3799" Type="http://schemas.openxmlformats.org/officeDocument/2006/relationships/hyperlink" Target="https://resources.simonelectric.com/simon-ebook-vehiculo-electrico" TargetMode="External"/><Relationship Id="rId1137" Type="http://schemas.openxmlformats.org/officeDocument/2006/relationships/hyperlink" Target="https://resources.simonelectric.com/simon-catalogo-vehiculo-electrico?utm_campaign=SIC%20-%20Veh%C3%ADculo%20El%C3%A9ctrico&amp;utm_medium=email&amp;_hsmi=87085363&amp;_hsenc=p2ANqtz-9WNFkVbKGtUuFTd6Vht3S3q8Z1HUw8XVuaPs5VjL1-RHsEU0cePMHNl8N6Cv4o_peCAG2G&amp;utm_content=87085363&amp;utm_source=hs_email" TargetMode="External"/><Relationship Id="rId2468" Type="http://schemas.openxmlformats.org/officeDocument/2006/relationships/hyperlink" Target="https://resources.simonelectric.com/simon-material-formativo-vehiculo-electrico" TargetMode="External"/><Relationship Id="rId3798" Type="http://schemas.openxmlformats.org/officeDocument/2006/relationships/hyperlink" Target="https://resources.simonelectric.com/simon-catalogo-vehiculo-electrico?__hstc=83084745.7eb67b02600a4beef2fcababe4e5a1e6.1580200645809.1580200645809.1580485557431.2&amp;__hssc=83084745.2.1580485557431&amp;__hsfp=68024908" TargetMode="External"/><Relationship Id="rId1138" Type="http://schemas.openxmlformats.org/officeDocument/2006/relationships/hyperlink" Target="https://resources.simonelectric.com/simon-catalogo-vehiculo-electrico?__hstc=83084745.ecf832430c6f73dee5daf342f9a982be.1588962434905.1588962434905.1588962434905.1&amp;__hssc=83084745.3.1588962434908&amp;__hsfp=763681774" TargetMode="External"/><Relationship Id="rId2469" Type="http://schemas.openxmlformats.org/officeDocument/2006/relationships/hyperlink" Target="https://resources.simonelectric.com/simon-material-formativo-vehiculo-electrico" TargetMode="External"/><Relationship Id="rId113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547" Type="http://schemas.openxmlformats.org/officeDocument/2006/relationships/hyperlink" Target="https://resources.simonelectric.com/simon-catalogo-vehiculo-electrico?utm_campaign=SIC%20-%20Veh%C3%ADculo%20El%C3%A9ctrico&amp;utm_medium=email&amp;_hsenc=p2ANqtz-_onWTgqEo72OzMRBKs1E7ZvEI9OngL1QT5Jc2nkfoFJn_1wJgreKoNItEGbF3efTZ0EjFb&amp;_hsmi=87085363&amp;utm_content=87085363&amp;utm_source=hs_email&amp;hsCtaTracking=6fedf137-fd90-4f17-bfb4-d61f710ec7f8%7Cf2771843-6636-4969-9010-2d8d0389b89c" TargetMode="External"/><Relationship Id="rId54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4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4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4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4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791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JxySm74u6aBQSwHf_k6th_y68BzkR8E1eTZL61m6XEF50RWHNKoE2IagtxxzFR0KPUCs8-NEBbFjaHn69_Z2eotA3qgryaUMmPC-der1KtHL3jZo%26_hsmi%3D81085387" TargetMode="External"/><Relationship Id="rId2460" Type="http://schemas.openxmlformats.org/officeDocument/2006/relationships/hyperlink" Target="https://resources.simonelectric.com/simon-material-formativo-vehiculo-electrico" TargetMode="External"/><Relationship Id="rId3790" Type="http://schemas.openxmlformats.org/officeDocument/2006/relationships/hyperlink" Target="https://resources.simonelectric.com/simon-ebook-vehiculo-electrico" TargetMode="External"/><Relationship Id="rId113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461" Type="http://schemas.openxmlformats.org/officeDocument/2006/relationships/hyperlink" Target="https://resources.simonelectric.com/simon-material-formativo-vehiculo-electrico" TargetMode="External"/><Relationship Id="rId3793" Type="http://schemas.openxmlformats.org/officeDocument/2006/relationships/hyperlink" Target="https://resources.simonelectric.com/simon-ebook-vehiculo-electrico?utm_referrer=https%3A%2F%2Fwww.simonelectric.com%2Fblog%2Finstalacion-de-un-punto-de-recarga-para-un-coche-electrico%3Futm_source%3Dtwitter%26utm_medium%3Dsocial_ads%26utm_campaign%3Dvehiculo_electrico" TargetMode="External"/><Relationship Id="rId1131" Type="http://schemas.openxmlformats.org/officeDocument/2006/relationships/hyperlink" Target="https://resources.simonelectric.com/simon-ebook-vehiculo-electrico" TargetMode="External"/><Relationship Id="rId2462" Type="http://schemas.openxmlformats.org/officeDocument/2006/relationships/hyperlink" Target="https://resources.simonelectric.com/simon-material-formativo-vehiculo-electrico" TargetMode="External"/><Relationship Id="rId3792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xIfdpJhhIql-ukiMjpA6DL2qfvrS5GHkXz77KHfpwtaa8NXS6UlKaZYPqu330cyVxccMvcpER7DkXS_0Z_SkJAfPznA%26_hsmi%3D81085387" TargetMode="External"/><Relationship Id="rId54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3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463" Type="http://schemas.openxmlformats.org/officeDocument/2006/relationships/hyperlink" Target="https://resources.simonelectric.com/simon-material-formativo-vehiculo-electrico" TargetMode="External"/><Relationship Id="rId3795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__IsqSxUSbqJFfzi3k6WmFPJgZDMvMh9ohHkEgh5wrJCdqo2EPoSnaqj4sTp3NlQdDscDGh9Ek6mJ3MBN3VdnHJrHmZAmK5QfTzY1OswD2B1po5zQ%26_hsmi%3D71033828" TargetMode="External"/><Relationship Id="rId54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33" Type="http://schemas.openxmlformats.org/officeDocument/2006/relationships/hyperlink" Target="https://resources.simonelectric.com/simon-ebook-vehiculo-electrico-0?gclid=CjwKCAjwqdn1BRBREiwAEbZcR51nb2k4XREEba1lkNZAczwsSBGqsrlkAFmPiMLfrHFwhF_rAaLBkBoChT4QAvD_BwE" TargetMode="External"/><Relationship Id="rId2464" Type="http://schemas.openxmlformats.org/officeDocument/2006/relationships/hyperlink" Target="https://resources.simonelectric.com/simon-material-formativo-vehiculo-electrico" TargetMode="External"/><Relationship Id="rId3794" Type="http://schemas.openxmlformats.org/officeDocument/2006/relationships/hyperlink" Target="https://resources.simonelectric.com/simon-ebook-vehiculo-electrico?utm_campaign=SIC%20-%20Veh%C3%ADculo%20El%C3%A9ctrico&amp;utm_medium=email&amp;_hsenc=p2ANqtz-8eWeT-vyKlrgj150iosOdgPqRQss3PM1vkUvDUlLwVTrrjIpoMthm7aWnLAPUz0sDkdaWSHp4qZVWORtSpb3jtsbEYKQ&amp;_hsmi=71033675&amp;utm_source=hs_automation&amp;utm_content=71033675&amp;hsCtaTracking=2e94ebfc-d414-4389-870c-d2f266a9420b%7C587ac4dc-a49a-4bdc-b449-e36f5d95395b" TargetMode="External"/><Relationship Id="rId54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34" Type="http://schemas.openxmlformats.org/officeDocument/2006/relationships/hyperlink" Target="https://resources.simonelectric.com/simon-material-formativo-vehiculo-electrico" TargetMode="External"/><Relationship Id="rId2465" Type="http://schemas.openxmlformats.org/officeDocument/2006/relationships/hyperlink" Target="https://resources.simonelectric.com/simon-material-formativo-vehiculo-electrico" TargetMode="External"/><Relationship Id="rId379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54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3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46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79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125" Type="http://schemas.openxmlformats.org/officeDocument/2006/relationships/hyperlink" Target="https://resources.simonelectric.com/simon-catalogo-vehiculo-electrico?utm_campaign=SIC%20-%20Veh%C3%ADculo%20El%C3%A9ctrico&amp;utm_medium=email&amp;_hsenc=p2ANqtz-9HGSfSc9Hcyc_TvRlWSZx23XqOWbTNjQp5IPD945IlxFukbCCAjb4pTi-zYFKlT0EwXPB5&amp;_hsmi=87085363&amp;utm_content=87085363&amp;utm_source=hs_email&amp;hsCtaTracking=6fedf137-fd90-4f17-bfb4-d61f710ec7f8%7Cf2771843-6636-4969-9010-2d8d0389b89c" TargetMode="External"/><Relationship Id="rId2456" Type="http://schemas.openxmlformats.org/officeDocument/2006/relationships/hyperlink" Target="https://resources.simonelectric.com/simon-material-formativo-vehiculo-electrico" TargetMode="External"/><Relationship Id="rId3788" Type="http://schemas.openxmlformats.org/officeDocument/2006/relationships/hyperlink" Target="https://resources.simonelectric.com/simon-ebook-vehiculo-electrico?utm_campaign=SIC%20-%20Veh%C3%ADculo%20El%C3%A9ctrico&amp;utm_medium=email&amp;_hsenc=p2ANqtz-_Ak2YyOJ6yPgiG3xePtP5mtB3pvawkS7wMiTlmWGEY2nsvMpB_y4jOm5wBtMQWKSF5IKNFe0oO31uVlnRLArAKoG0PDg&amp;_hsmi=71033675&amp;utm_source=hs_automation&amp;utm_content=71033675&amp;hsCtaTracking=2e94ebfc-d414-4389-870c-d2f266a9420b%7C587ac4dc-a49a-4bdc-b449-e36f5d95395b" TargetMode="External"/><Relationship Id="rId112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457" Type="http://schemas.openxmlformats.org/officeDocument/2006/relationships/hyperlink" Target="https://resources.simonelectric.com/simon-material-formativo-vehiculo-electrico" TargetMode="External"/><Relationship Id="rId3787" Type="http://schemas.openxmlformats.org/officeDocument/2006/relationships/hyperlink" Target="https://resources.simonelectric.com/simon-catalogo-vehiculo-electrico?__hstc=83084745.36600e93282338fea92d8704b284d61b.1580714850962.1580714850962.1580714850962.1&amp;__hssc=83084745.9.1580714850963&amp;__hsfp=867555951" TargetMode="External"/><Relationship Id="rId1127" Type="http://schemas.openxmlformats.org/officeDocument/2006/relationships/hyperlink" Target="https://resources.simonelectric.com/simon-catalogo-vehiculo-electrico" TargetMode="External"/><Relationship Id="rId2458" Type="http://schemas.openxmlformats.org/officeDocument/2006/relationships/hyperlink" Target="https://resources.simonelectric.com/simon-material-formativo-vehiculo-electrico" TargetMode="External"/><Relationship Id="rId112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459" Type="http://schemas.openxmlformats.org/officeDocument/2006/relationships/hyperlink" Target="https://resources.simonelectric.com/simon-material-formativo-vehiculo-electrico" TargetMode="External"/><Relationship Id="rId3789" Type="http://schemas.openxmlformats.org/officeDocument/2006/relationships/hyperlink" Target="https://resources.simonelectric.com/simon-ebook-vehiculo-electrico?utm_campaign=SIC%20-%20Veh%C3%ADculo%20El%C3%A9ctrico&amp;utm_medium=email&amp;_hsenc=p2ANqtz-_Ak2YyOJ6yPgiG3xePtP5mtB3pvawkS7wMiTlmWGEY2nsvMpB_y4jOm5wBtMQWKSF5IKNFe0oO31uVlnRLArAKoG0PDg&amp;_hsmi=71033675&amp;utm_source=hs_automation&amp;utm_content=71033675&amp;hsCtaTracking=2e94ebfc-d414-4389-870c-d2f266a9420b%7C587ac4dc-a49a-4bdc-b449-e36f5d95395b" TargetMode="External"/><Relationship Id="rId112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53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3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34" Type="http://schemas.openxmlformats.org/officeDocument/2006/relationships/hyperlink" Target="https://resources.simonelectric.com/simon-material-formativo-vehiculo-electrico?utm_campaign=SIC%20-%20Despedida&amp;utm_medium=email&amp;_hsenc=p2ANqtz--do6OBVScW1taYdf41r_0Dx3wcXfshXJ7M4OR8epAPMEDunJ00gNhbeKEBx8ghsCsh5TdOgl0AWfxHKRLecbwiCpAREQ&amp;_hsmi=88878520&amp;utm_content=88851775&amp;utm_source=hs_email&amp;hsCtaTracking=f8a31ce8-daf1-4d69-a5d6-c3349f3aab91%7C75f9b9fd-a2b2-4ad4-9d4a-0dcb7c99194f" TargetMode="External"/><Relationship Id="rId53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3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3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3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780" Type="http://schemas.openxmlformats.org/officeDocument/2006/relationships/hyperlink" Target="https://resources.simonelectric.com/simon-ebook-vehiculo-electrico?utm_campaign=SIC%20-%20Veh%C3%ADculo%20El%C3%A9ctrico&amp;utm_medium=email&amp;_hsenc=p2ANqtz-8eEZ6YVvt8adRyUKQQ_blFKYzsmxZYGCTcBN1MzJSPjJvPh7PeZCfwdu39NKZPC-utqkNVYnsRKhX38dYu2Zet8gprwg&amp;_hsmi=71033675&amp;utm_source=hs_automation&amp;utm_content=71033675&amp;hsCtaTracking=2e94ebfc-d414-4389-870c-d2f266a9420b%7C587ac4dc-a49a-4bdc-b449-e36f5d95395b" TargetMode="External"/><Relationship Id="rId2450" Type="http://schemas.openxmlformats.org/officeDocument/2006/relationships/hyperlink" Target="https://resources.simonelectric.com/simon-material-formativo-vehiculo-electrico" TargetMode="External"/><Relationship Id="rId3782" Type="http://schemas.openxmlformats.org/officeDocument/2006/relationships/hyperlink" Target="https://resources.simonelectric.com/simon-ebook-vehiculo-electrico?utm_referrer=https%3A%2F%2Fwww.simonelectric.com%2Fblog%2Finstalacion-de-un-punto-de-recarga-para-un-coche-electrico%3Futm_source%3Dtwitter%26utm_medium%3Dsocial_ads%26utm_campaign%3Dvehiculo_electrico" TargetMode="External"/><Relationship Id="rId1120" Type="http://schemas.openxmlformats.org/officeDocument/2006/relationships/hyperlink" Target="https://resources.simonelectric.com/simon-ebook-vehiculo-electrico-0?gclid=EAIaIQobChMI-7ahmpeq6QIV6yLTCh3Q0w06EAEYASAAEgKxQvD_BwE" TargetMode="External"/><Relationship Id="rId2451" Type="http://schemas.openxmlformats.org/officeDocument/2006/relationships/hyperlink" Target="https://resources.simonelectric.com/simon-material-formativo-vehiculo-electrico" TargetMode="External"/><Relationship Id="rId3781" Type="http://schemas.openxmlformats.org/officeDocument/2006/relationships/hyperlink" Target="https://resources.simonelectric.com/simon-ebook-vehiculo-electrico" TargetMode="External"/><Relationship Id="rId53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2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452" Type="http://schemas.openxmlformats.org/officeDocument/2006/relationships/hyperlink" Target="https://resources.simonelectric.com/simon-material-formativo-vehiculo-electrico" TargetMode="External"/><Relationship Id="rId378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53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12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453" Type="http://schemas.openxmlformats.org/officeDocument/2006/relationships/hyperlink" Target="https://resources.simonelectric.com/simon-material-formativo-vehiculo-electrico" TargetMode="External"/><Relationship Id="rId3783" Type="http://schemas.openxmlformats.org/officeDocument/2006/relationships/hyperlink" Target="https://resources.simonelectric.com/simon-ebook-vehiculo-electrico?utm_referrer=https%3A%2F%2Fwww.simonelectric.com%2Fblog%2Finstalacion-de-un-punto-de-recarga-para-un-coche-electrico" TargetMode="External"/><Relationship Id="rId530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123" Type="http://schemas.openxmlformats.org/officeDocument/2006/relationships/hyperlink" Target="https://resources.simonelectric.com/simon-catalogo-vehiculo-electrico?utm_campaign=SIC%20-%20Veh%C3%ADculo%20El%C3%A9ctrico&amp;utm_medium=email&amp;_hsenc=p2ANqtz-8vH6g3orhsWh_yjJSVfGzmH0OXgN1Md2EOElmdwCzabHbqNQZ4dDBquJdbiI1lGHFrrx50&amp;_hsmi=87085363&amp;utm_content=87085363&amp;utm_source=hs_email&amp;hsCtaTracking=6fedf137-fd90-4f17-bfb4-d61f710ec7f8%7Cf2771843-6636-4969-9010-2d8d0389b89c" TargetMode="External"/><Relationship Id="rId2454" Type="http://schemas.openxmlformats.org/officeDocument/2006/relationships/hyperlink" Target="https://resources.simonelectric.com/simon-material-formativo-vehiculo-electrico" TargetMode="External"/><Relationship Id="rId378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12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455" Type="http://schemas.openxmlformats.org/officeDocument/2006/relationships/hyperlink" Target="https://resources.simonelectric.com/simon-material-formativo-vehiculo-electrico" TargetMode="External"/><Relationship Id="rId3785" Type="http://schemas.openxmlformats.org/officeDocument/2006/relationships/hyperlink" Target="https://resources.simonelectric.com/simon-ebook-vehiculo-electrico" TargetMode="External"/><Relationship Id="rId1158" Type="http://schemas.openxmlformats.org/officeDocument/2006/relationships/hyperlink" Target="https://resources.simonelectric.com/simon-material-formativo-vehiculo-electrico" TargetMode="External"/><Relationship Id="rId2489" Type="http://schemas.openxmlformats.org/officeDocument/2006/relationships/hyperlink" Target="https://resources.simonelectric.com/simon-ebook-vehiculo-electrico" TargetMode="External"/><Relationship Id="rId1159" Type="http://schemas.openxmlformats.org/officeDocument/2006/relationships/hyperlink" Target="https://resources.simonelectric.com/simon-material-formativo-vehiculo-electrico" TargetMode="External"/><Relationship Id="rId569" Type="http://schemas.openxmlformats.org/officeDocument/2006/relationships/hyperlink" Target="https://resources.simonelectric.com/simon-ebook-vehiculo-electrico-0?gclid=EAIaIQobChMI9vO-77Hh6QIVAxIbCh3t1AiOEAEYASAAEgLNyfD_BwE" TargetMode="External"/><Relationship Id="rId56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567" Type="http://schemas.openxmlformats.org/officeDocument/2006/relationships/hyperlink" Target="https://resources.simonelectric.com/simon-catalogo-vehiculo-electrico?__hstc=83084745.b2a16a9841d57aafd9ab92f3b2a7a78e.1591027271037.1591027271037.1591044257432.2&amp;__hssc=83084745.5.1591044257432&amp;__hsfp=620368458" TargetMode="External"/><Relationship Id="rId566" Type="http://schemas.openxmlformats.org/officeDocument/2006/relationships/hyperlink" Target="https://resources.simonelectric.com/simon-ebook-vehiculo-electrico-0?gclid=CjwKCAjwztL2BRATEiwAvnALct4ww3iZFp6YCMg3so6TNGHwtOT8qkwDmY7vYy-8m9nokaRvVT6qFxoCuvQQAvD_BwE" TargetMode="External"/><Relationship Id="rId2480" Type="http://schemas.openxmlformats.org/officeDocument/2006/relationships/hyperlink" Target="https://resources.simonelectric.com/simon-ebook-vehiculo-electrico" TargetMode="External"/><Relationship Id="rId561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" TargetMode="External"/><Relationship Id="rId1150" Type="http://schemas.openxmlformats.org/officeDocument/2006/relationships/hyperlink" Target="https://resources.simonelectric.com/simon-catalogo-vehiculo-electrico?utm_campaign=SIC%20-%20Veh%C3%ADculo%20El%C3%A9ctrico&amp;utm_medium=email&amp;_hsmi=71034014&amp;_hsenc=p2ANqtz-_QbgnQLHJfRY1zQm79B99MNvr9NySd7zG8FiwsvBYDAgupK4TpISZxEviPjP8LCYlYdqry&amp;utm_content=71034014&amp;utm_source=hs_automation" TargetMode="External"/><Relationship Id="rId2481" Type="http://schemas.openxmlformats.org/officeDocument/2006/relationships/hyperlink" Target="https://resources.simonelectric.com/simon-material-formativo-vehiculo-electrico" TargetMode="External"/><Relationship Id="rId56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151" Type="http://schemas.openxmlformats.org/officeDocument/2006/relationships/hyperlink" Target="https://resources.simonelectric.com/simon-catalogo-vehiculo-electrico?utm_campaign=SIC%20-%20Veh%C3%ADculo%20El%C3%A9ctrico&amp;utm_medium=email&amp;_hsmi=71034014&amp;_hsenc=p2ANqtz-9h_QJvnsbSwBXWJ1PgFd1V7XRJdC-FBLnNJ9zZfMs1WTdxZOjdJ8KvesL_VFYqrlQCUqg5&amp;utm_content=71034014&amp;utm_source=hs_automation" TargetMode="External"/><Relationship Id="rId2482" Type="http://schemas.openxmlformats.org/officeDocument/2006/relationships/hyperlink" Target="https://resources.simonelectric.com/simon-material-formativo-vehiculo-electrico" TargetMode="External"/><Relationship Id="rId1152" Type="http://schemas.openxmlformats.org/officeDocument/2006/relationships/hyperlink" Target="https://resources.simonelectric.com/simon-catalogo-vehiculo-electrico?utm_campaign=SIC%20-%20Veh%C3%ADculo%20El%C3%A9ctrico&amp;utm_medium=email&amp;_hsmi=71034014&amp;_hsenc=p2ANqtz-_SnTfngCUvwELvBPj1ap9q4n3cOaQWzVVDLg-hE3MHFf8JY_SrHJs3reBg4mdtRpJxCP6g&amp;utm_content=71034014&amp;utm_source=hs_automation" TargetMode="External"/><Relationship Id="rId2483" Type="http://schemas.openxmlformats.org/officeDocument/2006/relationships/hyperlink" Target="https://resources.simonelectric.com/simon-material-formativo-vehiculo-electrico" TargetMode="External"/><Relationship Id="rId1153" Type="http://schemas.openxmlformats.org/officeDocument/2006/relationships/hyperlink" Target="https://resources.simonelectric.com/simon-material-formativo-vehiculo-electrico" TargetMode="External"/><Relationship Id="rId2484" Type="http://schemas.openxmlformats.org/officeDocument/2006/relationships/hyperlink" Target="https://resources.simonelectric.com/simon-material-formativo-vehiculo-electrico" TargetMode="External"/><Relationship Id="rId565" Type="http://schemas.openxmlformats.org/officeDocument/2006/relationships/hyperlink" Target="https://resources.simonelectric.com/simon-catalogo-vehiculo-electrico?utm_campaign=SIC%20-%20Veh%C3%ADculo%20El%C3%A9ctrico&amp;utm_medium=email&amp;_hsenc=p2ANqtz-_ZNECq8-Vq5W_CxSOAzXRw2zNAhhT_dqjMtG4hryTu1m8vpmFlOp1sMg_tyOaXgIVkk2ShgvqNzQM8FOzdu9UYx_Updg&amp;_hsmi=87865495&amp;utm_source=hs_automation&amp;utm_content=87865495&amp;hsCtaTracking=6fedf137-fd90-4f17-bfb4-d61f710ec7f8%7Cf2771843-6636-4969-9010-2d8d0389b89c" TargetMode="External"/><Relationship Id="rId1154" Type="http://schemas.openxmlformats.org/officeDocument/2006/relationships/hyperlink" Target="https://resources.simonelectric.com/simon-material-formativo-vehiculo-electrico" TargetMode="External"/><Relationship Id="rId2485" Type="http://schemas.openxmlformats.org/officeDocument/2006/relationships/hyperlink" Target="https://resources.simonelectric.com/simon-material-formativo-vehiculo-electrico" TargetMode="External"/><Relationship Id="rId56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155" Type="http://schemas.openxmlformats.org/officeDocument/2006/relationships/hyperlink" Target="https://resources.simonelectric.com/simon-material-formativo-vehiculo-electrico" TargetMode="External"/><Relationship Id="rId2486" Type="http://schemas.openxmlformats.org/officeDocument/2006/relationships/hyperlink" Target="https://resources.simonelectric.com/simon-material-formativo-vehiculo-electrico" TargetMode="External"/><Relationship Id="rId563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156" Type="http://schemas.openxmlformats.org/officeDocument/2006/relationships/hyperlink" Target="https://resources.simonelectric.com/simon-material-formativo-vehiculo-electrico" TargetMode="External"/><Relationship Id="rId2487" Type="http://schemas.openxmlformats.org/officeDocument/2006/relationships/hyperlink" Target="https://resources.simonelectric.com/simon-material-formativo-vehiculo-electrico" TargetMode="External"/><Relationship Id="rId56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157" Type="http://schemas.openxmlformats.org/officeDocument/2006/relationships/hyperlink" Target="https://resources.simonelectric.com/simon-material-formativo-vehiculo-electrico" TargetMode="External"/><Relationship Id="rId2488" Type="http://schemas.openxmlformats.org/officeDocument/2006/relationships/hyperlink" Target="https://resources.simonelectric.com/simon-material-formativo-vehiculo-electrico" TargetMode="External"/><Relationship Id="rId1147" Type="http://schemas.openxmlformats.org/officeDocument/2006/relationships/hyperlink" Target="https://resources.simonelectric.com/simon-catalogo-vehiculo-electrico?utm_campaign=SIC%20-%20Veh%C3%ADculo%20El%C3%A9ctrico&amp;utm_medium=email&amp;_hsenc=p2ANqtz-95g6QTKP91tEkLVusJkhvv2EAKjx4-LpaHKKrzn_rYROmQVyUSG6YEOM5yaLaIvqD_G2pm&amp;_hsmi=87085363&amp;utm_content=87085363&amp;utm_source=hs_email&amp;hsCtaTracking=6fedf137-fd90-4f17-bfb4-d61f710ec7f8%7Cf2771843-6636-4969-9010-2d8d0389b89c" TargetMode="External"/><Relationship Id="rId2478" Type="http://schemas.openxmlformats.org/officeDocument/2006/relationships/hyperlink" Target="https://resources.simonelectric.com/simon-material-formativo-vehiculo-electrico" TargetMode="External"/><Relationship Id="rId114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479" Type="http://schemas.openxmlformats.org/officeDocument/2006/relationships/hyperlink" Target="https://resources.simonelectric.com/simon-material-formativo-vehiculo-electrico" TargetMode="External"/><Relationship Id="rId114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5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55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556" Type="http://schemas.openxmlformats.org/officeDocument/2006/relationships/hyperlink" Target="https://resources.simonelectric.com/simon-catalogo-vehiculo-electrico?__hstc=83084745.215d13cb4045f97bb971c6ba189433e9.1591024111122.1591024111122.1591134888493.2&amp;__hssc=83084745.2.1591134888493&amp;__hsfp=278132700" TargetMode="External"/><Relationship Id="rId55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559" Type="http://schemas.openxmlformats.org/officeDocument/2006/relationships/hyperlink" Target="https://resources.simonelectric.com/simon-ebook-vehiculo-electrico?utm_campaign=SIC%20-%20Veh%C3%ADculo%20El%C3%A9ctrico&amp;utm_medium=email&amp;_hsenc=p2ANqtz-_vwOmhUd2bbzqAWbfwdzv10wmC-_FRlZ8wzol8exXNxZfcS5vHFWzpg-q8jsD9jQGwjwPS8XJgrHqSLM9Bzd1dfVsLKw&amp;_hsmi=71033675&amp;utm_content=71033675&amp;utm_source=hs_automation&amp;hsCtaTracking=2e94ebfc-d414-4389-870c-d2f266a9420b%7C587ac4dc-a49a-4bdc-b449-e36f5d95395b" TargetMode="External"/><Relationship Id="rId550" Type="http://schemas.openxmlformats.org/officeDocument/2006/relationships/hyperlink" Target="https://resources.simonelectric.com/simon-ebook-vehiculo-electrico?utm_referrer=https%3A%2F%2Fresources.simonelectric.com%2Fsimon-gracias-por-seguir-interesado%3Futm_campaign%3DSIC%2520-%2520Despedida%26utm_medium%3Demail%26_hsmi%3D88878520%26_hsenc%3Dp2ANqtz-8L1Vm9sLF1eD543ZLSN5cxoF7ZwFidV0YEm0-_xRtgKb7j7_T8xg13t4PyVMP2r2T9oj05eG54uHtigzusOTp07igQXw%26utm_content%3D88851775%26utm_source%3Dhs_email" TargetMode="External"/><Relationship Id="rId2470" Type="http://schemas.openxmlformats.org/officeDocument/2006/relationships/hyperlink" Target="https://resources.simonelectric.com/simon-material-formativo-vehiculo-electrico" TargetMode="External"/><Relationship Id="rId1140" Type="http://schemas.openxmlformats.org/officeDocument/2006/relationships/hyperlink" Target="https://resources.simonelectric.com/simon-catalogo-vehiculo-electrico?utm_campaign=SIC%20-%20Veh%C3%ADculo%20El%C3%A9ctrico&amp;utm_medium=email&amp;_hsenc=p2ANqtz-8FEujap5GrsqzOOljAySr4saZHvo2tBkNejz2vdhM5Nz1SP5MIAMMrv7URjHK0GxfC9Xg0&amp;_hsmi=87085363&amp;utm_content=87085363&amp;utm_source=hs_email&amp;hsCtaTracking=6fedf137-fd90-4f17-bfb4-d61f710ec7f8%7Cf2771843-6636-4969-9010-2d8d0389b89c" TargetMode="External"/><Relationship Id="rId2471" Type="http://schemas.openxmlformats.org/officeDocument/2006/relationships/hyperlink" Target="https://resources.simonelectric.com/simon-material-formativo-vehiculo-electrico" TargetMode="External"/><Relationship Id="rId1141" Type="http://schemas.openxmlformats.org/officeDocument/2006/relationships/hyperlink" Target="https://resources.simonelectric.com/simon-catalogo-vehiculo-electrico?utm_campaign=SIC%20-%20Veh%C3%ADculo%20El%C3%A9ctrico&amp;utm_medium=email&amp;_hsenc=p2ANqtz--bUs8ifoME4TvIghPev92LoXN4MPq-e7bk9MpjwvKRmCSWOMdMOVURpVo0KytotukxYSOX&amp;_hsmi=87085302&amp;utm_content=87085302&amp;utm_source=hs_email&amp;hsCtaTracking=6fedf137-fd90-4f17-bfb4-d61f710ec7f8%7Cf2771843-6636-4969-9010-2d8d0389b89c" TargetMode="External"/><Relationship Id="rId2472" Type="http://schemas.openxmlformats.org/officeDocument/2006/relationships/hyperlink" Target="https://resources.simonelectric.com/simon-material-formativo-vehiculo-electrico" TargetMode="External"/><Relationship Id="rId114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473" Type="http://schemas.openxmlformats.org/officeDocument/2006/relationships/hyperlink" Target="https://resources.simonelectric.com/simon-material-formativo-vehiculo-electrico" TargetMode="External"/><Relationship Id="rId55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43" Type="http://schemas.openxmlformats.org/officeDocument/2006/relationships/hyperlink" Target="https://resources.simonelectric.com/simon-material-formativo-vehiculo-electrico" TargetMode="External"/><Relationship Id="rId2474" Type="http://schemas.openxmlformats.org/officeDocument/2006/relationships/hyperlink" Target="https://resources.simonelectric.com/simon-material-formativo-vehiculo-electrico" TargetMode="External"/><Relationship Id="rId55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44" Type="http://schemas.openxmlformats.org/officeDocument/2006/relationships/hyperlink" Target="https://resources.simonelectric.com/simon-catalogo-vehiculo-electrico" TargetMode="External"/><Relationship Id="rId2475" Type="http://schemas.openxmlformats.org/officeDocument/2006/relationships/hyperlink" Target="https://resources.simonelectric.com/simon-material-formativo-vehiculo-electrico" TargetMode="External"/><Relationship Id="rId55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4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476" Type="http://schemas.openxmlformats.org/officeDocument/2006/relationships/hyperlink" Target="https://resources.simonelectric.com/simon-material-formativo-vehiculo-electrico" TargetMode="External"/><Relationship Id="rId55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46" Type="http://schemas.openxmlformats.org/officeDocument/2006/relationships/hyperlink" Target="https://resources.simonelectric.com/simon-material-formativo-vehiculo-electrico" TargetMode="External"/><Relationship Id="rId2477" Type="http://schemas.openxmlformats.org/officeDocument/2006/relationships/hyperlink" Target="https://resources.simonelectric.com/simon-material-formativo-vehiculo-electrico" TargetMode="External"/><Relationship Id="rId495" Type="http://schemas.openxmlformats.org/officeDocument/2006/relationships/hyperlink" Target="https://resources.simonelectric.com/simon-ebook-vehiculo-electrico?utm_referrer=https%3A%2F%2Fwww.simonelectric.com%2Fblog%2Fcargador-del-vehiculo-electrico-y-transicion-la-movilidad-electrica%3Futm_campaign%3DSIC%2520-%2520Blog%2520digest%26utm_medium%3Demail%26_hsmi%3D88911100%26_hsenc%3Dp2ANqtz-_1vm9600CmMTX6iuLR6oSmgEJyh9uZVnd-sVyHcspe58VFNPUwSaJ8qUGPpL5M1GZtaLnNG6MgAHPsJHZO-YaOG_LbPg%26utm_content%3D88911100%26utm_source%3Dhs_email" TargetMode="External"/><Relationship Id="rId49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93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9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9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9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9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9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81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81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81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81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81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816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" TargetMode="External"/><Relationship Id="rId381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81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817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8Ys3y1nWM0oZYs-gOLE6avykVpklxRPUHpb_gepcgP7ClFRuigxAgEn6x1dSqSiOKM681mPsu6BPjQnHK8TrMrAkZw5X9qGOu9IUQe81uwMVPfa9Q&amp;_hsmi=71034014" TargetMode="External"/><Relationship Id="rId3819" Type="http://schemas.openxmlformats.org/officeDocument/2006/relationships/hyperlink" Target="https://resources.simonelectric.com/simon-ebook-vehiculo-electrico" TargetMode="External"/><Relationship Id="rId380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800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80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802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805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80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80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806" Type="http://schemas.openxmlformats.org/officeDocument/2006/relationships/hyperlink" Target="https://resources.simonelectric.com/simon-ebook-vehiculo-electrico?utm_referrer=https%3A%2F%2Fwww.simonelectric.com%2Fblog%2Finstalacion-de-un-punto-de-recarga-para-un-coche-electrico" TargetMode="External"/><Relationship Id="rId3809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3808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1213" Type="http://schemas.openxmlformats.org/officeDocument/2006/relationships/hyperlink" Target="https://resources.simonelectric.com/simon-catalogo-vehiculo-electrico?utm_campaign=SIC%20-%20Veh%C3%ADculo%20El%C3%A9ctrico&amp;utm_medium=email&amp;_hsenc=p2ANqtz-_eoncqbjtadEEAYTWuv6L4ejWWYXgW48Qw8IQRSP30ErSJQ2xBxS0Lrf05CJ-NzguO8Kqf&amp;_hsmi=87085363&amp;utm_content=87085363&amp;utm_source=hs_email&amp;hsCtaTracking=6fedf137-fd90-4f17-bfb4-d61f710ec7f8%7Cf2771843-6636-4969-9010-2d8d0389b89c" TargetMode="External"/><Relationship Id="rId2544" Type="http://schemas.openxmlformats.org/officeDocument/2006/relationships/hyperlink" Target="https://resources.simonelectric.com/simon-material-formativo-vehiculo-electrico" TargetMode="External"/><Relationship Id="rId3876" Type="http://schemas.openxmlformats.org/officeDocument/2006/relationships/hyperlink" Target="https://resources.simonelectric.com/simon-ebook-vehiculo-electrico?utm_referrer=https%3A%2F%2Fwww.simonelectric.com%2Fblog%2Finstalacion-de-un-punto-de-recarga-para-un-coche-electrico" TargetMode="External"/><Relationship Id="rId1214" Type="http://schemas.openxmlformats.org/officeDocument/2006/relationships/hyperlink" Target="https://resources.simonelectric.com/simon-catalogo-vehiculo-electrico?utm_campaign=SIC%20-%20Veh%C3%ADculo%20El%C3%A9ctrico&amp;utm_medium=email&amp;_hsenc=p2ANqtz--tteEOq5qGafvBFDTXUU95HSREfcvIsCY8fjekv2bNeXXRFHaVJHVnrJ54XBXxIGR9vhec&amp;_hsmi=87085363&amp;utm_content=87085363&amp;utm_source=hs_email&amp;hsCtaTracking=6fedf137-fd90-4f17-bfb4-d61f710ec7f8%7Cf2771843-6636-4969-9010-2d8d0389b89c" TargetMode="External"/><Relationship Id="rId2545" Type="http://schemas.openxmlformats.org/officeDocument/2006/relationships/hyperlink" Target="https://resources.simonelectric.com/simon-material-formativo-vehiculo-electrico" TargetMode="External"/><Relationship Id="rId3875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215" Type="http://schemas.openxmlformats.org/officeDocument/2006/relationships/hyperlink" Target="https://resources.simonelectric.com/simon-ebook-vehiculo-electrico?utm_campaign=SIC%20-%20Veh%C3%ADculo%20El%C3%A9ctrico&amp;utm_medium=email&amp;_hsmi=71033675&amp;_hsenc=p2ANqtz-81lB1bE0dchCphAoZtD166DByb4imYybhFAlJ9HBM8I_u7CUbgF4NwJqPRekxsLBBWiaYr&amp;utm_content=71033675&amp;utm_source=hs_automation" TargetMode="External"/><Relationship Id="rId2546" Type="http://schemas.openxmlformats.org/officeDocument/2006/relationships/hyperlink" Target="https://resources.simonelectric.com/simon-material-formativo-vehiculo-electrico" TargetMode="External"/><Relationship Id="rId3878" Type="http://schemas.openxmlformats.org/officeDocument/2006/relationships/hyperlink" Target="https://resources.simonelectric.com/simon-ebook-vehiculo-electrico?utm_campaign=SIC%20-%20Veh%C3%ADculo%20El%C3%A9ctrico&amp;utm_medium=email&amp;_hsenc=p2ANqtz--ao7dX1r2p9jm79WVxeXT6_faIJtLzCbx-hIjsCNwE9EAvru9uckjJgF9jY8Mv7tXiR2QczhakBwraDj2wR_RtouPRZZciURYClhGtTq2vE2CF1Es&amp;_hsmi=71033675&amp;utm_source=hs_automation&amp;utm_content=71033675&amp;hsCtaTracking=2e94ebfc-d414-4389-870c-d2f266a9420b%7C587ac4dc-a49a-4bdc-b449-e36f5d95395b" TargetMode="External"/><Relationship Id="rId121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547" Type="http://schemas.openxmlformats.org/officeDocument/2006/relationships/hyperlink" Target="https://resources.simonelectric.com/simon-material-formativo-vehiculo-electrico" TargetMode="External"/><Relationship Id="rId387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21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548" Type="http://schemas.openxmlformats.org/officeDocument/2006/relationships/hyperlink" Target="https://resources.simonelectric.com/simon-material-formativo-vehiculo-electrico" TargetMode="External"/><Relationship Id="rId121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549" Type="http://schemas.openxmlformats.org/officeDocument/2006/relationships/hyperlink" Target="https://resources.simonelectric.com/simon-material-formativo-vehiculo-electrico" TargetMode="External"/><Relationship Id="rId3879" Type="http://schemas.openxmlformats.org/officeDocument/2006/relationships/hyperlink" Target="https://resources.simonelectric.com/simon-ebook-vehiculo-electrico?utm_campaign=SIC%20-%20Veh%C3%ADculo%20El%C3%A9ctrico&amp;utm_medium=email&amp;_hsenc=p2ANqtz-_M8jgG5OqwtHt69Dcg6MFbPFT1yZsyGpEcFEXR04kfx7mj3okq0D0g25P5kf7zP0pbZpvh0lsNZbKipKtdyXzltjsDHpN1ZqIuxTlrtC0bdH-TjVI&amp;_hsmi=71033675&amp;utm_source=hs_automation&amp;utm_content=71033675&amp;hsCtaTracking=2e94ebfc-d414-4389-870c-d2f266a9420b%7C587ac4dc-a49a-4bdc-b449-e36f5d95395b" TargetMode="External"/><Relationship Id="rId121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870" Type="http://schemas.openxmlformats.org/officeDocument/2006/relationships/hyperlink" Target="https://resources.simonelectric.com/simon-ebook-vehiculo-electrico?utm_referrer=https%3A%2F%2Fwww.simonelectric.com%2Fblog%2Fitc-bt-52-soluciones-de-rearme-automatico-de-infraestructura-de-recarga" TargetMode="External"/><Relationship Id="rId2540" Type="http://schemas.openxmlformats.org/officeDocument/2006/relationships/hyperlink" Target="https://resources.simonelectric.com/simon-material-formativo-vehiculo-electrico" TargetMode="External"/><Relationship Id="rId387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1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541" Type="http://schemas.openxmlformats.org/officeDocument/2006/relationships/hyperlink" Target="https://resources.simonelectric.com/simon-material-formativo-vehiculo-electrico" TargetMode="External"/><Relationship Id="rId3871" Type="http://schemas.openxmlformats.org/officeDocument/2006/relationships/hyperlink" Target="https://resources.simonelectric.com/simon-ebook-vehiculo-electrico?utm_referrer=https%3A%2F%2Fwww.simonelectric.com%2Fblog%2Finstalacion-de-un-punto-de-recarga-para-un-coche-electrico%3Futm_campaign%3DSIC%2520-%2520Blog%2520digest%26utm_source%3Dhs_email%26utm_medium%3Demail%26utm_content%3D73091991%26_hsenc%3Dp2ANqtz-9-JeHgeQKS4BGvZzLKLt1NAmXutsXwHXP_wGwqjqV8LzFpZBR4PN5-Yrl8EXJu5XnsHS4dbpOjZLIGtNx9j4iAk64G7w%26_hsmi%3D73091991" TargetMode="External"/><Relationship Id="rId1211" Type="http://schemas.openxmlformats.org/officeDocument/2006/relationships/hyperlink" Target="https://resources.simonelectric.com/simon-ebook-vehiculo-electrico?utm_campaign=SIC%20-%20Veh%C3%ADculo%20El%C3%A9ctrico&amp;utm_medium=email&amp;_hsmi=71033675&amp;_hsenc=p2ANqtz-8TU9uuR6I41NlhMjxaqJgW6Gy75gFa0zDZXKp1tQpfc3Zxb95_xAES4XVGFoLTz0VYUw2U&amp;utm_content=71033675&amp;utm_source=hs_automation" TargetMode="External"/><Relationship Id="rId2542" Type="http://schemas.openxmlformats.org/officeDocument/2006/relationships/hyperlink" Target="https://resources.simonelectric.com/simon-material-formativo-vehiculo-electrico" TargetMode="External"/><Relationship Id="rId387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212" Type="http://schemas.openxmlformats.org/officeDocument/2006/relationships/hyperlink" Target="https://resources.simonelectric.com/simon-catalogo-vehiculo-electrico?utm_campaign=SIC%20-%20Veh%C3%ADculo%20El%C3%A9ctrico&amp;utm_medium=email&amp;_hsenc=p2ANqtz-8wD_BzvpWZF7RSsNCH7K2cULldx_Dn3IoUs-t0O1xZeT8P8ImVlsQ8lxbu2GAxvwumdNkw&amp;_hsmi=87085302&amp;utm_content=87085302&amp;utm_source=hs_email&amp;hsCtaTracking=6fedf137-fd90-4f17-bfb4-d61f710ec7f8%7Cf2771843-6636-4969-9010-2d8d0389b89c" TargetMode="External"/><Relationship Id="rId2543" Type="http://schemas.openxmlformats.org/officeDocument/2006/relationships/hyperlink" Target="https://resources.simonelectric.com/simon-material-formativo-vehiculo-electrico" TargetMode="External"/><Relationship Id="rId3873" Type="http://schemas.openxmlformats.org/officeDocument/2006/relationships/hyperlink" Target="https://resources.simonelectric.com/simon-ebook-vehiculo-electrico?utm_referrer=https%3A%2F%2Fwww.simonelectric.com%2Fblog%2Finstalacion-de-un-punto-de-recarga-para-un-coche-electrico%3Futm_source%3Dtwitter%26utm_medium%3Dsocial_ads%26utm_campaign%3Dvehiculo_electrico" TargetMode="External"/><Relationship Id="rId1202" Type="http://schemas.openxmlformats.org/officeDocument/2006/relationships/hyperlink" Target="https://resources.simonelectric.com/simon-ebook-vehiculo-electrico-ppc?utm_source=facebook&amp;utm_medium=social_ads&amp;utm_campaign=vehiculo_electrico&amp;fbclid=IwAR2lMyYuoxkhD2mSitp64KosVGysKC-l9u0x6_NEAYom5NbOIv9lfJWu7FI" TargetMode="External"/><Relationship Id="rId2533" Type="http://schemas.openxmlformats.org/officeDocument/2006/relationships/hyperlink" Target="https://resources.simonelectric.com/simon-material-formativo-vehiculo-electrico" TargetMode="External"/><Relationship Id="rId3865" Type="http://schemas.openxmlformats.org/officeDocument/2006/relationships/hyperlink" Target="https://resources.simonelectric.com/simon-ebook-vehiculo-electrico?utm_campaign=SIC%20-%20Veh%C3%ADculo%20El%C3%A9ctrico&amp;utm_medium=email&amp;_hsenc=p2ANqtz--VOW0Hket3BUt9wQ4BaroWbDfV9P1BNuHs07uEAlnNLc6MicfPl7Hl36pNZa1I0nDPaVZvUILOrMh-44yzTLrao4C8CA&amp;_hsmi=71033675&amp;utm_source=hs_automation&amp;utm_content=71033675&amp;hsCtaTracking=2e94ebfc-d414-4389-870c-d2f266a9420b%7C587ac4dc-a49a-4bdc-b449-e36f5d95395b" TargetMode="External"/><Relationship Id="rId1203" Type="http://schemas.openxmlformats.org/officeDocument/2006/relationships/hyperlink" Target="https://resources.simonelectric.com/simon-ebook-vehiculo-electrico?utm_campaign=SIC%20-%20Veh%C3%ADculo%20El%C3%A9ctrico&amp;utm_medium=email&amp;_hsenc=p2ANqtz--99qQQFuAFAwsd1zrAKUaWEGrstgoncbOOlZn7FvWlm_hQNNd3B8OE19a-EdAl2-6nxav8&amp;_hsmi=71033675&amp;utm_content=71033675&amp;utm_source=hs_automation&amp;hsCtaTracking=2e94ebfc-d414-4389-870c-d2f266a9420b%7C587ac4dc-a49a-4bdc-b449-e36f5d95395b" TargetMode="External"/><Relationship Id="rId2534" Type="http://schemas.openxmlformats.org/officeDocument/2006/relationships/hyperlink" Target="https://resources.simonelectric.com/simon-material-formativo-vehiculo-electrico" TargetMode="External"/><Relationship Id="rId3864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9eu6hrnSbxF0wJGi98S2gkRhaE36SlNyPmg_gLq8XXljl0RkHnfNplYvIZjn1FYgyt7yw0nxxqiRkGRPHnw37mXIt0bw&amp;_hsmi=71033675" TargetMode="External"/><Relationship Id="rId1204" Type="http://schemas.openxmlformats.org/officeDocument/2006/relationships/hyperlink" Target="https://resources.simonelectric.com/simon-catalogo-vehiculo-electrico" TargetMode="External"/><Relationship Id="rId2535" Type="http://schemas.openxmlformats.org/officeDocument/2006/relationships/hyperlink" Target="https://resources.simonelectric.com/simon-material-formativo-vehiculo-electrico" TargetMode="External"/><Relationship Id="rId3867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" TargetMode="External"/><Relationship Id="rId1205" Type="http://schemas.openxmlformats.org/officeDocument/2006/relationships/hyperlink" Target="https://resources.simonelectric.com/simon-ebook-vehiculo-electrico-ppc?utm_source=facebook&amp;utm_medium=social_ads&amp;utm_campaign=vehiculo_electrico&amp;fbclid=IwAR3mTjqjPYRuLojSsTQDEOoDfu3w4mhhI_a8XXNQkwcW0zP2Vi8LakfJ5qU" TargetMode="External"/><Relationship Id="rId2536" Type="http://schemas.openxmlformats.org/officeDocument/2006/relationships/hyperlink" Target="https://resources.simonelectric.com/simon-material-formativo-vehiculo-electrico" TargetMode="External"/><Relationship Id="rId386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206" Type="http://schemas.openxmlformats.org/officeDocument/2006/relationships/hyperlink" Target="https://resources.simonelectric.com/simon-catalogo-vehiculo-electrico?utm_campaign=SIC%20-%20Veh%C3%ADculo%20El%C3%A9ctrico&amp;utm_medium=email&amp;_hsmi=87085363&amp;_hsenc=p2ANqtz-_bhewkhpzH6OvN6qu23vP8UcQ-Dtm-q9ipmdexeAS2-MVJn71Fw0JrzCaJsjDj4-Kuz-lV&amp;utm_content=87085363&amp;utm_source=hs_email" TargetMode="External"/><Relationship Id="rId2537" Type="http://schemas.openxmlformats.org/officeDocument/2006/relationships/hyperlink" Target="https://resources.simonelectric.com/simon-material-formativo-vehiculo-electrico" TargetMode="External"/><Relationship Id="rId3869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%3Futm_campaign%3DSIC%2520-%2520Veh%25C3%25ADculo%2520El%25C3%25A9ctrico%26utm_source%3Dhs_automation%26utm_medium%3Demail%26utm_content%3D71033996%26_hsenc%3Dp2ANqtz-8eIvXtXw2GTSPhmkztSWFtPirjjkOIcnwMkjt78OA-v2ChINoxlEkEXgLWuO3eB9eo4e-zz1mQS7Tz4G7aReIEWXhzyioBui29Uon3j66ooY0d1bk%26_hsmi%3D71033996" TargetMode="External"/><Relationship Id="rId120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538" Type="http://schemas.openxmlformats.org/officeDocument/2006/relationships/hyperlink" Target="https://resources.simonelectric.com/simon-material-formativo-vehiculo-electrico" TargetMode="External"/><Relationship Id="rId3868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8V1OXEpTguYCxESY5m89I7EAPJyofHdvAvJ2ymEm9Bb-eP3bachvBVqLVagHG66lLXLA_KWHZAw5FtkOMNrWs2H7h3tA&amp;_hsmi=71034014" TargetMode="External"/><Relationship Id="rId1208" Type="http://schemas.openxmlformats.org/officeDocument/2006/relationships/hyperlink" Target="https://resources.simonelectric.com/simon-ebook-vehiculo-electrico-0?gclid=EAIaIQobChMIhreC6o6d6QIVLBPTCh1ddwJNEAEYASAAEgKY7vD_BwE" TargetMode="External"/><Relationship Id="rId2539" Type="http://schemas.openxmlformats.org/officeDocument/2006/relationships/hyperlink" Target="https://resources.simonelectric.com/simon-material-formativo-vehiculo-electrico" TargetMode="External"/><Relationship Id="rId1209" Type="http://schemas.openxmlformats.org/officeDocument/2006/relationships/hyperlink" Target="https://resources.simonelectric.com/simon-catalogo-vehiculo-electrico?utm_campaign=SIC%20-%20Veh%C3%ADculo%20El%C3%A9ctrico&amp;utm_medium=email&amp;_hsenc=p2ANqtz--pKWpE56ZWTk2C1xUTuyJyTF0BQp1leiV8LZeLhWAzDgQ6xWwISN22mY8Vx6lFd2LJveAh&amp;_hsmi=87085302&amp;utm_content=87085302&amp;utm_source=hs_email&amp;hsCtaTracking=6fedf137-fd90-4f17-bfb4-d61f710ec7f8%7Cf2771843-6636-4969-9010-2d8d0389b89c" TargetMode="External"/><Relationship Id="rId3861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2530" Type="http://schemas.openxmlformats.org/officeDocument/2006/relationships/hyperlink" Target="https://resources.simonelectric.com/simon-material-formativo-vehiculo-electrico" TargetMode="External"/><Relationship Id="rId3860" Type="http://schemas.openxmlformats.org/officeDocument/2006/relationships/hyperlink" Target="https://resources.simonelectric.com/simon-ebook-vehiculo-electrico" TargetMode="External"/><Relationship Id="rId1200" Type="http://schemas.openxmlformats.org/officeDocument/2006/relationships/hyperlink" Target="https://resources.simonelectric.com/simon-ebook-vehiculo-electrico-ppc?utm_source=facebook&amp;utm_medium=social_ads&amp;utm_campaign=vehiculo_electrico&amp;fbclid=IwAR1vQD8i7NdX9VcHd6-ZSaussWO7gv67T635kZPvs8fP9VYTVbtL-QU_iUI" TargetMode="External"/><Relationship Id="rId2531" Type="http://schemas.openxmlformats.org/officeDocument/2006/relationships/hyperlink" Target="https://resources.simonelectric.com/simon-material-formativo-vehiculo-electrico" TargetMode="External"/><Relationship Id="rId3863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" TargetMode="External"/><Relationship Id="rId1201" Type="http://schemas.openxmlformats.org/officeDocument/2006/relationships/hyperlink" Target="https://resources.simonelectric.com/simon-catalogo-vehiculo-electrico?utm_campaign=SIC%20-%20Veh%C3%ADculo%20El%C3%A9ctrico&amp;utm_medium=email&amp;_hsenc=p2ANqtz--HYWu2zWU7chCfhrBA2B6JkmYnG9GDv0het9ehiDlvNot6wvLbCRSaSggpFjRZhDMFs0UF&amp;_hsmi=87085363&amp;utm_content=87085363&amp;utm_source=hs_email&amp;hsCtaTracking=6fedf137-fd90-4f17-bfb4-d61f710ec7f8%7Cf2771843-6636-4969-9010-2d8d0389b89c" TargetMode="External"/><Relationship Id="rId2532" Type="http://schemas.openxmlformats.org/officeDocument/2006/relationships/hyperlink" Target="https://resources.simonelectric.com/simon-material-formativo-vehiculo-electrico" TargetMode="External"/><Relationship Id="rId3862" Type="http://schemas.openxmlformats.org/officeDocument/2006/relationships/hyperlink" Target="https://resources.simonelectric.com/simon-ebook-vehiculo-electrico?utm_referrer=https%3A%2F%2Fwww.simonelectric.com%2Fblog%2Finstalacion-de-un-punto-de-recarga-para-un-coche-electrico" TargetMode="External"/><Relationship Id="rId1235" Type="http://schemas.openxmlformats.org/officeDocument/2006/relationships/hyperlink" Target="https://resources.simonelectric.com/simon-ebook-vehiculo-electrico?utm_campaign=SIC%20-%20Veh%C3%ADculo%20El%C3%A9ctrico&amp;utm_medium=email&amp;_hsenc=p2ANqtz--e3QSM_bwY5JterJqrQCCgnG0v-1J4-gILWCJPc8WWXeqkxI6iUnnj9w2N4uyjUGLeu1_P&amp;_hsmi=71033675&amp;utm_content=71033675&amp;utm_source=hs_automation&amp;hsCtaTracking=2e94ebfc-d414-4389-870c-d2f266a9420b%7C587ac4dc-a49a-4bdc-b449-e36f5d95395b" TargetMode="External"/><Relationship Id="rId2566" Type="http://schemas.openxmlformats.org/officeDocument/2006/relationships/hyperlink" Target="https://resources.simonelectric.com/simon-ebook-vehiculo-electrico" TargetMode="External"/><Relationship Id="rId3898" Type="http://schemas.openxmlformats.org/officeDocument/2006/relationships/hyperlink" Target="https://resources.simonelectric.com/simon-ebook-vehiculo-electrico?utm_campaign=SIC%20-%20Veh%C3%ADculo%20El%C3%A9ctrico&amp;utm_medium=email&amp;_hsenc=p2ANqtz--Px_RyGETYGpxjDYM37zT2SBHRCabYWaWu9i1qhVGhb1cE8Ah6QlhdOjBvChOv7z-gDL_zo8X6sH4h77SR-9cVvookxA&amp;_hsmi=71033675&amp;utm_source=hs_automation&amp;utm_content=71033675&amp;hsCtaTracking=2e94ebfc-d414-4389-870c-d2f266a9420b%7C587ac4dc-a49a-4bdc-b449-e36f5d95395b" TargetMode="External"/><Relationship Id="rId1236" Type="http://schemas.openxmlformats.org/officeDocument/2006/relationships/hyperlink" Target="https://resources.simonelectric.com/simon-catalogo-vehiculo-electrico?utm_campaign=SIC%20-%20Veh%C3%ADculo%20El%C3%A9ctrico&amp;utm_medium=email&amp;_hsenc=p2ANqtz-8KSiFja0-vtExzCsz05Hh1wPwB4agFXfoQmmGYJZvnwt9dNCbtQV7CcJqdFhGtqn_qKomr&amp;_hsmi=87085363&amp;utm_content=87085363&amp;utm_source=hs_email&amp;hsCtaTracking=6fedf137-fd90-4f17-bfb4-d61f710ec7f8%7Cf2771843-6636-4969-9010-2d8d0389b89c" TargetMode="External"/><Relationship Id="rId2567" Type="http://schemas.openxmlformats.org/officeDocument/2006/relationships/hyperlink" Target="https://resources.simonelectric.com/simon-ebook-vehiculo-electrico" TargetMode="External"/><Relationship Id="rId3897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_cpcTuMuce6mYEKQW_cUDDT6B99QOd7X__OvarhSQFRggl8FZMiJUm2tvhAvXFvLQKx6DlSNwPtjYrgsycJwIC-j7zYA&amp;_hsmi=71034014" TargetMode="External"/><Relationship Id="rId1237" Type="http://schemas.openxmlformats.org/officeDocument/2006/relationships/hyperlink" Target="https://resources.simonelectric.com/simon-ebook-vehiculo-electrico?utm_campaign=SIC%20-%20Veh%C3%ADculo%20El%C3%A9ctrico&amp;utm_medium=email&amp;_hsenc=p2ANqtz-_HwByLE3oT-nafhybtVEsh-beq8ZtH50t0jEdhgTLZf73XR-1CEG1l4mAdFjHJ9Rg44HX2&amp;_hsmi=71033675&amp;utm_content=71033675&amp;utm_source=hs_automation&amp;hsCtaTracking=2e94ebfc-d414-4389-870c-d2f266a9420b%7C587ac4dc-a49a-4bdc-b449-e36f5d95395b" TargetMode="External"/><Relationship Id="rId2568" Type="http://schemas.openxmlformats.org/officeDocument/2006/relationships/hyperlink" Target="https://resources.simonelectric.com/simon-ebook-vehiculo-electrico" TargetMode="External"/><Relationship Id="rId1238" Type="http://schemas.openxmlformats.org/officeDocument/2006/relationships/hyperlink" Target="https://resources.simonelectric.com/simon-ebook-vehiculo-electrico?utm_campaign=SIC%20-%20Veh%C3%ADculo%20El%C3%A9ctrico&amp;utm_medium=email&amp;_hsmi=71033675&amp;_hsenc=p2ANqtz-_-faC5FX5wbKi7ESZExSzzV94gFEelGQ61UUM7bkFg2MD2wnnaH_G5w4dmg1QmOOP2sb-N&amp;utm_content=71033675&amp;utm_source=hs_automation" TargetMode="External"/><Relationship Id="rId2569" Type="http://schemas.openxmlformats.org/officeDocument/2006/relationships/hyperlink" Target="https://resources.simonelectric.com/simon-ebook-vehiculo-electrico" TargetMode="External"/><Relationship Id="rId389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239" Type="http://schemas.openxmlformats.org/officeDocument/2006/relationships/hyperlink" Target="https://resources.simonelectric.com/simon-catalogo-vehiculo-electrico?utm_campaign=SIC%20-%20Veh%C3%ADculo%20El%C3%A9ctrico&amp;utm_medium=email&amp;_hsenc=p2ANqtz-8oI6mqhLVByLReh8LEet0WeyUnjJe6sxqNQGBfKDYbg9ynuMW7JHGl6A3Pv4Tr-4RnW6WQ&amp;_hsmi=87085302&amp;utm_content=87085302&amp;utm_source=hs_email&amp;hsCtaTracking=6fedf137-fd90-4f17-bfb4-d61f710ec7f8%7Cf2771843-6636-4969-9010-2d8d0389b89c" TargetMode="External"/><Relationship Id="rId40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404" Type="http://schemas.openxmlformats.org/officeDocument/2006/relationships/hyperlink" Target="https://resources.simonelectric.com/simon-ebook-vehiculo-electrico?utm_campaign=SIC%20-%20Veh%C3%ADculo%20El%C3%A9ctrico&amp;utm_medium=email&amp;_hsenc=p2ANqtz-_PA-RF8cheoethMCYa411zW6jo7L1KgEkPGSC6A7ztK_4NDzHdWIdenpM5K3vmyszHgZJwn5qkv9l34JmpVmDAIU69VA&amp;_hsmi=71033675&amp;utm_content=71033675&amp;utm_source=hs_automation&amp;hsCtaTracking=2e94ebfc-d414-4389-870c-d2f266a9420b%7C587ac4dc-a49a-4bdc-b449-e36f5d95395b" TargetMode="External"/><Relationship Id="rId40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02" Type="http://schemas.openxmlformats.org/officeDocument/2006/relationships/hyperlink" Target="https://resources.simonelectric.com/simon-catalogo-vehiculo-electrico?__hstc=83084745.92bda4c87a60a5b28006fdc933d6b12f.1591608394060.1591608394060.1591608394060.1&amp;__hssc=83084745.2.1591608394061&amp;__hsfp=3167385607" TargetMode="External"/><Relationship Id="rId40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40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0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0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405" Type="http://schemas.openxmlformats.org/officeDocument/2006/relationships/hyperlink" Target="https://resources.simonelectric.com/simon-catalogo-vehiculo-electrico?utm_campaign=SIC%20-%20Veh%C3%ADculo%20El%C3%A9ctrico&amp;utm_medium=email&amp;_hsmi=71034014&amp;_hsenc=p2ANqtz-_5CntvIZlXiV1sIGiicJFGui4LccaTanN_KhallkL4H-UUhJzwaJwBt_zWCIS-qO1ATaPazl3vn6mCE5HDYr_rJhOWNg&amp;utm_content=71034014&amp;utm_source=hs_automation" TargetMode="External"/><Relationship Id="rId3890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8CO5ayUgOXjCFMTkfmHC9tL7yRwdlPo90vkFLhVJ_20XtJpLuWtJA7mFYG2Jje9r6irpEmTMNyJyYjzp3qp3YOsJBFmeW5_urOFP3YUKBHwXavEq0&amp;_hsmi=71033675" TargetMode="External"/><Relationship Id="rId2560" Type="http://schemas.openxmlformats.org/officeDocument/2006/relationships/hyperlink" Target="https://resources.simonelectric.com/simon-material-formativo-vehiculo-electrico" TargetMode="External"/><Relationship Id="rId389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230" Type="http://schemas.openxmlformats.org/officeDocument/2006/relationships/hyperlink" Target="https://resources.simonelectric.com/simon-ebook-vehiculo-electrico?utm_campaign=SIC%20-%20Veh%C3%ADculo%20El%C3%A9ctrico&amp;utm_medium=email&amp;_hsenc=p2ANqtz---YIgTGmFaAR7iOmSW84Etz-MPfSCnqli_cVIryBKicVT0BXuDRqsYam6b_HnnC8N3KLvU&amp;_hsmi=71033675&amp;utm_content=71033675&amp;utm_source=hs_automation&amp;hsCtaTracking=2e94ebfc-d414-4389-870c-d2f266a9420b%7C587ac4dc-a49a-4bdc-b449-e36f5d95395b" TargetMode="External"/><Relationship Id="rId2561" Type="http://schemas.openxmlformats.org/officeDocument/2006/relationships/hyperlink" Target="https://resources.simonelectric.com/simon-material-formativo-vehiculo-electrico" TargetMode="External"/><Relationship Id="rId3891" Type="http://schemas.openxmlformats.org/officeDocument/2006/relationships/hyperlink" Target="https://resources.simonelectric.com/simon-material-formativo-vehiculo-electrico" TargetMode="External"/><Relationship Id="rId40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31" Type="http://schemas.openxmlformats.org/officeDocument/2006/relationships/hyperlink" Target="https://resources.simonelectric.com/simon-catalogo-vehiculo-electrico?utm_campaign=SIC%20-%20Veh%C3%ADculo%20El%C3%A9ctrico&amp;utm_medium=email&amp;_hsenc=p2ANqtz--2u7RX7fpkX9E8O5lYW_P0JhbJwB080ZFyDDhH7v6Iv8U2MDYqAF1EhTWRgS_sA5B-M62H&amp;_hsmi=87085302&amp;utm_content=87085302&amp;utm_source=hs_email&amp;hsCtaTracking=6fedf137-fd90-4f17-bfb4-d61f710ec7f8%7Cf2771843-6636-4969-9010-2d8d0389b89c" TargetMode="External"/><Relationship Id="rId2562" Type="http://schemas.openxmlformats.org/officeDocument/2006/relationships/hyperlink" Target="https://resources.simonelectric.com/simon-material-formativo-vehiculo-electrico" TargetMode="External"/><Relationship Id="rId389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23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56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89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233" Type="http://schemas.openxmlformats.org/officeDocument/2006/relationships/hyperlink" Target="https://resources.simonelectric.com/simon-ebook-vehiculo-electrico?utm_campaign=SIC%20-%20Veh%C3%ADculo%20El%C3%A9ctrico&amp;utm_medium=email&amp;_hsenc=p2ANqtz-8acngo0qasyW-BJ9JYrceRcxLZ7vggcZl0J7nsInC9Ky80ywJm5bvaqyZnYcjA0nwhYCcw&amp;_hsmi=71033675&amp;utm_content=71033675&amp;utm_source=hs_automation&amp;hsCtaTracking=2e94ebfc-d414-4389-870c-d2f266a9420b%7C587ac4dc-a49a-4bdc-b449-e36f5d95395b" TargetMode="External"/><Relationship Id="rId2564" Type="http://schemas.openxmlformats.org/officeDocument/2006/relationships/hyperlink" Target="https://resources.simonelectric.com/simon-ebook-vehiculo-electrico" TargetMode="External"/><Relationship Id="rId3896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" TargetMode="External"/><Relationship Id="rId123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565" Type="http://schemas.openxmlformats.org/officeDocument/2006/relationships/hyperlink" Target="https://resources.simonelectric.com/simon-ebook-vehiculo-electrico" TargetMode="External"/><Relationship Id="rId3895" Type="http://schemas.openxmlformats.org/officeDocument/2006/relationships/hyperlink" Target="https://resources.simonelectric.com/simon-catalogo-vehiculo-electrico?__hstc=83084745.fa788d897a09934af11c7d27888da9d3.1579102794232.1579102794232.1579102794232.1&amp;__hssc=83084745.6.1579102794233&amp;__hsfp=1830652789" TargetMode="External"/><Relationship Id="rId122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555" Type="http://schemas.openxmlformats.org/officeDocument/2006/relationships/hyperlink" Target="https://resources.simonelectric.com/simon-material-formativo-vehiculo-electrico" TargetMode="External"/><Relationship Id="rId388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225" Type="http://schemas.openxmlformats.org/officeDocument/2006/relationships/hyperlink" Target="https://resources.simonelectric.com/simon-catalogo-vehiculo-electrico?utm_campaign=SIC%20-%20Veh%C3%ADculo%20El%C3%A9ctrico&amp;utm_medium=email&amp;_hsenc=p2ANqtz--4pZVQarsZFqy3EnIPRm_CpnAoUNciNbNJz7pHi5hFsYgLA9NciDA1qKzXJGM3mH-U5qgG&amp;_hsmi=87085302&amp;utm_content=87085302&amp;utm_source=hs_email&amp;hsCtaTracking=6fedf137-fd90-4f17-bfb4-d61f710ec7f8%7Cf2771843-6636-4969-9010-2d8d0389b89c" TargetMode="External"/><Relationship Id="rId2556" Type="http://schemas.openxmlformats.org/officeDocument/2006/relationships/hyperlink" Target="https://resources.simonelectric.com/simon-material-formativo-vehiculo-electrico" TargetMode="External"/><Relationship Id="rId388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226" Type="http://schemas.openxmlformats.org/officeDocument/2006/relationships/hyperlink" Target="https://resources.simonelectric.com/simon-catalogo-vehiculo-electrico?utm_campaign=SIC%20-%20Veh%C3%ADculo%20El%C3%A9ctrico&amp;utm_medium=email&amp;_hsenc=p2ANqtz-943sMlL61EnCvFS9q1zCBvufHm6Zt6cdWDVdP5xkWbL4OHpmuO9Hu43xlABUpdbo7PndQ4AkJaBeTtDGl4cQ_jbrKcyRV6GrvNimy1xyLtutbL5Mk&amp;utm_source=hs_email&amp;utm_content=87085363&amp;hsCtaTracking=6fedf137-fd90-4f17-bfb4-d61f710ec7f8%7Cf2771843-6636-4969-9010-2d8d0389b89c" TargetMode="External"/><Relationship Id="rId2557" Type="http://schemas.openxmlformats.org/officeDocument/2006/relationships/hyperlink" Target="https://resources.simonelectric.com/simon-material-formativo-vehiculo-electrico" TargetMode="External"/><Relationship Id="rId3889" Type="http://schemas.openxmlformats.org/officeDocument/2006/relationships/hyperlink" Target="https://resources.simonelectric.com/simon-catalogo-vehiculo-electrico?utm_campaign=SIC%20-%20Veh%C3%ADculo%20El%C3%A9ctrico&amp;utm_source=hs_email&amp;utm_medium=email&amp;utm_content=71034014&amp;_hsenc=p2ANqtz-_LmK-zGROrEKdDwJMzZUFm3n3Prh7FUDhTBhDTxwcfBpn5HjL5TTZPSdHit3qZVNFImPTmUAeBnSqGVSfeNrwtUfZe5A" TargetMode="External"/><Relationship Id="rId1227" Type="http://schemas.openxmlformats.org/officeDocument/2006/relationships/hyperlink" Target="https://resources.simonelectric.com/simon-catalogo-vehiculo-electrico?utm_campaign=SIC%20-%20Veh%C3%ADculo%20El%C3%A9ctrico&amp;utm_medium=email&amp;_hsenc=p2ANqtz-8_XrBrTIkZxs3v5lSOolFoOfcWWHe8BaSsnmEEEZtNzFiksvXINJi789LbBCwXQYrjiF5OvJWF6_gDBrj3nW7Uc_6OZw&amp;utm_source=hs_email&amp;utm_content=87085302&amp;hsCtaTracking=6fedf137-fd90-4f17-bfb4-d61f710ec7f8%7Cf2771843-6636-4969-9010-2d8d0389b89c" TargetMode="External"/><Relationship Id="rId2558" Type="http://schemas.openxmlformats.org/officeDocument/2006/relationships/hyperlink" Target="https://resources.simonelectric.com/simon-material-formativo-vehiculo-electrico" TargetMode="External"/><Relationship Id="rId388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228" Type="http://schemas.openxmlformats.org/officeDocument/2006/relationships/hyperlink" Target="https://resources.simonelectric.com/simon-catalogo-vehiculo-electrico?utm_campaign=SIC%20-%20Veh%C3%ADculo%20El%C3%A9ctrico&amp;utm_medium=email&amp;_hsenc=p2ANqtz-_lG-hdPcP69Pd1lqZgppEHy--tqZHreMX6TExbWNn5tQuTJUZQW4X3DlStRBZXwI_QZVca&amp;_hsmi=87085363&amp;utm_content=87085363&amp;utm_source=hs_email&amp;hsCtaTracking=6fedf137-fd90-4f17-bfb4-d61f710ec7f8%7Cf2771843-6636-4969-9010-2d8d0389b89c" TargetMode="External"/><Relationship Id="rId2559" Type="http://schemas.openxmlformats.org/officeDocument/2006/relationships/hyperlink" Target="https://resources.simonelectric.com/simon-material-formativo-vehiculo-electrico" TargetMode="External"/><Relationship Id="rId1229" Type="http://schemas.openxmlformats.org/officeDocument/2006/relationships/hyperlink" Target="https://resources.simonelectric.com/simon-catalogo-vehiculo-electrico?utm_campaign=SIC%20-%20Veh%C3%ADculo%20El%C3%A9ctrico&amp;utm_medium=email&amp;_hsmi=87085302&amp;_hsenc=p2ANqtz-9Agt10QJl9DvKJV-H_ht46fkXQjikBvP_ybPbzWss3D_xj719WfbpdQhh_BRMpu9yp3hjM&amp;utm_content=87085302&amp;utm_source=hs_email" TargetMode="External"/><Relationship Id="rId3881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-9aa7iXhsQY7j8YQU2EWN2GANPzJEpw4qdgJUTXGu2SWoHRCoR94f2J8JeoWHpbFBt1TUkQ1Cy7YFvlRl5Y05XJFy9fg&amp;_hsmi=71034014" TargetMode="External"/><Relationship Id="rId2550" Type="http://schemas.openxmlformats.org/officeDocument/2006/relationships/hyperlink" Target="https://resources.simonelectric.com/simon-material-formativo-vehiculo-electrico" TargetMode="External"/><Relationship Id="rId3880" Type="http://schemas.openxmlformats.org/officeDocument/2006/relationships/hyperlink" Target="https://resources.simonelectric.com/simon-catalogo-vehiculo-electrico?__hstc=83084745.3f76bfe01db6180760334ba7d8fb8a2f.1579263277485.1579263277485.1579263277485.1&amp;__hssc=83084745.3.1579263277485&amp;__hsfp=1830652789" TargetMode="External"/><Relationship Id="rId122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551" Type="http://schemas.openxmlformats.org/officeDocument/2006/relationships/hyperlink" Target="https://resources.simonelectric.com/simon-material-formativo-vehiculo-electrico" TargetMode="External"/><Relationship Id="rId3883" Type="http://schemas.openxmlformats.org/officeDocument/2006/relationships/hyperlink" Target="https://resources.simonelectric.com/simon-catalogo-vehiculo-electrico" TargetMode="External"/><Relationship Id="rId1221" Type="http://schemas.openxmlformats.org/officeDocument/2006/relationships/hyperlink" Target="https://resources.simonelectric.com/simon-catalogo-vehiculo-electrico?__hstc=83084745.2c1a69b6f4177f5453c0f55d26bcccfd.1588665858121.1588665858121.1588665858121.1&amp;__hssc=83084745.8.1588665858123&amp;__hsfp=1159522144" TargetMode="External"/><Relationship Id="rId2552" Type="http://schemas.openxmlformats.org/officeDocument/2006/relationships/hyperlink" Target="https://resources.simonelectric.com/simon-material-formativo-vehiculo-electrico" TargetMode="External"/><Relationship Id="rId388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22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553" Type="http://schemas.openxmlformats.org/officeDocument/2006/relationships/hyperlink" Target="https://resources.simonelectric.com/simon-material-formativo-vehiculo-electrico" TargetMode="External"/><Relationship Id="rId3885" Type="http://schemas.openxmlformats.org/officeDocument/2006/relationships/hyperlink" Target="https://resources.simonelectric.com/simon-catalogo-vehiculo-electrico?__hstc=83084745.0504c49c9dd0d61d85448adbbee8cf9c.1579175350985.1579175350985.1579175350985.1&amp;__hssc=83084745.5.1579175350985&amp;__hsfp=4198672045" TargetMode="External"/><Relationship Id="rId1223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554" Type="http://schemas.openxmlformats.org/officeDocument/2006/relationships/hyperlink" Target="https://resources.simonelectric.com/simon-material-formativo-vehiculo-electrico" TargetMode="External"/><Relationship Id="rId3884" Type="http://schemas.openxmlformats.org/officeDocument/2006/relationships/hyperlink" Target="https://resources.simonelectric.com/simon-ebook-vehiculo-electrico?utm_referrer=https%3A%2F%2Fwww.simonelectric.com%2Fblog%2Finstalacion-de-un-punto-de-recarga-para-un-coche-electrico%3Futm_source%3Dtwitter%26utm_medium%3Dsocial_ads%26utm_campaign%3Dvehiculo_electrico" TargetMode="External"/><Relationship Id="rId2500" Type="http://schemas.openxmlformats.org/officeDocument/2006/relationships/hyperlink" Target="https://resources.simonelectric.com/simon-material-formativo-vehiculo-electrico" TargetMode="External"/><Relationship Id="rId383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501" Type="http://schemas.openxmlformats.org/officeDocument/2006/relationships/hyperlink" Target="https://resources.simonelectric.com/simon-material-formativo-vehiculo-electrico" TargetMode="External"/><Relationship Id="rId3831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-HQGa61FSzOWG-4hIlFnpgU0k-TcYlDDDpCXUO60hjHWO42JyJI3io0KKbJzLrW5L-yRZmjb9s3WHmYuHxN8Mqk04inw%26_hsmi%3D71033828" TargetMode="External"/><Relationship Id="rId2502" Type="http://schemas.openxmlformats.org/officeDocument/2006/relationships/hyperlink" Target="https://resources.simonelectric.com/simon-material-formativo-vehiculo-electrico" TargetMode="External"/><Relationship Id="rId3834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XHTrhK7WEPM2LcpmbldeJqhAAsV9vc2R7LYe-rnLcHj7r9MyJX5uMM9csyYiJTNo-ZSyJCipG51S82-Wcy1Jn6Wh1IA%26_hsmi%3D81085388" TargetMode="External"/><Relationship Id="rId2503" Type="http://schemas.openxmlformats.org/officeDocument/2006/relationships/hyperlink" Target="https://resources.simonelectric.com/simon-material-formativo-vehiculo-electrico" TargetMode="External"/><Relationship Id="rId3833" Type="http://schemas.openxmlformats.org/officeDocument/2006/relationships/hyperlink" Target="https://resources.simonelectric.com/simon-catalogo-vehiculo-electrico?__hstc=83084745.57a7f2f76dcf6d3fca309eb6233192c1.1523963605348.1571295136481.1580067597413.13&amp;__hssc=83084745.13.1580067597413&amp;__hsfp=1931039041" TargetMode="External"/><Relationship Id="rId2504" Type="http://schemas.openxmlformats.org/officeDocument/2006/relationships/hyperlink" Target="https://resources.simonelectric.com/simon-material-formativo-vehiculo-electrico" TargetMode="External"/><Relationship Id="rId383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505" Type="http://schemas.openxmlformats.org/officeDocument/2006/relationships/hyperlink" Target="https://resources.simonelectric.com/simon-material-formativo-vehiculo-electrico" TargetMode="External"/><Relationship Id="rId3835" Type="http://schemas.openxmlformats.org/officeDocument/2006/relationships/hyperlink" Target="https://resources.simonelectric.com/simon-catalogo-vehiculo-electrico?__hstc=83084745.96d43ea18144884016c288152563e6ad.1578744333062.1578744333062.1580033203668.2&amp;__hssc=83084745.4.1580033203668&amp;__hsfp=1931039041" TargetMode="External"/><Relationship Id="rId2506" Type="http://schemas.openxmlformats.org/officeDocument/2006/relationships/hyperlink" Target="https://resources.simonelectric.com/simon-material-formativo-vehiculo-electrico" TargetMode="External"/><Relationship Id="rId383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507" Type="http://schemas.openxmlformats.org/officeDocument/2006/relationships/hyperlink" Target="https://resources.simonelectric.com/simon-material-formativo-vehiculo-electrico" TargetMode="External"/><Relationship Id="rId383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508" Type="http://schemas.openxmlformats.org/officeDocument/2006/relationships/hyperlink" Target="https://resources.simonelectric.com/simon-material-formativo-vehiculo-electrico" TargetMode="External"/><Relationship Id="rId2509" Type="http://schemas.openxmlformats.org/officeDocument/2006/relationships/hyperlink" Target="https://resources.simonelectric.com/simon-material-formativo-vehiculo-electrico" TargetMode="External"/><Relationship Id="rId383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830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_BfHGLZN_8yUK29eJluayCew3vr7AeSRbN-DkURfBjXqQsYhYgYjkd7AD1yIJvM7iqw9iWBECJIq7V692eBWuPTlrJlg&amp;_hsmi=71034014" TargetMode="External"/><Relationship Id="rId3821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1ZdzbNmbNgzcds2dV0Z4OAO_LkGGm7IXMDerjnyS9g37B5qT_WU9ZQX99TegzAz038eNRwPvGH1ST7fdo-A881R7pzf7_Bl-ipIzYkz8ROzXzXOw%26_hsmi%3D81085386" TargetMode="External"/><Relationship Id="rId3820" Type="http://schemas.openxmlformats.org/officeDocument/2006/relationships/hyperlink" Target="https://resources.simonelectric.com/simon-catalogo-vehiculo-electrico?__hstc=83084745.e1f47b8a6ca22361e5490481a12fc5d2.1580120311312.1580199189318.1580207051182.4&amp;__hssc=83084745.2.1580207051182&amp;__hsfp=1348086788" TargetMode="External"/><Relationship Id="rId3823" Type="http://schemas.openxmlformats.org/officeDocument/2006/relationships/hyperlink" Target="https://resources.simonelectric.com/simon-ebook-vehiculo-electrico?utm_referrer=https%3A%2F%2Fwww.simonelectric.com%2Fblog%2Fmovilidad-urbana-sostenible-plan-movem-de-la-diputacion-de-badajoz" TargetMode="External"/><Relationship Id="rId3822" Type="http://schemas.openxmlformats.org/officeDocument/2006/relationships/hyperlink" Target="https://resources.simonelectric.com/simon-ebook-vehiculo-electrico?utm_referrer=https%3A%2F%2Fwww.simonelectric.com%2Fblog%2Finstalacion-de-un-punto-de-recarga-para-un-coche-electrico" TargetMode="External"/><Relationship Id="rId382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824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8jfPLCGio7a5BCPCN3l9ow9AaFcH0jXbDeOh7Yp2-O_icZlX15PhQ6LUSsk91bK9AGIrsfr1SsIuast0ldzR7Pmz1ShA&amp;_hsmi=71034014" TargetMode="External"/><Relationship Id="rId382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826" Type="http://schemas.openxmlformats.org/officeDocument/2006/relationships/hyperlink" Target="https://resources.simonelectric.com/simon-catalogo-vehiculo-electrico?__hstc=83084745.91e996feb81dc3018bff0901c8cc6030.1560186111034.1578384735426.1580118857959.8&amp;__hssc=83084745.8.1580118857959&amp;__hsfp=3019540099" TargetMode="External"/><Relationship Id="rId382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828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-SnfOllUwOLVkXKftxjc8iLk6MAZnjOPXQEpchoXZMQGBiPU1HVeMQAJCnEiTQeA7SGS1LuYpK7gTmHlJr3rgC9mWg7g&amp;_hsmi=71034014" TargetMode="External"/><Relationship Id="rId2522" Type="http://schemas.openxmlformats.org/officeDocument/2006/relationships/hyperlink" Target="https://resources.simonelectric.com/simon-material-formativo-vehiculo-electrico" TargetMode="External"/><Relationship Id="rId385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523" Type="http://schemas.openxmlformats.org/officeDocument/2006/relationships/hyperlink" Target="https://resources.simonelectric.com/simon-material-formativo-vehiculo-electrico" TargetMode="External"/><Relationship Id="rId3853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524" Type="http://schemas.openxmlformats.org/officeDocument/2006/relationships/hyperlink" Target="https://resources.simonelectric.com/simon-material-formativo-vehiculo-electrico" TargetMode="External"/><Relationship Id="rId385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525" Type="http://schemas.openxmlformats.org/officeDocument/2006/relationships/hyperlink" Target="https://resources.simonelectric.com/simon-material-formativo-vehiculo-electrico" TargetMode="External"/><Relationship Id="rId3855" Type="http://schemas.openxmlformats.org/officeDocument/2006/relationships/hyperlink" Target="https://resources.simonelectric.com/simon-catalogo-vehiculo-electrico?__hstc=83084745.f00140edfded524cc439ccc9d9e1df44.1575569560527.1575569560527.1579623756623.2&amp;__hssc=83084745.5.1579623756623&amp;__hsfp=3788137526" TargetMode="External"/><Relationship Id="rId2526" Type="http://schemas.openxmlformats.org/officeDocument/2006/relationships/hyperlink" Target="https://resources.simonelectric.com/simon-material-formativo-vehiculo-electrico" TargetMode="External"/><Relationship Id="rId385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527" Type="http://schemas.openxmlformats.org/officeDocument/2006/relationships/hyperlink" Target="https://resources.simonelectric.com/simon-material-formativo-vehiculo-electrico" TargetMode="External"/><Relationship Id="rId385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528" Type="http://schemas.openxmlformats.org/officeDocument/2006/relationships/hyperlink" Target="https://resources.simonelectric.com/simon-material-formativo-vehiculo-electrico" TargetMode="External"/><Relationship Id="rId2529" Type="http://schemas.openxmlformats.org/officeDocument/2006/relationships/hyperlink" Target="https://resources.simonelectric.com/simon-material-formativo-vehiculo-electrico" TargetMode="External"/><Relationship Id="rId3859" Type="http://schemas.openxmlformats.org/officeDocument/2006/relationships/hyperlink" Target="https://resources.simonelectric.com/simon-catalogo-vehiculo-electrico?__hstc=83084745.7708de786207023c911d3d0c2ad66c6c.1549357013168.1579522373480.1579597201832.35&amp;__hssc=83084745.3.1579597201832&amp;__hsfp=3019540099" TargetMode="External"/><Relationship Id="rId3850" Type="http://schemas.openxmlformats.org/officeDocument/2006/relationships/hyperlink" Target="https://resources.simonelectric.com/simon-ebook-vehiculo-electrico" TargetMode="External"/><Relationship Id="rId2520" Type="http://schemas.openxmlformats.org/officeDocument/2006/relationships/hyperlink" Target="https://resources.simonelectric.com/simon-material-formativo-vehiculo-electrico" TargetMode="External"/><Relationship Id="rId3852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521" Type="http://schemas.openxmlformats.org/officeDocument/2006/relationships/hyperlink" Target="https://resources.simonelectric.com/simon-material-formativo-vehiculo-electrico" TargetMode="External"/><Relationship Id="rId3851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511" Type="http://schemas.openxmlformats.org/officeDocument/2006/relationships/hyperlink" Target="https://resources.simonelectric.com/simon-material-formativo-vehiculo-electrico" TargetMode="External"/><Relationship Id="rId3843" Type="http://schemas.openxmlformats.org/officeDocument/2006/relationships/hyperlink" Target="https://resources.simonelectric.com/simon-catalogo-vehiculo-electrico?__hstc=83084745.ed1a0bfc0f34643dae15fc205af27618.1579109481597.1579621222307.1579775585790.3&amp;__hssc=83084745.8.1579775585790&amp;__hsfp=1348086788" TargetMode="External"/><Relationship Id="rId2512" Type="http://schemas.openxmlformats.org/officeDocument/2006/relationships/hyperlink" Target="https://resources.simonelectric.com/simon-ebook-vehiculo-electrico" TargetMode="External"/><Relationship Id="rId3842" Type="http://schemas.openxmlformats.org/officeDocument/2006/relationships/hyperlink" Target="https://resources.simonelectric.com/simon-ebook-vehiculo-electrico?utm_campaign=SIC%20-%20Veh%C3%ADculo%20El%C3%A9ctrico&amp;utm_medium=email&amp;_hsenc=p2ANqtz--4lHh6Kedv84lQrVZf2O_Jj9bilVkprkxUNurlyRsWbsWaYAjbauqkSaWsxeeaBnSqSkZJGBlS8cMTXppHP1xpZJtJOQ&amp;_hsmi=71033675&amp;utm_source=hs_automation&amp;utm_content=71033675&amp;hsCtaTracking=2e94ebfc-d414-4389-870c-d2f266a9420b%7C587ac4dc-a49a-4bdc-b449-e36f5d95395b" TargetMode="External"/><Relationship Id="rId2513" Type="http://schemas.openxmlformats.org/officeDocument/2006/relationships/hyperlink" Target="https://resources.simonelectric.com/simon-material-formativo-vehiculo-electrico" TargetMode="External"/><Relationship Id="rId3845" Type="http://schemas.openxmlformats.org/officeDocument/2006/relationships/hyperlink" Target="https://resources.simonelectric.com/simon-ebook-vehiculo-electrico" TargetMode="External"/><Relationship Id="rId2514" Type="http://schemas.openxmlformats.org/officeDocument/2006/relationships/hyperlink" Target="https://resources.simonelectric.com/simon-material-formativo-vehiculo-electrico" TargetMode="External"/><Relationship Id="rId3844" Type="http://schemas.openxmlformats.org/officeDocument/2006/relationships/hyperlink" Target="https://resources.simonelectric.com/simon-catalogo-vehiculo-electrico?__hstc=83084745.099d755616f7ea99823ba7d12f0db4d3.1579769502939.1579769502939.1579771454584.2&amp;__hssc=83084745.3.1579771454584&amp;__hsfp=3185171820" TargetMode="External"/><Relationship Id="rId2515" Type="http://schemas.openxmlformats.org/officeDocument/2006/relationships/hyperlink" Target="https://resources.simonelectric.com/simon-material-formativo-vehiculo-electrico" TargetMode="External"/><Relationship Id="rId384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516" Type="http://schemas.openxmlformats.org/officeDocument/2006/relationships/hyperlink" Target="https://resources.simonelectric.com/simon-material-formativo-vehiculo-electrico" TargetMode="External"/><Relationship Id="rId3846" Type="http://schemas.openxmlformats.org/officeDocument/2006/relationships/hyperlink" Target="https://resources.simonelectric.com/simon-ebook-vehiculo-electrico" TargetMode="External"/><Relationship Id="rId2517" Type="http://schemas.openxmlformats.org/officeDocument/2006/relationships/hyperlink" Target="https://resources.simonelectric.com/simon-material-formativo-vehiculo-electrico" TargetMode="External"/><Relationship Id="rId3849" Type="http://schemas.openxmlformats.org/officeDocument/2006/relationships/hyperlink" Target="https://resources.simonelectric.com/simon-catalogo-vehiculo-electrico?__hstc=83084745.14c5d0a81889dda5f19b946480adc164.1570719498904.1577952469954.1579696950314.3&amp;__hssc=83084745.1.1579696950314&amp;__hsfp=3201754394" TargetMode="External"/><Relationship Id="rId2518" Type="http://schemas.openxmlformats.org/officeDocument/2006/relationships/hyperlink" Target="https://resources.simonelectric.com/simon-material-formativo-vehiculo-electrico" TargetMode="External"/><Relationship Id="rId3848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TwuC_Ew8YPYWmv2Cj9XbVZCLuZ_qXISmTHEdXKBAl7QOeZzzupENIIszB2bt6s8ZPL0C1s1hdGYI4_30-kIJdhzFJqg%26_hsmi%3D81085386" TargetMode="External"/><Relationship Id="rId2519" Type="http://schemas.openxmlformats.org/officeDocument/2006/relationships/hyperlink" Target="https://resources.simonelectric.com/simon-material-formativo-vehiculo-electrico" TargetMode="External"/><Relationship Id="rId384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510" Type="http://schemas.openxmlformats.org/officeDocument/2006/relationships/hyperlink" Target="https://resources.simonelectric.com/simon-material-formativo-vehiculo-electrico" TargetMode="External"/><Relationship Id="rId3840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_BMswoTbF91cCrM7oO5CwzLCIXISi2Ad4t9gTsfTzYCjIPE_mfoSfaLMneW-qnyunvRelvB3sp0Mt8dLiu-ipY7mdgDw&amp;_hsmi=71034014" TargetMode="External"/><Relationship Id="rId469" Type="http://schemas.openxmlformats.org/officeDocument/2006/relationships/hyperlink" Target="https://resources.simonelectric.com/simon-ebook-vehiculo-electrico?utm_campaign=SIC%20-%20Veh%C3%ADculo%20El%C3%A9ctrico&amp;utm_medium=email&amp;_hsenc=p2ANqtz--j5i6xxniLtdYtQgT4ON57bljQy3WVCgOrjgvsw3tX3VawU80tQGDORH9T711Cq6jDwTHB2PDoXSoFeW5wrzNuJUP-UA&amp;_hsmi=71033675&amp;utm_content=71033675&amp;utm_source=hs_automation&amp;hsCtaTracking=2e94ebfc-d414-4389-870c-d2f266a9420b%7C587ac4dc-a49a-4bdc-b449-e36f5d95395b" TargetMode="External"/><Relationship Id="rId468" Type="http://schemas.openxmlformats.org/officeDocument/2006/relationships/hyperlink" Target="https://resources.simonelectric.com/simon-catalogo-vehiculo-electrico?__hstc=83084745.f677a21354bed6071608b6f088cb968b.1554999519231.1584433419033.1591252128809.4&amp;__hssc=83084745.40.1591252128809&amp;__hsfp=2719144775" TargetMode="External"/><Relationship Id="rId46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90" Type="http://schemas.openxmlformats.org/officeDocument/2006/relationships/hyperlink" Target="https://resources.simonelectric.com/simon-ebook-vehiculo-electrico?utm_campaign=SIC%20-%20Veh%C3%ADculo%20El%C3%A9ctrico&amp;utm_medium=email&amp;_hsenc=p2ANqtz--avQvIESxkJ2OnPl_sbJvZP8CGVFfDtUGjgPpSHO2tY_CU_ThgaSSRNgEFMTndrbguSo8j&amp;_hsmi=71033675&amp;utm_content=71033675&amp;utm_source=hs_automation&amp;hsCtaTracking=2e94ebfc-d414-4389-870c-d2f266a9420b%7C587ac4dc-a49a-4bdc-b449-e36f5d95395b" TargetMode="External"/><Relationship Id="rId1291" Type="http://schemas.openxmlformats.org/officeDocument/2006/relationships/hyperlink" Target="https://resources.simonelectric.com/simon-ebook-vehiculo-electrico?utm_campaign=SIC%20-%20Veh%C3%ADculo%20El%C3%A9ctrico&amp;utm_medium=email&amp;_hsenc=p2ANqtz-_bYxUoKWnbUT3bNE9jaPoEhOcmYVaOcCHgDrS4PPcqZl60xfQ-EVPCWiU7BtJn8IZy6IU7&amp;_hsmi=71033675&amp;utm_content=71033675&amp;utm_source=hs_automation&amp;hsCtaTracking=2e94ebfc-d414-4389-870c-d2f266a9420b%7C587ac4dc-a49a-4bdc-b449-e36f5d95395b" TargetMode="External"/><Relationship Id="rId1292" Type="http://schemas.openxmlformats.org/officeDocument/2006/relationships/hyperlink" Target="https://resources.simonelectric.com/simon-ebook-vehiculo-electrico?utm_campaign=SIC%20-%20Veh%C3%ADculo%20El%C3%A9ctrico&amp;utm_medium=email&amp;_hsmi=71033675&amp;_hsenc=p2ANqtz-9mCPwbl-awRWzSAEp3T0HL1Mou8fQu_g0P9gR-uWlwUETSyJWOBA88cw0orCQ3seD9mkxT&amp;utm_content=71033675&amp;utm_source=hs_automation" TargetMode="External"/><Relationship Id="rId46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93" Type="http://schemas.openxmlformats.org/officeDocument/2006/relationships/hyperlink" Target="https://resources.simonelectric.com/simon-catalogo-vehiculo-electrico?utm_campaign=SIC%20-%20Veh%C3%ADculo%20El%C3%A9ctrico&amp;utm_medium=email&amp;_hsmi=71034014&amp;_hsenc=p2ANqtz-_f9o1JiYM44HjK3H3-BO8MqnRORfdYtjklt9_OzDH5jEYE7RKjQ5z-Tj7CehPg3VpUxKpJ&amp;utm_content=71034014&amp;utm_source=hs_automation" TargetMode="External"/><Relationship Id="rId461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294" Type="http://schemas.openxmlformats.org/officeDocument/2006/relationships/hyperlink" Target="https://resources.simonelectric.com/simon-catalogo-vehiculo-electrico?utm_campaign=SIC%20-%20Veh%C3%ADculo%20El%C3%A9ctrico&amp;utm_medium=email&amp;_hsenc=p2ANqtz-_nWkBfanhVHACJHTElG6qzFzWtNWG9uZz39jIXnuTO_QEKwNyozc1WdihlLCMRjGF3_oF9&amp;_hsmi=87085363&amp;utm_content=87085363&amp;utm_source=hs_email&amp;hsCtaTracking=6fedf137-fd90-4f17-bfb4-d61f710ec7f8%7Cf2771843-6636-4969-9010-2d8d0389b89c" TargetMode="External"/><Relationship Id="rId460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295" Type="http://schemas.openxmlformats.org/officeDocument/2006/relationships/hyperlink" Target="https://resources.simonelectric.com/simon-material-formativo-vehiculo-electrico" TargetMode="External"/><Relationship Id="rId1296" Type="http://schemas.openxmlformats.org/officeDocument/2006/relationships/hyperlink" Target="https://resources.simonelectric.com/simon-catalogo-vehiculo-electrico?utm_campaign=SIC%20-%20Veh%C3%ADculo%20El%C3%A9ctrico&amp;utm_medium=email&amp;_hsenc=p2ANqtz-_MTXgaW0AxYLzBnoZ2ZasDK6u8dn1U2MSe5VB6osL4qlUhb4l2WZLbblyfp2Y5_nBCo1k9&amp;_hsmi=87085363&amp;utm_content=87085363&amp;utm_source=hs_email&amp;hsCtaTracking=6fedf137-fd90-4f17-bfb4-d61f710ec7f8%7Cf2771843-6636-4969-9010-2d8d0389b89c" TargetMode="External"/><Relationship Id="rId46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29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46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98" Type="http://schemas.openxmlformats.org/officeDocument/2006/relationships/hyperlink" Target="https://resources.simonelectric.com/simon-catalogo-vehiculo-electrico?utm_campaign=SIC%20-%20Veh%C3%ADculo%20El%C3%A9ctrico&amp;utm_medium=email&amp;_hsenc=p2ANqtz--1iUF98u60fUCc_OxzYZuUjQhS4bqcPzSsWAkqMvny7VsOg4FISlrA22X6aWXCVx5fP1a0&amp;_hsmi=87085302&amp;utm_content=87085302&amp;utm_source=hs_email&amp;hsCtaTracking=6fedf137-fd90-4f17-bfb4-d61f710ec7f8%7Cf2771843-6636-4969-9010-2d8d0389b89c" TargetMode="External"/><Relationship Id="rId464" Type="http://schemas.openxmlformats.org/officeDocument/2006/relationships/hyperlink" Target="https://resources.simonelectric.com/simon-catalogo-vehiculo-electrico" TargetMode="External"/><Relationship Id="rId1299" Type="http://schemas.openxmlformats.org/officeDocument/2006/relationships/hyperlink" Target="https://resources.simonelectric.com/simon-ebook-vehiculo-electrico-ppc?utm_source=facebook&amp;utm_medium=social_ads&amp;utm_campaign=vehiculo_electrico&amp;fbclid=IwAR2ceNwJa3EQWdm8CFjUUGnzWTBWd1l3vsHY3637Dv2hiUYW_a9g7KerznI" TargetMode="External"/><Relationship Id="rId463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5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5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5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5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80" Type="http://schemas.openxmlformats.org/officeDocument/2006/relationships/hyperlink" Target="https://resources.simonelectric.com/simon-ebook-vehiculo-electrico?utm_campaign=SIC%20-%20Veh%C3%ADculo%20El%C3%A9ctrico&amp;utm_medium=email&amp;_hsmi=71033675&amp;_hsenc=p2ANqtz-9Xas68QnPtSgiLmZRWmoW_4XehsbyDGiCgnQ9HEC18vrbayoYm57mxLIpEIWhU1fiARxQE&amp;utm_content=71033675&amp;utm_source=hs_automation" TargetMode="External"/><Relationship Id="rId1281" Type="http://schemas.openxmlformats.org/officeDocument/2006/relationships/hyperlink" Target="https://resources.simonelectric.com/simon-ebook-vehiculo-electrico?utm_campaign=SIC%20-%20Veh%C3%ADculo%20El%C3%A9ctrico&amp;utm_medium=email&amp;_hsmi=71033675&amp;_hsenc=p2ANqtz-9uy8HQcEWa_AB-daqbIpAyWGsWgCA6f5H-yFm5BthSaH2-LQ8Rvpm3Q8lKK1pjjWE230f6&amp;utm_content=71033675&amp;utm_source=hs_automation" TargetMode="External"/><Relationship Id="rId45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82" Type="http://schemas.openxmlformats.org/officeDocument/2006/relationships/hyperlink" Target="https://resources.simonelectric.com/simon-ebook-vehiculo-electrico?utm_campaign=SIC%20-%20Veh%C3%ADculo%20El%C3%A9ctrico&amp;utm_medium=email&amp;_hsenc=p2ANqtz-_ZeAbUKhFQ1YObU6pngjyDpje_NGliIaGqR6YlBGtfni9p11zNHZnDbESKfGP0S6viLo2x&amp;_hsmi=71033675&amp;utm_content=71033675&amp;utm_source=hs_automation&amp;hsCtaTracking=2e94ebfc-d414-4389-870c-d2f266a9420b%7C587ac4dc-a49a-4bdc-b449-e36f5d95395b" TargetMode="External"/><Relationship Id="rId45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83" Type="http://schemas.openxmlformats.org/officeDocument/2006/relationships/hyperlink" Target="https://resources.simonelectric.com/simon-catalogo-vehiculo-electrico?utm_campaign=SIC%20-%20Veh%C3%ADculo%20El%C3%A9ctrico&amp;utm_medium=email&amp;_hsenc=p2ANqtz-9PJXXS7i8kriDCQgQGTBk11Q3IOdYSkxo2Dw0qCGGs65wvKdevyKr3B40x7e77KPVA1cW4&amp;_hsmi=87085363&amp;utm_content=87085363&amp;utm_source=hs_email&amp;hsCtaTracking=6fedf137-fd90-4f17-bfb4-d61f710ec7f8%7Cf2771843-6636-4969-9010-2d8d0389b89c" TargetMode="External"/><Relationship Id="rId1284" Type="http://schemas.openxmlformats.org/officeDocument/2006/relationships/hyperlink" Target="https://resources.simonelectric.com/simon-ebook-vehiculo-electrico?utm_campaign=SIC%20-%20Veh%C3%ADculo%20El%C3%A9ctrico&amp;utm_medium=email&amp;_hsenc=p2ANqtz-8qHWKUOoXpKEFsSuX0SHFfr4kw87kdJrP5qgD2AtqxSsw8UmIMXttBgMYXJFDBDP0_nfhi&amp;_hsmi=71033675&amp;utm_content=71033675&amp;utm_source=hs_automation&amp;hsCtaTracking=2e94ebfc-d414-4389-870c-d2f266a9420b%7C587ac4dc-a49a-4bdc-b449-e36f5d95395b" TargetMode="External"/><Relationship Id="rId128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455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286" Type="http://schemas.openxmlformats.org/officeDocument/2006/relationships/hyperlink" Target="https://resources.simonelectric.com/simon-ebook-vehiculo-electrico?utm_campaign=SIC%20-%20Veh%C3%ADculo%20El%C3%A9ctrico&amp;utm_medium=email&amp;_hsenc=p2ANqtz-8FLEOhuNKxFGlu6pRVgazxRE5EM4CJw7_-KdZzYV_364Lb6I9yAG6wfjZYXA3Hbc2_a56z&amp;_hsmi=71033675&amp;utm_content=71033675&amp;utm_source=hs_automation&amp;hsCtaTracking=2e94ebfc-d414-4389-870c-d2f266a9420b%7C587ac4dc-a49a-4bdc-b449-e36f5d95395b" TargetMode="External"/><Relationship Id="rId454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" TargetMode="External"/><Relationship Id="rId1287" Type="http://schemas.openxmlformats.org/officeDocument/2006/relationships/hyperlink" Target="https://resources.simonelectric.com/simon-ebook-vehiculo-electrico?utm_campaign=SIC%20-%20Veh%C3%ADculo%20El%C3%A9ctrico&amp;utm_medium=email&amp;_hsenc=p2ANqtz-8acbHAYchz_4INm027pt3d5FnHggMh3vWJHwgxZEbnTfuFxBBmTFl5tO4bYkG-QLQqCVGC&amp;_hsmi=71033675&amp;utm_content=71033675&amp;utm_source=hs_automation&amp;hsCtaTracking=2e94ebfc-d414-4389-870c-d2f266a9420b%7C587ac4dc-a49a-4bdc-b449-e36f5d95395b" TargetMode="External"/><Relationship Id="rId453" Type="http://schemas.openxmlformats.org/officeDocument/2006/relationships/hyperlink" Target="https://resources.simonelectric.com/simon-ebook-vehiculo-electrico?utm_referrer=https%3A%2F%2Fwww.simonelectric.com%2Fblog%2Fcargador-del-vehiculo-electrico-y-transicion-la-movilidad-electrica" TargetMode="External"/><Relationship Id="rId1288" Type="http://schemas.openxmlformats.org/officeDocument/2006/relationships/hyperlink" Target="https://resources.simonelectric.com/simon-ebook-vehiculo-electrico?utm_campaign=SIC%20-%20Veh%C3%ADculo%20El%C3%A9ctrico&amp;utm_medium=email&amp;_hsenc=p2ANqtz-8lSBt2xUbPQQozfRYCbNPOHbpfGu_b3Fs14Df2DyurKR_YnR4noGnlrBvQTjZwdwFg-FhZ&amp;_hsmi=71033675&amp;utm_content=71033675&amp;utm_source=hs_automation&amp;hsCtaTracking=2e94ebfc-d414-4389-870c-d2f266a9420b%7C587ac4dc-a49a-4bdc-b449-e36f5d95395b" TargetMode="External"/><Relationship Id="rId452" Type="http://schemas.openxmlformats.org/officeDocument/2006/relationships/hyperlink" Target="https://resources.simonelectric.com/simon-ebook-vehiculo-electrico" TargetMode="External"/><Relationship Id="rId1289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medium%3Demail%26_hsmi%3D71033828%26_hsenc%3Dp2ANqtz-8GvtavwNVgo82czQMvnXXmUBQ7GcT4PR-LruelPUgE18GMOVsNn9aL029Ow8iLyfJ89EFk%26utm_content%3D71033828%26utm_source%3Dhs_automation" TargetMode="External"/><Relationship Id="rId3018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EllZcV5DT4NqQqPxl7LKQhemn8wNna9aW8YWRGXdi8Rv0lsQcxoJS4AqUgNDjW5RUh60teDxUGZTOPhWYZUA9uicZ3w&amp;_hsmi=85165037" TargetMode="External"/><Relationship Id="rId3017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8EdWGF9YrAY6K9TTjDDoq-wMQ7rcW8-MOqU80idrafZOozOTIHp_2RGcxuhApVC1Fjesx9iWK8K9zQ0zKeZkeAwpwc3JVgJSiQzrpC20Y7EM6JOQM&amp;_hsmi=85165037" TargetMode="External"/><Relationship Id="rId3019" Type="http://schemas.openxmlformats.org/officeDocument/2006/relationships/hyperlink" Target="https://resources.simonelectric.com/simon-ebook-vehiculo-electrico?utm_campaign=%23Simonentucasa&amp;utm_medium=email&amp;_hsenc=p2ANqtz-8zbidWb8JlQWCyXaBJuoLPZ-LMJ0e6jqy7ym9RlS9IgBhFssjhINYBU0c50LN9Yus8T-owVJ1RnXDa0SVKoBZ7N9KNfw&amp;_hsmi=85165037&amp;utm_source=hs_email&amp;utm_content=85165037&amp;hsCtaTracking=7e048f91-fedd-4131-939d-25771a4a2d12%7Cf6d6f061-2319-4b5b-89f8-8c89fca06239" TargetMode="External"/><Relationship Id="rId491" Type="http://schemas.openxmlformats.org/officeDocument/2006/relationships/hyperlink" Target="https://resources.simonelectric.com/simon-ebook-vehiculo-electrico" TargetMode="External"/><Relationship Id="rId49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8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84" Type="http://schemas.openxmlformats.org/officeDocument/2006/relationships/hyperlink" Target="https://resources.simonelectric.com/simon-ebook-vehiculo-electrico?utm_referrer=https%3A%2F%2Fwww.simonelectric.com%2Fblog%2Fcargador-del-vehiculo-electrico-y-transicion-la-movilidad-electrica%3Futm_campaign%3DSIC%2520-%2520Blog%2520digest%26utm_medium%3Demail%26_hsmi%3D88911100%26_hsenc%3Dp2ANqtz-8pNbdCQJMOGgMZ6aMPzUgtDzhUyDWVScvYLTPWugIC7yQzL5i3pmzfHs5PPOdkY46bF51iAJ0bsfn53l6ogGSHETmtmQ%26utm_content%3D88911100%26utm_source%3Dhs_email" TargetMode="External"/><Relationship Id="rId3010" Type="http://schemas.openxmlformats.org/officeDocument/2006/relationships/hyperlink" Target="https://resources.simonelectric.com/simon-ebook-vehiculo-electrico?utm_campaign=%23Simonentucasa&amp;utm_medium=email&amp;_hsenc=p2ANqtz--zlVI3CwVCe9W7I5He09cCplT7b3bYjpk6RcsLk7QW9KZ_6yU_Fjgnh_qQVZQX0xIJqNv2LIV34XEOClQQ-xooNkZsqA&amp;_hsmi=85165037&amp;utm_source=hs_email&amp;utm_content=85165037&amp;hsCtaTracking=7e048f91-fedd-4131-939d-25771a4a2d12%7Cf6d6f061-2319-4b5b-89f8-8c89fca06239" TargetMode="External"/><Relationship Id="rId48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82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012" Type="http://schemas.openxmlformats.org/officeDocument/2006/relationships/hyperlink" Target="https://resources.simonelectric.com/simon-ebook-vehiculo-electrico?utm_campaign=%23Simonentucasa&amp;utm_medium=email&amp;_hsenc=p2ANqtz-933axTelV0K2nqHMOBU-XPRZzngKyqmz3NbG3J2nAUWWAY5mX4w5EOLVOf1PCSDwtq2kdD-fv6-V3g4zo_DVy2jn-ofw&amp;_hsmi=85165037&amp;utm_source=hs_email&amp;utm_content=85165037&amp;hsCtaTracking=7e048f91-fedd-4131-939d-25771a4a2d12%7Cf6d6f061-2319-4b5b-89f8-8c89fca06239" TargetMode="External"/><Relationship Id="rId48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011" Type="http://schemas.openxmlformats.org/officeDocument/2006/relationships/hyperlink" Target="https://resources.simonelectric.com/simon-ebook-vehiculo-electrico?utm_campaign=%23Simonentucasa&amp;utm_medium=email&amp;_hsenc=p2ANqtz-80uHo4DQHOSkoKOTnxRP_tcjSbD68Qz-6YKjNa7PWLsFyVEkAd2E0CJNQ6no3havXj95LUjiuRgTfWP8Xq0s6GjH9AMQ&amp;_hsmi=85165037&amp;utm_source=hs_email&amp;utm_content=85165037&amp;hsCtaTracking=7e048f91-fedd-4131-939d-25771a4a2d12%7Cf6d6f061-2319-4b5b-89f8-8c89fca06239" TargetMode="External"/><Relationship Id="rId48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014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8bg9XF95yQXqFh3LyjTidiAI1igRHNg2SIgUwRiXvzPkGEuf0y0wnAxBIBC6NhAfu3cWSAUnuKIqPe-TAE2cdx0-tP3w&amp;_hsmi=85165037" TargetMode="External"/><Relationship Id="rId48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013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sjsLrC9-ewqDj7ucqa0-sfbnsJBWkVNFCKIC9URUUNCjz2yVf4iyrpUlfBWWp5u96AaY7lZt4QUDhu9UXOloxq5icMg&amp;_hsmi=85165037" TargetMode="External"/><Relationship Id="rId48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016" Type="http://schemas.openxmlformats.org/officeDocument/2006/relationships/hyperlink" Target="https://resources.simonelectric.com/simon-ebook-vehiculo-electrico?utm_campaign=%23Simonentucasa&amp;utm_medium=email&amp;_hsenc=p2ANqtz-8bg9XF95yQXqFh3LyjTidiAI1igRHNg2SIgUwRiXvzPkGEuf0y0wnAxBIBC6NhAfu3cWSAUnuKIqPe-TAE2cdx0-tP3w&amp;_hsmi=85165037&amp;utm_source=hs_email&amp;utm_content=85165037&amp;hsCtaTracking=7e048f91-fedd-4131-939d-25771a4a2d12%7Cf6d6f061-2319-4b5b-89f8-8c89fca06239" TargetMode="External"/><Relationship Id="rId485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015" Type="http://schemas.openxmlformats.org/officeDocument/2006/relationships/hyperlink" Target="https://resources.simonelectric.com/simon-ebook-vehiculo-electrico?utm_campaign=%23Simonentucasa&amp;utm_medium=email&amp;_hsenc=p2ANqtz-_SLncVM5-PNey3VUzYhS97CltEK1JaWkqqDziiVNNCQzGVNaNUKBQvg8nPXXjRmfCOxZh-5E1ooB1clbk5JdGjjGZbqg&amp;_hsmi=85165037&amp;utm_source=hs_email&amp;utm_content=85165037&amp;hsCtaTracking=7e048f91-fedd-4131-939d-25771a4a2d12%7Cf6d6f061-2319-4b5b-89f8-8c89fca06239" TargetMode="External"/><Relationship Id="rId3007" Type="http://schemas.openxmlformats.org/officeDocument/2006/relationships/hyperlink" Target="https://resources.simonelectric.com/simon-ebook-vehiculo-electrico?utm_campaign=%23Simonentucasa&amp;utm_medium=email&amp;_hsenc=p2ANqtz-97phuQEdtvGkSr4fuvo3pXsQg_78cMFDtyknOS0z-txs7e4cYhmSCJP4Ikms56aUT6nmbkPzL5oUQdYkO3ElFT42Oxpw&amp;_hsmi=85165037&amp;utm_source=hs_email&amp;utm_content=85165037&amp;hsCtaTracking=7e048f91-fedd-4131-939d-25771a4a2d12%7Cf6d6f061-2319-4b5b-89f8-8c89fca06239" TargetMode="External"/><Relationship Id="rId3006" Type="http://schemas.openxmlformats.org/officeDocument/2006/relationships/hyperlink" Target="https://resources.simonelectric.com/simon-ebook-vehiculo-electrico?utm_campaign=%23Simonentucasa&amp;utm_medium=email&amp;_hsenc=p2ANqtz-8f-06dHd-KHmPikM6vP3Nzfhna7wjvE8nGaPAhlrdYHAxmqiiA6ZMNXhVqFG-CF_MQgGnvsNHVbRDYnZSTvj2zYl9KWw&amp;_hsmi=85165037&amp;utm_source=hs_email&amp;utm_content=85165037&amp;hsCtaTracking=7e048f91-fedd-4131-939d-25771a4a2d12%7Cf6d6f061-2319-4b5b-89f8-8c89fca06239" TargetMode="External"/><Relationship Id="rId3009" Type="http://schemas.openxmlformats.org/officeDocument/2006/relationships/hyperlink" Target="https://resources.simonelectric.com/simon-ebook-vehiculo-electrico?utm_campaign=%23Simonentucasa&amp;utm_medium=email&amp;_hsenc=p2ANqtz-9cDK0_o31LI-RTmUmtf21sMI_zr5zZk7_JdIgsn13zl14Qovh1JfjDK7iBeEfwkk2bSj7IoXjbfcC-AyW3djNExmv61Q&amp;_hsmi=85165037&amp;utm_source=hs_email&amp;utm_content=85165037&amp;hsCtaTracking=7e048f91-fedd-4131-939d-25771a4a2d12%7Cf6d6f061-2319-4b5b-89f8-8c89fca06239" TargetMode="External"/><Relationship Id="rId3008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ruNsMnEb7u2syyzE4lVP4eYXbhYZkz1aM_Kpeuj0QkRziJYsM0zbdhLGhfM368Q3c4oLWwCNhG_tFrPeK-3W_QWHDrXMUre5PQgHLXNowkWhDNCs&amp;_hsmi=85165037" TargetMode="External"/><Relationship Id="rId480" Type="http://schemas.openxmlformats.org/officeDocument/2006/relationships/hyperlink" Target="https://resources.simonelectric.com/simon-ebook-vehiculo-electrico" TargetMode="External"/><Relationship Id="rId47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78" Type="http://schemas.openxmlformats.org/officeDocument/2006/relationships/hyperlink" Target="https://resources.simonelectric.com/simon-ebook-vehiculo-electrico?__hssc=83084745.1124112611241124100.1591222081172&amp;__hstc=83084745.46e99640c23f1bd520a05dc386b1690c.1578382350515.1591222081172.1591222188917.4&amp;__hsfp=2119984157&amp;hsCtaTracking=2e94ebfc-d414-4389-870c-d2f266a9420b%7C587ac4dc-a49a-4bdc-b449-e36f5d95395b" TargetMode="External"/><Relationship Id="rId473" Type="http://schemas.openxmlformats.org/officeDocument/2006/relationships/hyperlink" Target="https://resources.simonelectric.com/simon-catalogo-vehiculo-electrico?__hstc=83084745.cd092134bbf74cb3e40348f10ee240e7.1574238894846.1576777601443.1591247002040.3&amp;__hssc=83084745.10.1591247002040&amp;__hsfp=3536484965" TargetMode="External"/><Relationship Id="rId47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7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001" Type="http://schemas.openxmlformats.org/officeDocument/2006/relationships/hyperlink" Target="https://resources.simonelectric.com/simon-ebook-vehiculo-electrico?utm_campaign=%23Simonentucasa&amp;utm_medium=email&amp;_hsenc=p2ANqtz-96wcoxNrRMnt6gB__-EmKeZzNtkjRhAtw6-fSoBfDyz60he3M50EomPBmPyJaYIKhm7bO5vzSgD_pt6rT1zepV4Ce-hA&amp;_hsmi=85165037&amp;utm_source=hs_email&amp;utm_content=85165037&amp;hsCtaTracking=7e048f91-fedd-4131-939d-25771a4a2d12%7Cf6d6f061-2319-4b5b-89f8-8c89fca06239" TargetMode="External"/><Relationship Id="rId47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000" Type="http://schemas.openxmlformats.org/officeDocument/2006/relationships/hyperlink" Target="https://resources.simonelectric.com/simon-ebook-vehiculo-electrico?utm_campaign=%23Simonentucasa&amp;utm_medium=email&amp;_hsenc=p2ANqtz-8vV5mhCS4P7Jk1wJwofN539YU-m_RcjM-oDHh59zGsQ1_YFCx6ArA4N8qsscF5zMIN2Ap9RkHhHi-V3OrjFWe-aWjHSg&amp;_hsmi=85165037&amp;utm_source=hs_email&amp;utm_content=85165037&amp;hsCtaTracking=7e048f91-fedd-4131-939d-25771a4a2d12%7Cf6d6f061-2319-4b5b-89f8-8c89fca06239" TargetMode="External"/><Relationship Id="rId47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003" Type="http://schemas.openxmlformats.org/officeDocument/2006/relationships/hyperlink" Target="https://resources.simonelectric.com/simon-ebook-vehiculo-electrico?utm_campaign=%23Simonentucasa&amp;utm_medium=email&amp;_hsenc=p2ANqtz--o3h01B0kGaEpiA-E_8ekCuAlKXXECuPoNDAxQYEZZCGnGJSorOL5fnJ96PzoNHr9zcwJZyD_pB77aE5Ock3aIWYZvnA&amp;_hsmi=85165037&amp;utm_source=hs_email&amp;utm_content=85165037&amp;hsCtaTracking=7e048f91-fedd-4131-939d-25771a4a2d12%7Cf6d6f061-2319-4b5b-89f8-8c89fca06239" TargetMode="External"/><Relationship Id="rId47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002" Type="http://schemas.openxmlformats.org/officeDocument/2006/relationships/hyperlink" Target="https://resources.simonelectric.com/simon-ebook-vehiculo-electrico?utm_campaign=%23Simonentucasa&amp;utm_medium=email&amp;_hsenc=p2ANqtz-8SLPro6wudvgD5OUjRDMtcfzHcVHZSosRWOGsbjoeeZz2XZA4ZGPCFc72jpJzT3fmX9jBtIiTeCjYnv5Jg-rDWDN8Brw&amp;_hsmi=85165037&amp;utm_source=hs_email&amp;utm_content=85165037&amp;hsCtaTracking=7e048f91-fedd-4131-939d-25771a4a2d12%7Cf6d6f061-2319-4b5b-89f8-8c89fca06239" TargetMode="External"/><Relationship Id="rId47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005" Type="http://schemas.openxmlformats.org/officeDocument/2006/relationships/hyperlink" Target="https://resources.simonelectric.com/simon-ebook-vehiculo-electrico?utm_campaign=%23Simonentucasa&amp;utm_medium=email&amp;_hsenc=p2ANqtz-_fr4Kx2O4t-AqaR2bvqFXUf_75y6OBdDvjNn6KI84ckvLFZJ4nesZJy7F41ct1VlfC26pn_tIPPAGaG8PFWJJB8jrvOQ&amp;_hsmi=85165037&amp;utm_source=hs_email&amp;utm_content=85165037&amp;hsCtaTracking=7e048f91-fedd-4131-939d-25771a4a2d12%7Cf6d6f061-2319-4b5b-89f8-8c89fca06239" TargetMode="External"/><Relationship Id="rId47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004" Type="http://schemas.openxmlformats.org/officeDocument/2006/relationships/hyperlink" Target="https://resources.simonelectric.com/simon-ebook-vehiculo-electrico?utm_campaign=%23Simonentucasa&amp;utm_medium=email&amp;_hsenc=p2ANqtz-_MzdDfXzx2QDTAfXWst2LXXBVLlai25Gt3hfmL97xV_TgCXyzWy-iDGDfwowoEua25AIi7i00pJ-lMhZLmwE8Ulye2GA&amp;_hsmi=85165037&amp;utm_source=hs_email&amp;utm_content=85165037&amp;hsCtaTracking=7e048f91-fedd-4131-939d-25771a4a2d12%7Cf6d6f061-2319-4b5b-89f8-8c89fca06239" TargetMode="External"/><Relationship Id="rId125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588" Type="http://schemas.openxmlformats.org/officeDocument/2006/relationships/hyperlink" Target="https://resources.simonelectric.com/simon-ebook-vehiculo-electrico" TargetMode="External"/><Relationship Id="rId1258" Type="http://schemas.openxmlformats.org/officeDocument/2006/relationships/hyperlink" Target="https://resources.simonelectric.com/simon-ebook-vehiculo-electrico?utm_campaign=SIC%20-%20Veh%C3%ADculo%20El%C3%A9ctrico&amp;utm_medium=email&amp;_hsenc=p2ANqtz-9sM6tOXEaTueNaMzc9fdsHi8PsfAwkYzSGCrJo8x325wU4v11tp9OEKEst-gFPr7MpLPSE&amp;_hsmi=71033675&amp;utm_content=71033675&amp;utm_source=hs_automation&amp;hsCtaTracking=2e94ebfc-d414-4389-870c-d2f266a9420b%7C587ac4dc-a49a-4bdc-b449-e36f5d95395b" TargetMode="External"/><Relationship Id="rId2589" Type="http://schemas.openxmlformats.org/officeDocument/2006/relationships/hyperlink" Target="https://resources.simonelectric.com/simon-ebook-vehiculo-electrico" TargetMode="External"/><Relationship Id="rId1259" Type="http://schemas.openxmlformats.org/officeDocument/2006/relationships/hyperlink" Target="https://resources.simonelectric.com/simon-catalogo-vehiculo-electrico?utm_campaign=SIC%20-%20Veh%C3%ADculo%20El%C3%A9ctrico&amp;utm_medium=email&amp;_hsenc=p2ANqtz-8Nfyj-G3skaF7L-KvEamKoaQhAy17zSJ4X_D2tItKlNEGrzPT4krvAkAacriLfuGqKC7E6&amp;_hsmi=87085363&amp;utm_content=87085363&amp;utm_source=hs_email&amp;hsCtaTracking=6fedf137-fd90-4f17-bfb4-d61f710ec7f8%7Cf2771843-6636-4969-9010-2d8d0389b89c" TargetMode="External"/><Relationship Id="rId42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425" Type="http://schemas.openxmlformats.org/officeDocument/2006/relationships/hyperlink" Target="https://resources.simonelectric.com/simon-ebook-vehiculo-electrico?utm_referrer=https%3A%2F%2Fwww.simonelectric.com%2Fblog%2Finstalacion-de-un-punto-de-recarga-para-un-coche-electrico%3Futm_campaign%3DSIC%2520-%2520Veh%25C3%25ADculo%2520El%25C3%25A9ctrico%26utm_medium%3Demail%26_hsmi%3D71034014%26_hsenc%3Dp2ANqtz-_o0gb7XHiUpG31XfTbLMIlSUmcgOujhYGVkY0kp5QfJ4f__mApk8Rb4l2X4M_f9FZgwxncux3rvRid1FvDfU3WdWob1g%26utm_content%3D71034014%26utm_source%3Dhs_automation" TargetMode="External"/><Relationship Id="rId42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23" Type="http://schemas.openxmlformats.org/officeDocument/2006/relationships/hyperlink" Target="https://resources.simonelectric.com/simon-ebook-vehiculo-electrico-0?gclid=CjwKCAjw2uf2BRBpEiwA31VZjwNESO6dt4RgYqy1uYUlPqX5lUEGMPglyAiP2_vYu3WnQrFdvKwe7BoCvjAQAvD_BwE" TargetMode="External"/><Relationship Id="rId429" Type="http://schemas.openxmlformats.org/officeDocument/2006/relationships/hyperlink" Target="https://resources.simonelectric.com/simon-catalogo-vehiculo-electrico" TargetMode="External"/><Relationship Id="rId428" Type="http://schemas.openxmlformats.org/officeDocument/2006/relationships/hyperlink" Target="https://resources.simonelectric.com/simon-catalogo-vehiculo-electrico?utm_campaign=SIC%20-%20Veh%C3%ADculo%20El%C3%A9ctrico&amp;utm_medium=email&amp;_hsmi=71034014&amp;_hsenc=p2ANqtz--Q_RRFBtF-5teoHLHoHGn6dji9zT03lVZvYA1U2NjsuiuuoBVyuq_ibia1qDXGmeWDkXPUgKmHwimc4SmDzi1YqmCIDA&amp;utm_content=71034014&amp;utm_source=hs_automation" TargetMode="External"/><Relationship Id="rId42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580" Type="http://schemas.openxmlformats.org/officeDocument/2006/relationships/hyperlink" Target="https://resources.simonelectric.com/simon-ebook-vehiculo-electrico" TargetMode="External"/><Relationship Id="rId1250" Type="http://schemas.openxmlformats.org/officeDocument/2006/relationships/hyperlink" Target="https://resources.simonelectric.com/simon-ebook-vehiculo-electrico?utm_campaign=SIC%20-%20Veh%C3%ADculo%20El%C3%A9ctrico&amp;utm_medium=email&amp;_hsenc=p2ANqtz-_f74QHohVPsI-bMgxsnyrThRiYCjDS5HjII1ffPpDnqkYRE993HtFuFhxZ6MhbLvQ9iyz9&amp;_hsmi=71033675&amp;utm_content=71033675&amp;utm_source=hs_automation&amp;hsCtaTracking=2e94ebfc-d414-4389-870c-d2f266a9420b%7C587ac4dc-a49a-4bdc-b449-e36f5d95395b" TargetMode="External"/><Relationship Id="rId2581" Type="http://schemas.openxmlformats.org/officeDocument/2006/relationships/hyperlink" Target="https://resources.simonelectric.com/simon-ebook-vehiculo-electrico" TargetMode="External"/><Relationship Id="rId1251" Type="http://schemas.openxmlformats.org/officeDocument/2006/relationships/hyperlink" Target="https://resources.simonelectric.com/simon-ebook-vehiculo-electrico?utm_campaign=SIC%20-%20Veh%C3%ADculo%20El%C3%A9ctrico&amp;utm_medium=email&amp;_hsmi=71033675&amp;_hsenc=p2ANqtz-_7hpGGDygT-KEmUfL5e2NnHWP3AeikQZ0sXtHCrIwy-SddutNqDVkxU2yWeM-B_m9ESDjA&amp;utm_content=71033675&amp;utm_source=hs_automation" TargetMode="External"/><Relationship Id="rId2582" Type="http://schemas.openxmlformats.org/officeDocument/2006/relationships/hyperlink" Target="https://resources.simonelectric.com/simon-ebook-vehiculo-electrico" TargetMode="External"/><Relationship Id="rId1252" Type="http://schemas.openxmlformats.org/officeDocument/2006/relationships/hyperlink" Target="https://resources.simonelectric.com/simon-catalogo-vehiculo-electrico?utm_campaign=SIC%20-%20Veh%C3%ADculo%20El%C3%A9ctrico&amp;utm_medium=email&amp;_hsenc=p2ANqtz--kLrzJsvuSrXpYylSWRt__-x3YgzuSWcEhmA-lo93PvWe_P9SjD4xVgTKLgwGVMVzuUnNE&amp;_hsmi=87085363&amp;utm_content=87085363&amp;utm_source=hs_email&amp;hsCtaTracking=6fedf137-fd90-4f17-bfb4-d61f710ec7f8%7Cf2771843-6636-4969-9010-2d8d0389b89c" TargetMode="External"/><Relationship Id="rId2583" Type="http://schemas.openxmlformats.org/officeDocument/2006/relationships/hyperlink" Target="https://resources.simonelectric.com/simon-ebook-vehiculo-electrico" TargetMode="External"/><Relationship Id="rId42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253" Type="http://schemas.openxmlformats.org/officeDocument/2006/relationships/hyperlink" Target="https://resources.simonelectric.com/simon-catalogo-vehiculo-electrico?utm_campaign=SIC%20-%20Veh%C3%ADculo%20El%C3%A9ctrico&amp;utm_medium=email&amp;_hsenc=p2ANqtz-_OjBdhSfsCRqqvB_uP0GAXv0ny1a2TSZvL5WihT3tkvSVtKHz6FVJrTPPOJg0S3Zr0tzVv&amp;_hsmi=87085363&amp;utm_content=87085363&amp;utm_source=hs_email&amp;hsCtaTracking=6fedf137-fd90-4f17-bfb4-d61f710ec7f8%7Cf2771843-6636-4969-9010-2d8d0389b89c" TargetMode="External"/><Relationship Id="rId2584" Type="http://schemas.openxmlformats.org/officeDocument/2006/relationships/hyperlink" Target="https://resources.simonelectric.com/simon-ebook-vehiculo-electrico" TargetMode="External"/><Relationship Id="rId42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54" Type="http://schemas.openxmlformats.org/officeDocument/2006/relationships/hyperlink" Target="https://resources.simonelectric.com/simon-ebook-vehiculo-electrico?utm_campaign=SIC%20-%20Veh%C3%ADculo%20El%C3%A9ctrico&amp;utm_medium=email&amp;_hsenc=p2ANqtz-8FvFDaTXc-O3ts_gH5VZJb4zCZjfF9RQMATPXdd2Y1p5cmkpJzQayFE3S_DrozR5682S8r&amp;_hsmi=71033675&amp;utm_content=71033675&amp;utm_source=hs_automation&amp;hsCtaTracking=2e94ebfc-d414-4389-870c-d2f266a9420b%7C587ac4dc-a49a-4bdc-b449-e36f5d95395b" TargetMode="External"/><Relationship Id="rId2585" Type="http://schemas.openxmlformats.org/officeDocument/2006/relationships/hyperlink" Target="https://resources.simonelectric.com/simon-ebook-vehiculo-electrico" TargetMode="External"/><Relationship Id="rId42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255" Type="http://schemas.openxmlformats.org/officeDocument/2006/relationships/hyperlink" Target="https://resources.simonelectric.com/simon-catalogo-vehiculo-electrico?utm_campaign=SIC%20-%20Veh%C3%ADculo%20El%C3%A9ctrico&amp;utm_medium=email&amp;_hsenc=p2ANqtz-9o_LgX6U4BFmfTIn0NcI3CYRYdFmuPjuTEcO_UOMsjVAYqyY0UL288aREawZBaYYAfcOz_&amp;_hsmi=87085302&amp;utm_content=87085302&amp;utm_source=hs_email&amp;hsCtaTracking=6fedf137-fd90-4f17-bfb4-d61f710ec7f8%7Cf2771843-6636-4969-9010-2d8d0389b89c" TargetMode="External"/><Relationship Id="rId2586" Type="http://schemas.openxmlformats.org/officeDocument/2006/relationships/hyperlink" Target="https://resources.simonelectric.com/simon-ebook-vehiculo-electrico" TargetMode="External"/><Relationship Id="rId1256" Type="http://schemas.openxmlformats.org/officeDocument/2006/relationships/hyperlink" Target="https://resources.simonelectric.com/simon-ebook-vehiculo-electrico-ppc?utm_source=facebook&amp;utm_medium=social_ads&amp;utm_campaign=vehiculo_electrico&amp;fbclid=IwAR0rE1RyyRuW6DxZtoyns3srNnAsAbH7F-S4jVlZitGzoO2QjZ7hrJkk_pU" TargetMode="External"/><Relationship Id="rId2587" Type="http://schemas.openxmlformats.org/officeDocument/2006/relationships/hyperlink" Target="https://resources.simonelectric.com/simon-ebook-vehiculo-electrico" TargetMode="External"/><Relationship Id="rId1246" Type="http://schemas.openxmlformats.org/officeDocument/2006/relationships/hyperlink" Target="https://resources.simonelectric.com/simon-catalogo-vehiculo-electrico?utm_campaign=SIC%20-%20Veh%C3%ADculo%20El%C3%A9ctrico&amp;utm_medium=email&amp;_hsenc=p2ANqtz-8RLNiJEm-oJm-Z3t7BUxLbu0gN_MK13HlnNpziFaEvgiFAtk1On7-aghfAmNaA2CJJm1Li&amp;_hsmi=87085302&amp;utm_content=87085302&amp;utm_source=hs_email&amp;hsCtaTracking=6fedf137-fd90-4f17-bfb4-d61f710ec7f8%7Cf2771843-6636-4969-9010-2d8d0389b89c" TargetMode="External"/><Relationship Id="rId2577" Type="http://schemas.openxmlformats.org/officeDocument/2006/relationships/hyperlink" Target="https://resources.simonelectric.com/simon-ebook-vehiculo-electrico" TargetMode="External"/><Relationship Id="rId1247" Type="http://schemas.openxmlformats.org/officeDocument/2006/relationships/hyperlink" Target="https://resources.simonelectric.com/simon-catalogo-vehiculo-electrico?utm_campaign=SIC%20-%20Veh%C3%ADculo%20El%C3%A9ctrico&amp;utm_medium=email&amp;_hsenc=p2ANqtz-_eJiu-XakmZ7lPjXiSl4ydtv08bOo6X3mwOmrJTUiY1Enscmy342Z589ZQ6M12ytH3ZeO8&amp;_hsmi=87085363&amp;utm_content=87085363&amp;utm_source=hs_email&amp;hsCtaTracking=6fedf137-fd90-4f17-bfb4-d61f710ec7f8%7Cf2771843-6636-4969-9010-2d8d0389b89c" TargetMode="External"/><Relationship Id="rId2578" Type="http://schemas.openxmlformats.org/officeDocument/2006/relationships/hyperlink" Target="https://resources.simonelectric.com/simon-ebook-vehiculo-electrico" TargetMode="External"/><Relationship Id="rId1248" Type="http://schemas.openxmlformats.org/officeDocument/2006/relationships/hyperlink" Target="https://resources.simonelectric.com/simon-ebook-vehiculo-electrico?utm_campaign=SIC%20-%20Veh%C3%ADculo%20El%C3%A9ctrico&amp;utm_medium=email&amp;_hsenc=p2ANqtz-_c_xmORdkxU51tj6UdjnDFryGZeWrRBCAYga1Bxkl8C7NRvy1b-KNXyMExjMyEqilsk_2-&amp;_hsmi=71033675&amp;utm_content=71033675&amp;utm_source=hs_automation&amp;hsCtaTracking=2e94ebfc-d414-4389-870c-d2f266a9420b%7C587ac4dc-a49a-4bdc-b449-e36f5d95395b" TargetMode="External"/><Relationship Id="rId2579" Type="http://schemas.openxmlformats.org/officeDocument/2006/relationships/hyperlink" Target="https://resources.simonelectric.com/simon-ebook-vehiculo-electrico" TargetMode="External"/><Relationship Id="rId1249" Type="http://schemas.openxmlformats.org/officeDocument/2006/relationships/hyperlink" Target="https://resources.simonelectric.com/simon-ebook-vehiculo-electrico?utm_campaign=SIC%20-%20Veh%C3%ADculo%20El%C3%A9ctrico&amp;utm_medium=email&amp;_hsenc=p2ANqtz-8gO96aYZ9jT5UUUD13muFW0zm2Nw9MLkOkkykBaKG3yVu6hHmOsoKbFxsNcPK9AGXQjw0M&amp;_hsmi=71033675&amp;utm_content=71033675&amp;utm_source=hs_automation&amp;hsCtaTracking=2e94ebfc-d414-4389-870c-d2f266a9420b%7C587ac4dc-a49a-4bdc-b449-e36f5d95395b" TargetMode="External"/><Relationship Id="rId415" Type="http://schemas.openxmlformats.org/officeDocument/2006/relationships/hyperlink" Target="https://resources.simonelectric.com/simon-catalogo-vehiculo-electrico?utm_campaign=SIC%20-%20Veh%C3%ADculo%20El%C3%A9ctrico&amp;utm_medium=email&amp;_hsmi=71034014&amp;_hsenc=p2ANqtz-_OD4zEABh32SQRw8AK-iY2Vk1zQv-4vFoi99YfMjCxlwoktnM1t8qAY5RVMRwUKn4B1LwEFO7OwOa_bW2N2IIW_-S3sA&amp;utm_content=71034014&amp;utm_source=hs_automation" TargetMode="External"/><Relationship Id="rId414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-2gnv60m8ITiRWjJWQa3iCXnWgZWsbASCcUX8ZYYQHanuqvcpdqPYgplzwVHDxFunvwWVde5K0l_0ygAmCbUUF6gZDBw&amp;_hsmi=71034014" TargetMode="External"/><Relationship Id="rId41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412" Type="http://schemas.openxmlformats.org/officeDocument/2006/relationships/hyperlink" Target="https://resources.simonelectric.com/simon-ebook-vehiculo-electrico-0?gclid=Cj0KCQjwoPL2BRDxARIsAEMm9y-EYKkTMHFHDTYFgzakVWUT106Tm5FVWO5xRLm-mEs_F0CgshOS0loaAh4DEALw_wcB" TargetMode="External"/><Relationship Id="rId41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41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41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416" Type="http://schemas.openxmlformats.org/officeDocument/2006/relationships/hyperlink" Target="https://resources.simonelectric.com/simon-ebook-vehiculo-electrico-0?gclid=Cj0KCQjw_ez2BRCyARIsAJfg-kuODlKa-hwHNXeFAcehrHUtNbqiY9_EUEKTMFQWmZsdCbzGaI0DWG8aAiqxEALw_wcB" TargetMode="External"/><Relationship Id="rId2570" Type="http://schemas.openxmlformats.org/officeDocument/2006/relationships/hyperlink" Target="https://resources.simonelectric.com/simon-ebook-vehiculo-electrico" TargetMode="External"/><Relationship Id="rId1240" Type="http://schemas.openxmlformats.org/officeDocument/2006/relationships/hyperlink" Target="https://resources.simonelectric.com/simon-ebook-vehiculo-electrico?utm_campaign=SIC%20-%20Veh%C3%ADculo%20El%C3%A9ctrico&amp;utm_medium=email&amp;_hsenc=p2ANqtz--nf39-JafFunixxNeYnRQiM0JqhMCo6MTeIFCpuRDdICiRu_1RSpvBEdiPav5yQ4XrjM3l&amp;_hsmi=71033675&amp;utm_content=71033675&amp;utm_source=hs_automation&amp;hsCtaTracking=2e94ebfc-d414-4389-870c-d2f266a9420b%7C587ac4dc-a49a-4bdc-b449-e36f5d95395b" TargetMode="External"/><Relationship Id="rId2571" Type="http://schemas.openxmlformats.org/officeDocument/2006/relationships/hyperlink" Target="https://resources.simonelectric.com/simon-ebook-vehiculo-electrico" TargetMode="External"/><Relationship Id="rId1241" Type="http://schemas.openxmlformats.org/officeDocument/2006/relationships/hyperlink" Target="https://resources.simonelectric.com/simon-catalogo-vehiculo-electrico?utm_campaign=SIC%20-%20Veh%C3%ADculo%20El%C3%A9ctrico&amp;utm_medium=email&amp;_hsmi=87085363&amp;_hsenc=p2ANqtz-9O98i8fK8B7FHYvalCFXkUcgYw7F_13z6YM2Q2C9SFFIYSK-jLhfUTSfA3VcIqNT623snl&amp;utm_content=87085363&amp;utm_source=hs_email" TargetMode="External"/><Relationship Id="rId2572" Type="http://schemas.openxmlformats.org/officeDocument/2006/relationships/hyperlink" Target="https://resources.simonelectric.com/simon-ebook-vehiculo-electrico" TargetMode="External"/><Relationship Id="rId411" Type="http://schemas.openxmlformats.org/officeDocument/2006/relationships/hyperlink" Target="https://resources.simonelectric.com/simon-ebook-vehiculo-electrico-0?gclid=EAIaIQobChMI_e6vlM_s6QIVCtzeCh1GyQKaEAEYASAAEgLpyPD_BwE" TargetMode="External"/><Relationship Id="rId1242" Type="http://schemas.openxmlformats.org/officeDocument/2006/relationships/hyperlink" Target="https://resources.simonelectric.com/simon-ebook-vehiculo-electrico?utm_campaign=SIC%20-%20Veh%C3%ADculo%20El%C3%A9ctrico&amp;utm_medium=email&amp;_hsenc=p2ANqtz-8lPEQfxnLcbug0ERand4WTDMEuuBeoZJT5V9MUveBrrScxTlbfiNA5nWwbU_AiFH2659mI&amp;_hsmi=71033675&amp;utm_content=71033675&amp;utm_source=hs_automation&amp;hsCtaTracking=2e94ebfc-d414-4389-870c-d2f266a9420b%7C587ac4dc-a49a-4bdc-b449-e36f5d95395b" TargetMode="External"/><Relationship Id="rId2573" Type="http://schemas.openxmlformats.org/officeDocument/2006/relationships/hyperlink" Target="https://resources.simonelectric.com/simon-ebook-vehiculo-electrico" TargetMode="External"/><Relationship Id="rId410" Type="http://schemas.openxmlformats.org/officeDocument/2006/relationships/hyperlink" Target="https://resources.simonelectric.com/simon-catalogo-vehiculo-electrico?utm_campaign=SIC%20-%20Veh%C3%ADculo%20El%C3%A9ctrico&amp;utm_medium=email&amp;_hsenc=p2ANqtz-8i-nVTGGGCH6XKE0BXuSXs2KIpPlfk7eoJqse5wOJgsi3RextgT8-Y0r0HKksw8ffkByop&amp;_hsmi=87085302&amp;utm_content=87085302&amp;utm_source=hs_email&amp;hsCtaTracking=6fedf137-fd90-4f17-bfb4-d61f710ec7f8%7Cf2771843-6636-4969-9010-2d8d0389b89c" TargetMode="External"/><Relationship Id="rId1243" Type="http://schemas.openxmlformats.org/officeDocument/2006/relationships/hyperlink" Target="https://resources.simonelectric.com/simon-catalogo-vehiculo-electrico?utm_campaign=SIC%20-%20Veh%C3%ADculo%20El%C3%A9ctrico&amp;utm_medium=email&amp;_hsenc=p2ANqtz-8SYgLKK7sGjzR_5ymD1aT2KwJnDXj5C8Jgh98jqRqssHxjrkuCpqFuU-Uj03AvN0tyOnb2&amp;_hsmi=87085363&amp;utm_content=87085363&amp;utm_source=hs_email&amp;hsCtaTracking=6fedf137-fd90-4f17-bfb4-d61f710ec7f8%7Cf2771843-6636-4969-9010-2d8d0389b89c" TargetMode="External"/><Relationship Id="rId2574" Type="http://schemas.openxmlformats.org/officeDocument/2006/relationships/hyperlink" Target="https://resources.simonelectric.com/simon-ebook-vehiculo-electrico" TargetMode="External"/><Relationship Id="rId1244" Type="http://schemas.openxmlformats.org/officeDocument/2006/relationships/hyperlink" Target="https://resources.simonelectric.com/simon-catalogo-vehiculo-electrico?utm_campaign=SIC%20-%20Veh%C3%ADculo%20El%C3%A9ctrico&amp;utm_medium=email&amp;_hsenc=p2ANqtz-9kc02c-6amCY6ixnQykNxKHO4P4A-diz7bJMOy89CQO274mGbK0gdJCIBrpg2kzFAAf6vg&amp;_hsmi=87085302&amp;utm_content=87085302&amp;utm_source=hs_email&amp;hsCtaTracking=6fedf137-fd90-4f17-bfb4-d61f710ec7f8%7Cf2771843-6636-4969-9010-2d8d0389b89c" TargetMode="External"/><Relationship Id="rId2575" Type="http://schemas.openxmlformats.org/officeDocument/2006/relationships/hyperlink" Target="https://resources.simonelectric.com/simon-ebook-vehiculo-electrico" TargetMode="External"/><Relationship Id="rId1245" Type="http://schemas.openxmlformats.org/officeDocument/2006/relationships/hyperlink" Target="https://resources.simonelectric.com/simon-ebook-vehiculo-electrico-0?gclid=EAIaIQobChMIpPHr6bqa6QIVXsu7CB2-cAoEEAEYASAAEgLwIPD_BwE" TargetMode="External"/><Relationship Id="rId2576" Type="http://schemas.openxmlformats.org/officeDocument/2006/relationships/hyperlink" Target="https://resources.simonelectric.com/simon-ebook-vehiculo-electrico" TargetMode="External"/><Relationship Id="rId1279" Type="http://schemas.openxmlformats.org/officeDocument/2006/relationships/hyperlink" Target="https://resources.simonelectric.com/simon-catalogo-vehiculo-electrico?utm_campaign=SIC%20-%20Veh%C3%ADculo%20El%C3%A9ctrico&amp;utm_medium=email&amp;_hsenc=p2ANqtz-9GVUBgG6lIVFYPtzDHuvWPb8C562nRqBhISMlc822ZQp1HPoRWFCxqSG-WwM1K5m6KvvLW&amp;_hsmi=87085302&amp;utm_content=87085302&amp;utm_source=hs_email&amp;hsCtaTracking=6fedf137-fd90-4f17-bfb4-d61f710ec7f8%7Cf2771843-6636-4969-9010-2d8d0389b89c" TargetMode="External"/><Relationship Id="rId44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4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4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445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44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270" Type="http://schemas.openxmlformats.org/officeDocument/2006/relationships/hyperlink" Target="https://resources.simonelectric.com/simon-catalogo-vehiculo-electrico?utm_campaign=SIC%20-%20Veh%C3%ADculo%20El%C3%A9ctrico&amp;utm_medium=email&amp;_hsmi=87085302&amp;_hsenc=p2ANqtz--VemWncUMBw8Gw24eOtEOXgU2gLbcXpWYHvAarhVB2-VTQeAyTWbhdZHWKH4ndhjt17Yse&amp;utm_content=87085302&amp;utm_source=hs_email" TargetMode="External"/><Relationship Id="rId440" Type="http://schemas.openxmlformats.org/officeDocument/2006/relationships/hyperlink" Target="https://resources.simonelectric.com/simon-catalogo-vehiculo-electrico?utm_campaign=SIC%20-%20Veh%C3%ADculo%20El%C3%A9ctrico&amp;utm_medium=email&amp;_hsmi=71034014&amp;_hsenc=p2ANqtz-9m56aIo52nhKoiC1vpJR0TOt92yvyiHhY9XBK5TnQVRlBgFGYHEx1TQYwV9wY-RcZM9e3K1OFyhM6QBuZE0w8hy0DnAQ&amp;utm_content=71034014&amp;utm_source=hs_automation" TargetMode="External"/><Relationship Id="rId1271" Type="http://schemas.openxmlformats.org/officeDocument/2006/relationships/hyperlink" Target="https://resources.simonelectric.com/simon-ebook-vehiculo-electrico?utm_campaign=SIC%20-%20Veh%C3%ADculo%20El%C3%A9ctrico&amp;utm_medium=email&amp;_hsenc=p2ANqtz-8zepbINAHLJRi3ElfIn0sd0aT0fTYj0XTOcEPzOs9CF0F4QC2DRGPXHxtDDlX7L_axNixv&amp;_hsmi=71033675&amp;utm_content=71033675&amp;utm_source=hs_automation&amp;hsCtaTracking=2e94ebfc-d414-4389-870c-d2f266a9420b%7C587ac4dc-a49a-4bdc-b449-e36f5d95395b" TargetMode="External"/><Relationship Id="rId1272" Type="http://schemas.openxmlformats.org/officeDocument/2006/relationships/hyperlink" Target="https://resources.simonelectric.com/simon-catalogo-vehiculo-electrico" TargetMode="External"/><Relationship Id="rId1273" Type="http://schemas.openxmlformats.org/officeDocument/2006/relationships/hyperlink" Target="https://resources.simonelectric.com/simon-ebook-vehiculo-electrico?utm_campaign=SIC%20-%20Veh%C3%ADculo%20El%C3%A9ctrico&amp;utm_medium=email&amp;_hsenc=p2ANqtz-_bcKOojwPDPnUskViM1HPd-4OSa9lFlJB3-Sb5gj8fYJIMgCRXYrF-6ZEk8ZMXc2KpwarV&amp;_hsmi=71033675&amp;utm_content=71033675&amp;utm_source=hs_automation&amp;hsCtaTracking=2e94ebfc-d414-4389-870c-d2f266a9420b%7C587ac4dc-a49a-4bdc-b449-e36f5d95395b" TargetMode="External"/><Relationship Id="rId1274" Type="http://schemas.openxmlformats.org/officeDocument/2006/relationships/hyperlink" Target="https://resources.simonelectric.com/simon-catalogo-vehiculo-electrico?utm_campaign=SIC%20-%20Veh%C3%ADculo%20El%C3%A9ctrico&amp;utm_medium=email&amp;_hsenc=p2ANqtz-8a7lurQFcSDHyUUoXNJ8kgXbKWP6I2qZB8hyZpdt_eXSUWsWAkeWeph_-tDbrdygmzN7fc&amp;_hsmi=87085363&amp;utm_content=87085363&amp;utm_source=hs_email&amp;hsCtaTracking=6fedf137-fd90-4f17-bfb4-d61f710ec7f8%7Cf2771843-6636-4969-9010-2d8d0389b89c" TargetMode="External"/><Relationship Id="rId44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75" Type="http://schemas.openxmlformats.org/officeDocument/2006/relationships/hyperlink" Target="https://resources.simonelectric.com/simon-catalogo-vehiculo-electrico?utm_campaign=SIC%20-%20Veh%C3%ADculo%20El%C3%A9ctrico&amp;utm_medium=email&amp;_hsmi=87085363&amp;_hsenc=p2ANqtz--9IuTWFEdtVzuj5Y3WMhhxxyXDWufZmXFgL2WsZwVDUhfrUtcclZw6YroxFey8XTbW97fv&amp;utm_content=87085363&amp;utm_source=hs_email" TargetMode="External"/><Relationship Id="rId443" Type="http://schemas.openxmlformats.org/officeDocument/2006/relationships/hyperlink" Target="https://resources.simonelectric.com/simon-ebook-vehiculo-electrico" TargetMode="External"/><Relationship Id="rId1276" Type="http://schemas.openxmlformats.org/officeDocument/2006/relationships/hyperlink" Target="https://resources.simonelectric.com/simon-catalogo-vehiculo-electrico?utm_campaign=SIC%20-%20Veh%C3%ADculo%20El%C3%A9ctrico&amp;utm_medium=email&amp;_hsenc=p2ANqtz--f_UotlM6RFyMPkOccPTInXl_AI29Ke78GWndoZ-TdHzxE2870YSIJfv5to8q7xAOmmC-q&amp;_hsmi=87085363&amp;utm_content=87085363&amp;utm_source=hs_email&amp;hsCtaTracking=6fedf137-fd90-4f17-bfb4-d61f710ec7f8%7Cf2771843-6636-4969-9010-2d8d0389b89c" TargetMode="External"/><Relationship Id="rId442" Type="http://schemas.openxmlformats.org/officeDocument/2006/relationships/hyperlink" Target="https://resources.simonelectric.com/simon-ebook-vehiculo-electrico-0?gclid=CjwKCAjwt-L2BRA_EiwAacX32aS1WPhTvMaPKx6jyWaN_V-ee-mAMN-O0lGHpyTsZNGNRN2dPCxn6BoCn6gQAvD_BwE" TargetMode="External"/><Relationship Id="rId1277" Type="http://schemas.openxmlformats.org/officeDocument/2006/relationships/hyperlink" Target="https://resources.simonelectric.com/simon-ebook-vehiculo-electrico?utm_campaign=SIC%20-%20Veh%C3%ADculo%20El%C3%A9ctrico&amp;utm_medium=email&amp;_hsenc=p2ANqtz--5qdzBVFWbckQCg7DI7hUchOrDW7IG7LvVkSncDV7gFS-rSrh1Fj1EQH4QF6mqdEVHDqoo&amp;_hsmi=71033675&amp;utm_content=71033675&amp;utm_source=hs_automation&amp;hsCtaTracking=2e94ebfc-d414-4389-870c-d2f266a9420b%7C587ac4dc-a49a-4bdc-b449-e36f5d95395b" TargetMode="External"/><Relationship Id="rId44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78" Type="http://schemas.openxmlformats.org/officeDocument/2006/relationships/hyperlink" Target="https://resources.simonelectric.com/simon-ebook-vehiculo-electrico?utm_campaign=SIC%20-%20Veh%C3%ADculo%20El%C3%A9ctrico&amp;utm_medium=email&amp;_hsenc=p2ANqtz--17F2CVGWjs8ajjpa8sUV9yrxzeHZhvi94pLkDvcn1xBLE5bqtuU_BYfKDbTMP3mC_9ukX&amp;_hsmi=71033675&amp;utm_content=71033675&amp;utm_source=hs_automation&amp;hsCtaTracking=2e94ebfc-d414-4389-870c-d2f266a9420b%7C587ac4dc-a49a-4bdc-b449-e36f5d95395b" TargetMode="External"/><Relationship Id="rId1268" Type="http://schemas.openxmlformats.org/officeDocument/2006/relationships/hyperlink" Target="https://resources.simonelectric.com/simon-catalogo-vehiculo-electrico?utm_campaign=SIC%20-%20Veh%C3%ADculo%20El%C3%A9ctrico&amp;utm_medium=email&amp;_hsenc=p2ANqtz--bqRLM2fO0T43-jZN4lfmZoaaiPaagq3T-9-VAy97IkbhEt1VYSlAzz0OzAd8GcDtDWZ4Y&amp;_hsmi=87085363&amp;utm_content=87085363&amp;utm_source=hs_email&amp;hsCtaTracking=6fedf137-fd90-4f17-bfb4-d61f710ec7f8%7Cf2771843-6636-4969-9010-2d8d0389b89c" TargetMode="External"/><Relationship Id="rId2599" Type="http://schemas.openxmlformats.org/officeDocument/2006/relationships/hyperlink" Target="https://resources.simonelectric.com/simon-ebook-vehiculo-electrico" TargetMode="External"/><Relationship Id="rId126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437" Type="http://schemas.openxmlformats.org/officeDocument/2006/relationships/hyperlink" Target="https://resources.simonelectric.com/simon-catalogo-vehiculo-electrico?utm_campaign=SIC%20-%20Veh%C3%ADculo%20El%C3%A9ctrico&amp;utm_medium=email&amp;_hsmi=71034014&amp;_hsenc=p2ANqtz-_eJ1XcRi0UguM5byGvxwisEC3j3s07gUTCMEzRYAa_NIsnqE41ZBTb1embfUbCwOdBYOL3SbbkjwRftWYufVhNSKQ9kg&amp;utm_content=71034014&amp;utm_source=hs_automation" TargetMode="External"/><Relationship Id="rId436" Type="http://schemas.openxmlformats.org/officeDocument/2006/relationships/hyperlink" Target="https://resources.simonelectric.com/simon-material-formativo-vehiculo-electrico?utm_campaign=SIC%20-%20Veh%C3%ADculo%20El%C3%A9ctrico&amp;utm_medium=email&amp;_hsenc=p2ANqtz-9ATcwBI1upSxYUWGLcpeg2WMACUdCUIlBhdXbiXiD21q6a0iduiGEOP3IVJUJQwzct0Nzo3eESGdT6bBKDP8I7hXVwzA&amp;_hsmi=88328232&amp;utm_source=hs_email&amp;utm_content=88328407&amp;hsCtaTracking=f8a31ce8-daf1-4d69-a5d6-c3349f3aab91%7C75f9b9fd-a2b2-4ad4-9d4a-0dcb7c99194f" TargetMode="External"/><Relationship Id="rId435" Type="http://schemas.openxmlformats.org/officeDocument/2006/relationships/hyperlink" Target="https://resources.simonelectric.com/simon-ebook-vehiculo-electrico" TargetMode="External"/><Relationship Id="rId434" Type="http://schemas.openxmlformats.org/officeDocument/2006/relationships/hyperlink" Target="https://resources.simonelectric.com/simon-catalogo-vehiculo-electrico?__hstc=83084745.6966fb4454c20689d8709876280cf12c.1577979664067.1591168468118.1591342848118.29&amp;__hssc=83084745.19.1591342848118&amp;__hsfp=3167385607" TargetMode="External"/><Relationship Id="rId439" Type="http://schemas.openxmlformats.org/officeDocument/2006/relationships/hyperlink" Target="https://resources.simonelectric.com/simon-catalogo-vehiculo-electrico?utm_campaign=SIC%20-%20Veh%C3%ADculo%20El%C3%A9ctrico&amp;utm_medium=email&amp;_hsmi=71034014&amp;_hsenc=p2ANqtz---mC2qrfsN8j4TdNAKAuZUmJ5LBRhePeEdMQBjKqq_V3DZts16q9VbO6BbAz7zZmmHSxGnxmcywoucFLfWu3qr3ZLxUg&amp;utm_content=71034014&amp;utm_source=hs_automation" TargetMode="External"/><Relationship Id="rId43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590" Type="http://schemas.openxmlformats.org/officeDocument/2006/relationships/hyperlink" Target="https://resources.simonelectric.com/simon-ebook-vehiculo-electrico" TargetMode="External"/><Relationship Id="rId1260" Type="http://schemas.openxmlformats.org/officeDocument/2006/relationships/hyperlink" Target="https://resources.simonelectric.com/simon-catalogo-vehiculo-electrico?__hstc=83084745.88e1414f2d89fa32970aba7c2b333c40.1588590409350.1588590409350.1588590409350.1&amp;__hssc=83084745.1.1588590409350&amp;__hsfp=2471010493" TargetMode="External"/><Relationship Id="rId2591" Type="http://schemas.openxmlformats.org/officeDocument/2006/relationships/hyperlink" Target="https://resources.simonelectric.com/simon-ebook-vehiculo-electrico" TargetMode="External"/><Relationship Id="rId1261" Type="http://schemas.openxmlformats.org/officeDocument/2006/relationships/hyperlink" Target="https://resources.simonelectric.com/simon-catalogo-vehiculo-electrico?utm_campaign=SIC%20-%20Veh%C3%ADculo%20El%C3%A9ctrico&amp;utm_medium=email&amp;_hsenc=p2ANqtz-8WEHO0AUjuAcO6AD4wHMR4aBggQ7ZVaCzEZIuNSqCpvsiUsYTYgJE_fPtj1ExT-FlVRKAQ&amp;_hsmi=87085302&amp;utm_content=87085302&amp;utm_source=hs_email&amp;hsCtaTracking=6fedf137-fd90-4f17-bfb4-d61f710ec7f8%7Cf2771843-6636-4969-9010-2d8d0389b89c" TargetMode="External"/><Relationship Id="rId2592" Type="http://schemas.openxmlformats.org/officeDocument/2006/relationships/hyperlink" Target="https://resources.simonelectric.com/simon-ebook-vehiculo-electrico" TargetMode="External"/><Relationship Id="rId1262" Type="http://schemas.openxmlformats.org/officeDocument/2006/relationships/hyperlink" Target="https://resources.simonelectric.com/simon-ebook-vehiculo-electrico?utm_campaign=SIC%20-%20Veh%C3%ADculo%20El%C3%A9ctrico&amp;utm_medium=email&amp;_hsenc=p2ANqtz--_8PXjyxvJqdCc_RXdFm4geJZIgQ1ENStcfj-4-VNxhe-CdWopmEQNyFg7Nfmv-m6vHEy1&amp;_hsmi=71033675&amp;utm_content=71033675&amp;utm_source=hs_automation&amp;hsCtaTracking=2e94ebfc-d414-4389-870c-d2f266a9420b%7C587ac4dc-a49a-4bdc-b449-e36f5d95395b" TargetMode="External"/><Relationship Id="rId2593" Type="http://schemas.openxmlformats.org/officeDocument/2006/relationships/hyperlink" Target="https://resources.simonelectric.com/simon-ebook-vehiculo-electrico" TargetMode="External"/><Relationship Id="rId1263" Type="http://schemas.openxmlformats.org/officeDocument/2006/relationships/hyperlink" Target="https://resources.simonelectric.com/simon-ebook-vehiculo-electrico?utm_campaign=SIC%20-%20Veh%C3%ADculo%20El%C3%A9ctrico&amp;utm_medium=email&amp;_hsmi=71033675&amp;_hsenc=p2ANqtz-_xa0NWU_RiJFKJJtBKfnadimvGDOEI5CoJMhuo0PTbTXRI3A5FD52TF9FBG5tEDqYVdU-g&amp;utm_content=71033675&amp;utm_source=hs_automation" TargetMode="External"/><Relationship Id="rId2594" Type="http://schemas.openxmlformats.org/officeDocument/2006/relationships/hyperlink" Target="https://resources.simonelectric.com/simon-ebook-vehiculo-electrico" TargetMode="External"/><Relationship Id="rId433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MpmDCt0EFTQwPNDo3DpZnV-9Q70lk1oh1YEBxsJA3ucvny7iVEvu7RloSyusPOwBCFlBZ4G9VSGi-2Ps0kjHuYAiRMA&amp;_hsmi=88328232" TargetMode="External"/><Relationship Id="rId1264" Type="http://schemas.openxmlformats.org/officeDocument/2006/relationships/hyperlink" Target="https://resources.simonelectric.com/simon-ebook-vehiculo-electrico?utm_campaign=SIC%20-%20Veh%C3%ADculo%20El%C3%A9ctrico&amp;utm_medium=email&amp;_hsenc=p2ANqtz-_186IFqQrfbeAA-Im5xxNcXbCbBF3k9Q38n0wpS1K81mY2hHWHfmve3GYiYsdKo6bKvLWu&amp;_hsmi=71033675&amp;utm_content=71033675&amp;utm_source=hs_automation&amp;hsCtaTracking=2e94ebfc-d414-4389-870c-d2f266a9420b%7C587ac4dc-a49a-4bdc-b449-e36f5d95395b" TargetMode="External"/><Relationship Id="rId2595" Type="http://schemas.openxmlformats.org/officeDocument/2006/relationships/hyperlink" Target="https://resources.simonelectric.com/simon-ebook-vehiculo-electrico" TargetMode="External"/><Relationship Id="rId432" Type="http://schemas.openxmlformats.org/officeDocument/2006/relationships/hyperlink" Target="https://resources.simonelectric.com/simon-catalogo-vehiculo-electrico?utm_campaign=SIC%20-%20Veh%C3%ADculo%20El%C3%A9ctrico&amp;utm_medium=email&amp;_hsmi=71034014&amp;_hsenc=p2ANqtz-98-GIFUS5kTffIrGOTH6R1Ka8cS4L6UF-z5519K6QM3BYJqoqcdsthzA3tZm0mCNHLmBJcfInkFPF3e9K2QxtHow2Ymw&amp;utm_content=71034014&amp;utm_source=hs_automation" TargetMode="External"/><Relationship Id="rId1265" Type="http://schemas.openxmlformats.org/officeDocument/2006/relationships/hyperlink" Target="https://resources.simonelectric.com/simon-catalogo-vehiculo-electrico?utm_campaign=SIC%20-%20Veh%C3%ADculo%20El%C3%A9ctrico&amp;utm_medium=email&amp;_hsenc=p2ANqtz-_hSwqocGQT5MRqlVA17zHjg9Gshs3EVsl9EQqUGQxTNhrmSTUzQwl5CEK387nTd0c5bv4r&amp;_hsmi=87085302&amp;utm_content=87085302&amp;utm_source=hs_email&amp;hsCtaTracking=6fedf137-fd90-4f17-bfb4-d61f710ec7f8%7Cf2771843-6636-4969-9010-2d8d0389b89c" TargetMode="External"/><Relationship Id="rId2596" Type="http://schemas.openxmlformats.org/officeDocument/2006/relationships/hyperlink" Target="https://resources.simonelectric.com/simon-ebook-vehiculo-electrico" TargetMode="External"/><Relationship Id="rId43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66" Type="http://schemas.openxmlformats.org/officeDocument/2006/relationships/hyperlink" Target="https://resources.simonelectric.com/simon-ebook-vehiculo-electrico?utm_campaign=SIC%20-%20Veh%C3%ADculo%20El%C3%A9ctrico&amp;utm_medium=email&amp;_hsenc=p2ANqtz--Zax2R4xefjakhkw1wBYGKMfIZbpM4tig0DHEQ5iTTEOkObnjcQznCMO3NI_OR_9XGzSWG&amp;_hsmi=71033675&amp;utm_content=71033675&amp;utm_source=hs_automation&amp;hsCtaTracking=2e94ebfc-d414-4389-870c-d2f266a9420b%7C587ac4dc-a49a-4bdc-b449-e36f5d95395b" TargetMode="External"/><Relationship Id="rId2597" Type="http://schemas.openxmlformats.org/officeDocument/2006/relationships/hyperlink" Target="https://resources.simonelectric.com/simon-ebook-vehiculo-electrico" TargetMode="External"/><Relationship Id="rId43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67" Type="http://schemas.openxmlformats.org/officeDocument/2006/relationships/hyperlink" Target="https://resources.simonelectric.com/simon-catalogo-vehiculo-electrico?utm_campaign=SIC%20-%20Veh%C3%ADculo%20El%C3%A9ctrico&amp;utm_medium=email&amp;_hsenc=p2ANqtz-_sbPH2NkpSI_Ln4DdUaogEXJf2hbLnfdS4uORSz7YjrXId2GTcP-lr4oezG9WPsfuHQ67L&amp;_hsmi=87085363&amp;utm_content=87085363&amp;utm_source=hs_email&amp;hsCtaTracking=6fedf137-fd90-4f17-bfb4-d61f710ec7f8%7Cf2771843-6636-4969-9010-2d8d0389b89c" TargetMode="External"/><Relationship Id="rId2598" Type="http://schemas.openxmlformats.org/officeDocument/2006/relationships/hyperlink" Target="https://resources.simonelectric.com/simon-ebook-vehiculo-electrico" TargetMode="External"/><Relationship Id="rId3070" Type="http://schemas.openxmlformats.org/officeDocument/2006/relationships/hyperlink" Target="https://resources.simonelectric.com/simon-ebook-vehiculo-electrico?utm_campaign=%23Simonentucasa&amp;utm_medium=email&amp;_hsenc=p2ANqtz-90zDYSiFPBHIW1JM2hgzgIeDV4M6HfPibgbfCtEq_GdzUH6-eFi5U_P_eLMOIGi-Mj7fXDfS8gYAfkwtFza_liYgzo7yQJmySXCrqG-Tl9m7d--40&amp;_hsmi=85165037&amp;utm_source=hs_email&amp;utm_content=85165037&amp;hsCtaTracking=7e048f91-fedd-4131-939d-25771a4a2d12%7Cf6d6f061-2319-4b5b-89f8-8c89fca06239" TargetMode="External"/><Relationship Id="rId3072" Type="http://schemas.openxmlformats.org/officeDocument/2006/relationships/hyperlink" Target="https://resources.simonelectric.com/simon-ebook-vehiculo-electrico?utm_campaign=%23Simonentucasa&amp;utm_medium=email&amp;_hsenc=p2ANqtz--LIMawk4uyZKH_82ItK3DogsUNVKf32QCLpB4_v87kJZx5SNdn889p_y2Yid7iD00JC6-6FXYBL4-mNjAHrt_ZlXcvZg&amp;_hsmi=85165037&amp;utm_source=hs_email&amp;utm_content=85165037&amp;hsCtaTracking=7e048f91-fedd-4131-939d-25771a4a2d12%7Cf6d6f061-2319-4b5b-89f8-8c89fca06239" TargetMode="External"/><Relationship Id="rId3071" Type="http://schemas.openxmlformats.org/officeDocument/2006/relationships/hyperlink" Target="https://resources.simonelectric.com/simon-ebook-vehiculo-electrico?utm_campaign=%23Simonentucasa&amp;utm_medium=email&amp;_hsenc=p2ANqtz-_6K1GnpK89kyl6ip4mhJc1iNGWqK0gmH0emzsjkebKHi4xZeWHZFw-p6Sc3h920ZUwNUcrW-CJxQyYeI0gW9qyK8FCVg&amp;_hsmi=85165037&amp;utm_source=hs_email&amp;utm_content=85165037&amp;hsCtaTracking=7e048f91-fedd-4131-939d-25771a4a2d12%7Cf6d6f061-2319-4b5b-89f8-8c89fca06239" TargetMode="External"/><Relationship Id="rId3074" Type="http://schemas.openxmlformats.org/officeDocument/2006/relationships/hyperlink" Target="https://resources.simonelectric.com/simon-ebook-vehiculo-electrico?utm_campaign=%23Simonentucasa&amp;utm_medium=email&amp;_hsenc=p2ANqtz-_XXBWnJISKJOAKW8uWAK2Piec6-oRraEmdJijLucHWoS_DCYcfINiQsX3ixsu0PChA2bustyguhrUG7znxjrccG9M1qkN8GqVguUAkHz_2kgC6XYY&amp;_hsmi=85165037&amp;utm_source=hs_email&amp;utm_content=85165037&amp;hsCtaTracking=7e048f91-fedd-4131-939d-25771a4a2d12%7Cf6d6f061-2319-4b5b-89f8-8c89fca06239" TargetMode="External"/><Relationship Id="rId3073" Type="http://schemas.openxmlformats.org/officeDocument/2006/relationships/hyperlink" Target="https://resources.simonelectric.com/simon-ebook-vehiculo-electrico?utm_campaign=%23Simonentucasa&amp;utm_medium=email&amp;_hsenc=p2ANqtz-_Q7i4XO9SWqXSHs6aqYDX5-Utc2Z6gotpnpN1k9Be73aZKCXfuvXUwjjkXY9B6xMzBq8BGlYsa9zK8gYbjXoibkveOfg&amp;_hsmi=85165037&amp;utm_source=hs_email&amp;utm_content=85165037&amp;hsCtaTracking=7e048f91-fedd-4131-939d-25771a4a2d12%7Cf6d6f061-2319-4b5b-89f8-8c89fca06239" TargetMode="External"/><Relationship Id="rId3076" Type="http://schemas.openxmlformats.org/officeDocument/2006/relationships/hyperlink" Target="https://resources.simonelectric.com/simon-ebook-vehiculo-electrico" TargetMode="External"/><Relationship Id="rId3075" Type="http://schemas.openxmlformats.org/officeDocument/2006/relationships/hyperlink" Target="https://resources.simonelectric.com/simon-catalogo-vehiculo-electrico?__hstc=83084745.5b5ea2765a25a9ede2778ac97b1c5799.1585050968368.1585050968368.1585050968368.1&amp;__hssc=83084745.8.1585050968369&amp;__hsfp=3430076384" TargetMode="External"/><Relationship Id="rId3078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8lFj1sntoRDk0bXgR-9XI-ETzvaA0hF1z0OuAyyB5Dj7PTnAFsMoz3UB3LGzUtxiXVSsOS1v7ZX1l1R_KYuNBNS_76qw&amp;_hsmi=85165037" TargetMode="External"/><Relationship Id="rId3077" Type="http://schemas.openxmlformats.org/officeDocument/2006/relationships/hyperlink" Target="https://resources.simonelectric.com/simon-ebook-vehiculo-electrico?utm_campaign=%23Simonentucasa&amp;utm_medium=email&amp;_hsenc=p2ANqtz-89PoqX6XsDkax7shAuI4WpokMnX-jotAorc4XIpbJ5Bx77B3kbEUpQkg3xrdWBRuTekOV0SPid8n13H5GMVbG7fk7FiQ&amp;utm_source=hs_email&amp;utm_content=85165037&amp;hsCtaTracking=7e048f91-fedd-4131-939d-25771a4a2d12%7Cf6d6f061-2319-4b5b-89f8-8c89fca06239" TargetMode="External"/><Relationship Id="rId3079" Type="http://schemas.openxmlformats.org/officeDocument/2006/relationships/hyperlink" Target="https://resources.simonelectric.com/simon-ebook-vehiculo-electrico?utm_campaign=%23Simonentucasa&amp;utm_medium=email&amp;_hsenc=p2ANqtz-_k7dsaPC34iKSzgHWgqpI9CXvbvdYGQRlILkkG-1em2GwzeqMrxPvg7LYQbxsIiQZ79eO529tDVk8ZMEZvqqTcI7j6wA&amp;_hsmi=85165037&amp;utm_source=hs_email&amp;utm_content=85165037&amp;hsCtaTracking=7e048f91-fedd-4131-939d-25771a4a2d12%7Cf6d6f061-2319-4b5b-89f8-8c89fca06239" TargetMode="External"/><Relationship Id="rId3061" Type="http://schemas.openxmlformats.org/officeDocument/2006/relationships/hyperlink" Target="https://resources.simonelectric.com/simon-ebook-vehiculo-electrico?utm_campaign=%23Simonentucasa&amp;utm_medium=email&amp;_hsenc=p2ANqtz-9Z_5pL7fG0k51vz5tOJIiC9dqgattwo44UyDfw27w9DHsPjkfayo0lODNZokx4yx_eBP2CeujSGw6JnKta3E1OfpzLZA&amp;_hsmi=85165037&amp;utm_source=hs_email&amp;utm_content=85165037&amp;hsCtaTracking=7e048f91-fedd-4131-939d-25771a4a2d12%7Cf6d6f061-2319-4b5b-89f8-8c89fca06239" TargetMode="External"/><Relationship Id="rId3060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3063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wpfyLlkxVyVmcFWDDgUorrV9RaVhf0u0tLZIAsGu5LbzmNopQ32CO59LXuvUdfVzCGrAR9ycMIsJC-uuRO3tQ7tf7aA&amp;_hsmi=85165037" TargetMode="External"/><Relationship Id="rId3062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jkIXEgZWKk-AMpe-jch9EqpQxPkJr2ki8qDLMTTcjxQekMSyrKOHXEKfv0lmKby4ydi3qiusSbsJMFTdHGnhwgXMVUw&amp;_hsmi=85165037" TargetMode="External"/><Relationship Id="rId3065" Type="http://schemas.openxmlformats.org/officeDocument/2006/relationships/hyperlink" Target="https://resources.simonelectric.com/simon-ebook-vehiculo-electrico?utm_campaign=%23Simonentucasa&amp;utm_medium=email&amp;_hsenc=p2ANqtz-_acj8aRLdD3XwJkZmItw8fbqRKbOSlTZEA9-vj1bIaaSlIMqQlWUTgiHi9RA2tg-pivLd5rtMMMbM2WKqK_tVmU70EAQ&amp;_hsmi=85165037&amp;utm_source=hs_email&amp;utm_content=85165037&amp;hsCtaTracking=7e048f91-fedd-4131-939d-25771a4a2d12%7Cf6d6f061-2319-4b5b-89f8-8c89fca06239" TargetMode="External"/><Relationship Id="rId3064" Type="http://schemas.openxmlformats.org/officeDocument/2006/relationships/hyperlink" Target="https://resources.simonelectric.com/simon-ebook-vehiculo-electrico?utm_campaign=%23Simonentucasa&amp;utm_medium=email&amp;_hsenc=p2ANqtz-_XbM3CR3Fwwm1tHpw9b5zA2Bx5I0U0CwZlK5ybqRA5f49DTl7PeyFxHQAICheKg8MV5E6JRcRL0afJOadwSNqyzv84OZ0vEmVjMWFj3aUTm_dUqL8&amp;_hsmi=85165037&amp;utm_source=hs_email&amp;utm_content=85165037&amp;hsCtaTracking=7e048f91-fedd-4131-939d-25771a4a2d12%7Cf6d6f061-2319-4b5b-89f8-8c89fca06239" TargetMode="External"/><Relationship Id="rId3067" Type="http://schemas.openxmlformats.org/officeDocument/2006/relationships/hyperlink" Target="https://resources.simonelectric.com/simon-ebook-vehiculo-electrico?utm_campaign=%23Simonentucasa&amp;utm_medium=email&amp;_hsenc=p2ANqtz-9rt23JpfKL6IlcdubV-a5Y6tPKlRx3ecemRwAweZHR1JmWjmeyejh8MNO9Q6XCPG_W0BIyBGYI0rLsqZMSeMmtCMQTKg&amp;_hsmi=85165037&amp;utm_source=hs_email&amp;utm_content=85165037&amp;hsCtaTracking=7e048f91-fedd-4131-939d-25771a4a2d12%7Cf6d6f061-2319-4b5b-89f8-8c89fca06239" TargetMode="External"/><Relationship Id="rId3066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JBCDm8cflcNr-tVO9YFPcXGVVJfyG8I5pjbh7LRNeBI42MAIX5zyrgCsHNJPt9NNmTdTUl5dxI9tlyMif3sk3YQFXYbrRwciAhV6S4H6_PxG2p-I&amp;_hsmi=85165037" TargetMode="External"/><Relationship Id="rId3069" Type="http://schemas.openxmlformats.org/officeDocument/2006/relationships/hyperlink" Target="https://resources.simonelectric.com/simon-ebook-vehiculo-electrico?utm_campaign=SIC%20-%20Veh%C3%ADculo%20El%C3%A9ctrico&amp;utm_medium=email&amp;_hsenc=p2ANqtz--yfZn7I6yfktlKZl796vV1VaPGSvZF8VAHlTyZURpZetSkIAy616BgKXUifx3OgUbxn11XHbGkpAS02pkQ-EUE_RiP0g&amp;_hsmi=67858848&amp;utm_source=hs_automation&amp;utm_content=67858848&amp;hsCtaTracking=4ffb3aa1-677f-463b-8339-fc65a1da68db%7C5790d3b1-fbc3-4c32-a016-744222ad1cdc" TargetMode="External"/><Relationship Id="rId3068" Type="http://schemas.openxmlformats.org/officeDocument/2006/relationships/hyperlink" Target="https://resources.simonelectric.com/simon-ebook-vehiculo-electrico?utm_campaign=%23Simonentucasa&amp;utm_medium=email&amp;_hsenc=p2ANqtz--eGirFp0JaPtUxVC2AMJxHH4mBbZKK2GMbze76IVCHJz8t1F6TNwXJnYF6AeuFEqnXagHVcqjAZJE5CfUisCNcH8RP2A&amp;_hsmi=85165037&amp;utm_source=hs_email&amp;utm_content=85165037&amp;hsCtaTracking=7e048f91-fedd-4131-939d-25771a4a2d12%7Cf6d6f061-2319-4b5b-89f8-8c89fca06239" TargetMode="External"/><Relationship Id="rId3090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EtMEDkIT2SpriHGi1Z0FruC_DQ9L_UIL3t9bgy3ZnE_y4u9ut56iehUj4cD5pRBcwBHcGaarWHejFL82oNyuCw-5O6g&amp;_hsmi=85165037" TargetMode="External"/><Relationship Id="rId3092" Type="http://schemas.openxmlformats.org/officeDocument/2006/relationships/hyperlink" Target="https://resources.simonelectric.com/simon-ebook-vehiculo-electrico?utm_campaign=%23Simonentucasa&amp;utm_medium=email&amp;_hsenc=p2ANqtz-_60EfzsR9lF5jI5XvwtGUKgg_L4rYlaiVYWLt8GktXspvk4AOvTtfdStsJu9eO1HS-Ito0fUZqjujRMcnE3XMN9MaZf2CW-wZuyUutmnFaAxPDdcs&amp;_hsmi=85165037&amp;utm_source=hs_email&amp;utm_content=85165037&amp;hsCtaTracking=7e048f91-fedd-4131-939d-25771a4a2d12%7Cf6d6f061-2319-4b5b-89f8-8c89fca06239" TargetMode="External"/><Relationship Id="rId3091" Type="http://schemas.openxmlformats.org/officeDocument/2006/relationships/hyperlink" Target="https://resources.simonelectric.com/simon-ebook-vehiculo-electrico?utm_campaign=%23Simonentucasa&amp;utm_medium=email&amp;_hsenc=p2ANqtz-_dnV2kxsKaRnqwP8Su7X3r6DLA5YxjqfK8BiTEKIXDrP5jxuOchaxeX6WuezPgveHVHbSLaZlZ64tPDBE22OzLarQBQ7UOLANYtknDhoeuo16p3p8&amp;_hsmi=85165037&amp;utm_source=hs_email&amp;utm_content=85165037&amp;hsCtaTracking=7e048f91-fedd-4131-939d-25771a4a2d12%7Cf6d6f061-2319-4b5b-89f8-8c89fca06239" TargetMode="External"/><Relationship Id="rId3094" Type="http://schemas.openxmlformats.org/officeDocument/2006/relationships/hyperlink" Target="https://resources.simonelectric.com/simon-ebook-vehiculo-electrico" TargetMode="External"/><Relationship Id="rId3093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8KHQMi9Sl96-_lmPRVB0C-Of7bFrkVI4JmSb_Z4oVWu-9topr9UF-umZ8q-oxPNy4hRa7dwvcgCe7GDwWI6p5p64QvBg&amp;_hsmi=85165037" TargetMode="External"/><Relationship Id="rId3096" Type="http://schemas.openxmlformats.org/officeDocument/2006/relationships/hyperlink" Target="https://resources.simonelectric.com/simon-ebook-vehiculo-electrico-0?gclid=EAIaIQobChMI_sfpof-y6AIV7qJRCh0z6g7KEAEYASAAEgKXJvD_BwE" TargetMode="External"/><Relationship Id="rId3095" Type="http://schemas.openxmlformats.org/officeDocument/2006/relationships/hyperlink" Target="https://resources.simonelectric.com/simon-ebook-vehiculo-electrico?utm_campaign=%23Simonentucasa&amp;utm_medium=email&amp;_hsenc=p2ANqtz--za8clUaFJjca9HLC2R_IPjXaUS93R7gh3owTBBF5nU32uJfVeZgzoZZDl1nXjWfaMloYR842iTHEALvdfr79O6fYVgA&amp;_hsmi=85165037&amp;utm_source=hs_email&amp;utm_content=85165037&amp;hsCtaTracking=7e048f91-fedd-4131-939d-25771a4a2d12%7Cf6d6f061-2319-4b5b-89f8-8c89fca06239" TargetMode="External"/><Relationship Id="rId3098" Type="http://schemas.openxmlformats.org/officeDocument/2006/relationships/hyperlink" Target="https://resources.simonelectric.com/simon-ebook-vehiculo-electrico?utm_campaign=%23Simonentucasa&amp;utm_medium=email&amp;_hsenc=p2ANqtz-8HGCUUDQSd0uoygsB-0oRYA2zY6sxg-GpySP3YGVhB9oMkjRMoVdiL8W7Uaa8-y8Cs6wS5Gz_lnit6eVk11gCZT0ZipdLg2B52Zt11RWHYzmOHvKw&amp;_hsmi=85165037&amp;utm_source=hs_email&amp;utm_content=85165037&amp;hsCtaTracking=7e048f91-fedd-4131-939d-25771a4a2d12%7Cf6d6f061-2319-4b5b-89f8-8c89fca06239" TargetMode="External"/><Relationship Id="rId3097" Type="http://schemas.openxmlformats.org/officeDocument/2006/relationships/hyperlink" Target="https://resources.simonelectric.com/simon-ebook-vehiculo-electrico?utm_campaign=%23Simonentucasa&amp;utm_medium=email&amp;_hsenc=p2ANqtz-9qsvJquYkcYsiILgkow8ZiKdHfnrWRFhtKmJPV0BHD1G5cNwND4CjPEBbaSlKtGHzfWl3kJe3MRkkJHJYAdLou8QqCRCNZupweZyeqO6X87cPh0rA&amp;_hsmi=85165037&amp;utm_source=hs_email&amp;utm_content=85165037&amp;hsCtaTracking=7e048f91-fedd-4131-939d-25771a4a2d12%7Cf6d6f061-2319-4b5b-89f8-8c89fca06239" TargetMode="External"/><Relationship Id="rId3099" Type="http://schemas.openxmlformats.org/officeDocument/2006/relationships/hyperlink" Target="https://resources.simonelectric.com/simon-ebook-vehiculo-electrico?utm_campaign=%23Simonentucasa&amp;utm_medium=email&amp;_hsenc=p2ANqtz-92ZnfIev8cUjSjY4nkIO3XHbkGNqaWfrWvJCdSwqJGIPv3lXy1ka1XjqeVlE5uPthZawDnVGh9ilNlWvtq7OTGcfW8mu1LHULChrLJfRvkz2ySSps&amp;_hsmi=85165037&amp;utm_source=hs_email&amp;utm_content=85165037&amp;hsCtaTracking=7e048f91-fedd-4131-939d-25771a4a2d12%7Cf6d6f061-2319-4b5b-89f8-8c89fca06239" TargetMode="External"/><Relationship Id="rId3081" Type="http://schemas.openxmlformats.org/officeDocument/2006/relationships/hyperlink" Target="https://resources.simonelectric.com/simon-ebook-vehiculo-electrico?utm_campaign=%23Simonentucasa&amp;utm_medium=email&amp;_hsenc=p2ANqtz-8a8rboNy128dpb8u-BuWk9c9q0wlenGSdg3Tvq380SbFqrthLg3IFJi8tiONXtbh2hZtzndtXsTENoMqBuS4KlM5v29g&amp;_hsmi=85165037&amp;utm_source=hs_email&amp;utm_content=85165037&amp;hsCtaTracking=7e048f91-fedd-4131-939d-25771a4a2d12%7Cf6d6f061-2319-4b5b-89f8-8c89fca06239" TargetMode="External"/><Relationship Id="rId3080" Type="http://schemas.openxmlformats.org/officeDocument/2006/relationships/hyperlink" Target="https://resources.simonelectric.com/simon-ebook-vehiculo-electrico?utm_campaign=%23Simonentucasa&amp;utm_medium=email&amp;_hsenc=p2ANqtz-_nBSa44IvSkY63hnMigN1B-2769mfazQ3BvHJcdXcHgi9gG7MoMyoWa2TS49b8D4EZ2_QUdhUUrwBynTF3n5aNZyadRgKBg1zBqJu-TToTw7KYu2Q&amp;_hsmi=85165037&amp;utm_source=hs_email&amp;utm_content=85165037&amp;hsCtaTracking=7e048f91-fedd-4131-939d-25771a4a2d12%7Cf6d6f061-2319-4b5b-89f8-8c89fca06239" TargetMode="External"/><Relationship Id="rId3083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5vwmn46HbWwboALjUqmlKKtI-euR-MCEQIb88MNY6jSA8yctiq1e_t8r7LMeeOHRH_E5XjJbuqLh5gTqvxKDzDYT8R6p10CnKnJTuqgQVQcavukk&amp;_hsmi=85165037" TargetMode="External"/><Relationship Id="rId3082" Type="http://schemas.openxmlformats.org/officeDocument/2006/relationships/hyperlink" Target="https://resources.simonelectric.com/simon-ebook-vehiculo-electrico?utm_campaign=%23Simonentucasa&amp;utm_medium=email&amp;_hsenc=p2ANqtz-9VlEjT8u0xEuTdZdUt8ESHc8lild3_mQTHh0R-p1GAGWFdQBnifWRTUziU6JEsxxgPq4CyfyAOzHtUOC7oLY3zT9fCYg&amp;_hsmi=85165037&amp;utm_source=hs_email&amp;utm_content=85165037&amp;hsCtaTracking=7e048f91-fedd-4131-939d-25771a4a2d12%7Cf6d6f061-2319-4b5b-89f8-8c89fca06239" TargetMode="External"/><Relationship Id="rId3085" Type="http://schemas.openxmlformats.org/officeDocument/2006/relationships/hyperlink" Target="https://resources.simonelectric.com/simon-ebook-vehiculo-electrico?utm_campaign=%23Simonentucasa&amp;utm_medium=email&amp;_hsenc=p2ANqtz-8aKPjNhboFhianLH50BNmsGm7J6vRWdc7beMrW4zv77t9J1l6rzZAwF-nqKp2Mhn-B0N8YMz7uksN9XGbw9qdq25gOZQ&amp;_hsmi=85165037&amp;utm_source=hs_email&amp;utm_content=85165037&amp;hsCtaTracking=7e048f91-fedd-4131-939d-25771a4a2d12%7Cf6d6f061-2319-4b5b-89f8-8c89fca06239" TargetMode="External"/><Relationship Id="rId3084" Type="http://schemas.openxmlformats.org/officeDocument/2006/relationships/hyperlink" Target="https://resources.simonelectric.com/simon-catalogo-vehiculo-electrico?__hstc=83084745.afbb2566f5157a2d3b6d3129941a2bc2.1585049362938.1585049362938.1585049362938.1&amp;__hssc=83084745.27.1585049362939&amp;__hsfp=1807925393" TargetMode="External"/><Relationship Id="rId3087" Type="http://schemas.openxmlformats.org/officeDocument/2006/relationships/hyperlink" Target="https://resources.simonelectric.com/simon-ebook-vehiculo-electrico?utm_campaign=%23Simonentucasa&amp;utm_medium=email&amp;_hsenc=p2ANqtz-_rb3FKo2KXHuJA6JjAOZH1mHmnlFZKsBsLr2GXq1GufkGNyEOtfI0DBkRkzf6HZmQ7ZYWR9fDue9PVHDGMGgqwoxLPEg&amp;_hsmi=85165037&amp;utm_source=hs_email&amp;utm_content=85165037&amp;hsCtaTracking=7e048f91-fedd-4131-939d-25771a4a2d12%7Cf6d6f061-2319-4b5b-89f8-8c89fca06239" TargetMode="External"/><Relationship Id="rId308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089" Type="http://schemas.openxmlformats.org/officeDocument/2006/relationships/hyperlink" Target="https://resources.simonelectric.com/simon-ebook-vehiculo-electrico?utm_campaign=%23Simonentucasa&amp;utm_medium=email&amp;_hsenc=p2ANqtz---_38Nkw3nHNfWO7N9AL9zB8lpqqWr5kKIBb8ZA4cAyWn3AeFHhellb7Xl1yLq7a1-S3dRzXyhTJehSsSnHVwnBIgAeg&amp;_hsmi=85165037&amp;utm_source=hs_email&amp;utm_content=85165037&amp;hsCtaTracking=7e048f91-fedd-4131-939d-25771a4a2d12%7Cf6d6f061-2319-4b5b-89f8-8c89fca06239" TargetMode="External"/><Relationship Id="rId3088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yDoVe3aDFOXyiPqLlxCnUyUG3rUzRpztwq77QaeH8eBBEXkoOHqMQxBjZ_69kHsFivV7wK0nmJybDwahI_-i7vakBew&amp;_hsmi=85165037" TargetMode="External"/><Relationship Id="rId3039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w7ffpjZWLsrhR7xty5TgZbSrYo9djAtdkSRuP1x1O92ZVGFskPghU1a_DPRVHNrPFm0ZxXTUu_cRrWZA9VTvywREVuQ&amp;_hsmi=85165037" TargetMode="External"/><Relationship Id="rId1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" Type="http://schemas.openxmlformats.org/officeDocument/2006/relationships/hyperlink" Target="https://resources.simonelectric.com/simon-catalogo-vehiculo-electrico" TargetMode="External"/><Relationship Id="rId4" Type="http://schemas.openxmlformats.org/officeDocument/2006/relationships/hyperlink" Target="https://resources.simonelectric.com/simon-ebook-vehiculo-electrico?utm_campaign=SIC%20-%20Veh%C3%ADculo%20El%C3%A9ctrico&amp;utm_medium=email&amp;_hsenc=p2ANqtz-98b0C5Tuw25x8yHHcaFPwy3ISf-mwMbwkVgtvy2yAraB7IbSN_KKJuZLnMrR9HBHDtx7t8_q8h59Vvph9DHSc-_QKMNg&amp;_hsmi=71033675&amp;utm_source=hs_automation&amp;utm_content=71033675&amp;hsCtaTracking=2e94ebfc-d414-4389-870c-d2f266a9420b%7C587ac4dc-a49a-4bdc-b449-e36f5d95395b" TargetMode="External"/><Relationship Id="rId3030" Type="http://schemas.openxmlformats.org/officeDocument/2006/relationships/hyperlink" Target="https://resources.simonelectric.com/simon-ebook-vehiculo-electrico?utm_campaign=%23Simonentucasa&amp;utm_medium=email&amp;_hsenc=p2ANqtz-_A7kLH0s_TJTw_QHzAkdLcdnD-eaUf0vG4Lsy9uLZbjzpveqnwjdxkpPhYon5fcXjII--aBeKB9CBYKN8Rzh9CIvhSuA&amp;_hsmi=85165037&amp;utm_source=hs_email&amp;utm_content=85165037&amp;hsCtaTracking=7e048f91-fedd-4131-939d-25771a4a2d12%7Cf6d6f061-2319-4b5b-89f8-8c89fca06239" TargetMode="External"/><Relationship Id="rId9" Type="http://schemas.openxmlformats.org/officeDocument/2006/relationships/hyperlink" Target="https://resources.simonelectric.com/simon-ebook-vehiculo-electrico?utm_campaign=SIC%20-%20Veh%C3%ADculo%20El%C3%A9ctrico&amp;utm_medium=email&amp;_hsenc=p2ANqtz-8hczcb3Ld-rsrbysbIkjEQKIhcT-1DCQCJyt6Cyq0XlSdEaWg8jZQRYH-T2dW2Dn4TUMyx5MSTbB2W297kmvEFHCOLdw&amp;_hsmi=71033675&amp;utm_content=71033675&amp;utm_source=hs_automation&amp;hsCtaTracking=2e94ebfc-d414-4389-870c-d2f266a9420b%7C587ac4dc-a49a-4bdc-b449-e36f5d95395b" TargetMode="External"/><Relationship Id="rId3032" Type="http://schemas.openxmlformats.org/officeDocument/2006/relationships/hyperlink" Target="https://resources.simonelectric.com/simon-ebook-vehiculo-electrico?utm_campaign=%23Simonentucasa&amp;utm_medium=email&amp;_hsenc=p2ANqtz--7cBDSNfQc8HQDUobJXAU1BE28_FQMS1JUpQbhQjKpBy_pnJ8btYYmkTIflaFH1u8dLno2SBeZCckq_s0sbLZcvwjW4A&amp;_hsmi=85165037&amp;utm_source=hs_email&amp;utm_content=85165037&amp;hsCtaTracking=7e048f91-fedd-4131-939d-25771a4a2d12%7Cf6d6f061-2319-4b5b-89f8-8c89fca06239" TargetMode="External"/><Relationship Id="rId3031" Type="http://schemas.openxmlformats.org/officeDocument/2006/relationships/hyperlink" Target="https://resources.simonelectric.com/simon-ebook-vehiculo-electrico?utm_campaign=%23Simonentucasa&amp;utm_medium=email&amp;_hsenc=p2ANqtz-9SlTLmL3ecpDYehH6yYJtqX-zr8y9JijFXSjjpScOipF4k-9yucMXJjBFKVn6UjmJxaZ7MLVVJNIRMtFVgJpofwOKdFA&amp;_hsmi=85165037&amp;utm_source=hs_email&amp;utm_content=85165037&amp;hsCtaTracking=7e048f91-fedd-4131-939d-25771a4a2d12%7Cf6d6f061-2319-4b5b-89f8-8c89fca06239" TargetMode="External"/><Relationship Id="rId3034" Type="http://schemas.openxmlformats.org/officeDocument/2006/relationships/hyperlink" Target="https://resources.simonelectric.com/simon-catalogo-vehiculo-electrico?__hstc=83084745.3f78f473477e22c19c7a0db8d88442e9.1585064307061.1585064307061.1585064307061.1&amp;__hssc=83084745.12.1585064307061&amp;__hsfp=3624664954" TargetMode="External"/><Relationship Id="rId3033" Type="http://schemas.openxmlformats.org/officeDocument/2006/relationships/hyperlink" Target="https://resources.simonelectric.com/simon-ebook-vehiculo-electrico" TargetMode="External"/><Relationship Id="rId5" Type="http://schemas.openxmlformats.org/officeDocument/2006/relationships/hyperlink" Target="https://resources.simonelectric.com/simon-material-formativo-vehiculo-electrico?utm_campaign=SIC%20-%20Veh%C3%ADculo%20El%C3%A9ctrico&amp;utm_medium=email&amp;_hsenc=p2ANqtz--MJqkqoCpAThvZjoeCu5H79b1tVD8fvIhecu29_xUm43i2yDZVsxLUZBGXb4OPGNx-WdPa_O_JKXcSr47_3wHdkLf4xA&amp;_hsmi=88328232&amp;utm_source=hs_email&amp;utm_content=88328407&amp;hsCtaTracking=f8a31ce8-daf1-4d69-a5d6-c3349f3aab91%7C75f9b9fd-a2b2-4ad4-9d4a-0dcb7c99194f" TargetMode="External"/><Relationship Id="rId3036" Type="http://schemas.openxmlformats.org/officeDocument/2006/relationships/hyperlink" Target="https://resources.simonelectric.com/simon-ebook-vehiculo-electrico?utm_campaign=%23Simonentucasa&amp;utm_medium=email&amp;_hsenc=p2ANqtz--kWTNbFVN0IrVRiOnpl-LKf5Ty274H2x0dJZi5KVZIDvKx9SxSO9cnICPuAO9RzPTO-yHpy3DglwY9_0mPE4WNTO5gxOXPCTMBMtQed-6nDxqvAec&amp;_hsmi=85165037&amp;utm_source=hs_email&amp;utm_content=85165037&amp;hsCtaTracking=7e048f91-fedd-4131-939d-25771a4a2d12%7Cf6d6f061-2319-4b5b-89f8-8c89fca06239" TargetMode="External"/><Relationship Id="rId6" Type="http://schemas.openxmlformats.org/officeDocument/2006/relationships/hyperlink" Target="https://resources.simonelectric.com/simon-catalogo-vehiculo-electrico" TargetMode="External"/><Relationship Id="rId3035" Type="http://schemas.openxmlformats.org/officeDocument/2006/relationships/hyperlink" Target="https://resources.simonelectric.com/simon-ebook-vehiculo-electrico?utm_campaign=%23Simonentucasa&amp;utm_medium=email&amp;_hsenc=p2ANqtz-9CYl6qsWQBc0IinDZBc46GHwGY0aReUaRVvIad5IFxTpB8Peg_WLQsHKKPKpuZ_c-s5niwD78ECxudmSLpOL2LoiFkOw&amp;_hsmi=85165037&amp;utm_source=hs_email&amp;utm_content=85165037&amp;hsCtaTracking=7e048f91-fedd-4131-939d-25771a4a2d12%7Cf6d6f061-2319-4b5b-89f8-8c89fca06239" TargetMode="External"/><Relationship Id="rId7" Type="http://schemas.openxmlformats.org/officeDocument/2006/relationships/hyperlink" Target="https://resources.simonelectric.com/simon-catalogo-vehiculo-electrico" TargetMode="External"/><Relationship Id="rId3038" Type="http://schemas.openxmlformats.org/officeDocument/2006/relationships/hyperlink" Target="https://resources.simonelectric.com/simon-ebook-vehiculo-electrico?utm_campaign=%23Simonentucasa&amp;utm_medium=email&amp;_hsenc=p2ANqtz-95rWFtZOkdYdOvc2ymuCVcQmnWte33xSUXKJGB99MQN5qCP74tF3Q870pEmFZ0EHIreum2cR1QMp2vnA3qrDMwVAvatSPhEvadlUrtylAny4NcGpQ&amp;_hsmi=85165037&amp;utm_source=hs_email&amp;utm_content=85165037&amp;hsCtaTracking=7e048f91-fedd-4131-939d-25771a4a2d12%7Cf6d6f061-2319-4b5b-89f8-8c89fca06239" TargetMode="External"/><Relationship Id="rId8" Type="http://schemas.openxmlformats.org/officeDocument/2006/relationships/hyperlink" Target="https://resources.simonelectric.com/simon-catalogo-vehiculo-electrico" TargetMode="External"/><Relationship Id="rId3037" Type="http://schemas.openxmlformats.org/officeDocument/2006/relationships/hyperlink" Target="https://resources.simonelectric.com/simon-ebook-vehiculo-electrico?utm_campaign=%23Simonentucasa&amp;utm_medium=email&amp;_hsenc=p2ANqtz--sWAkvwAgqRDFpe6oiNhKPbkxnOAwIY1AXZjOx3rYm9zi9_wsgwQTKTUHRI_t-Hb8OctP-Ej4zECrmghSVzmKAca0L4Q&amp;_hsmi=85165037&amp;utm_source=hs_email&amp;utm_content=85165037&amp;hsCtaTracking=7e048f91-fedd-4131-939d-25771a4a2d12%7Cf6d6f061-2319-4b5b-89f8-8c89fca06239" TargetMode="External"/><Relationship Id="rId3029" Type="http://schemas.openxmlformats.org/officeDocument/2006/relationships/hyperlink" Target="https://resources.simonelectric.com/simon-ebook-vehiculo-electrico?utm_campaign=%23Simonentucasa&amp;utm_medium=email&amp;_hsenc=p2ANqtz-9aNFrg9l2myCHHBmUEx6je-CsMDiL-4DzSsg83lh9u6bRNmILxAvyc33asVGp0-hgOgpJ2GgeGc8IK2I_LkL_91JSPfA&amp;_hsmi=85165037&amp;utm_source=hs_email&amp;utm_content=85165037&amp;hsCtaTracking=7e048f91-fedd-4131-939d-25771a4a2d12%7Cf6d6f061-2319-4b5b-89f8-8c89fca06239" TargetMode="External"/><Relationship Id="rId3028" Type="http://schemas.openxmlformats.org/officeDocument/2006/relationships/hyperlink" Target="https://resources.simonelectric.com/simon-ebook-vehiculo-electrico?utm_campaign=%23Simonentucasa&amp;utm_medium=email&amp;_hsenc=p2ANqtz-904tr19ye-R329UuJCczj5zyMWiw5Qq4_7uGiCwes_W0YcSzva_gvpFn-GTK70wBA8oXrGwCjXwcCH89Prwh5rC2-agZ-VbjWXBMrBEYzq-3OrgxE&amp;utm_source=hs_email&amp;utm_content=85165037&amp;hsCtaTracking=7e048f91-fedd-4131-939d-25771a4a2d12%7Cf6d6f061-2319-4b5b-89f8-8c89fca06239" TargetMode="External"/><Relationship Id="rId3021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9nS_QPFe9Q7ulR5BNgoWh5aEjVehhNmBLDyZsusP9rDhV8XAqYWrXgZiH4jL7wk4b1H9qfHamr_Ud_hK8TT3Ulkw8IjQ&amp;_hsmi=85165037" TargetMode="External"/><Relationship Id="rId3020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9idHGn_vkoK3qmEsG-jYGqA7MAESSdQ1VZsDi4LANYpdO4sz9KI1Cw_jaTrLO1L67zpgGKPZkg17eQXGorTQJoIEMJYA&amp;_hsmi=85165037" TargetMode="External"/><Relationship Id="rId3023" Type="http://schemas.openxmlformats.org/officeDocument/2006/relationships/hyperlink" Target="https://resources.simonelectric.com/simon-ebook-vehiculo-electrico?utm_campaign=%23Simonentucasa&amp;utm_medium=email&amp;_hsenc=p2ANqtz-9lCl1Enigjs148Td-IHncLXOL00bipo2TNWkybHb6SBDVfLeXbkSzsEEO1jumsV8A_mkuE5-skMyBDGjiAPf0ykUvKTA&amp;_hsmi=85165037&amp;utm_source=hs_email&amp;utm_content=85165037&amp;hsCtaTracking=7e048f91-fedd-4131-939d-25771a4a2d12%7Cf6d6f061-2319-4b5b-89f8-8c89fca06239" TargetMode="External"/><Relationship Id="rId3022" Type="http://schemas.openxmlformats.org/officeDocument/2006/relationships/hyperlink" Target="https://resources.simonelectric.com/simon-ebook-vehiculo-electrico?utm_campaign=%23Simonentucasa&amp;utm_medium=email&amp;_hsenc=p2ANqtz--PvCMsEGDd8XJzeYJ1-fnJQNq_Facgynv_BBSLfZLHm9sgMwkKITyY5-RTcdZWgqZpqq2YOYVlIJ6OJVPdyRm9TmSU6g&amp;_hsmi=85165037&amp;utm_source=hs_email&amp;utm_content=85165037&amp;hsCtaTracking=7e048f91-fedd-4131-939d-25771a4a2d12%7Cf6d6f061-2319-4b5b-89f8-8c89fca06239" TargetMode="External"/><Relationship Id="rId3025" Type="http://schemas.openxmlformats.org/officeDocument/2006/relationships/hyperlink" Target="https://resources.simonelectric.com/simon-ebook-vehiculo-electrico?utm_campaign=%23Simonentucasa&amp;utm_medium=email&amp;_hsenc=p2ANqtz-_VCbp3hKtoGNLq1ZhvX-nqpnfNcfwo-GvOBL0A2MtYgzzt4URr6xvd-HbHEBYAXcjWij2KzADWd12Lh7x341m2bITQXQ&amp;utm_source=hs_email&amp;utm_content=85165037&amp;hsCtaTracking=7e048f91-fedd-4131-939d-25771a4a2d12%7Cf6d6f061-2319-4b5b-89f8-8c89fca06239" TargetMode="External"/><Relationship Id="rId3024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NrxF9drqujzcEHPD55lWTZVGwrB1UeAOvpjxd8D7TsCYVBUyA-8jyTg7Yuf8HFk70sqHiMiF6fYQWcBphvsJ_ceUG5g&amp;_hsmi=85165037" TargetMode="External"/><Relationship Id="rId3027" Type="http://schemas.openxmlformats.org/officeDocument/2006/relationships/hyperlink" Target="https://resources.simonelectric.com/simon-ebook-vehiculo-electrico?utm_campaign=%23Simonentucasa&amp;utm_medium=email&amp;_hsenc=p2ANqtz-8BAItUW5os5t7v7Bu9_GEfzPUw4vayduxG6Tn7L-vROHCxe_8MtJ7ag-m_VSECy2609LRKuFaL4MCzZZnpeGYHtkp8eA&amp;_hsmi=85165037&amp;utm_source=hs_email&amp;utm_content=85165037&amp;hsCtaTracking=7e048f91-fedd-4131-939d-25771a4a2d12%7Cf6d6f061-2319-4b5b-89f8-8c89fca06239" TargetMode="External"/><Relationship Id="rId3026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zqmHSgmP5RWU6azVqWvwHeukk18tFHwPC7J5x0h_LUeRDwJ6fhu9PBeBGbDfxdrFT_VsQUM2z2rmDwEahOI6KyurItw&amp;_hsmi=85165037" TargetMode="External"/><Relationship Id="rId3050" Type="http://schemas.openxmlformats.org/officeDocument/2006/relationships/hyperlink" Target="https://resources.simonelectric.com/simon-ebook-vehiculo-electrico?utm_campaign=%23Simonentucasa&amp;utm_medium=email&amp;_hsenc=p2ANqtz-_porwoRJWn-Ga2LRx1G7rZRbToX4UqUfgbD6E9sYcciZS8sZW2fFJ7skRTkXE5XPoPGG6k-opJaDTxf1RRnGSMQDZyJA&amp;_hsmi=85165037&amp;utm_source=hs_email&amp;utm_content=85165037&amp;hsCtaTracking=7e048f91-fedd-4131-939d-25771a4a2d12%7Cf6d6f061-2319-4b5b-89f8-8c89fca06239" TargetMode="External"/><Relationship Id="rId3052" Type="http://schemas.openxmlformats.org/officeDocument/2006/relationships/hyperlink" Target="https://resources.simonelectric.com/simon-ebook-vehiculo-electrico?utm_campaign=%23Simonentucasa&amp;utm_medium=email&amp;_hsenc=p2ANqtz--uJ_bYQ_bxyk3uWis9kbAMSuQOhmFdc5F3AyswrrUeZ-UYfVV0wFqBHQCNYtFPhw5i9mmNBz24otpeSxWm6aHBge6s8A&amp;_hsmi=85165037&amp;utm_source=hs_email&amp;utm_content=85165037&amp;hsCtaTracking=7e048f91-fedd-4131-939d-25771a4a2d12%7Cf6d6f061-2319-4b5b-89f8-8c89fca06239" TargetMode="External"/><Relationship Id="rId3051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p23VTvrifIaeyJapa-meIujBZlDf2D1KMPmO0wagoxcEgcXNZ8Y8soUmALzkvKl5mtClvLiTUdGqK6NN4CDXL6VI_qLlGKoX1Ec18hyB13B8vdFU&amp;_hsmi=85165037" TargetMode="External"/><Relationship Id="rId3054" Type="http://schemas.openxmlformats.org/officeDocument/2006/relationships/hyperlink" Target="https://resources.simonelectric.com/simon-ebook-vehiculo-electrico?utm_campaign=%23Simonentucasa&amp;utm_medium=email&amp;_hsenc=p2ANqtz-8Q196tshxul-qLgQ2htqkwDbYnXLmCacbolQ8IrttETOvQ75D1Jm_4P3WNevaJiYJuGlUcW_lmVTP_IGSjXGT3ZkBawA&amp;_hsmi=85165037&amp;utm_source=hs_email&amp;utm_content=85165037&amp;hsCtaTracking=7e048f91-fedd-4131-939d-25771a4a2d12%7Cf6d6f061-2319-4b5b-89f8-8c89fca06239" TargetMode="External"/><Relationship Id="rId3053" Type="http://schemas.openxmlformats.org/officeDocument/2006/relationships/hyperlink" Target="https://resources.simonelectric.com/simon-ebook-vehiculo-electrico?utm_campaign=%23Simonentucasa&amp;utm_medium=email&amp;_hsenc=p2ANqtz-9tbPCfRO8qYJHMIxJN9YDpzAVdFUfwx1QytWPF5SB2MEnEpMUKK9ca4fSdZrxbXy9_yYxPoUmbUj9efLIPlc-WZtSQpONyCOH0SMFX35MBu4yJTks&amp;_hsmi=85165037&amp;utm_source=hs_email&amp;utm_content=85165037&amp;hsCtaTracking=7e048f91-fedd-4131-939d-25771a4a2d12%7Cf6d6f061-2319-4b5b-89f8-8c89fca06239" TargetMode="External"/><Relationship Id="rId305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055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8FcDapxs0J0bGpkwNRheSQha09n3gBWnWJBZC3VpOi6t52iA6etG_SdjK08Re1q9zraNLtDTpAaAGOJVR3cQ_jrt-YFQ&amp;_hsmi=85165037" TargetMode="External"/><Relationship Id="rId3058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8CKtQwTg1fLM9mP-LTjpD21brNkis5aVNBoiiC2hHNHDlDCbUQrE6CJlWYRB_wqeAeHd4khmYrFtP0VNxZ_Sx1wjNglg&amp;_hsmi=85165037" TargetMode="External"/><Relationship Id="rId3057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k-j9YLWp6viO7_tT2BqKihiwPFjTjQuR13XF_GMW_wUjYiNOJ8535W-ppbaI35OXxJ0DcLp_WnoHIEqvDTMmGAj5RaA&amp;_hsmi=85165037" TargetMode="External"/><Relationship Id="rId3059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xYBV2XoNo-58L6LqqtfrHZF5pVcSD5fcC7fEMH3SLGn4LIFw_OlaQfuT0p_QJQrZ1qy6Qiy2s4JmkzlW7IRO07Ywqm9RjjyNdTjSZRDJviPEmmOc&amp;_hsmi=85165037" TargetMode="External"/><Relationship Id="rId3041" Type="http://schemas.openxmlformats.org/officeDocument/2006/relationships/hyperlink" Target="https://resources.simonelectric.com/simon-ebook-vehiculo-electrico?utm_campaign=%23Simonentucasa&amp;utm_medium=email&amp;_hsenc=p2ANqtz-99GEJdrRP7hOPj3AcbrosFGN75FWajl2GAgpo18CJW4q0LIo5WzO1TM0dA4M8wisZ1AXIGGyRWGAqo-LHQq7tAPttBiA&amp;_hsmi=85165037&amp;utm_source=hs_email&amp;utm_content=85165037&amp;hsCtaTracking=7e048f91-fedd-4131-939d-25771a4a2d12%7Cf6d6f061-2319-4b5b-89f8-8c89fca06239" TargetMode="External"/><Relationship Id="rId3040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w7ffpjZWLsrhR7xty5TgZbSrYo9djAtdkSRuP1x1O92ZVGFskPghU1a_DPRVHNrPFm0ZxXTUu_cRrWZA9VTvywREVuQ&amp;_hsmi=85165037" TargetMode="External"/><Relationship Id="rId3043" Type="http://schemas.openxmlformats.org/officeDocument/2006/relationships/hyperlink" Target="https://resources.simonelectric.com/simon-ebook-vehiculo-electrico?utm_campaign=%23Simonentucasa&amp;utm_medium=email&amp;_hsenc=p2ANqtz-8bpQn4khTei3SZMR8NMjqD_KuSTIBqXarpFlvMtqWC9o8Wgrn5cxYO5JQabH6d0VP3G7-yhgRf-pjsJvKnsqKt-eM-8PKRRO_yWWmWiEHshHXBfDI&amp;_hsmi=85165037&amp;utm_source=hs_email&amp;utm_content=85165037&amp;hsCtaTracking=7e048f91-fedd-4131-939d-25771a4a2d12%7Cf6d6f061-2319-4b5b-89f8-8c89fca06239" TargetMode="External"/><Relationship Id="rId3042" Type="http://schemas.openxmlformats.org/officeDocument/2006/relationships/hyperlink" Target="https://resources.simonelectric.com/simon-ebook-vehiculo-electrico?utm_campaign=%23Simonentucasa&amp;utm_medium=email&amp;_hsenc=p2ANqtz-86JUbjg2OZ9QFMiWBKiVellMzMR_UQA8y2SXr0Y_yYhaJjK7RF_9pSmrhVHWVVHHgCLbk32tE921UrqwWmRfomS2lJmw&amp;_hsmi=85165037&amp;utm_source=hs_email&amp;utm_content=85165037&amp;hsCtaTracking=7e048f91-fedd-4131-939d-25771a4a2d12%7Cf6d6f061-2319-4b5b-89f8-8c89fca06239" TargetMode="External"/><Relationship Id="rId3045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8TjuLVsWftghWDS7QWAML4nLmPWzy9cV7VSfbGH9dIhogznF7vTByQQVQa50TsERj_TPIg9g7he55RycBYtuIWsqwF9g&amp;_hsmi=85165037" TargetMode="External"/><Relationship Id="rId3044" Type="http://schemas.openxmlformats.org/officeDocument/2006/relationships/hyperlink" Target="https://resources.simonelectric.com/simon-ebook-vehiculo-electrico?utm_campaign=%23Simonentucasa&amp;utm_medium=email&amp;_hsenc=p2ANqtz-_lFi4HGTs_1WQS4xuSynYGEgaXa_i1Z1MHbg_COD7yKD9ohM9Fzg51iAv_wkvV82YwKt6L0NwECglVcjLv6kpljHDkUA&amp;_hsmi=85165037&amp;utm_source=hs_email&amp;utm_content=85165037&amp;hsCtaTracking=7e048f91-fedd-4131-939d-25771a4a2d12%7Cf6d6f061-2319-4b5b-89f8-8c89fca06239" TargetMode="External"/><Relationship Id="rId3047" Type="http://schemas.openxmlformats.org/officeDocument/2006/relationships/hyperlink" Target="https://resources.simonelectric.com/simon-ebook-vehiculo-electrico?utm_campaign=%23Simonentucasa&amp;utm_medium=email&amp;_hsenc=p2ANqtz-_M0-HiJ8HC7KGAlsMUqGIxoWjEDW08RWPNrulSIo-nGY0pBV7aaQ1_1SZ26sq8Ycnzc7WPUReljk9l613qjQvAHdpaXkXFggfjfCr6SIYAxLCvTOU&amp;_hsmi=85165037&amp;utm_source=hs_email&amp;utm_content=85165037&amp;hsCtaTracking=7e048f91-fedd-4131-939d-25771a4a2d12%7Cf6d6f061-2319-4b5b-89f8-8c89fca06239" TargetMode="External"/><Relationship Id="rId304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049" Type="http://schemas.openxmlformats.org/officeDocument/2006/relationships/hyperlink" Target="https://resources.simonelectric.com/simon-ebook-vehiculo-electrico?utm_campaign=%23Simonentucasa&amp;utm_medium=email&amp;_hsenc=p2ANqtz-86JUbjg2OZ9QFMiWBKiVellMzMR_UQA8y2SXr0Y_yYhaJjK7RF_9pSmrhVHWVVHHgCLbk32tE921UrqwWmRfomS2lJmw&amp;_hsmi=85165037&amp;utm_source=hs_email&amp;utm_content=85165037&amp;hsCtaTracking=7e048f91-fedd-4131-939d-25771a4a2d12%7Cf6d6f061-2319-4b5b-89f8-8c89fca06239" TargetMode="External"/><Relationship Id="rId3048" Type="http://schemas.openxmlformats.org/officeDocument/2006/relationships/hyperlink" Target="https://resources.simonelectric.com/simon-ebook-vehiculo-electrico?utm_campaign=%23Simonentucasa&amp;utm_medium=email&amp;_hsenc=p2ANqtz-8Tx58SnqdL8TuAXhcqCChBd8fRgno7-2fThupPoqU0hAmw2u-hzwrBUk_efP-6A-SjzBihOe-FLNvyaBLdEyJRDekX4Q&amp;_hsmi=85165037&amp;utm_source=hs_email&amp;utm_content=85165037&amp;hsCtaTracking=7e048f91-fedd-4131-939d-25771a4a2d12%7Cf6d6f061-2319-4b5b-89f8-8c89fca06239" TargetMode="External"/><Relationship Id="rId3911" Type="http://schemas.openxmlformats.org/officeDocument/2006/relationships/hyperlink" Target="https://resources.simonelectric.com/simon-ebook-vehiculo-electrico" TargetMode="External"/><Relationship Id="rId3910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9LxV3pxIIOdTq53cHU3QZGwNNXpMiGgmn2Conhq0exmTON9DsdWGgtGRCf5CSoZqNhM0jFA8PlWe41W4BuGF45mlLUQsS6-DIb7Q8lvsqEJBB2Tpw%26_hsmi%3D71033828" TargetMode="External"/><Relationship Id="rId3913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-GSssjJe-PTAJvWWVQ2myrIdbfOybeAq36iiUq8XTM9Ten0poopLXaZu6cj6VTLolEHgh4WOJLn7tDZ9RZJjmGa4NNVw&amp;_hsmi=71034014" TargetMode="External"/><Relationship Id="rId391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1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1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17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-Yek3ogx2zFOj18Lvt2pqNBto7HP_7sDBiF6DBQc1ikqojTE3LgSPBWCAedZ-deYOhVrkrt_4sYbHKQeH8Qghmq-inEw&amp;_hsmi=71034014" TargetMode="External"/><Relationship Id="rId3916" Type="http://schemas.openxmlformats.org/officeDocument/2006/relationships/hyperlink" Target="https://resources.simonelectric.com/simon-ebook-vehiculo-electrico?utm_campaign=SIC%20-%20Veh%C3%ADculo%20El%C3%A9ctrico&amp;utm_medium=email&amp;_hsenc=p2ANqtz--UAIjjg2jogN1DZqUHNEMLhXzMSAlU_CTnfBVNLD6kAxy2JuImJbl9lMr5tpVFGjwEK2rjRZFiTvzJA7rapS0ly97WbA&amp;_hsmi=71033675&amp;utm_source=hs_automation&amp;utm_content=71033675&amp;hsCtaTracking=2e94ebfc-d414-4389-870c-d2f266a9420b%7C587ac4dc-a49a-4bdc-b449-e36f5d95395b" TargetMode="External"/><Relationship Id="rId3919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-Q2Qokb83pAeFem1h7fS4J3OzKSwIuSJ7j8F799l5mML2ZogoWXj9oNj3R_e4QdfCCepyO-VPD9c0EK4yC7YY_3NGM4A&amp;_hsmi=71034014" TargetMode="External"/><Relationship Id="rId3918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8bOh9TgDAYUDFQGrCw5-4cMvbZPocnwTftRZfwB_b-0wLsCGzENOvnaDpZBMGHQExAl1svTlRDgKXiETFR_8Goycydyg%26_hsmi%3D71033828" TargetMode="External"/><Relationship Id="rId390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0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0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0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03" Type="http://schemas.openxmlformats.org/officeDocument/2006/relationships/hyperlink" Target="https://resources.simonelectric.com/simon-catalogo-vehiculo-electrico?__hstc=83084745.02dc77bd7a00edf9cce8adc57aff575f.1579015266603.1579015266603.1579015266603.1&amp;__hssc=83084745.11.1579015266603&amp;__hsfp=1062041132" TargetMode="External"/><Relationship Id="rId3906" Type="http://schemas.openxmlformats.org/officeDocument/2006/relationships/hyperlink" Target="https://resources.simonelectric.com/simon-ebook-vehiculo-electrico" TargetMode="External"/><Relationship Id="rId390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0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907" Type="http://schemas.openxmlformats.org/officeDocument/2006/relationships/hyperlink" Target="https://resources.simonelectric.com/simon-catalogo-vehiculo-electrico?__hstc=83084745.d0f2f20768b6767a65a2e69c28ceb7b3.1577690708226.1578943730302.1579002219777.3&amp;__hssc=83084745.2.1579002219777&amp;__hsfp=1830652789" TargetMode="External"/><Relationship Id="rId3909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8S2T6vTfrS3ZjzLlc7g9ntC5LWnDNKhX-DAu346cmliYaZf5YzgOgji-YLvMr2vO123-HvMUhgO7dzujPeOxzW-y8lqUpgD7PUIDEkl6PEqQw7Xvg&amp;_hsmi=71034014" TargetMode="External"/><Relationship Id="rId393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600" Type="http://schemas.openxmlformats.org/officeDocument/2006/relationships/hyperlink" Target="https://resources.simonelectric.com/simon-ebook-vehiculo-electrico" TargetMode="External"/><Relationship Id="rId3930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30nPeaDwimaosN3yk9RjlKRq0hbPKArCXFV_HzseGGUCNYfZOYKNOmml0hw7WcHuWekvX7bxTRE9ISmqlx7bh7SRjkg%26_hsmi%3D81085386" TargetMode="External"/><Relationship Id="rId2601" Type="http://schemas.openxmlformats.org/officeDocument/2006/relationships/hyperlink" Target="https://resources.simonelectric.com/simon-ebook-vehiculo-electrico" TargetMode="External"/><Relationship Id="rId3933" Type="http://schemas.openxmlformats.org/officeDocument/2006/relationships/hyperlink" Target="https://resources.simonelectric.com/simon-ebook-vehiculo-electrico?utm_referrer=https%3A%2F%2Fwww.simonelectric.com%2Fblog%2Fmovilidad-urbana-sostenible-plan-movem-de-la-diputacion-de-badajoz" TargetMode="External"/><Relationship Id="rId2602" Type="http://schemas.openxmlformats.org/officeDocument/2006/relationships/hyperlink" Target="https://resources.simonelectric.com/simon-ebook-vehiculo-electrico" TargetMode="External"/><Relationship Id="rId3932" Type="http://schemas.openxmlformats.org/officeDocument/2006/relationships/hyperlink" Target="https://resources.simonelectric.com/simon-ebook-vehiculo-electrico?utm_campaign=SIC%20-%20Veh%C3%ADculo%20El%C3%A9ctrico&amp;utm_medium=email&amp;_hsenc=p2ANqtz-9VgWsKM2wn4MQQ2FKEknU72ap3s6gzpDa59wjl4d5NbtLhE6mlvMADyvERDak7MD-L2ONa6QCVs0UJo1_DheeG90OOCg&amp;_hsmi=67858848&amp;utm_source=hs_automation&amp;utm_content=67858848&amp;hsCtaTracking=4ffb3aa1-677f-463b-8339-fc65a1da68db%7C5790d3b1-fbc3-4c32-a016-744222ad1cdc" TargetMode="External"/><Relationship Id="rId2603" Type="http://schemas.openxmlformats.org/officeDocument/2006/relationships/hyperlink" Target="https://resources.simonelectric.com/simon-ebook-vehiculo-electrico" TargetMode="External"/><Relationship Id="rId393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604" Type="http://schemas.openxmlformats.org/officeDocument/2006/relationships/hyperlink" Target="https://resources.simonelectric.com/simon-ebook-vehiculo-electrico" TargetMode="External"/><Relationship Id="rId393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605" Type="http://schemas.openxmlformats.org/officeDocument/2006/relationships/hyperlink" Target="https://resources.simonelectric.com/simon-ebook-vehiculo-electrico" TargetMode="External"/><Relationship Id="rId393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606" Type="http://schemas.openxmlformats.org/officeDocument/2006/relationships/hyperlink" Target="https://resources.simonelectric.com/simon-ebook-vehiculo-electrico" TargetMode="External"/><Relationship Id="rId393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808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U2Ed4hcq90uh7C1KUSvbz6-LxBzDDWFmilPgXc5bfBmoNBB3hOeTPobSFQrsBUYg6J_hK5lReciJDIfERn1U4vn_OIQ&amp;_hsmi=88328232" TargetMode="External"/><Relationship Id="rId2607" Type="http://schemas.openxmlformats.org/officeDocument/2006/relationships/hyperlink" Target="https://resources.simonelectric.com/simon-ebook-vehiculo-electrico-ppc?utm_source=facebook&amp;utm_medium=social_ads&amp;utm_campaign=vehiculo_electrico&amp;fbclid=IwAR0w8ejdI4TXxceDNT_yVf71exf573qe3aRKMIHGe-Q3Cb5oIxroVWKDMuM" TargetMode="External"/><Relationship Id="rId3939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y7rrKLiVviYbuhDnm8ZQu0V0gBosYEZC1jYIpJG4MU0EcWXbva-X8aJJJIlv2i9QWrha5z-T0UvDn2ff6LpD7QNc4WQ%26_hsmi%3D81085386" TargetMode="External"/><Relationship Id="rId807" Type="http://schemas.openxmlformats.org/officeDocument/2006/relationships/hyperlink" Target="https://resources.simonelectric.com/simon-material-formativo-vehiculo-electrico?utm_campaign=SIC%20-%20Veh%C3%ADculo%20El%C3%A9ctrico&amp;utm_medium=email&amp;_hsenc=p2ANqtz--F6WpwUOprsLpkD4yk6fNWbCqg86WGzS0dbv_zuskExLP7YUhrwXpGPyqcv_zLXEpQmz30D-o53Nb9AyahIdNyp73--g&amp;_hsmi=88328232&amp;utm_source=hs_email&amp;utm_content=88328407&amp;hsCtaTracking=f8a31ce8-daf1-4d69-a5d6-c3349f3aab91%7C75f9b9fd-a2b2-4ad4-9d4a-0dcb7c99194f" TargetMode="External"/><Relationship Id="rId260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938" Type="http://schemas.openxmlformats.org/officeDocument/2006/relationships/hyperlink" Target="https://resources.simonelectric.com/simon-ebook-vehiculo-electrico?utm_referrer=https%3A%2F%2Fwww.simonelectric.com%2Fblog%2Finstalacion-de-un-punto-de-recarga-para-un-coche-electrico%3Futm_source%3Dtwitter%26utm_medium%3Dsocial_ads%26utm_campaign%3Dvehiculo_electrico" TargetMode="External"/><Relationship Id="rId806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-ClDF7tSm503Vv6AtEagm4ZyIj5MVaqewd4YnZY-35-lOHQ9enHiOx81a-dH4q43KvjTF70CcKAt3BRy5Scz1Pn2Yj_w&amp;_hsmi=88328232" TargetMode="External"/><Relationship Id="rId260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805" Type="http://schemas.openxmlformats.org/officeDocument/2006/relationships/hyperlink" Target="https://resources.simonelectric.com/simon-material-formativo-vehiculo-electrico?utm_campaign=SIC%20-%20Veh%C3%ADculo%20El%C3%A9ctrico&amp;utm_medium=email&amp;_hsenc=p2ANqtz-_s6vfrcO1HmbK0HSToZwuQ-_X7-e2w0cr4gipM5K8sK-qCdItZEqvjlhHoptoqORS9mBpj4xBAs6z9QgzWy5cUcESsVw&amp;_hsmi=88328232&amp;utm_source=hs_email&amp;utm_content=88328407&amp;hsCtaTracking=f8a31ce8-daf1-4d69-a5d6-c3349f3aab91%7C75f9b9fd-a2b2-4ad4-9d4a-0dcb7c99194f" TargetMode="External"/><Relationship Id="rId809" Type="http://schemas.openxmlformats.org/officeDocument/2006/relationships/hyperlink" Target="https://resources.simonelectric.com/simon-material-formativo-vehiculo-electrico?utm_campaign=SIC%20-%20Veh%C3%ADculo%20El%C3%A9ctrico&amp;utm_medium=email&amp;_hsenc=p2ANqtz-9Fc1CfxTs-bQhpmSmyT6zfuJjnXta7JWIHjyw2BTLVECCCvkOlYlxrjxtnO3l7A9j7vBv3xVSk7amOgARlyCf26dcG5w&amp;_hsmi=88328232&amp;utm_source=hs_email&amp;utm_content=88328407&amp;hsCtaTracking=f8a31ce8-daf1-4d69-a5d6-c3349f3aab91%7C75f9b9fd-a2b2-4ad4-9d4a-0dcb7c99194f" TargetMode="External"/><Relationship Id="rId800" Type="http://schemas.openxmlformats.org/officeDocument/2006/relationships/hyperlink" Target="https://resources.simonelectric.com/simon-material-formativo-vehiculo-electrico?utm_campaign=SIC%20-%20Veh%C3%ADculo%20El%C3%A9ctrico&amp;utm_medium=email&amp;_hsenc=p2ANqtz-9Wn2P9ZgLzMmOE2a-6xfz1q1bGPGdS7rpFokiXqy-d5FgSw_ihQDOdV259ZVTdfOMl4wI2Ah96j0BQLKM6pmccXrBmLg&amp;_hsmi=88328232&amp;utm_source=hs_email&amp;utm_content=88328407&amp;hsCtaTracking=f8a31ce8-daf1-4d69-a5d6-c3349f3aab91%7C75f9b9fd-a2b2-4ad4-9d4a-0dcb7c99194f" TargetMode="External"/><Relationship Id="rId804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eyD3E2fUmcnNCtub284HcE4CEqOw6hMisjb-kXGBt4HHBuq-RDEbK3dO3Vr9z2Llj7ImrYdR5yyAiS0I2tJkJ8UdKhQ&amp;_hsmi=88328232" TargetMode="External"/><Relationship Id="rId803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802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n1FxZXsKLsNNDksFsrJk3CXMwhWtwYuFqyAh95bcCyaKzp3W6E9WjvGC12NNDcqxHMQvl8mOdBP-CSKm7qE0d7kZ36A&amp;_hsmi=88328232" TargetMode="External"/><Relationship Id="rId801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ShtIUYdkwz7iwybXo_mjt8mxpLQwYBJ-BBx-1ijiwBtblvnxH86dbwxtHWRRFVTNKFeCauEvQCswIimoUkNb4BJNwlUcWXd9xPK1VWYphLmbwmjI&amp;_hsmi=88328232" TargetMode="External"/><Relationship Id="rId3920" Type="http://schemas.openxmlformats.org/officeDocument/2006/relationships/hyperlink" Target="https://resources.simonelectric.com/simon-ebook-vehiculo-electrico?utm_referrer=https%3A%2F%2Fwww.simonelectric.com%2Fblog%2Finstalacion-de-un-punto-de-recarga-para-un-coche-electrico" TargetMode="External"/><Relationship Id="rId3922" Type="http://schemas.openxmlformats.org/officeDocument/2006/relationships/hyperlink" Target="https://resources.simonelectric.com/simon-ebook-vehiculo-electrico?utm_campaign=SIC%20-%20Veh%C3%ADculo%20El%C3%A9ctrico&amp;utm_medium=email&amp;_hsenc=p2ANqtz-_qDFI6TuE-tujWchZ3HSxGEoSmtSfw-dm4mG04r9oii_yzOa0D2xFjQMqwkOz1ffkr6grphuoqMkzbwZ-EWSiG94FuCyTB9hm0TdyJZv-J9OJ_Gtw&amp;_hsmi=71033675&amp;utm_source=hs_automation&amp;utm_content=71033675&amp;hsCtaTracking=2e94ebfc-d414-4389-870c-d2f266a9420b%7C587ac4dc-a49a-4bdc-b449-e36f5d95395b" TargetMode="External"/><Relationship Id="rId392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2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923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926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55nAHvlE-cqF3g2barEGlhp-VCSzvjtZOMnx9dt93dBFo-hWHvMcY0uIHdS9SrS79iDqRYoLYeZn-zFbCXmE_LZRB9Q%26_hsmi%3D81085387" TargetMode="External"/><Relationship Id="rId3925" Type="http://schemas.openxmlformats.org/officeDocument/2006/relationships/hyperlink" Target="https://resources.simonelectric.com/simon-ebook-vehiculo-electrico?utm_referrer=https%3A%2F%2Fwww.simonelectric.com%2Fblog%2Finstalacion-de-un-punto-de-recarga-para-un-coche-electrico" TargetMode="External"/><Relationship Id="rId3928" Type="http://schemas.openxmlformats.org/officeDocument/2006/relationships/hyperlink" Target="https://resources.simonelectric.com/simon-ebook-vehiculo-electrico" TargetMode="External"/><Relationship Id="rId392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92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334" Type="http://schemas.openxmlformats.org/officeDocument/2006/relationships/hyperlink" Target="https://resources.simonelectric.com/simon-catalogo-vehiculo-electrico?utm_campaign=SIC%20-%20Veh%C3%ADculo%20El%C3%A9ctrico&amp;utm_medium=email&amp;_hsenc=p2ANqtz-8Roa2oL87wgYV0D33vZZwGmPwds0daYgH5RlGFSdt6oCszIw3RW3kQrLDXcPZgi80tHkiA&amp;_hsmi=87085363&amp;utm_content=87085363&amp;utm_source=hs_email&amp;hsCtaTracking=6fedf137-fd90-4f17-bfb4-d61f710ec7f8%7Cf2771843-6636-4969-9010-2d8d0389b89c" TargetMode="External"/><Relationship Id="rId266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99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335" Type="http://schemas.openxmlformats.org/officeDocument/2006/relationships/hyperlink" Target="https://resources.simonelectric.com/simon-catalogo-vehiculo-electrico?utm_campaign=SIC%20-%20Veh%C3%ADculo%20El%C3%A9ctrico&amp;utm_medium=email&amp;_hsenc=p2ANqtz-9u3pCL_B7f7y6apQ1QyPR6LnqYt6DpFHHIrJOZJv0Ynz-bPqyfJEleNoE82nvHQsg9Smm1&amp;_hsmi=87085302&amp;utm_content=87085302&amp;utm_source=hs_email&amp;hsCtaTracking=6fedf137-fd90-4f17-bfb4-d61f710ec7f8%7Cf2771843-6636-4969-9010-2d8d0389b89c" TargetMode="External"/><Relationship Id="rId266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996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336" Type="http://schemas.openxmlformats.org/officeDocument/2006/relationships/hyperlink" Target="https://resources.simonelectric.com/simon-catalogo-vehiculo-electrico?utm_campaign=SIC%20-%20Veh%C3%ADculo%20El%C3%A9ctrico&amp;utm_medium=email&amp;_hsmi=87085302&amp;_hsenc=p2ANqtz-_mbQfoG75Jmk0hy4NsjjM3h3OCJZnLSIIpTG3hthj8SbojLGeLFE46tCIbOnyd92el8k3G&amp;utm_content=87085302&amp;utm_source=hs_email" TargetMode="External"/><Relationship Id="rId266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99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337" Type="http://schemas.openxmlformats.org/officeDocument/2006/relationships/hyperlink" Target="https://resources.simonelectric.com/simon-catalogo-vehiculo-electrico?utm_campaign=SIC%20-%20Veh%C3%ADculo%20El%C3%A9ctrico&amp;utm_medium=email&amp;_hsenc=p2ANqtz-9TAlN7qLBf7bRXL6h77CTIPaUtz3JJ-EDZLQJRIU6PQK-RjV6eExNXKN9KGy_OTEBqJDiB&amp;_hsmi=87085363&amp;utm_content=87085363&amp;utm_source=hs_email&amp;hsCtaTracking=6fedf137-fd90-4f17-bfb4-d61f710ec7f8%7Cf2771843-6636-4969-9010-2d8d0389b89c" TargetMode="External"/><Relationship Id="rId2668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UiG8AG3cAeO-QBUQm62OByeDcKniSMYIe3FQlw3n5WagOzSR4sIQU1bLmkQRUyeEkUl95HRGd7U7HfiZHeufpDikhpg%26_hsmi%3D81085388" TargetMode="External"/><Relationship Id="rId3998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wIo27zadxjGKzl5wNdYrK5XS7N8DcGxIbSrOZnKvvl6m9i31_bX_FkafPxEzACJPmpwmYYG26b7IdiV8opkKFkvqshw%26_hsmi%3D81085388" TargetMode="External"/><Relationship Id="rId1338" Type="http://schemas.openxmlformats.org/officeDocument/2006/relationships/hyperlink" Target="https://resources.simonelectric.com/simon-catalogo-vehiculo-electrico?utm_campaign=SIC%20-%20Veh%C3%ADculo%20El%C3%A9ctrico&amp;utm_medium=email&amp;_hsenc=p2ANqtz-9SXB6OVumcslO-hYDthNwmufnbWCbeN26phmxLs078_SHZd2ctmV8MLiUCqXC_7WOwrz6L&amp;_hsmi=87085302&amp;utm_content=87085302&amp;utm_source=hs_email&amp;hsCtaTracking=6fedf137-fd90-4f17-bfb4-d61f710ec7f8%7Cf2771843-6636-4969-9010-2d8d0389b89c" TargetMode="External"/><Relationship Id="rId266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339" Type="http://schemas.openxmlformats.org/officeDocument/2006/relationships/hyperlink" Target="https://resources.simonelectric.com/simon-catalogo-vehiculo-electrico?utm_campaign=SIC%20-%20Veh%C3%ADculo%20El%C3%A9ctrico&amp;utm_medium=email&amp;_hsenc=p2ANqtz--F4at1sIDWKYGRg4ET4sdfN_T6VPUXcJKTOHiGJffiJcWV96AY7CM-PL0MGRNlBvdNO5UQ&amp;_hsmi=87085363&amp;utm_content=87085363&amp;utm_source=hs_email&amp;hsCtaTracking=6fedf137-fd90-4f17-bfb4-d61f710ec7f8%7Cf2771843-6636-4969-9010-2d8d0389b89c" TargetMode="External"/><Relationship Id="rId745" Type="http://schemas.openxmlformats.org/officeDocument/2006/relationships/hyperlink" Target="https://resources.simonelectric.com/simon-material-formativo-vehiculo-electrico?utm_campaign=SIC%20-%20Veh%C3%ADculo%20El%C3%A9ctrico&amp;utm_medium=email&amp;_hsenc=p2ANqtz-_lxBI-PD7baGqI9dUtO3VbbuxCts0l8dIK6YXEKOBDaMlH7AdKE55lhLmQh-1AHt17WNPASTFpokWeFj_VuFfQjCTQBA&amp;_hsmi=88328232&amp;utm_source=hs_email&amp;utm_content=88328407&amp;hsCtaTracking=f8a31ce8-daf1-4d69-a5d6-c3349f3aab91%7C75f9b9fd-a2b2-4ad4-9d4a-0dcb7c99194f" TargetMode="External"/><Relationship Id="rId744" Type="http://schemas.openxmlformats.org/officeDocument/2006/relationships/hyperlink" Target="https://resources.simonelectric.com/simon-catalogo-vehiculo-electrico?utm_campaign=SIC%20-%20Veh%C3%ADculo%20El%C3%A9ctrico&amp;utm_medium=email&amp;_hsenc=p2ANqtz-_Zgq-tDIDE5oTL3ZMlW2V7ukZwDt69g1dARBOcWlhowut4yr584wAYsxeewyW5A5jgdZL-&amp;_hsmi=87085363&amp;utm_content=87085363&amp;utm_source=hs_email&amp;hsCtaTracking=6fedf137-fd90-4f17-bfb4-d61f710ec7f8%7Cf2771843-6636-4969-9010-2d8d0389b89c" TargetMode="External"/><Relationship Id="rId743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-Sqg8EDz1Ivo-nz7pib4V1KOuVp45AC4BaGP-8sVa7f-M8ACWoRGqI0Envt8W4kSc2yctUkV65rgnv1VhNVFue0GqN9QQWMZ4zPV35M9n5bgC_RRQ&amp;_hsmi=88328232" TargetMode="External"/><Relationship Id="rId74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749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-DJpERr19q45foHhQaXKKQHSZmK26IFcNFU2UtNWoRx8nRT_Q6R-ySbmVjoFb7BhJ5ew-_h7qFWjAPfEEOuHyPgcXr5FD8BxVFblgCsKx9tL7vMa4&amp;_hsmi=88328232" TargetMode="External"/><Relationship Id="rId748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6O2TxsCGLLTWcGDaij2yTAbrh8dazx62F6VPiuieqjawcAOK-aI7AqgVcnrw4g5alOPqaGeT4CzMhg0dz7AJvWviU3QGUscYMVjHY0Yzcp9KHwxg&amp;_hsmi=88328232" TargetMode="External"/><Relationship Id="rId747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CWjEqpgWIJKF2ttEVa6wKBQDN2ZOVqsXhY4zEDvUqHV80eARD9zKx2E6t9KxXdk-x3IgQiXiXJq0-P8eOQr7ctQu-zg&amp;_hsmi=88328232" TargetMode="External"/><Relationship Id="rId746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Y7h171096Rvc1GEP7i0J6fQ6VZFLXOCs2e0gHHA93SAlYDsaPGz1WKrCpmkNe1xZ8Fcl0IdxtBHc198oyt_6L4Rpidg&amp;_hsmi=88328232" TargetMode="External"/><Relationship Id="rId3991" Type="http://schemas.openxmlformats.org/officeDocument/2006/relationships/hyperlink" Target="https://resources.simonelectric.com/simon-ebook-vehiculo-electrico?utm_referrer=https%3A%2F%2Fwww.simonelectric.com%2Fblog%2Finstalacion-de-un-punto-de-recarga-para-un-coche-electrico%3Futm_medium%3Dppc%26utm_source%3Dtwitterads" TargetMode="External"/><Relationship Id="rId266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990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g_SR2_bqtpsEn6iCRdqeOX0vLPyU1QY5Ks3IG41lYLlzXtlJ-eNVJdZUUuT6XvZGgbPW1p9cDIxlKNpLE7Quf448JPw%26_hsmi%3D81085386" TargetMode="External"/><Relationship Id="rId741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-ZzmdQST6NbTRZtpYf03Doh_RT9qz2bFL_5E7QPNKfG6J0RS8f3C5wGCcbt5ex8pLprl3-460SpbsSvKOo6mLxAe_gaA&amp;_hsmi=88328232" TargetMode="External"/><Relationship Id="rId1330" Type="http://schemas.openxmlformats.org/officeDocument/2006/relationships/hyperlink" Target="https://resources.simonelectric.com/simon-catalogo-vehiculo-electrico?utm_campaign=SIC%20-%20Veh%C3%ADculo%20El%C3%A9ctrico&amp;utm_medium=email&amp;_hsenc=p2ANqtz--Vet1JTr_00AbSl9PRB8NQ5rH_5u3ylxMsiXG3ZdYT-uy1q4O7d7IYooo1rxUF3LW3wz-P&amp;_hsmi=87085302&amp;utm_content=87085302&amp;utm_source=hs_email&amp;hsCtaTracking=6fedf137-fd90-4f17-bfb4-d61f710ec7f8%7Cf2771843-6636-4969-9010-2d8d0389b89c" TargetMode="External"/><Relationship Id="rId2661" Type="http://schemas.openxmlformats.org/officeDocument/2006/relationships/hyperlink" Target="https://resources.simonelectric.com/simon-ebook-vehiculo-electrico-ppc?utm_source=facebook&amp;utm_medium=social_ads&amp;utm_campaign=vehiculo_electrico&amp;fbclid=IwAR0hr2FRmO3aBuGUF4oGSSxPHxEy3eu1ZWApCOzXktgwIM1TeH8zRVJ5bMU" TargetMode="External"/><Relationship Id="rId3993" Type="http://schemas.openxmlformats.org/officeDocument/2006/relationships/hyperlink" Target="https://resources.simonelectric.com/simon-catalogo-vehiculo-electrico?__hstc=83084745.2af9fc4f0bf6441289a1b911bfc60f68.1559049907316.1571823734896.1578050716502.9&amp;__hssc=83084745.1.1578050716502&amp;__hsfp=2004022226" TargetMode="External"/><Relationship Id="rId740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HgsMV1K5UdvUHbvnjRIR-TWrP9Ww1HmdD1kLxXRQKXrb6EW1nmETCK-TiNNiOzQEUWSrIFHE6Eh7z04R8rcZ4f4rmGA&amp;_hsmi=88328232" TargetMode="External"/><Relationship Id="rId1331" Type="http://schemas.openxmlformats.org/officeDocument/2006/relationships/hyperlink" Target="https://resources.simonelectric.com/simon-catalogo-vehiculo-electrico?utm_campaign=SIC%20-%20Veh%C3%ADculo%20El%C3%A9ctrico&amp;utm_medium=email&amp;_hsenc=p2ANqtz--SjF6qR-jcGgbJyqkk1F9JJs24sWv5hJvmYQzH_Q_rH1XR6vNNv96OSvXvDvS8Gl6vjGXP&amp;_hsmi=87085363&amp;utm_content=87085363&amp;utm_source=hs_email&amp;hsCtaTracking=6fedf137-fd90-4f17-bfb4-d61f710ec7f8%7Cf2771843-6636-4969-9010-2d8d0389b89c" TargetMode="External"/><Relationship Id="rId2662" Type="http://schemas.openxmlformats.org/officeDocument/2006/relationships/hyperlink" Target="https://resources.simonelectric.com/simon-ebook-vehiculo-electrico-ppc?utm_source=facebook&amp;utm_medium=social_ads&amp;utm_campaign=vehiculo_electrico&amp;fbclid=IwAR0BC2bypNuGjeNTdIDJ6AcPHD8mxovtSXRWG6-g48Q4pCs4GmCY8jg1tsE" TargetMode="External"/><Relationship Id="rId3992" Type="http://schemas.openxmlformats.org/officeDocument/2006/relationships/hyperlink" Target="https://resources.simonelectric.com/simon-ebook-vehiculo-electrico" TargetMode="External"/><Relationship Id="rId1332" Type="http://schemas.openxmlformats.org/officeDocument/2006/relationships/hyperlink" Target="https://resources.simonelectric.com/simon-catalogo-vehiculo-electrico?utm_campaign=SIC%20-%20Veh%C3%ADculo%20El%C3%A9ctrico&amp;utm_medium=email&amp;_hsenc=p2ANqtz--uXsYL7h41jtRHoGDH1_rwLTqCrIu4cGCpuKpRnspJ5ujMertHAxfzwchDAaEeacDsyKTz&amp;_hsmi=87085363&amp;utm_content=87085363&amp;utm_source=hs_email&amp;hsCtaTracking=6fedf137-fd90-4f17-bfb4-d61f710ec7f8%7Cf2771843-6636-4969-9010-2d8d0389b89c" TargetMode="External"/><Relationship Id="rId2663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995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333" Type="http://schemas.openxmlformats.org/officeDocument/2006/relationships/hyperlink" Target="https://resources.simonelectric.com/simon-ebook-vehiculo-electrico-ppc?utm_source=facebook&amp;utm_medium=social_ads&amp;utm_campaign=vehiculo_electrico&amp;fbclid=IwAR10EarzFHlS6rcGshQt-Hsjxu8qZ107Da-sGvTLgFhR9z6aEpnMMYmr0Ho" TargetMode="External"/><Relationship Id="rId266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9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323" Type="http://schemas.openxmlformats.org/officeDocument/2006/relationships/hyperlink" Target="https://resources.simonelectric.com/simon-ebook-vehiculo-electrico-0?gclid=EAIaIQobChMIpKipm_uU6QIVzKdRCh3RUwkBEAEYASAAEgJs_fD_BwE" TargetMode="External"/><Relationship Id="rId265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986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hBmilTwhqNuvXTQTEDkKz_aebZo1RBU6_BuJpjXu5guWLEy0bBH8uTgdPrQoXsThS8YtgmU3WNRxcg-pOJqf8wP4lWg%26_hsmi%3D81085388" TargetMode="External"/><Relationship Id="rId1324" Type="http://schemas.openxmlformats.org/officeDocument/2006/relationships/hyperlink" Target="https://resources.simonelectric.com/simon-ebook-vehiculo-electrico-0?gclid=Cj0KCQjwtLT1BRD9ARIsAMH3BtWfW6DpuQXnXAGkZlPubfwgVHtMog8Qm7-3JEr4JR-8C_5oHsH2gdMaAkUWEALw_wcB" TargetMode="External"/><Relationship Id="rId2655" Type="http://schemas.openxmlformats.org/officeDocument/2006/relationships/hyperlink" Target="https://resources.simonelectric.com/simon-ebook-vehiculo-electrico-0?gclid=EAIaIQobChMI68b5gdP16AIV0dXVCh2KGQIDEAEYASAAEgL5MPD_BwE" TargetMode="External"/><Relationship Id="rId3985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1325" Type="http://schemas.openxmlformats.org/officeDocument/2006/relationships/hyperlink" Target="https://resources.simonelectric.com/simon-catalogo-vehiculo-electrico?utm_campaign=SIC%20-%20Veh%C3%ADculo%20El%C3%A9ctrico&amp;utm_medium=email&amp;_hsenc=p2ANqtz-8iQTvpah3lSEwp_d45ePZRl579hCyJqAzeIIlTN2O5XVZ4HIbyzmBavI_G35qGqPQriABx&amp;_hsmi=87085302&amp;utm_content=87085302&amp;utm_source=hs_email&amp;hsCtaTracking=6fedf137-fd90-4f17-bfb4-d61f710ec7f8%7Cf2771843-6636-4969-9010-2d8d0389b89c" TargetMode="External"/><Relationship Id="rId2656" Type="http://schemas.openxmlformats.org/officeDocument/2006/relationships/hyperlink" Target="https://resources.simonelectric.com/simon-ebook-vehiculo-electrico-ppc?utm_source=facebook&amp;utm_medium=social_ads&amp;utm_campaign=vehiculo_electrico&amp;fbclid=IwAR0o9ttKGzttKx08Il7UC5U8ne5PG4PjKC-lQDs_hfJLOhYqGQ2X-t7Qtkk" TargetMode="External"/><Relationship Id="rId3988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mCTBh0TZk2cR3VqrqunIi4hCVOyibZsqM3UorSPw98XzYWKYmx33UalMLTLa7_WwDUdqEe_pVvfXug-bKmDwGtsbgg1vrFDZmlDhGKbymi6UW1iM%26_hsmi%3D81085387" TargetMode="External"/><Relationship Id="rId1326" Type="http://schemas.openxmlformats.org/officeDocument/2006/relationships/hyperlink" Target="https://resources.simonelectric.com/simon-catalogo-vehiculo-electrico?utm_campaign=SIC%20-%20Veh%C3%ADculo%20El%C3%A9ctrico&amp;utm_medium=email&amp;_hsenc=p2ANqtz-9qMUBh6VPmgFObf8nLUFEUibXPH8RSbhGAKsOUvjQ0WBgfmWTaqzzMNKnc4DPjy522ae5p&amp;_hsmi=87085363&amp;utm_content=87085363&amp;utm_source=hs_email&amp;hsCtaTracking=6fedf137-fd90-4f17-bfb4-d61f710ec7f8%7Cf2771843-6636-4969-9010-2d8d0389b89c" TargetMode="External"/><Relationship Id="rId2657" Type="http://schemas.openxmlformats.org/officeDocument/2006/relationships/hyperlink" Target="https://resources.simonelectric.com/simon-ebook-vehiculo-electrico?utm_campaign=%23Simonentucasa&amp;utm_medium=email&amp;_hsenc=p2ANqtz-8dsDxBp_tOjfdB_wsn8uAkNxD7WPC40Mid970kizJchxdTblL1ea7AP-OmBJJ9tDpGssFDAPdDWB7gicF9fvgDJtmd-BqMAvttL0PmPlqcz_NRxPs&amp;_hsmi=85165037&amp;utm_source=hs_email&amp;utm_content=85165037&amp;hsCtaTracking=7e048f91-fedd-4131-939d-25771a4a2d12%7Cf6d6f061-2319-4b5b-89f8-8c89fca06239" TargetMode="External"/><Relationship Id="rId3987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Ojfcsx-aJgBnzM54J9I15wH-lXMuOknFZBTKX5MwLjCv_n2ams0JzCUjkjTjO4sd3WpO_Tv38so5AYPXER-4pggLyYw%26_hsmi%3D81085387" TargetMode="External"/><Relationship Id="rId1327" Type="http://schemas.openxmlformats.org/officeDocument/2006/relationships/hyperlink" Target="https://resources.simonelectric.com/simon-catalogo-vehiculo-electrico?utm_campaign=SIC%20-%20Veh%C3%ADculo%20El%C3%A9ctrico&amp;utm_medium=email&amp;_hsenc=p2ANqtz-_WT9DeRpPeVyxVqsI_a_HIca209ECe6UEOxmAfy2qV8Vcw-AuOwojDl4Iz7EZjPeooDq25&amp;_hsmi=87085302&amp;utm_content=87085302&amp;utm_source=hs_email&amp;hsCtaTracking=6fedf137-fd90-4f17-bfb4-d61f710ec7f8%7Cf2771843-6636-4969-9010-2d8d0389b89c" TargetMode="External"/><Relationship Id="rId2658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9-XqFY1cyqZCO-7T09nq71DH3fLqFUOVWXXrIZuY9QqZJ4tIeFJ3hX1RSbnysoZ4mQI2Eyj6QSRNsVm1kMAJyoGetTFg&amp;_hsmi=71034014" TargetMode="External"/><Relationship Id="rId1328" Type="http://schemas.openxmlformats.org/officeDocument/2006/relationships/hyperlink" Target="https://resources.simonelectric.com/simon-catalogo-vehiculo-electrico?utm_campaign=SIC%20-%20Veh%C3%ADculo%20El%C3%A9ctrico&amp;utm_medium=email&amp;_hsenc=p2ANqtz-_CCO_duLd26Ugvbr2RlbZVjKfwzAWxrxec194LaFv3Qj6I8vh5nlN8aALPk1hcJaHr5-z9&amp;_hsmi=87085363&amp;utm_content=87085363&amp;utm_source=hs_email&amp;hsCtaTracking=6fedf137-fd90-4f17-bfb4-d61f710ec7f8%7Cf2771843-6636-4969-9010-2d8d0389b89c" TargetMode="External"/><Relationship Id="rId265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89" Type="http://schemas.openxmlformats.org/officeDocument/2006/relationships/hyperlink" Target="https://resources.simonelectric.com/simon-ebook-vehiculo-electrico?utm_campaign=SIC%20-%20Veh%C3%ADculo%20El%C3%A9ctrico&amp;utm_medium=email&amp;_hsenc=p2ANqtz-9PrW8A2rAFF3mHTJI5vs6RR2qyVU8ftYSpWVhsUDz9XQCL8PuwCIv2ln0QJOb-kHSp5YLI-FNtfCpOYeikblE6LVK2uA&amp;_hsmi=71033675&amp;utm_source=hs_automation&amp;utm_content=71033675&amp;hsCtaTracking=2e94ebfc-d414-4389-870c-d2f266a9420b%7C587ac4dc-a49a-4bdc-b449-e36f5d95395b" TargetMode="External"/><Relationship Id="rId1329" Type="http://schemas.openxmlformats.org/officeDocument/2006/relationships/hyperlink" Target="https://resources.simonelectric.com/simon-catalogo-vehiculo-electrico?utm_campaign=SIC%20-%20Veh%C3%ADculo%20El%C3%A9ctrico&amp;utm_medium=email&amp;_hsenc=p2ANqtz-9OHBxkVqKr6qNCn8XP2z8G9LilKtLxdHOLKXnezmKMtUv9IFanW6M8DGv8t3uReTJuHJoC&amp;_hsmi=87085302&amp;utm_content=87085302&amp;utm_source=hs_email&amp;hsCtaTracking=6fedf137-fd90-4f17-bfb4-d61f710ec7f8%7Cf2771843-6636-4969-9010-2d8d0389b89c" TargetMode="External"/><Relationship Id="rId739" Type="http://schemas.openxmlformats.org/officeDocument/2006/relationships/hyperlink" Target="https://resources.simonelectric.com/simon-material-formativo-vehiculo-electrico?utm_campaign=SIC%20-%20Veh%C3%ADculo%20El%C3%A9ctrico&amp;utm_medium=email&amp;_hsenc=p2ANqtz-86PnUX3LAP0kiVQZy9zBgCJXxfcx0uMV-wmf638SrU9_1HwJFMPixBWFJGEG6e6nYIjG1hmtRSMVUO4QLzZ0gKJkopfg&amp;_hsmi=88328232&amp;utm_source=hs_email&amp;utm_content=88328407&amp;hsCtaTracking=f8a31ce8-daf1-4d69-a5d6-c3349f3aab91%7C75f9b9fd-a2b2-4ad4-9d4a-0dcb7c99194f" TargetMode="External"/><Relationship Id="rId734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r0kx6nJ7M8gamrXpgNfDIfVAon8pMGUU3YWW9_ybUaIEWYxLBtfI3Hh8ryFiVjO9oSZGVsx-KJD5zjSkdld1uSRATaA&amp;_hsmi=88328232" TargetMode="External"/><Relationship Id="rId733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A51-0SrDgAz3HI37VrApLtG61lYrC-gwKSDvB1Ly8nSgrxV-8k2wQL9F4-iCmp4FU-dGDTafUOGmBMgZR8jhX-EAldVsnB6QZ7g3HZ_oN9s3GvZE&amp;_hsmi=88328232" TargetMode="External"/><Relationship Id="rId732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uCb64dgwso7DEKHwl4wB-tuLsBI631ojVmIKBGP5LwJdWfV0NO1nEYPJ6r2coIC3Di-fMEUONa2jpQcL66NAGVnRz4Q&amp;_hsmi=88328235" TargetMode="External"/><Relationship Id="rId731" Type="http://schemas.openxmlformats.org/officeDocument/2006/relationships/hyperlink" Target="https://resources.simonelectric.com/simon-material-formativo-vehiculo-electrico?utm_campaign=SIC%20-%20Veh%C3%ADculo%20El%C3%A9ctrico&amp;utm_medium=email&amp;_hsenc=p2ANqtz-86Es4GWfIVtsiCEQSblTH5Zte-VU05p2uLu1US-p45TMBRgexf4l2fi9_EJbWvWflmujw4PoxSCiE45ZJJoRWwGO8pvEvOn6mDxEgUkRpZM-D02pI&amp;_hsmi=88328232&amp;utm_source=hs_email&amp;utm_content=88328407&amp;hsCtaTracking=f8a31ce8-daf1-4d69-a5d6-c3349f3aab91%7C75f9b9fd-a2b2-4ad4-9d4a-0dcb7c99194f" TargetMode="External"/><Relationship Id="rId738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-5A3T8FnR4iODKIb0qeAhVg33MESJZzo-uKfYiMDkz2aJDmH9MPCHk3nsUJEyCVkK4fz0toFqJVs6HddZZp3NYR5kGXg&amp;_hsmi=88328232" TargetMode="External"/><Relationship Id="rId737" Type="http://schemas.openxmlformats.org/officeDocument/2006/relationships/hyperlink" Target="https://resources.simonelectric.com/simon-material-formativo-vehiculo-electrico?utm_campaign=SIC%20-%20Veh%C3%ADculo%20El%C3%A9ctrico&amp;utm_medium=email&amp;_hsenc=p2ANqtz-9C8vn6cG_jJhLitkGoUfru1nElYr1N0AC7DjR8IVmBb9ao6FXm3Pla4OxTpMz3kZkJ1q5dbKIE_eXtzkxySzv7_VL8aQ&amp;_hsmi=88328232&amp;utm_source=hs_email&amp;utm_content=88328407&amp;hsCtaTracking=f8a31ce8-daf1-4d69-a5d6-c3349f3aab91%7C75f9b9fd-a2b2-4ad4-9d4a-0dcb7c99194f" TargetMode="External"/><Relationship Id="rId736" Type="http://schemas.openxmlformats.org/officeDocument/2006/relationships/hyperlink" Target="https://resources.simonelectric.com/simon-material-formativo-vehiculo-electrico?utm_campaign=SIC%20-%20Veh%C3%ADculo%20El%C3%A9ctrico&amp;utm_medium=email&amp;_hsenc=p2ANqtz-_Qi7yQJ__LB3EQ72O3pJ8OmKqjPzYtX-B1TDoWNZ6pX6VLFajI5cHs9XIjNy8SisoMsf5G73FnJGvQM98sKCw5yrgcmFzlQnTa1leafi3--9h49dg&amp;_hsmi=88328232&amp;utm_source=hs_email&amp;utm_content=88328407&amp;hsCtaTracking=f8a31ce8-daf1-4d69-a5d6-c3349f3aab91%7C75f9b9fd-a2b2-4ad4-9d4a-0dcb7c99194f" TargetMode="External"/><Relationship Id="rId735" Type="http://schemas.openxmlformats.org/officeDocument/2006/relationships/hyperlink" Target="https://resources.simonelectric.com/simon-material-formativo-vehiculo-electrico?utm_campaign=SIC%20-%20Veh%C3%ADculo%20El%C3%A9ctrico&amp;utm_medium=email&amp;_hsenc=p2ANqtz--3oXTMX1wHvmZfWB1ndzGhpRtDs8WgToyqMzMl3NjNpvTO2UAw68CySvi43sAqeO9PEUzxE-Xt4VbvqmRLNja8meSgFw&amp;_hsmi=88328232&amp;utm_source=hs_email&amp;utm_content=88328407&amp;hsCtaTracking=f8a31ce8-daf1-4d69-a5d6-c3349f3aab91%7C75f9b9fd-a2b2-4ad4-9d4a-0dcb7c99194f" TargetMode="External"/><Relationship Id="rId3980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eSYZTfCsvUUjws9MB-qHpilrc8sFaxdM_4Y__lxn88Q5YhZLV0vLzSrjmRWIUSnCDYhrHEdVM9bQuInQoJY85rG_VKy0bSbVQEZnEeOf8vVZUULw%26_hsmi%3D81085386" TargetMode="External"/><Relationship Id="rId730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Ob8rIIHn9pjaY-om-PPtsnzEVSyldhnTSkAFNz_x8yJ8QfOCE42k7TX6x6BhB-mjbAdtYPQk3Feb3WIa7kXKwLWN4Ng&amp;_hsmi=88328232" TargetMode="External"/><Relationship Id="rId2650" Type="http://schemas.openxmlformats.org/officeDocument/2006/relationships/hyperlink" Target="https://resources.simonelectric.com/simon-ebook-vehiculo-electrico?utm_campaign=SIC%20-%20Veh%C3%ADculo%20El%C3%A9ctrico&amp;utm_medium=email&amp;_hsenc=p2ANqtz-9gGLDD2MTKAMRBgXiEqjkzKoqLDIuuPCNBMUaVWqJmaMJi0Ku3tX7uInPmy6rrBaIJG-0vn-R8KvWlh7iZ7G60MiVqRA&amp;_hsmi=71033675&amp;utm_source=hs_automation&amp;utm_content=71033675&amp;hsCtaTracking=2e94ebfc-d414-4389-870c-d2f266a9420b%7C587ac4dc-a49a-4bdc-b449-e36f5d95395b" TargetMode="External"/><Relationship Id="rId398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320" Type="http://schemas.openxmlformats.org/officeDocument/2006/relationships/hyperlink" Target="https://resources.simonelectric.com/simon-catalogo-vehiculo-electrico?utm_campaign=SIC%20-%20Veh%C3%ADculo%20El%C3%A9ctrico&amp;utm_medium=email&amp;_hsenc=p2ANqtz--M4uP2pngbJdZys-zz3WHyKPMLqdp-W6k6pv9pBL0PVHWieSZ0peP2DZS-_TFBpfPU1SZq&amp;_hsmi=87085363&amp;utm_content=87085363&amp;utm_source=hs_email&amp;hsCtaTracking=6fedf137-fd90-4f17-bfb4-d61f710ec7f8%7Cf2771843-6636-4969-9010-2d8d0389b89c" TargetMode="External"/><Relationship Id="rId2651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%3Futm_campaign%3DSIC%2520-%2520Veh%25C3%25ADculo%2520El%25C3%25A9ctrico%26utm_source%3Dhs_automation%26utm_medium%3Demail%26utm_content%3D71033828%26_hsenc%3Dp2ANqtz-9JSlJIf3Ophs7aytbXuCbRFcTwjFbwLwYRuyf2RXH66AbeukV9vhv6XZztsZnjFI_J9cIVMqjQQ8wia48C6mAM0K4V4A%26_hsmi%3D71033828" TargetMode="External"/><Relationship Id="rId3981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wjaawEo80EUWgaPA7TnIms8lGkJKX50BW-YNqpL-yzCxMEC1fU7FOYNcVVokyqeYfGHB4bolIQhorUaEwjy9cQsxFJcMnzcCAO2w22DVv6T56rOY%26_hsmi%3D81085387" TargetMode="External"/><Relationship Id="rId1321" Type="http://schemas.openxmlformats.org/officeDocument/2006/relationships/hyperlink" Target="https://resources.simonelectric.com/simon-ebook-vehiculo-electrico-0?gclid=EAIaIQobChMItejxopyV6QIVLahRCh1qig74EAEYASAAEgKig_D_BwE" TargetMode="External"/><Relationship Id="rId265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984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VnbNfa0zqUsqT4ytMJwgeSZOilepH_DWCpiwCoSO7qa4mBFJegpP6z1aN-wjAJmNoPQTQohJCHi9llBGeDiI6J58n9g%26_hsmi%3D81085386" TargetMode="External"/><Relationship Id="rId1322" Type="http://schemas.openxmlformats.org/officeDocument/2006/relationships/hyperlink" Target="https://resources.simonelectric.com/simon-catalogo-vehiculo-electrico" TargetMode="External"/><Relationship Id="rId265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983" Type="http://schemas.openxmlformats.org/officeDocument/2006/relationships/hyperlink" Target="https://resources.simonelectric.com/simon-ebook-vehiculo-electrico?utm_referrer=https%3A%2F%2Fwww.simonelectric.com%2Fblog%2Finstalacion-de-un-punto-de-recarga-para-un-coche-electrico%3Futm_medium%3Dppc%26utm_source%3Dtwitterads" TargetMode="External"/><Relationship Id="rId135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687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" TargetMode="External"/><Relationship Id="rId1357" Type="http://schemas.openxmlformats.org/officeDocument/2006/relationships/hyperlink" Target="https://resources.simonelectric.com/simon-ebook-vehiculo-electrico-0?gclid=Cj0KCQjw7qn1BRDqARIsAKMbHDbaioyBuoRAi6TK1jsU_b8C1eZiVPvnOfDgAPUV-OjajSwv9hrBIKcaAr_vEALw_wcB" TargetMode="External"/><Relationship Id="rId2688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1358" Type="http://schemas.openxmlformats.org/officeDocument/2006/relationships/hyperlink" Target="https://resources.simonelectric.com/simon-catalogo-vehiculo-electrico?utm_campaign=SIC%20-%20Veh%C3%ADculo%20El%C3%A9ctrico&amp;utm_medium=email&amp;_hsenc=p2ANqtz-_LBM_BSCQL3_NJa902XeHA1ZpdMKBIxZqgxEohh_j5R4YPKCFrQ1Zn12gAVZeaJmFXpm0q&amp;_hsmi=87085363&amp;utm_content=87085363&amp;utm_source=hs_email&amp;hsCtaTracking=6fedf137-fd90-4f17-bfb4-d61f710ec7f8%7Cf2771843-6636-4969-9010-2d8d0389b89c" TargetMode="External"/><Relationship Id="rId268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359" Type="http://schemas.openxmlformats.org/officeDocument/2006/relationships/hyperlink" Target="https://resources.simonelectric.com/simon-ebook-vehiculo-electrico-ppc?utm_source=facebook&amp;utm_medium=social_ads&amp;utm_campaign=vehiculo_electrico&amp;fbclid=IwAR2F7PrYc4cOLRlWzHOJm2t5ChFfeq5J43xQ4oF36-p1D9owqUqx1Znydqk" TargetMode="External"/><Relationship Id="rId767" Type="http://schemas.openxmlformats.org/officeDocument/2006/relationships/hyperlink" Target="https://resources.simonelectric.com/simon-material-formativo-vehiculo-electrico?utm_campaign=SIC%20-%20Veh%C3%ADculo%20El%C3%A9ctrico&amp;utm_medium=email&amp;_hsenc=p2ANqtz--IqL3vEaJNHZzPHkkTE7Z2qFBAP_trAZER6ylYokIe6lvs7FVF2eboVgSNYnJZ9GrIO7Dxhi-T54erRP8W0qyNb4AsOA&amp;_hsmi=88328232&amp;utm_source=hs_email&amp;utm_content=88328407&amp;hsCtaTracking=f8a31ce8-daf1-4d69-a5d6-c3349f3aab91%7C75f9b9fd-a2b2-4ad4-9d4a-0dcb7c99194f" TargetMode="External"/><Relationship Id="rId766" Type="http://schemas.openxmlformats.org/officeDocument/2006/relationships/hyperlink" Target="https://resources.simonelectric.com/simon-material-formativo-vehiculo-electrico?utm_campaign=SIC%20-%20Veh%C3%ADculo%20El%C3%A9ctrico&amp;utm_medium=email&amp;_hsenc=p2ANqtz-94v0J3Gw053DA8Lyqmv1E5MjCPTxZJZqzwwoVuO7QboPzcyJpt98nmTFQCJU_4opqC_OEPGJAASduIu3Hod7aOVwOg0w&amp;_hsmi=88328232&amp;utm_source=hs_email&amp;utm_content=88328407&amp;hsCtaTracking=f8a31ce8-daf1-4d69-a5d6-c3349f3aab91%7C75f9b9fd-a2b2-4ad4-9d4a-0dcb7c99194f" TargetMode="External"/><Relationship Id="rId765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A8948sxcR15XS-WYahjnO3TnFBMVkIaSfwJSO3iexgG-b3mle53Txt5dYH3xGyqclxUSL5pPrPtUlDB2TXADe819kkw&amp;_hsmi=88328232" TargetMode="External"/><Relationship Id="rId764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-xIvwlRxX_v8LBCh6L9FoKU74HykIKToY8EGugch-HeIV2SpJEobV6ns8jO3d58ofUFVViMPxcc-y4k0OVlgEupoRx1A&amp;_hsmi=88328232" TargetMode="External"/><Relationship Id="rId769" Type="http://schemas.openxmlformats.org/officeDocument/2006/relationships/hyperlink" Target="https://resources.simonelectric.com/simon-material-formativo-vehiculo-electrico?utm_campaign=SIC%20-%20Veh%C3%ADculo%20El%C3%A9ctrico&amp;utm_medium=email&amp;_hsenc=p2ANqtz-95iZgDaDQ7ob2ebTmA_0gqLHgBkzF8AUDiCQ9SoSDa9OOET8r1PWW-nvytN5QBrbFnUJoTu8EGaxtI397XcrYbZV5T2Q&amp;_hsmi=88328232&amp;utm_source=hs_email&amp;utm_content=88328407&amp;hsCtaTracking=f8a31ce8-daf1-4d69-a5d6-c3349f3aab91%7C75f9b9fd-a2b2-4ad4-9d4a-0dcb7c99194f" TargetMode="External"/><Relationship Id="rId768" Type="http://schemas.openxmlformats.org/officeDocument/2006/relationships/hyperlink" Target="https://resources.simonelectric.com/simon-material-formativo-vehiculo-electrico?utm_campaign=SIC%20-%20Veh%C3%ADculo%20El%C3%A9ctrico&amp;utm_medium=email&amp;_hsenc=p2ANqtz-8k4CXEWHzoOAjOMsAvAkkiyIptMsLO9molx-V1hmQPIDz-gD2dr2uMXaOsUMGU-ehVCoABnBzwrPlN-5B6HETHNCiAWw&amp;_hsmi=88328232&amp;utm_source=hs_email&amp;utm_content=88328407&amp;hsCtaTracking=f8a31ce8-daf1-4d69-a5d6-c3349f3aab91%7C75f9b9fd-a2b2-4ad4-9d4a-0dcb7c99194f" TargetMode="External"/><Relationship Id="rId2680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" TargetMode="External"/><Relationship Id="rId135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68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351" Type="http://schemas.openxmlformats.org/officeDocument/2006/relationships/hyperlink" Target="https://resources.simonelectric.com/simon-catalogo-vehiculo-electrico?utm_campaign=SIC%20-%20Veh%C3%ADculo%20El%C3%A9ctrico&amp;utm_medium=email&amp;_hsenc=p2ANqtz-9iuzseoe9K575OrjK5fRIQ1bkK_7nfugI7dNmT6_YZIdHLZgE4erfW76BHu7CJmbeHVA9F&amp;_hsmi=87085302&amp;utm_content=87085302&amp;utm_source=hs_email&amp;hsCtaTracking=6fedf137-fd90-4f17-bfb4-d61f710ec7f8%7Cf2771843-6636-4969-9010-2d8d0389b89c" TargetMode="External"/><Relationship Id="rId2682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763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S8Qi3d6s0fWcDBQC_CZP1_-P3eNQNW3Tl8izjXqXZuv2BKzAQvd4bljsaSY8mmILR2O6CprVrVoGzVwmkyQzPOGaO8CPjEAa2V90odu1yAwtWxeY&amp;_hsmi=88328232" TargetMode="External"/><Relationship Id="rId1352" Type="http://schemas.openxmlformats.org/officeDocument/2006/relationships/hyperlink" Target="https://resources.simonelectric.com/simon-catalogo-vehiculo-electrico?utm_campaign=SIC%20-%20Veh%C3%ADculo%20El%C3%A9ctrico&amp;utm_medium=email&amp;_hsenc=p2ANqtz--WgpagwKDK-6hB16k6SDU7IXW4_c6A_1eWqIy0T_rNgnZTD7YX3KnpPgn24QR-HZt9hFT3&amp;_hsmi=87085363&amp;utm_content=87085363&amp;utm_source=hs_email&amp;hsCtaTracking=6fedf137-fd90-4f17-bfb4-d61f710ec7f8%7Cf2771843-6636-4969-9010-2d8d0389b89c" TargetMode="External"/><Relationship Id="rId2683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" TargetMode="External"/><Relationship Id="rId762" Type="http://schemas.openxmlformats.org/officeDocument/2006/relationships/hyperlink" Target="https://resources.simonelectric.com/simon-material-formativo-vehiculo-electrico?utm_campaign=SIC%20-%20Veh%C3%ADculo%20El%C3%A9ctrico&amp;utm_medium=email&amp;_hsenc=p2ANqtz-8ArdEJpF5XZYIJin7NfzmAZQFpotjNTbosAmOUl5zns7FxqNQfXDhm8Vjqf51hLAp49wyCkNgeDwmbd3ZgPWi_lOZnwQ&amp;_hsmi=88328232&amp;utm_source=hs_email&amp;utm_content=88328407&amp;hsCtaTracking=f8a31ce8-daf1-4d69-a5d6-c3349f3aab91%7C75f9b9fd-a2b2-4ad4-9d4a-0dcb7c99194f" TargetMode="External"/><Relationship Id="rId1353" Type="http://schemas.openxmlformats.org/officeDocument/2006/relationships/hyperlink" Target="https://resources.simonelectric.com/simon-catalogo-vehiculo-electrico?utm_campaign=SIC%20-%20Veh%C3%ADculo%20El%C3%A9ctrico&amp;utm_medium=email&amp;_hsmi=87085363&amp;_hsenc=p2ANqtz-_wlQIwIVLZkKPxRMIIuibs3OyqT8-_cDq02elNuDFoxAEuB_VUymmwem3niUpQCT1KymQv&amp;utm_content=87085363&amp;utm_source=hs_email" TargetMode="External"/><Relationship Id="rId2684" Type="http://schemas.openxmlformats.org/officeDocument/2006/relationships/hyperlink" Target="https://resources.simonelectric.com/simon-ebook-vehiculo-electrico" TargetMode="External"/><Relationship Id="rId761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ZrXP_IEz1skvkaV557bGX8l9apMKyGRFwjDZb91_AJx1lXyLoJaVuHKOE--4Y2fLSyC3q3BxucHrcwxezqcQfSDKJHQ&amp;_hsmi=88328235" TargetMode="External"/><Relationship Id="rId1354" Type="http://schemas.openxmlformats.org/officeDocument/2006/relationships/hyperlink" Target="https://resources.simonelectric.com/simon-catalogo-vehiculo-electrico?utm_campaign=SIC%20-%20Veh%C3%ADculo%20El%C3%A9ctrico&amp;utm_medium=email&amp;_hsmi=87085363&amp;_hsenc=p2ANqtz-8zexU21C9PzwahMhaF4xnP0a0PvJEakASlkAQOSnHbcYortsrEA5wxgfTnpMSoNXTth8rX&amp;utm_content=87085363&amp;utm_source=hs_email" TargetMode="External"/><Relationship Id="rId268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760" Type="http://schemas.openxmlformats.org/officeDocument/2006/relationships/hyperlink" Target="https://resources.simonelectric.com/simon-material-formativo-vehiculo-electrico?utm_campaign=SIC%20-%20Veh%C3%ADculo%20El%C3%A9ctrico&amp;utm_medium=email&amp;_hsenc=p2ANqtz-8b3HwEmuw_TT9T0Xw4K1R6C4F7gVb3FxucVV7o0LH5aKLq59S7yO13ja5pRzDXv1bQ0Fm27BJwGD5TauxSO8eomdjsvw&amp;_hsmi=88328232&amp;utm_source=hs_email&amp;utm_content=88328407&amp;hsCtaTracking=f8a31ce8-daf1-4d69-a5d6-c3349f3aab91%7C75f9b9fd-a2b2-4ad4-9d4a-0dcb7c99194f" TargetMode="External"/><Relationship Id="rId1355" Type="http://schemas.openxmlformats.org/officeDocument/2006/relationships/hyperlink" Target="https://resources.simonelectric.com/simon-catalogo-vehiculo-electrico?utm_campaign=SIC%20-%20Veh%C3%ADculo%20El%C3%A9ctrico&amp;utm_medium=email&amp;_hsenc=p2ANqtz-8ZJFB147bTbA0zLbQLmFb48oE79zfKkgk74kdogu-ppXkqYDeAyDlamqq7UVpBn2NfmOms&amp;_hsmi=87085302&amp;utm_content=87085302&amp;utm_source=hs_email&amp;hsCtaTracking=6fedf137-fd90-4f17-bfb4-d61f710ec7f8%7Cf2771843-6636-4969-9010-2d8d0389b89c" TargetMode="External"/><Relationship Id="rId2686" Type="http://schemas.openxmlformats.org/officeDocument/2006/relationships/hyperlink" Target="https://resources.simonelectric.com/simon-catalogo-vehiculo-electrico?__hstc=83084745.b5eb05f51d8653433daf5f21477faa2f.1587028612294.1587028612294.1587028612294.1&amp;__hssc=83084745.1.1587028612296&amp;__hsfp=2962759236" TargetMode="External"/><Relationship Id="rId1345" Type="http://schemas.openxmlformats.org/officeDocument/2006/relationships/hyperlink" Target="https://resources.simonelectric.com/simon-ebook-vehiculo-electrico?utm_campaign=SIC%20-%20Veh%C3%ADculo%20El%C3%A9ctrico&amp;utm_medium=email&amp;_hsenc=p2ANqtz-8MMcmZOOaEIN3o6I2K-tM7lSfX-S9Vm5fBwX1ENiJopnrdCZulJbrQWxHElNJMD1eM9f4N&amp;_hsmi=71033675&amp;utm_content=71033675&amp;utm_source=hs_automation&amp;hsCtaTracking=2e94ebfc-d414-4389-870c-d2f266a9420b%7C587ac4dc-a49a-4bdc-b449-e36f5d95395b" TargetMode="External"/><Relationship Id="rId2676" Type="http://schemas.openxmlformats.org/officeDocument/2006/relationships/hyperlink" Target="https://resources.simonelectric.com/simon-ebook-vehiculo-electrico?utm_campaign=SIC%20-%20Veh%C3%ADculo%20El%C3%A9ctrico&amp;utm_medium=email&amp;_hsenc=p2ANqtz-_ccXbC4nOKGmTcBVJD4EntJSv46-G9AnyxMwG3tHH4qMeqTxL6-SO9RSR3kWVpA6y6XArV3P0L4BZyuQgjx_JRAKL7f8EDsygCUagLNhlh61KRpD4&amp;_hsmi=71033675&amp;utm_source=hs_automation&amp;utm_content=71033675&amp;hsCtaTracking=2e94ebfc-d414-4389-870c-d2f266a9420b%7C587ac4dc-a49a-4bdc-b449-e36f5d95395b" TargetMode="External"/><Relationship Id="rId1346" Type="http://schemas.openxmlformats.org/officeDocument/2006/relationships/hyperlink" Target="https://resources.simonelectric.com/simon-catalogo-vehiculo-electrico?utm_campaign=SIC%20-%20Veh%C3%ADculo%20El%C3%A9ctrico&amp;utm_medium=email&amp;_hsenc=p2ANqtz-8VL-pDadBlogLaX7HAx9xopbFNu0q5Q0k-BkmiTe3vHZoyzQwSH83jSGF33_0NYMlnWSG4&amp;_hsmi=87085363&amp;utm_content=87085363&amp;utm_source=hs_email&amp;hsCtaTracking=6fedf137-fd90-4f17-bfb4-d61f710ec7f8%7Cf2771843-6636-4969-9010-2d8d0389b89c" TargetMode="External"/><Relationship Id="rId2677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%3Futm_source%3Dlinkedin.com%26utm_medium%3D%255Bsocial%255D%26utm_campaign%3D%255Btimeline%255D" TargetMode="External"/><Relationship Id="rId134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67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348" Type="http://schemas.openxmlformats.org/officeDocument/2006/relationships/hyperlink" Target="https://resources.simonelectric.com/simon-catalogo-vehiculo-electrico" TargetMode="External"/><Relationship Id="rId2679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" TargetMode="External"/><Relationship Id="rId134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756" Type="http://schemas.openxmlformats.org/officeDocument/2006/relationships/hyperlink" Target="https://resources.simonelectric.com/simon-material-formativo-vehiculo-electrico?utm_campaign=SIC%20-%20Veh%C3%ADculo%20El%C3%A9ctrico&amp;utm_medium=email&amp;_hsenc=p2ANqtz-_yGnjKosrRKHySWPHrxH3SKz1KtQdyXuF4jX6PydYqJYkw3rl3avfZdcW1X_1nWRgvrjGPDqV4uoeEMd8xO2BIiqbWgw&amp;_hsmi=88328232&amp;utm_source=hs_email&amp;utm_content=88328407&amp;hsCtaTracking=f8a31ce8-daf1-4d69-a5d6-c3349f3aab91%7C75f9b9fd-a2b2-4ad4-9d4a-0dcb7c99194f" TargetMode="External"/><Relationship Id="rId755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-olQxoMvcpn_HrQAxq9kMxo608IHOqcMvTC40XHlBSIGr3GSFKUOpK5scYHVQSlAhIEiTkzHYo5TdWV8xdrxh7ZnLb9IbHFadE19H3q7aGYqS3R0s&amp;_hsmi=88328232" TargetMode="External"/><Relationship Id="rId754" Type="http://schemas.openxmlformats.org/officeDocument/2006/relationships/hyperlink" Target="https://resources.simonelectric.com/simon-material-formativo-vehiculo-electrico?utm_campaign=SIC%20-%20Veh%C3%ADculo%20El%C3%A9ctrico&amp;utm_medium=email&amp;_hsenc=p2ANqtz--fo69lbztCetv7tg0OdmWxMHw9dQG14w7g7UgpjnNAnTlNMoya-oE3MGZXnUTko6-1rcFcbDaT5Yq_dqqPI_7qyXfvQw&amp;_hsmi=88328232&amp;utm_source=hs_email&amp;utm_content=88328407&amp;hsCtaTracking=f8a31ce8-daf1-4d69-a5d6-c3349f3aab91%7C75f9b9fd-a2b2-4ad4-9d4a-0dcb7c99194f" TargetMode="External"/><Relationship Id="rId753" Type="http://schemas.openxmlformats.org/officeDocument/2006/relationships/hyperlink" Target="https://resources.simonelectric.com/simon-material-formativo-vehiculo-electrico?utm_campaign=SIC%20-%20Veh%C3%ADculo%20El%C3%A9ctrico&amp;utm_medium=email&amp;_hsenc=p2ANqtz--fo69lbztCetv7tg0OdmWxMHw9dQG14w7g7UgpjnNAnTlNMoya-oE3MGZXnUTko6-1rcFcbDaT5Yq_dqqPI_7qyXfvQw&amp;_hsmi=88328232&amp;utm_source=hs_email&amp;utm_content=88328407&amp;hsCtaTracking=f8a31ce8-daf1-4d69-a5d6-c3349f3aab91%7C75f9b9fd-a2b2-4ad4-9d4a-0dcb7c99194f" TargetMode="External"/><Relationship Id="rId759" Type="http://schemas.openxmlformats.org/officeDocument/2006/relationships/hyperlink" Target="https://resources.simonelectric.com/simon-material-formativo-vehiculo-electrico?utm_campaign=SIC%20-%20Veh%C3%ADculo%20El%C3%A9ctrico&amp;utm_medium=email&amp;_hsenc=p2ANqtz-_R3PjVu6aXqbfe4NLCno32WMVgxSF8dOplW9u6Zz0oq74DOGdMIsLfh6v4JlIqz_avUzJlp49p6O8oIlqAEn9-gd_5kw&amp;_hsmi=88328232&amp;utm_source=hs_email&amp;utm_content=88328407&amp;hsCtaTracking=f8a31ce8-daf1-4d69-a5d6-c3349f3aab91%7C75f9b9fd-a2b2-4ad4-9d4a-0dcb7c99194f" TargetMode="External"/><Relationship Id="rId758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An6sJfSUu02TgEYh4ClBlzEtyg9OAvaYFbBAOQWLng0lSAMHbiR0r_THUYiG3fneLmB1A5MkTqYp2htcisvvcTMw5WA&amp;_hsmi=88328232" TargetMode="External"/><Relationship Id="rId757" Type="http://schemas.openxmlformats.org/officeDocument/2006/relationships/hyperlink" Target="https://resources.simonelectric.com/simon-material-formativo-vehiculo-electrico?utm_campaign=SIC%20-%20Veh%C3%ADculo%20El%C3%A9ctrico&amp;utm_medium=email&amp;_hsenc=p2ANqtz-_IFlfab--I8YYxQsbSU8iGg2BDU7TvV2Xcr02xAT-WSEmYFE8wc3gcMoaFjeIDi_4X-R9wcCmSsYXFA4My7yWUERRU5A&amp;_hsmi=88328232&amp;utm_source=hs_email&amp;utm_content=88328407&amp;hsCtaTracking=f8a31ce8-daf1-4d69-a5d6-c3349f3aab91%7C75f9b9fd-a2b2-4ad4-9d4a-0dcb7c99194f" TargetMode="External"/><Relationship Id="rId2670" Type="http://schemas.openxmlformats.org/officeDocument/2006/relationships/hyperlink" Target="https://resources.simonelectric.com/simon-ebook-vehiculo-electrico-ppc?utm_source=facebook&amp;utm_medium=social_ads&amp;utm_campaign=vehiculo_electrico&amp;fbclid=IwAR05yVwj_syVAoKbdyI_tOqZxMo9YsYDwADnUX2ugWKHgj8DK0txApuu0Qc" TargetMode="External"/><Relationship Id="rId1340" Type="http://schemas.openxmlformats.org/officeDocument/2006/relationships/hyperlink" Target="https://resources.simonelectric.com/simon-catalogo-vehiculo-electrico" TargetMode="External"/><Relationship Id="rId2671" Type="http://schemas.openxmlformats.org/officeDocument/2006/relationships/hyperlink" Target="https://resources.simonelectric.com/simon-ebook-vehiculo-electrico?utm_campaign=SIC%20-%20Veh%C3%ADculo%20El%C3%A9ctrico&amp;utm_medium=email&amp;_hsenc=p2ANqtz-_ccXbC4nOKGmTcBVJD4EntJSv46-G9AnyxMwG3tHH4qMeqTxL6-SO9RSR3kWVpA6y6XArV3P0L4BZyuQgjx_JRAKL7f8EDsygCUagLNhlh61KRpD4&amp;_hsmi=71033675&amp;utm_source=hs_automation&amp;utm_content=71033675&amp;hsCtaTracking=2e94ebfc-d414-4389-870c-d2f266a9420b%7C587ac4dc-a49a-4bdc-b449-e36f5d95395b" TargetMode="External"/><Relationship Id="rId752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ESvNBSExWZ_1xzRN6nH1ca8LsXOh9e37OmLNB-vXRMwik-JJtoYhTyeyoHBr1-ntwcS6yhXd7PvomWGQKx-V-FHEh3A&amp;_hsmi=88328232" TargetMode="External"/><Relationship Id="rId1341" Type="http://schemas.openxmlformats.org/officeDocument/2006/relationships/hyperlink" Target="https://resources.simonelectric.com/simon-catalogo-vehiculo-electrico?utm_campaign=SIC%20-%20Veh%C3%ADculo%20El%C3%A9ctrico&amp;utm_medium=email&amp;_hsenc=p2ANqtz--SyVMRgxysR42Z3j3eGMUOMM3RQTfBPBeRYqm73a9kHx62wzMa50p1Czc39Z2uAonZ6OUk&amp;_hsmi=87085363&amp;utm_content=87085363&amp;utm_source=hs_email&amp;hsCtaTracking=6fedf137-fd90-4f17-bfb4-d61f710ec7f8%7Cf2771843-6636-4969-9010-2d8d0389b89c" TargetMode="External"/><Relationship Id="rId2672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%3Futm_source%3Dlinkedin.com%26utm_medium%3D%255Bsocial%255D%26utm_campaign%3D%255Btimeline%255D" TargetMode="External"/><Relationship Id="rId751" Type="http://schemas.openxmlformats.org/officeDocument/2006/relationships/hyperlink" Target="https://resources.simonelectric.com/simon-material-formativo-vehiculo-electrico?utm_campaign=SIC%20-%20Veh%C3%ADculo%20El%C3%A9ctrico&amp;utm_medium=email&amp;_hsenc=p2ANqtz--5vLvbczTAhxQHVbm4EoMK2T9ZAOqb518T9yWZzWA2vnl3O1iesmBnJvFbrAD3d8aPbi_ck_Uw_eLfjk5vynU0QwBAYA&amp;_hsmi=88328232&amp;utm_source=hs_email&amp;utm_content=88328407&amp;hsCtaTracking=f8a31ce8-daf1-4d69-a5d6-c3349f3aab91%7C75f9b9fd-a2b2-4ad4-9d4a-0dcb7c99194f" TargetMode="External"/><Relationship Id="rId1342" Type="http://schemas.openxmlformats.org/officeDocument/2006/relationships/hyperlink" Target="https://resources.simonelectric.com/simon-catalogo-vehiculo-electrico" TargetMode="External"/><Relationship Id="rId267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750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5vMUXPVKF9SjWHGKfbta3HubSzZG6FKkaJNm_elAzy6n4MlC-w21hzL2V-HZxqSP8JBTUMu91BeeTGcxTMdu0fMg5ag&amp;_hsmi=88328232" TargetMode="External"/><Relationship Id="rId1343" Type="http://schemas.openxmlformats.org/officeDocument/2006/relationships/hyperlink" Target="https://resources.simonelectric.com/simon-catalogo-vehiculo-electrico?utm_campaign=SIC%20-%20Veh%C3%ADculo%20El%C3%A9ctrico&amp;utm_medium=email&amp;_hsenc=p2ANqtz-_pldsJGbWIxSt8XiyrxywhRYUNXAUZziXtQOMdgiROWwaEaawgUXp3vMpSRg-MZyGbV3LM&amp;_hsmi=87085302&amp;utm_content=87085302&amp;utm_source=hs_email&amp;hsCtaTracking=6fedf137-fd90-4f17-bfb4-d61f710ec7f8%7Cf2771843-6636-4969-9010-2d8d0389b89c" TargetMode="External"/><Relationship Id="rId267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344" Type="http://schemas.openxmlformats.org/officeDocument/2006/relationships/hyperlink" Target="https://resources.simonelectric.com/simon-catalogo-vehiculo-electrico?utm_campaign=SIC%20-%20Veh%C3%ADculo%20El%C3%A9ctrico&amp;utm_medium=email&amp;_hsenc=p2ANqtz-9uIPnHDXTRBrD7iJyIskq4W0oNLGGF8QBDfXfUEmj4AjZpFJV50w8VUK_5wwK0bhlhiybT&amp;_hsmi=87085363&amp;utm_content=87085363&amp;utm_source=hs_email&amp;hsCtaTracking=6fedf137-fd90-4f17-bfb4-d61f710ec7f8%7Cf2771843-6636-4969-9010-2d8d0389b89c" TargetMode="External"/><Relationship Id="rId2675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9-XqFY1cyqZCO-7T09nq71DH3fLqFUOVWXXrIZuY9QqZJ4tIeFJ3hX1RSbnysoZ4mQI2Eyj6QSRNsVm1kMAJyoGetTFg&amp;_hsmi=71034014" TargetMode="External"/><Relationship Id="rId2621" Type="http://schemas.openxmlformats.org/officeDocument/2006/relationships/hyperlink" Target="https://resources.simonelectric.com/simon-ebook-vehiculo-electrico" TargetMode="External"/><Relationship Id="rId3953" Type="http://schemas.openxmlformats.org/officeDocument/2006/relationships/hyperlink" Target="https://resources.simonelectric.com/simon-ebook-vehiculo-electrico?utm_campaign=SIC%20-%20Veh%C3%ADculo%20El%C3%A9ctrico&amp;utm_medium=email&amp;_hsenc=p2ANqtz-9eqocGKdYLctUBSCyfAJHfa-nQD0cB7ZkT8R76_aCRCxuIiGEfnu48wG9EOqgWCfanE6bZp_JGP_rVEUa4LeP2bTPtHplmVgMCxD5IXKsymONdH-w&amp;_hsmi=71033675&amp;utm_source=hs_automation&amp;utm_content=71033675&amp;hsCtaTracking=2e94ebfc-d414-4389-870c-d2f266a9420b%7C587ac4dc-a49a-4bdc-b449-e36f5d95395b" TargetMode="External"/><Relationship Id="rId2622" Type="http://schemas.openxmlformats.org/officeDocument/2006/relationships/hyperlink" Target="https://resources.simonelectric.com/simon-catalogo-vehiculo-electrico?__hstc=83084745.4946eb9573213222d8c41eac809ea7b3.1587511497122.1587511497122.1587511497122.1&amp;__hssc=83084745.8.1587511497124&amp;__hsfp=1008463" TargetMode="External"/><Relationship Id="rId3952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" TargetMode="External"/><Relationship Id="rId2623" Type="http://schemas.openxmlformats.org/officeDocument/2006/relationships/hyperlink" Target="https://resources.simonelectric.com/simon-ebook-vehiculo-electrico" TargetMode="External"/><Relationship Id="rId3955" Type="http://schemas.openxmlformats.org/officeDocument/2006/relationships/hyperlink" Target="https://resources.simonelectric.com/simon-ebook-vehiculo-electrico?utm_referrer=https%3A%2F%2Fwww.simonelectric.com%2F" TargetMode="External"/><Relationship Id="rId262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954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9Qj4oL56FErXutz-HVSe0kPO3j26TXgYSrh8bg-4Cxsuc8kqCVCQycX0weLu9k2up9nJsueNqeAjqP8zCONUBS0S7aUA&amp;_hsmi=71033675" TargetMode="External"/><Relationship Id="rId262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957" Type="http://schemas.openxmlformats.org/officeDocument/2006/relationships/hyperlink" Target="https://resources.simonelectric.com/simon-catalogo-vehiculo-electrico?__hstc=83084745.22c73eec21c62db005503c9add9af7d2.1554207582614.1578393385798.1578396373653.147&amp;__hssc=83084745.6.1578396373653&amp;__hsfp=166097190" TargetMode="External"/><Relationship Id="rId2626" Type="http://schemas.openxmlformats.org/officeDocument/2006/relationships/hyperlink" Target="https://resources.simonelectric.com/simon-ebook-vehiculo-electrico?utm_campaign=SIC%20-%20Veh%C3%ADculo%20El%C3%A9ctrico&amp;utm_medium=email&amp;_hsenc=p2ANqtz-_8WgdfgDifggbmCWvBmj8hv8FZTfVbb7GUvOuvrrD4UoFBD4FL7hDR7o4nBgOFiMpsesAmdCPJo-74ykE5J_q7YsUkdw&amp;_hsmi=71033675&amp;utm_source=hs_automation&amp;utm_content=71033675&amp;hsCtaTracking=2e94ebfc-d414-4389-870c-d2f266a9420b%7C587ac4dc-a49a-4bdc-b449-e36f5d95395b" TargetMode="External"/><Relationship Id="rId395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627" Type="http://schemas.openxmlformats.org/officeDocument/2006/relationships/hyperlink" Target="https://resources.simonelectric.com/simon-material-formativo-vehiculo-electrico" TargetMode="External"/><Relationship Id="rId395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628" Type="http://schemas.openxmlformats.org/officeDocument/2006/relationships/hyperlink" Target="https://resources.simonelectric.com/simon-material-formativo-vehiculo-electrico" TargetMode="External"/><Relationship Id="rId395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709" Type="http://schemas.openxmlformats.org/officeDocument/2006/relationships/hyperlink" Target="https://resources.simonelectric.com/simon-material-formativo-vehiculo-electrico?utm_campaign=SIC%20-%20Veh%C3%ADculo%20El%C3%A9ctrico&amp;utm_medium=email&amp;_hsenc=p2ANqtz--uWGtdNvW7wCpqEtAyfS3KEUYpaY6m3ZSNUPF9MJIR5wkZWPTCFtY-XmJP1jBJRxuk2hbv6pKNz9hUGdy0Qf1ouRf5J07uaciSNVXJcnk4DF2AdRk&amp;_hsmi=88328232&amp;utm_source=hs_email&amp;utm_content=88328407&amp;hsCtaTracking=f8a31ce8-daf1-4d69-a5d6-c3349f3aab91%7C75f9b9fd-a2b2-4ad4-9d4a-0dcb7c99194f" TargetMode="External"/><Relationship Id="rId262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70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707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" TargetMode="External"/><Relationship Id="rId706" Type="http://schemas.openxmlformats.org/officeDocument/2006/relationships/hyperlink" Target="https://resources.simonelectric.com/simon-ebook-vehiculo-electrico-ppc?utm_source=facebook&amp;utm_medium=social_ads&amp;utm_campaign=vehiculo_electrico&amp;fbclid=IwAR3l-MiirM5aqQxNkQJZ_nzR4q4JmqLgfTlLgSE6Ks-8yx8W94anxVyPxVg" TargetMode="External"/><Relationship Id="rId70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700" Type="http://schemas.openxmlformats.org/officeDocument/2006/relationships/hyperlink" Target="https://resources.simonelectric.com/simon-material-formativo-vehiculo-electrico?utm_campaign=SIC%20-%20Veh%C3%ADculo%20El%C3%A9ctrico&amp;utm_medium=email&amp;_hsenc=p2ANqtz-9lr27fRTus4fTGp3tb9fR8xveAoPOJHu0FXLlqMm80JNrOhxHjdk2vXu9fp2e3mm0-RKUaxDod-oObPjNAxnN1SOS9sg&amp;_hsmi=88328232&amp;utm_source=hs_email&amp;utm_content=88328407&amp;hsCtaTracking=f8a31ce8-daf1-4d69-a5d6-c3349f3aab91%7C75f9b9fd-a2b2-4ad4-9d4a-0dcb7c99194f" TargetMode="External"/><Relationship Id="rId705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4ueM-V8WjkMZJ7pGLkeanbxOsYsfDMRHzmRXIgfhmN9OQrEf2DVbtET8pE7-WADgPljXyZNYbt8GMoMDBtzyMiKRtAw&amp;_hsmi=88328232" TargetMode="External"/><Relationship Id="rId704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E5LHHP1JqL7hqIfjS3qhzTUuAvgdgkPAY6RBU4woh80maHZOb-Mi0AxHfgGimj5Bb_zfUNDFtH4PFJO-dGWk_QFf2Rg&amp;_hsmi=88328232" TargetMode="External"/><Relationship Id="rId703" Type="http://schemas.openxmlformats.org/officeDocument/2006/relationships/hyperlink" Target="https://resources.simonelectric.com/simon-material-formativo-vehiculo-electrico?utm_campaign=SIC%20-%20Veh%C3%ADculo%20El%C3%A9ctrico&amp;utm_medium=email&amp;_hsenc=p2ANqtz-8LaZoKlJL4srW2B6_dNofkJJRxdmCLMt6sw35lOTrrfMwpqlI3RsG_n44A0cUW3ZNNLOuJ7XA8P_dOEdPxJjogjjLHCA&amp;_hsmi=88328236&amp;utm_source=hs_email&amp;utm_content=88328407&amp;hsCtaTracking=f8a31ce8-daf1-4d69-a5d6-c3349f3aab91%7C75f9b9fd-a2b2-4ad4-9d4a-0dcb7c99194f" TargetMode="External"/><Relationship Id="rId702" Type="http://schemas.openxmlformats.org/officeDocument/2006/relationships/hyperlink" Target="https://resources.simonelectric.com/simon-ebook-vehiculo-electrico?utm_campaign=SIC%20-%20Veh%C3%ADculo%20El%C3%A9ctrico&amp;utm_medium=email&amp;_hsenc=p2ANqtz--bWWVxajLJkCEztHOwWKJBlNf1nwWrBLUwquuRlfCA20ce_o2jd0D48f0ghjb6ZWT3qgjsoYulAkSQFKKoTUW0kYxFPw&amp;_hsmi=71033675&amp;utm_source=hs_automation&amp;utm_content=71033675&amp;hsCtaTracking=2e94ebfc-d414-4389-870c-d2f266a9420b%7C587ac4dc-a49a-4bdc-b449-e36f5d95395b" TargetMode="External"/><Relationship Id="rId3951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YFTuxfrJflcmuRGCZQ9A8NjGwpppf34heGnSyHUW5jnr-vHvoMJ7g6N7wybmHwfAnC0nsyNINby1hDhIIVOKSiEDdgA%26_hsmi%3D81085388" TargetMode="External"/><Relationship Id="rId262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95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610" Type="http://schemas.openxmlformats.org/officeDocument/2006/relationships/hyperlink" Target="https://resources.simonelectric.com/simon-ebook-vehiculo-electrico?utm_campaign=SIC%20-%20Veh%C3%ADculo%20El%C3%A9ctrico&amp;utm_medium=email&amp;_hsenc=p2ANqtz-_0cOjZFHzqeTvX6iFqkPDVKTdtA8Xu891B3a6W8jl5NsHC5tWrbm13xwMESAP3kpar4BnFkZL6EdphplchxILMfYax8LXWX-5F89ps3fu2PtXWH1g&amp;_hsmi=71033675&amp;utm_source=hs_automation&amp;utm_content=71033675&amp;hsCtaTracking=2e94ebfc-d414-4389-870c-d2f266a9420b%7C587ac4dc-a49a-4bdc-b449-e36f5d95395b" TargetMode="External"/><Relationship Id="rId394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611" Type="http://schemas.openxmlformats.org/officeDocument/2006/relationships/hyperlink" Target="https://resources.simonelectric.com/simon-material-formativo-vehiculo-electrico" TargetMode="External"/><Relationship Id="rId3941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8gw158dNrAIC0szl7kgU5xI8WT9OO_xCJgXsmOpfCRgImF5a6TNsZPSqqUZ7wXpN-oQdhyQh8GD4r1vJAb1FqiqnX4rA&amp;_hsmi=71033675" TargetMode="External"/><Relationship Id="rId261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94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613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" TargetMode="External"/><Relationship Id="rId3943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61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946" Type="http://schemas.openxmlformats.org/officeDocument/2006/relationships/hyperlink" Target="https://resources.simonelectric.com/simon-catalogo-vehiculo-electrico" TargetMode="External"/><Relationship Id="rId261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45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61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948" Type="http://schemas.openxmlformats.org/officeDocument/2006/relationships/hyperlink" Target="https://resources.simonelectric.com/simon-ebook-vehiculo-electrico" TargetMode="External"/><Relationship Id="rId2617" Type="http://schemas.openxmlformats.org/officeDocument/2006/relationships/hyperlink" Target="https://resources.simonelectric.com/simon-ebook-vehiculo-electrico-ppc?utm_source=facebook&amp;utm_medium=social_ads&amp;utm_campaign=vehiculo_electrico&amp;fbclid=IwAR0-lpbCzWv37uaFVUENP05RCBKfbOKXCTyDCiRgqXm2_6B4_OZys-6qoUE" TargetMode="External"/><Relationship Id="rId3947" Type="http://schemas.openxmlformats.org/officeDocument/2006/relationships/hyperlink" Target="https://resources.simonelectric.com/simon-catalogo-vehiculo-electrico?__hstc=83084745.bf0bfb7ae8c7370a1b3e64936989eb01.1575476676296.1575476676296.1578505016208.2&amp;__hssc=83084745.3.1578505016208&amp;__hsfp=203081590" TargetMode="External"/><Relationship Id="rId2618" Type="http://schemas.openxmlformats.org/officeDocument/2006/relationships/hyperlink" Target="https://resources.simonelectric.com/simon-catalogo-vehiculo-electrico?__hstc=83084745.9379b3125da4e82c88fcc7033d2b17c7.1524723984249.1587026209750.1587543398832.167&amp;__hssc=83084745.6.1587543398832&amp;__hsfp=1008463" TargetMode="External"/><Relationship Id="rId2619" Type="http://schemas.openxmlformats.org/officeDocument/2006/relationships/hyperlink" Target="https://resources.simonelectric.com/simon-ebook-vehiculo-electrico" TargetMode="External"/><Relationship Id="rId394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40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scPBTujNm8cSidlNMBhiwXupvVmIeBu_ojw6PXGNY6L6HIl1iK8a94qORDLZLxZbiQek9KT8UzvygdCLE7-fqFERrvw%26_hsmi%3D81085388" TargetMode="External"/><Relationship Id="rId131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643" Type="http://schemas.openxmlformats.org/officeDocument/2006/relationships/hyperlink" Target="https://resources.simonelectric.com/simon-ebook-vehiculo-electrico" TargetMode="External"/><Relationship Id="rId3975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Ik4z8xsMfnJQ-8RPDJ_vbl69ZxsVjomFzpAoiArI1nLXw7CqZJ1nupiZweSg4-xANsJXFm0uZtG4c951osr6wPYxY_b3qk50-brwe8qM31fmVIH8%26_hsmi%3D81085387" TargetMode="External"/><Relationship Id="rId1313" Type="http://schemas.openxmlformats.org/officeDocument/2006/relationships/hyperlink" Target="https://resources.simonelectric.com/simon-catalogo-vehiculo-electrico?utm_campaign=SIC%20-%20Veh%C3%ADculo%20El%C3%A9ctrico&amp;utm_medium=email&amp;_hsenc=p2ANqtz-8AcqR2Ijy0JlVamfnvaI6zTalqishFi7fqNumCB_R5gT6qK38WjbKitc5ndrmzoadFDk5Q&amp;_hsmi=87085363&amp;utm_content=87085363&amp;utm_source=hs_email&amp;hsCtaTracking=6fedf137-fd90-4f17-bfb4-d61f710ec7f8%7Cf2771843-6636-4969-9010-2d8d0389b89c" TargetMode="External"/><Relationship Id="rId2644" Type="http://schemas.openxmlformats.org/officeDocument/2006/relationships/hyperlink" Target="https://resources.simonelectric.com/simon-catalogo-vehiculo-electrico?__hstc=83084745.7ad5e36ed4a00b0d813023d4c443998e.1581372013151.1585736992985.1587398351697.3&amp;__hssc=83084745.3.1587398351697&amp;__hsfp=159601320" TargetMode="External"/><Relationship Id="rId3974" Type="http://schemas.openxmlformats.org/officeDocument/2006/relationships/hyperlink" Target="https://resources.simonelectric.com/simon-ebook-vehiculo-electrico?utm_campaign=SIC%20-%20Veh%C3%ADculo%20El%C3%A9ctrico&amp;utm_medium=email&amp;_hsenc=p2ANqtz--I3G2YfJICshtJs5Pyn-QCNotCPH_V_WH7vZ8Ck7SplcPIxC9R-I5DTP7AfSyKh4yiFUMv5MbrtEO4TDT1LeJr7-fWKw&amp;_hsmi=71033675&amp;utm_source=hs_automation&amp;utm_content=71033675&amp;hsCtaTracking=2e94ebfc-d414-4389-870c-d2f266a9420b%7C587ac4dc-a49a-4bdc-b449-e36f5d95395b" TargetMode="External"/><Relationship Id="rId1314" Type="http://schemas.openxmlformats.org/officeDocument/2006/relationships/hyperlink" Target="https://resources.simonelectric.com/simon-catalogo-vehiculo-electrico?utm_campaign=SIC%20-%20Veh%C3%ADculo%20El%C3%A9ctrico&amp;utm_medium=email&amp;_hsenc=p2ANqtz-_WnMxa4YOkxOVDLrStrIfq2VnuP9wNVFUAYGqVB5Smywt2wCY14DGtOn4BVB0Q_FvQXjar&amp;_hsmi=87085363&amp;utm_content=87085363&amp;utm_source=hs_email&amp;hsCtaTracking=6fedf137-fd90-4f17-bfb4-d61f710ec7f8%7Cf2771843-6636-4969-9010-2d8d0389b89c" TargetMode="External"/><Relationship Id="rId264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7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315" Type="http://schemas.openxmlformats.org/officeDocument/2006/relationships/hyperlink" Target="https://resources.simonelectric.com/simon-catalogo-vehiculo-electrico?utm_campaign=SIC%20-%20Veh%C3%ADculo%20El%C3%A9ctrico&amp;utm_medium=email&amp;_hsenc=p2ANqtz-_pT1Ucg7FQhuHQTjRu6PIcpIciMgnJxswTvwJsm6PM4roleKkZYisMfjoklOyHehOPAZiT&amp;_hsmi=87085363&amp;utm_content=87085363&amp;utm_source=hs_email&amp;hsCtaTracking=6fedf137-fd90-4f17-bfb4-d61f710ec7f8%7Cf2771843-6636-4969-9010-2d8d0389b89c" TargetMode="External"/><Relationship Id="rId2646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9Z9VAUM8lt1BA8ApdSvTFrFSgdQ60He0r2ZX1pdV_md7VCj5LY_24EiYdvhRth14lsKVjbph0mC5LQmdMM3P5JYRXT5w&amp;_hsmi=71033675" TargetMode="External"/><Relationship Id="rId3976" Type="http://schemas.openxmlformats.org/officeDocument/2006/relationships/hyperlink" Target="https://resources.simonelectric.com/simon-ebook-vehiculo-electrico?utm_referrer=https%3A%2F%2Fwww.simonelectric.com%2Fblog%2Finstalacion-de-un-punto-de-recarga-para-un-coche-electrico" TargetMode="External"/><Relationship Id="rId131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647" Type="http://schemas.openxmlformats.org/officeDocument/2006/relationships/hyperlink" Target="https://resources.simonelectric.com/simon-ebook-vehiculo-electrico?utm_campaign=SIC%20-%20Veh%C3%ADculo%20El%C3%A9ctrico&amp;utm_medium=email&amp;_hsenc=p2ANqtz-9ZaJxszeoPpBv1IPfzRYClObPlyzCDGX2NZzrlCcFEVEmMZyrYMl9WqbSSrkfsJVlHNVlmZibw8gGsA5njpzEc616PlQ&amp;_hsmi=71033675&amp;utm_source=hs_automation&amp;utm_content=71033675&amp;hsCtaTracking=2e94ebfc-d414-4389-870c-d2f266a9420b%7C587ac4dc-a49a-4bdc-b449-e36f5d95395b" TargetMode="External"/><Relationship Id="rId3979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_ko6ItG_uZnExCOJ984GOBADQqp5XCxGSyUjhFwxhW65ZEi9CifzReubKlKg1-6dvQCikR4wu3SGYoUBkgtxk9n5ExZg&amp;_hsmi=71033675" TargetMode="External"/><Relationship Id="rId1317" Type="http://schemas.openxmlformats.org/officeDocument/2006/relationships/hyperlink" Target="https://resources.simonelectric.com/simon-catalogo-vehiculo-electrico?utm_campaign=SIC%20-%20Veh%C3%ADculo%20El%C3%A9ctrico&amp;utm_medium=email&amp;_hsenc=p2ANqtz-8Iz8g45Sjy6eYRVcbDlr8-NYKU6kkVTlHE8YIy4KPrivickJRwqB8G_2LPsYYzzoMdAQ5Y&amp;_hsmi=87085363&amp;utm_content=87085363&amp;utm_source=hs_email&amp;hsCtaTracking=6fedf137-fd90-4f17-bfb4-d61f710ec7f8%7Cf2771843-6636-4969-9010-2d8d0389b89c" TargetMode="External"/><Relationship Id="rId264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97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318" Type="http://schemas.openxmlformats.org/officeDocument/2006/relationships/hyperlink" Target="https://resources.simonelectric.com/simon-catalogo-vehiculo-electrico?utm_campaign=SIC%20-%20Veh%C3%ADculo%20El%C3%A9ctrico&amp;utm_medium=email&amp;_hsenc=p2ANqtz-8qDlf2BIg1BEknVjxM558sS-YgsJyytvhap0doQi6aaH0yuWKYUfUq3nqYRb9tiNanjees&amp;_hsmi=87085363&amp;utm_content=87085363&amp;utm_source=hs_email&amp;hsCtaTracking=6fedf137-fd90-4f17-bfb4-d61f710ec7f8%7Cf2771843-6636-4969-9010-2d8d0389b89c" TargetMode="External"/><Relationship Id="rId2649" Type="http://schemas.openxmlformats.org/officeDocument/2006/relationships/hyperlink" Target="https://resources.simonelectric.com/simon-catalogo-vehiculo-electrico" TargetMode="External"/><Relationship Id="rId131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729" Type="http://schemas.openxmlformats.org/officeDocument/2006/relationships/hyperlink" Target="https://resources.simonelectric.com/simon-material-formativo-vehiculo-electrico?utm_campaign=SIC%20-%20Veh%C3%ADculo%20El%C3%A9ctrico&amp;utm_medium=email&amp;_hsenc=p2ANqtz-9NGSvR0zY_FyiK1toqBUmcv7Op29-ebyLS7anBV4oKwIEb-Qaj4EmURvUzwVCNuUtMEfkZVr7UPPp-D0dDvqCq0kSpECvV2UjAHSdaOAeTM36hTic&amp;_hsmi=88328233&amp;utm_source=hs_email&amp;utm_content=88328407&amp;hsCtaTracking=f8a31ce8-daf1-4d69-a5d6-c3349f3aab91%7C75f9b9fd-a2b2-4ad4-9d4a-0dcb7c99194f" TargetMode="External"/><Relationship Id="rId728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_7c80g9YKjrgB3AYT8f4GKHJDMumIFllz62iIwT8GWHLsz0oTZzNx5TR6kw5Sfh2g8W4L65UcUeQOOp9ehHyVsRpF6bQ&amp;_hsmi=87865495" TargetMode="External"/><Relationship Id="rId723" Type="http://schemas.openxmlformats.org/officeDocument/2006/relationships/hyperlink" Target="https://resources.simonelectric.com/simon-material-formativo-vehiculo-electrico?utm_campaign=SIC%20-%20Veh%C3%ADculo%20El%C3%A9ctrico&amp;utm_medium=email&amp;_hsenc=p2ANqtz-_zq_4wE-Pp7XbVkpK1RkIucr8LydzbDI1I6U723Edb6LbUQXGWyvD_t0OUgMIau6YSnxPZVsJxSCzRu1xnHsieyCtviw&amp;_hsmi=88328232&amp;utm_source=hs_email&amp;utm_content=88328407&amp;hsCtaTracking=f8a31ce8-daf1-4d69-a5d6-c3349f3aab91%7C75f9b9fd-a2b2-4ad4-9d4a-0dcb7c99194f" TargetMode="External"/><Relationship Id="rId722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NrK1_l4Q--xXA6y08vgiIvr6aXvxzYekVDZ2VoOvO4sMZwEIjnruWNbVklt0RvEHDyKW2Vaowz7syAxkzlSYv0NuTzg&amp;_hsmi=88328232" TargetMode="External"/><Relationship Id="rId721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o0koKqCkPYCqywDYMJd8NxBI0_qvXdFvbHEXE-fnP6pTZtqTcG2hm1lEm_fQ4FvhPik5-FOuzXzE-p76sYl5NDsMAKUFXnCAym9CAIjp1j6tNCLg&amp;_hsmi=88328232" TargetMode="External"/><Relationship Id="rId720" Type="http://schemas.openxmlformats.org/officeDocument/2006/relationships/hyperlink" Target="https://resources.simonelectric.com/simon-material-formativo-vehiculo-electrico?utm_campaign=SIC%20-%20Veh%C3%ADculo%20El%C3%A9ctrico&amp;utm_medium=email&amp;_hsenc=p2ANqtz-9RvYssNd8XHlx86S4SY4zUiotWdApkT6AjwjPHu8ibLhUn3gLo160npdcl3zPB-guK4_j9qCk2cVGRwvplVMQ3QNJXPg&amp;_hsmi=88328232&amp;utm_source=hs_email&amp;utm_content=88328407&amp;hsCtaTracking=f8a31ce8-daf1-4d69-a5d6-c3349f3aab91%7C75f9b9fd-a2b2-4ad4-9d4a-0dcb7c99194f" TargetMode="External"/><Relationship Id="rId727" Type="http://schemas.openxmlformats.org/officeDocument/2006/relationships/hyperlink" Target="https://resources.simonelectric.com/simon-material-formativo-vehiculo-electrico?utm_campaign=SIC%20-%20Veh%C3%ADculo%20El%C3%A9ctrico&amp;utm_medium=email&amp;_hsenc=p2ANqtz-8iGXlCa6QBUPv25KeiiHB0iRcqdUt012cKuaXcwrf1c9Hx1LFwm_5doWOeJLNnolSnbNCEIz21j06lqPW6Ugo3GkA5NA&amp;_hsmi=88328233&amp;utm_source=hs_email&amp;utm_content=88328407&amp;hsCtaTracking=f8a31ce8-daf1-4d69-a5d6-c3349f3aab91%7C75f9b9fd-a2b2-4ad4-9d4a-0dcb7c99194f" TargetMode="External"/><Relationship Id="rId72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725" Type="http://schemas.openxmlformats.org/officeDocument/2006/relationships/hyperlink" Target="https://resources.simonelectric.com/simon-material-formativo-vehiculo-electrico?utm_campaign=SIC%20-%20Veh%C3%ADculo%20El%C3%A9ctrico&amp;utm_medium=email&amp;_hsenc=p2ANqtz--2Jx34gwexCLhURybUZC9JUJUmw22By6QhiFiyhbtHobJcrxOPUx1KOawX3RQbJ64hUdEISmfO_mE1q0KUx6vAw_qfHW7FyXH4QbSDE0871Evm72w&amp;_hsmi=88328232&amp;utm_source=hs_email&amp;utm_content=88328407&amp;hsCtaTracking=f8a31ce8-daf1-4d69-a5d6-c3349f3aab91%7C75f9b9fd-a2b2-4ad4-9d4a-0dcb7c99194f" TargetMode="External"/><Relationship Id="rId724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-OAUHKNXDH5AjeRCOz7t3PgYhrmmCKYSU2j4VySOwku5CNAQTPfaGPYppUVjxMNDJM56_TXQbaSp6Bsh3sa6eQbPqqv7U6VptPZjFzd6MZKen9Wqs&amp;_hsmi=88328233" TargetMode="External"/><Relationship Id="rId3971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640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970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96QwUjsoTJb62oB-CNVFv_CIJ9xObBz5YeS4P7ewQXv-ET1Ibo6h0wbMEgGlmrPDWWkCggWA2bAgf-09pU_ldxLcb3OWRqyMj-Mie2LI2V3zGYNaI%26_hsmi%3D81085388" TargetMode="External"/><Relationship Id="rId131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64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973" Type="http://schemas.openxmlformats.org/officeDocument/2006/relationships/hyperlink" Target="https://resources.simonelectric.com/simon-ebook-vehiculo-electrico?utm_campaign=SIC%20-%20Veh%C3%ADculo%20El%C3%A9ctrico&amp;utm_medium=email&amp;_hsenc=p2ANqtz-8w0VRI73dZXsonpYFY20gK8wrEDApQ6qe8tgQHiST9AMEvoJZYbuqYNc-dbGvxzuUszN3HueMEpPjN7vondCSxVwwNgN6u-0_bLM89OWVQVM_UI3g&amp;_hsmi=71033675&amp;utm_source=hs_automation&amp;utm_content=71033675&amp;hsCtaTracking=2e94ebfc-d414-4389-870c-d2f266a9420b%7C587ac4dc-a49a-4bdc-b449-e36f5d95395b" TargetMode="External"/><Relationship Id="rId1311" Type="http://schemas.openxmlformats.org/officeDocument/2006/relationships/hyperlink" Target="https://resources.simonelectric.com/simon-catalogo-vehiculo-electrico?utm_campaign=SIC%20-%20Veh%C3%ADculo%20El%C3%A9ctrico&amp;utm_medium=email&amp;_hsenc=p2ANqtz-9oxGF_acvP0mT03VqWQ9L_oMESeKWrCHOsitZZgp1F7FyMNJpLJFQsEuasEp-1M5jD9lN4&amp;_hsmi=87085363&amp;utm_content=87085363&amp;utm_source=hs_email&amp;hsCtaTracking=6fedf137-fd90-4f17-bfb4-d61f710ec7f8%7Cf2771843-6636-4969-9010-2d8d0389b89c" TargetMode="External"/><Relationship Id="rId264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72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8gMrPzXphp0u1g-jwaU1t8xvlCZ0-02w-owa39pgiuFy-9hkdkAVs5QjMpAiAs8YRZcMIY-StD_4IHMen9RdTFew3Qg%26_hsmi%3D81085386" TargetMode="External"/><Relationship Id="rId130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63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964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uwcAs0J6abWfM9_U9EttMxTNC3KNYcvVAPMYjaQnHT-ATBTKS3jUOb_th7f01GzcjvAZg-D8RErHfS6qjajPUG6oFMg%26_hsmi%3D81085387" TargetMode="External"/><Relationship Id="rId1302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633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" TargetMode="External"/><Relationship Id="rId396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303" Type="http://schemas.openxmlformats.org/officeDocument/2006/relationships/hyperlink" Target="https://resources.simonelectric.com/simon-ebook-vehiculo-electrico-ppc?utm_source=facebook&amp;utm_medium=social_ads&amp;utm_campaign=vehiculo_electrico&amp;fbclid=IwAR0D4o1-HTsVMBOGGaa8bahtnbYfKkUS6lZUrSpzvf4iuFz1t2Jl8n66UIQ" TargetMode="External"/><Relationship Id="rId2634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" TargetMode="External"/><Relationship Id="rId3966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ryR_tQ8X-tq6dngaxHAvoTZGWLBLsiiKO13ZiOCyaq0FC4wy1z43FOvDLgNts8dHQ6obFhHIgOTzH2LMWif_12VTvyw%26_hsmi%3D81085386" TargetMode="External"/><Relationship Id="rId1304" Type="http://schemas.openxmlformats.org/officeDocument/2006/relationships/hyperlink" Target="https://resources.simonelectric.com/simon-ebook-vehiculo-electrico-ppc?utm_source=facebook&amp;utm_medium=social_ads&amp;utm_campaign=vehiculo_electrico&amp;fbclid=IwAR0RpQwBqARAy0MuEJnxIQbEKLnEvzqWBTVH7LkrLIrPEzYC2YmfyN9gZ3o" TargetMode="External"/><Relationship Id="rId263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965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Pxp73IE3odc-7SUaJ4_l6PHysv56OSTlh9rbwPQYrBaUn0LLKOaFC2Dx1Ere_S1XwiTUYOQ4wMSc5aNVUR0zs7t0dWw%26_hsmi%3D81085386" TargetMode="External"/><Relationship Id="rId130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636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" TargetMode="External"/><Relationship Id="rId3968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1n2j2C5OSJg9Jj1tfved38mgcb4QNDl941MO0csu2DJQvwX0WvLMmRkxp4bPM5VtOPHPlgbSWte0rrGeOJQOvXjN_lg%26_hsmi%3D81085388" TargetMode="External"/><Relationship Id="rId130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637" Type="http://schemas.openxmlformats.org/officeDocument/2006/relationships/hyperlink" Target="https://resources.simonelectric.com/simon-ebook-vehiculo-electrico-ppc?utm_source=facebook&amp;utm_medium=social_ads&amp;utm_campaign=vehiculo_electrico&amp;fbclid=IwAR3pt_qlFiBghR4Q0YXr7gzalkC-GA1pzMiny0OwU1ebKc0MsYtXo1Fdo3g" TargetMode="External"/><Relationship Id="rId3967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_RdoOcpMOtd0jen21sisQDXMZXM61MUT_1XkSaSgOhx3kVugEY0-jpLvqCmoFV3Apq25Z3gmJ44FjbNUmf_fQYkOLWng&amp;_hsmi=71033675" TargetMode="External"/><Relationship Id="rId1307" Type="http://schemas.openxmlformats.org/officeDocument/2006/relationships/hyperlink" Target="https://resources.simonelectric.com/simon-catalogo-vehiculo-electrico?utm_campaign=SIC%20-%20Veh%C3%ADculo%20El%C3%A9ctrico&amp;utm_medium=email&amp;_hsenc=p2ANqtz--6RJnzstIXsyoJpPtREUalf3EPzzaQ5TxolI1BJYgQ2qFTUihjWJ4LpXWZ7bFfdc89qIxM&amp;_hsmi=87085363&amp;utm_content=87085363&amp;utm_source=hs_email&amp;hsCtaTracking=6fedf137-fd90-4f17-bfb4-d61f710ec7f8%7Cf2771843-6636-4969-9010-2d8d0389b89c" TargetMode="External"/><Relationship Id="rId2638" Type="http://schemas.openxmlformats.org/officeDocument/2006/relationships/hyperlink" Target="https://resources.simonelectric.com/simon-ebook-vehiculo-electrico-0?gclid=CjwKCAjwkPX0BRBKEiwA7THxiEEkxG_SDOJHinKo7apE1ayAXM8kZ0n6SVJh3VLGwA4a311AjiQG8RoCqKoQAvD_BwE" TargetMode="External"/><Relationship Id="rId1308" Type="http://schemas.openxmlformats.org/officeDocument/2006/relationships/hyperlink" Target="https://resources.simonelectric.com/simon-catalogo-vehiculo-electrico?utm_campaign=SIC%20-%20Veh%C3%ADculo%20El%C3%A9ctrico&amp;utm_medium=email&amp;_hsenc=p2ANqtz-8sHlad5N0DrppVCPpt-eF454fXhT5DGedcTio5PZ8PVsOyKvX1wTyQZZZS18GPPQnMdT8C&amp;_hsmi=87085302&amp;utm_content=87085302&amp;utm_source=hs_email&amp;hsCtaTracking=6fedf137-fd90-4f17-bfb4-d61f710ec7f8%7Cf2771843-6636-4969-9010-2d8d0389b89c" TargetMode="External"/><Relationship Id="rId263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969" Type="http://schemas.openxmlformats.org/officeDocument/2006/relationships/hyperlink" Target="https://resources.simonelectric.com/simon-ebook-vehiculo-electrico?utm_referrer=https%3A%2F%2Fwww.simonelectric.com%2Fblog%2Finstalacion-de-un-punto-de-recarga-para-un-coche-electrico" TargetMode="External"/><Relationship Id="rId130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719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7zIVQR67TbJL679Nd7auqGS6zSUOozPBEJ-HVU5ZiXfRN6TnU29EEXEu2vpARXxGIW9BUn9D65BkuoUMwAgqMVPYElQ&amp;_hsmi=88328232" TargetMode="External"/><Relationship Id="rId718" Type="http://schemas.openxmlformats.org/officeDocument/2006/relationships/hyperlink" Target="https://resources.simonelectric.com/simon-material-formativo-vehiculo-electrico?utm_campaign=SIC%20-%20Veh%C3%ADculo%20El%C3%A9ctrico&amp;utm_medium=email&amp;_hsenc=p2ANqtz-9TJzuaY3LkL3qH1ku6eaQjMTPl-lMnmzhjeBOmFCKdIJb2HCg72TJk4VJoWwU3ljn3Znj6GEymvNkGC-hHZiEpGaHe3emM10zhZRHoQvfJFPs4dEY&amp;_hsmi=88328232&amp;utm_source=hs_email&amp;utm_content=88328407&amp;hsCtaTracking=f8a31ce8-daf1-4d69-a5d6-c3349f3aab91%7C75f9b9fd-a2b2-4ad4-9d4a-0dcb7c99194f" TargetMode="External"/><Relationship Id="rId717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tAA9n0HIVIOgpL7iOFe-spnfB-tjFsrHeq8WZ1chCzIujkM2SRYGnTf_UNnKEI3cJOAe_W5q28M4R7Aq3eg_XCQlmviS0JsorVy9_d836PQ26mYc&amp;_hsmi=88328236" TargetMode="External"/><Relationship Id="rId71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71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710" Type="http://schemas.openxmlformats.org/officeDocument/2006/relationships/hyperlink" Target="https://resources.simonelectric.com/simon-catalogo-vehiculo-electrico?utm_campaign=SIC%20-%20Veh%C3%ADculo%20El%C3%A9ctrico&amp;utm_medium=email&amp;_hsenc=p2ANqtz--k6sijxyr8_uynTMi-k1xjXpPCIDvcbsgHyMXx5AnKGSsKN_3ETfKo3ZWbqfr08cu7PRptrRYKBDV0lLonZgAc6f3m7MAGuelQGJyw4PubqYdGoGc&amp;_hsmi=87865495&amp;utm_source=hs_automation&amp;utm_content=87865495&amp;hsCtaTracking=6fedf137-fd90-4f17-bfb4-d61f710ec7f8%7Cf2771843-6636-4969-9010-2d8d0389b89c" TargetMode="External"/><Relationship Id="rId716" Type="http://schemas.openxmlformats.org/officeDocument/2006/relationships/hyperlink" Target="https://resources.simonelectric.com/simon-material-formativo-vehiculo-electrico?utm_campaign=SIC%20-%20Veh%C3%ADculo%20El%C3%A9ctrico&amp;utm_medium=email&amp;_hsenc=p2ANqtz--Y_uGjGtrpQsoy73JJFVhzkOOVmaplR34Y-x21KGOYtPCK00k5ALo9qdD8QZPlG5_pMcoks721kQcOremhxNdGt_CWxUtoXTTLgT2kSMIylJ3tLSc&amp;_hsmi=88328232&amp;utm_source=hs_email&amp;utm_content=88328407&amp;hsCtaTracking=f8a31ce8-daf1-4d69-a5d6-c3349f3aab91%7C75f9b9fd-a2b2-4ad4-9d4a-0dcb7c99194f" TargetMode="External"/><Relationship Id="rId715" Type="http://schemas.openxmlformats.org/officeDocument/2006/relationships/hyperlink" Target="https://resources.simonelectric.com/simon-material-formativo-vehiculo-electrico?utm_campaign=SIC%20-%20Veh%C3%ADculo%20El%C3%A9ctrico&amp;utm_medium=email&amp;_hsenc=p2ANqtz-8EczCClvakXtdhppS7O15EVDV-_pt0TEFMkVNkFGZGqimtXucc0yDps-GdelqTTlpZbPzGMsQlWz47s1mudeO-yyTm_Q&amp;_hsmi=88328232&amp;utm_source=hs_email&amp;utm_content=88328407&amp;hsCtaTracking=f8a31ce8-daf1-4d69-a5d6-c3349f3aab91%7C75f9b9fd-a2b2-4ad4-9d4a-0dcb7c99194f" TargetMode="External"/><Relationship Id="rId714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jXRQd26QIxI8qie5y8Zbv7UENJ-cOCKemZ3hwR4EiLfd4K2JFQQj50tmsmWsHoqNI3a33BUt-Ilxfqleftk1vqonF_A&amp;_hsmi=88328232" TargetMode="External"/><Relationship Id="rId713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MLm_LU9koEuaWVX6ZCPIj09l-f6yVKtacL2VYIVArrGiOkOTomakLD2VpUOTAB97unPwg7jJjrtKw6oJCKwh-8bFMzw&amp;_hsmi=88328235" TargetMode="External"/><Relationship Id="rId3960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_gvKeIORPY1z3rUN0oI5vu0b0b09kpaqASN5oLESPLCPX4Jwn2ZNl5rI81PejrTOuHk0LbuF9AZHtleMzAtRUa7PPGug%26_hsmi%3D81085386" TargetMode="External"/><Relationship Id="rId2630" Type="http://schemas.openxmlformats.org/officeDocument/2006/relationships/hyperlink" Target="https://resources.simonelectric.com/simon-ebook-vehiculo-electrico?utm_referrer=https%3A%2F%2Fwww.simonelectric.com%2Fvehiculo-electrico%2Faccesorios" TargetMode="External"/><Relationship Id="rId3962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-L-MvPYa_6l8H9KmSeSaWSnaTcBzp1ad29uYdTrI-bMQVjr74bCaumy9I5XwkASRS22SQ6XoYbpDn95kxRvvcZFH5HNg%26_hsmi%3D81085387" TargetMode="External"/><Relationship Id="rId1300" Type="http://schemas.openxmlformats.org/officeDocument/2006/relationships/hyperlink" Target="https://resources.simonelectric.com/simon-catalogo-vehiculo-electrico?utm_campaign=SIC%20-%20Veh%C3%ADculo%20El%C3%A9ctrico&amp;utm_medium=email&amp;_hsenc=p2ANqtz--LGVXlYnW3RWorgY_EPgBn0_S2-QriHTfAR289sLxwjwZurzRkRy1_xJvjMAxTWWSjL8S6&amp;_hsmi=87085363&amp;utm_content=87085363&amp;utm_source=hs_email&amp;hsCtaTracking=6fedf137-fd90-4f17-bfb4-d61f710ec7f8%7Cf2771843-6636-4969-9010-2d8d0389b89c" TargetMode="External"/><Relationship Id="rId263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961" Type="http://schemas.openxmlformats.org/officeDocument/2006/relationships/hyperlink" Target="https://resources.simonelectric.com/simon-ebook-vehiculo-electrico?utm_referrer=https%3A%2F%2Fwww.simonelectric.com%2Fblog%2Finstalacion-de-un-punto-de-recarga-para-un-coche-electrico%3Futm_medium%3Dppc%26utm_source%3Dtwitterads" TargetMode="External"/><Relationship Id="rId3117" Type="http://schemas.openxmlformats.org/officeDocument/2006/relationships/hyperlink" Target="https://resources.simonelectric.com/simon-ebook-vehiculo-electrico?utm_campaign=%23Simonentucasa&amp;utm_medium=email&amp;_hsenc=p2ANqtz--rkkjl_u_flYvhiqo_zYn9ShjdBZH_MZshhYmmkXC4hq6rxjqWC6-p66teaVM3_j3bMqmgwlmQ20OR0l7eAa_5KtnuPg&amp;_hsmi=85165037&amp;utm_source=hs_email&amp;utm_content=85165037&amp;hsCtaTracking=7e048f91-fedd-4131-939d-25771a4a2d12%7Cf6d6f061-2319-4b5b-89f8-8c89fca06239" TargetMode="External"/><Relationship Id="rId3116" Type="http://schemas.openxmlformats.org/officeDocument/2006/relationships/hyperlink" Target="https://resources.simonelectric.com/simon-ebook-vehiculo-electrico?utm_campaign=%23Simonentucasa&amp;utm_medium=email&amp;_hsenc=p2ANqtz-_OqhlHShLPv8Hfy11t0nuwn4ZsjSJdZcLC9MocKahCj4sqRtjxm7IR-s0WXdBQ8ueGeew3aD0ssCGla77TDP2mV6Y8Hw&amp;_hsmi=85165037&amp;utm_source=hs_email&amp;utm_content=85165037&amp;hsCtaTracking=7e048f91-fedd-4131-939d-25771a4a2d12%7Cf6d6f061-2319-4b5b-89f8-8c89fca06239" TargetMode="External"/><Relationship Id="rId3119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lQapw9YUaD0MNVAY7ilBPuBOi3aNynVz503qSfXkOh5JpZpGuNVghtMwSCbtdlJ8UBrxdilaHG6FKUPw1D8CISs2LNA&amp;_hsmi=85165037" TargetMode="External"/><Relationship Id="rId3118" Type="http://schemas.openxmlformats.org/officeDocument/2006/relationships/hyperlink" Target="https://resources.simonelectric.com/simon-ebook-vehiculo-electrico?utm_campaign=%23Simonentucasa&amp;utm_medium=email&amp;_hsenc=p2ANqtz-9nt_XLanKSlLL305MdLhrR1ZWt8-qyA-ltVNZim3xZAhfyJVdIth25dVGqtTTPnTKxldm42_xtCak6fk_NmmnZHADkbA&amp;_hsmi=85165037&amp;utm_source=hs_email&amp;utm_content=85165037&amp;hsCtaTracking=7e048f91-fedd-4131-939d-25771a4a2d12%7Cf6d6f061-2319-4b5b-89f8-8c89fca06239" TargetMode="External"/><Relationship Id="rId3111" Type="http://schemas.openxmlformats.org/officeDocument/2006/relationships/hyperlink" Target="https://resources.simonelectric.com/simon-ebook-vehiculo-electrico?utm_campaign=%23Simonentucasa&amp;utm_medium=email&amp;_hsenc=p2ANqtz-9ncDRJplmCp7EWQ-jZ0-Cs5QWtca3Sy0DmgZrELm7dy3Z3l1SQy28Z1Hjr-i188yen3LbRatBbAH68BpquDGYpfZ_clyf0bkmxh1Dfl9aLHAnByts&amp;_hsmi=85165037&amp;utm_source=hs_email&amp;utm_content=85165037&amp;hsCtaTracking=7e048f91-fedd-4131-939d-25771a4a2d12%7Cf6d6f061-2319-4b5b-89f8-8c89fca06239" TargetMode="External"/><Relationship Id="rId3110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w99hbl75OiFH_38g_6OoZMszBjR81A28tbzPRrQr8obTrDF-HNKOevB_yTfBY2FUfvwORs74MIuuG-yZ3h-ncsk-dvQ&amp;_hsmi=85165037" TargetMode="External"/><Relationship Id="rId3113" Type="http://schemas.openxmlformats.org/officeDocument/2006/relationships/hyperlink" Target="https://resources.simonelectric.com/simon-ebook-vehiculo-electrico?utm_campaign=%23Simonentucasa&amp;utm_medium=email&amp;_hsenc=p2ANqtz-_gX3rXLovW344IbyJVtEeogXsxem8gx8lF8U3kLBrZvixnM_leUlFcKbSOCBUws9cYxHK8rnUcoGsLutRl7C44lv1aAA&amp;_hsmi=85165037&amp;utm_source=hs_email&amp;utm_content=85165037&amp;hsCtaTracking=7e048f91-fedd-4131-939d-25771a4a2d12%7Cf6d6f061-2319-4b5b-89f8-8c89fca06239" TargetMode="External"/><Relationship Id="rId3112" Type="http://schemas.openxmlformats.org/officeDocument/2006/relationships/hyperlink" Target="https://resources.simonelectric.com/simon-ebook-vehiculo-electrico?utm_campaign=%23Simonentucasa&amp;utm_medium=email&amp;_hsenc=p2ANqtz-90zDYSiFPBHIW1JM2hgzgIeDV4M6HfPibgbfCtEq_GdzUH6-eFi5U_P_eLMOIGi-Mj7fXDfS8gYAfkwtFza_liYgzo7yQJmySXCrqG-Tl9m7d--40&amp;_hsmi=85165037&amp;utm_source=hs_email&amp;utm_content=85165037&amp;hsCtaTracking=7e048f91-fedd-4131-939d-25771a4a2d12%7Cf6d6f061-2319-4b5b-89f8-8c89fca06239" TargetMode="External"/><Relationship Id="rId3115" Type="http://schemas.openxmlformats.org/officeDocument/2006/relationships/hyperlink" Target="https://resources.simonelectric.com/simon-ebook-vehiculo-electrico?utm_campaign=%23Simonentucasa&amp;utm_medium=email&amp;_hsenc=p2ANqtz--HlwMJk0zm_Sq-_FzdCS18WlcD1U57cU-FCQa963X3Y24JLw_5layphVYMeFmgRkgIC20wUs2egPZ8K4q13lCC2G-S0u1O5ALiepjlT-i6cP61UE0&amp;_hsmi=85165037&amp;utm_source=hs_email&amp;utm_content=85165037&amp;hsCtaTracking=7e048f91-fedd-4131-939d-25771a4a2d12%7Cf6d6f061-2319-4b5b-89f8-8c89fca06239" TargetMode="External"/><Relationship Id="rId3114" Type="http://schemas.openxmlformats.org/officeDocument/2006/relationships/hyperlink" Target="https://resources.simonelectric.com/simon-ebook-vehiculo-electrico?utm_campaign=%23Simonentucasa&amp;utm_medium=email&amp;_hsenc=p2ANqtz-8J-NulkQrLD76FwYb6pUNHaAXiBp7IzndkcZKbec-qIgpFC7gW5WLU2bfmNW0OX6KPNZCUcCAW_CYVbAJfN934PcLcsw&amp;_hsmi=85165037&amp;utm_source=hs_email&amp;utm_content=85165037&amp;hsCtaTracking=7e048f91-fedd-4131-939d-25771a4a2d12%7Cf6d6f061-2319-4b5b-89f8-8c89fca06239" TargetMode="External"/><Relationship Id="rId3106" Type="http://schemas.openxmlformats.org/officeDocument/2006/relationships/hyperlink" Target="https://resources.simonelectric.com/simon-ebook-vehiculo-electrico?utm_campaign=%23Simonentucasa&amp;utm_medium=email&amp;_hsenc=p2ANqtz-8ZxTBN2DtMiy6KDhqhGZAZP85Jgcm9K7h6BEFIPSrsx-LSQ7539pLlhA9kykviD7ySErOQTiOGGuBsyi3Gfd5tNkItJg&amp;_hsmi=85165037&amp;utm_source=hs_email&amp;utm_content=85165037&amp;hsCtaTracking=7e048f91-fedd-4131-939d-25771a4a2d12%7Cf6d6f061-2319-4b5b-89f8-8c89fca06239" TargetMode="External"/><Relationship Id="rId3105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3a3faEAJvDYlrZOQQO0tuOdCp-_HQCRZBKFKk22ue5kC6QtR027cxj2-w5YQKzNsKX0YEqvuhtNh4A1ZPW638gidMUQ&amp;_hsmi=85165037" TargetMode="External"/><Relationship Id="rId3108" Type="http://schemas.openxmlformats.org/officeDocument/2006/relationships/hyperlink" Target="https://resources.simonelectric.com/simon-ebook-vehiculo-electrico?utm_campaign=%23Simonentucasa&amp;utm_medium=email&amp;_hsenc=p2ANqtz-8xe6TJX6CC3qoYmb4VEQGE3xIgeeXa96RY5jDCtZYeQHU8S5zDFZiAgk09Qc8pGOu-Xwdh4sDaehDhcLCSzIgswKjufw&amp;_hsmi=85165037&amp;utm_source=hs_email&amp;utm_content=85165037&amp;hsCtaTracking=7e048f91-fedd-4131-939d-25771a4a2d12%7Cf6d6f061-2319-4b5b-89f8-8c89fca06239" TargetMode="External"/><Relationship Id="rId3107" Type="http://schemas.openxmlformats.org/officeDocument/2006/relationships/hyperlink" Target="https://resources.simonelectric.com/simon-ebook-vehiculo-electrico?utm_campaign=%23Simonentucasa&amp;utm_medium=email&amp;_hsenc=p2ANqtz-_vvRDBNbe74EkG_b0fcyMZnzS0um8eqXtcBPlNrRvcbjTAc-QhHdqgRGZ3tpUOMlhOybYieHHvx6ct2lLMg6yLPf-duA&amp;_hsmi=85165037&amp;utm_source=hs_email&amp;utm_content=85165037&amp;hsCtaTracking=7e048f91-fedd-4131-939d-25771a4a2d12%7Cf6d6f061-2319-4b5b-89f8-8c89fca06239" TargetMode="External"/><Relationship Id="rId3109" Type="http://schemas.openxmlformats.org/officeDocument/2006/relationships/hyperlink" Target="https://resources.simonelectric.com/simon-ebook-vehiculo-electrico?utm_campaign=%23Simonentucasa&amp;utm_medium=email&amp;_hsenc=p2ANqtz-9EViN1pwutsTiwcINeZu107RBclQkZE1QYHEcKFWfY1A17HhPga83vYf2G6lAlDlAt7QlIhmYFj40jEDq5hq6Ehs3avhBbIR9OAUNKCRbotWA8IHI&amp;_hsmi=85165037&amp;utm_source=hs_email&amp;utm_content=85165037&amp;hsCtaTracking=7e048f91-fedd-4131-939d-25771a4a2d12%7Cf6d6f061-2319-4b5b-89f8-8c89fca06239" TargetMode="External"/><Relationship Id="rId3100" Type="http://schemas.openxmlformats.org/officeDocument/2006/relationships/hyperlink" Target="https://resources.simonelectric.com/simon-ebook-vehiculo-electrico?utm_campaign=%23Simonentucasa&amp;utm_medium=email&amp;_hsenc=p2ANqtz-97HK4KR3JL3G67QRrZgxuwxCTojcjg4VTbAhVCqgD524BbrMu8HH2y3r3BYkwx_c2AI9tnd1RFRB2FbNhfsBJQr7HYlw&amp;_hsmi=85165037&amp;utm_source=hs_email&amp;utm_content=85165037&amp;hsCtaTracking=7e048f91-fedd-4131-939d-25771a4a2d12%7Cf6d6f061-2319-4b5b-89f8-8c89fca06239" TargetMode="External"/><Relationship Id="rId310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101" Type="http://schemas.openxmlformats.org/officeDocument/2006/relationships/hyperlink" Target="https://resources.simonelectric.com/simon-ebook-vehiculo-electrico?utm_campaign=%23Simonentucasa&amp;utm_medium=email&amp;_hsenc=p2ANqtz--G4IoQ2o-KkoopXQunwchKO_9_iUD5aEMo4W7x-0cxeKvkhq46FZOcfd3ADkGgipRjuq75iwCipe_B5rjtKnJKhkEzzw&amp;_hsmi=85165037&amp;utm_source=hs_email&amp;utm_content=85165037&amp;hsCtaTracking=7e048f91-fedd-4131-939d-25771a4a2d12%7Cf6d6f061-2319-4b5b-89f8-8c89fca06239" TargetMode="External"/><Relationship Id="rId3104" Type="http://schemas.openxmlformats.org/officeDocument/2006/relationships/hyperlink" Target="https://resources.simonelectric.com/simon-ebook-vehiculo-electrico?utm_campaign=%23Simonentucasa&amp;utm_medium=email&amp;_hsenc=p2ANqtz-8kg8BU1sORWCPt29-L2R0xCAhXhVIrfWchqnJJ1ZyWtNDGfk99edEnQ9vibdU2AbmCyaEGr9BG3eB7JfYu8My13xryEQ&amp;_hsmi=85165037&amp;utm_source=hs_email&amp;utm_content=85165037&amp;hsCtaTracking=7e048f91-fedd-4131-939d-25771a4a2d12%7Cf6d6f061-2319-4b5b-89f8-8c89fca06239" TargetMode="External"/><Relationship Id="rId3103" Type="http://schemas.openxmlformats.org/officeDocument/2006/relationships/hyperlink" Target="https://resources.simonelectric.com/simon-ebook-vehiculo-electrico?utm_campaign=%23Simonentucasa&amp;utm_medium=email&amp;_hsenc=p2ANqtz-8Qw7XskZGKrDzcVfalfX9uqG6MpVxIK-SPR4qu7hX-A0riWMuY0s74TlBWQU3Zxd6D8e01L8Ppx1kBDgU1Zw7wnHO7lw&amp;_hsmi=85165037&amp;utm_source=hs_email&amp;utm_content=85165037&amp;hsCtaTracking=7e048f91-fedd-4131-939d-25771a4a2d12%7Cf6d6f061-2319-4b5b-89f8-8c89fca06239" TargetMode="External"/><Relationship Id="rId3139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piZ2A9aKWuh_I0kFWWh8jA6ZQxVcvVpKAv7Oz91rnikEIj0QqjFR_W-zXbjSKSH1QNXos09Xl5cWM2oyWMHI6xzY03g&amp;_hsmi=85165037" TargetMode="External"/><Relationship Id="rId3138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8PPpraR5rcn2Y4IE3zmugjy5-0647_EnPTvnXyvJv6N23j0amWkSOMTwA1pQm7Awh4l-GNGivPF6p79Ndbffur5fYayg&amp;_hsmi=85165037" TargetMode="External"/><Relationship Id="rId3131" Type="http://schemas.openxmlformats.org/officeDocument/2006/relationships/hyperlink" Target="https://resources.simonelectric.com/simon-catalogo-vehiculo-electrico?__hstc=83084745.f0407168ad11d7a016869b7c9e5b018d.1585046309479.1585046309479.1585046309479.1&amp;__hssc=83084745.11.1585046309479&amp;__hsfp=4233641954" TargetMode="External"/><Relationship Id="rId3130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syLQQOdpBg9GPDc8AtkSh5GhxuAyc86IYimnXGt69V_aqs4agSotN3OJqL_i1v5JOXDxM4cRDRZ9esBbDEq5TcoBfkg&amp;_hsmi=85165037" TargetMode="External"/><Relationship Id="rId3133" Type="http://schemas.openxmlformats.org/officeDocument/2006/relationships/hyperlink" Target="https://resources.simonelectric.com/simon-ebook-vehiculo-electrico" TargetMode="External"/><Relationship Id="rId3132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9LBIk8xKW2pT4-pjs7x1Ui5UM51jJB7QGzLI4rvJoViYI36VAjhTQRnR1S7XpROAQlE-Mh15DvMsSnXQQQF3rpkVXnGw&amp;_hsmi=85165037" TargetMode="External"/><Relationship Id="rId3135" Type="http://schemas.openxmlformats.org/officeDocument/2006/relationships/hyperlink" Target="https://resources.simonelectric.com/simon-ebook-vehiculo-electrico?utm_campaign=%23Simonentucasa&amp;utm_medium=email&amp;_hsenc=p2ANqtz-_N4hMXpleARCETGkaUMokFnvCzUdj6XTd-1jA26RFcCS9E5WpdBAWykH2y264lJQWzna3R-r9XNI6ipSZr526Erwws8g&amp;_hsmi=85165037&amp;utm_source=hs_email&amp;utm_content=85165037&amp;hsCtaTracking=7e048f91-fedd-4131-939d-25771a4a2d12%7Cf6d6f061-2319-4b5b-89f8-8c89fca06239" TargetMode="External"/><Relationship Id="rId3134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Vy2w2Dco5rhr3EfpuTCzfrxae-eNNTfxbLxiXsOQuzJ-op4234G048vMAQT763TmYOo0-lVX03R35ZdFWwotbGW_UPA&amp;_hsmi=85165037" TargetMode="External"/><Relationship Id="rId3137" Type="http://schemas.openxmlformats.org/officeDocument/2006/relationships/hyperlink" Target="https://resources.simonelectric.com/simon-ebook-vehiculo-electrico?utm_campaign=%23Simonentucasa&amp;utm_medium=email&amp;_hsenc=p2ANqtz-8kAlmAcyByNWbWR3ADtnGs8K97xqYcclNx8QvCCbxCtzjb34a__edjtZx9Hc2N6pvy6i5gPR8chBpf8LX3avbAaGW3ZQ&amp;utm_source=hs_email&amp;utm_content=85165037&amp;hsCtaTracking=7e048f91-fedd-4131-939d-25771a4a2d12%7Cf6d6f061-2319-4b5b-89f8-8c89fca06239" TargetMode="External"/><Relationship Id="rId3136" Type="http://schemas.openxmlformats.org/officeDocument/2006/relationships/hyperlink" Target="https://resources.simonelectric.com/simon-ebook-vehiculo-electrico?utm_campaign=%23Simonentucasa&amp;utm_medium=email&amp;_hsenc=p2ANqtz-8a4XXcP29qt9J9Jf2hLID4zilgWaS5psLmfMHn0VkyHs6MqTperzK9wTMFOoPCQha_hc3K5xUXHoUMYS8aBXuwV2dN0Q&amp;_hsmi=85165037&amp;utm_source=hs_email&amp;utm_content=85165037&amp;hsCtaTracking=7e048f91-fedd-4131-939d-25771a4a2d12%7Cf6d6f061-2319-4b5b-89f8-8c89fca06239" TargetMode="External"/><Relationship Id="rId3128" Type="http://schemas.openxmlformats.org/officeDocument/2006/relationships/hyperlink" Target="https://resources.simonelectric.com/simon-ebook-vehiculo-electrico?utm_campaign=%23Simonentucasa&amp;utm_medium=email&amp;_hsenc=p2ANqtz-9MHKXWeBvFLxE48PjbxeyPYOq5yDs5ZFM_8SkJMyXce3q77VDNJdclSI9lMKb_Vu137MWdk29c7QSCF2R83-J2ndN3eQ&amp;utm_source=hs_email&amp;utm_content=85165037&amp;hsCtaTracking=7e048f91-fedd-4131-939d-25771a4a2d12%7Cf6d6f061-2319-4b5b-89f8-8c89fca06239" TargetMode="External"/><Relationship Id="rId3127" Type="http://schemas.openxmlformats.org/officeDocument/2006/relationships/hyperlink" Target="https://resources.simonelectric.com/simon-ebook-vehiculo-electrico?utm_campaign=%23Simonentucasa&amp;utm_medium=email&amp;_hsenc=p2ANqtz-_ruTp4bQlm4X05NFMXoh5M7dyAxUZDQly0uEd6myJxRqsafJtnAxbzRXWJXW6NdrtGc8gjfY1iD-7psb63s68IzasRRk5FvjUBLcRDS0amm8IyEAw&amp;_hsmi=85165037&amp;utm_source=hs_email&amp;utm_content=85165037&amp;hsCtaTracking=7e048f91-fedd-4131-939d-25771a4a2d12%7Cf6d6f061-2319-4b5b-89f8-8c89fca06239" TargetMode="External"/><Relationship Id="rId3129" Type="http://schemas.openxmlformats.org/officeDocument/2006/relationships/hyperlink" Target="https://resources.simonelectric.com/simon-ebook-vehiculo-electrico?utm_campaign=%23Simonentucasa&amp;utm_medium=email&amp;_hsenc=p2ANqtz-9-E9wGbp9veofkz8lxuOT2HCF_6nq3StNKdilAR7G8LIlg7Zpn60YaTTnWEYQMLpZsMFE2EIGqju77eCEHDQensEPiccGccegrW2DM6BNGs1BLDb8&amp;_hsmi=85165037&amp;utm_source=hs_email&amp;utm_content=85165037&amp;hsCtaTracking=7e048f91-fedd-4131-939d-25771a4a2d12%7Cf6d6f061-2319-4b5b-89f8-8c89fca06239" TargetMode="External"/><Relationship Id="rId3120" Type="http://schemas.openxmlformats.org/officeDocument/2006/relationships/hyperlink" Target="https://resources.simonelectric.com/simon-ebook-vehiculo-electrico?utm_campaign=%23Simonentucasa&amp;utm_medium=email&amp;_hsenc=p2ANqtz-8516FDuTdrEsylZZ7stnTwbzZAIqFNPDMFIg4NH1YI7i8yZGvt8QQ5jYM0Kg_uaIhy5TAVqYkoPfxikh5VVdPIuotWoA&amp;_hsmi=85165037&amp;utm_source=hs_email&amp;utm_content=85165037&amp;hsCtaTracking=7e048f91-fedd-4131-939d-25771a4a2d12%7Cf6d6f061-2319-4b5b-89f8-8c89fca06239" TargetMode="External"/><Relationship Id="rId3122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k-j9YLWp6viO7_tT2BqKihiwPFjTjQuR13XF_GMW_wUjYiNOJ8535W-ppbaI35OXxJ0DcLp_WnoHIEqvDTMmGAj5RaA&amp;_hsmi=85165037" TargetMode="External"/><Relationship Id="rId3121" Type="http://schemas.openxmlformats.org/officeDocument/2006/relationships/hyperlink" Target="https://resources.simonelectric.com/simon-ebook-vehiculo-electrico?utm_campaign=%23Simonentucasa&amp;utm_medium=email&amp;_hsenc=p2ANqtz--4VXC0EgqcsNWAM0VE2z-eo-eCPghNsLgEHDydk3EgT8ta32VDLKkVn3vbqeUk3VeDp57vSSOMf9clBCbdPgIpL8QnhA&amp;_hsmi=85165037&amp;utm_source=hs_email&amp;utm_content=85165037&amp;hsCtaTracking=7e048f91-fedd-4131-939d-25771a4a2d12%7Cf6d6f061-2319-4b5b-89f8-8c89fca06239" TargetMode="External"/><Relationship Id="rId3124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B7_TfL5IN6FzwbTGE6yH_HO4B3iiyCoEk1vyDHIPaXyoX9VpMrvT3lB-4VwQjhHQF1sy9N4SQcejOFJ6ORW22Kkt6oxxJC3xyBKsO2yb-h0cHERY&amp;_hsmi=85165037" TargetMode="External"/><Relationship Id="rId3123" Type="http://schemas.openxmlformats.org/officeDocument/2006/relationships/hyperlink" Target="https://resources.simonelectric.com/simon-ebook-vehiculo-electrico?utm_campaign=%23Simonentucasa&amp;utm_medium=email&amp;_hsenc=p2ANqtz-9joCRNL7Qt_ZLGn2tDQqW-vo0WTcBxc3VhUeBJh6fKLfDIt9AsDQVW7gd3d138ar7Zenw1ajOrDX-1fItZWBOgjLrDIh0jOOxLow_4u5888YZIVm4&amp;_hsmi=85165037&amp;utm_source=hs_email&amp;utm_content=85165037&amp;hsCtaTracking=7e048f91-fedd-4131-939d-25771a4a2d12%7Cf6d6f061-2319-4b5b-89f8-8c89fca06239" TargetMode="External"/><Relationship Id="rId3126" Type="http://schemas.openxmlformats.org/officeDocument/2006/relationships/hyperlink" Target="https://resources.simonelectric.com/simon-ebook-vehiculo-electrico?utm_campaign=%23Simonentucasa&amp;utm_medium=email&amp;_hsenc=p2ANqtz-_MPeIq1ImdyvRYIOtTIQCfWr3v5-Lide9h4o6TChnFp8ZydB4JteheRrOdtEZvVf0MdtKaVw-y4KvOy_LXbr96JCs4F1m1RHGo3CyylxSYqIrNYlo&amp;_hsmi=85165037&amp;utm_source=hs_email&amp;utm_content=85165037&amp;hsCtaTracking=7e048f91-fedd-4131-939d-25771a4a2d12%7Cf6d6f061-2319-4b5b-89f8-8c89fca06239" TargetMode="External"/><Relationship Id="rId3125" Type="http://schemas.openxmlformats.org/officeDocument/2006/relationships/hyperlink" Target="https://resources.simonelectric.com/simon-ebook-vehiculo-electrico?utm_campaign=%23Simonentucasa&amp;utm_medium=email&amp;_hsenc=p2ANqtz-8rLDDhbSpOHeui_9aWpISjcvi7OGqEK5WFYabub93DqeWHyFdjVFy600DGmARGIXIqK6Cwl25f1xqgR-pZywbrCkTwrg&amp;_hsmi=85165037&amp;utm_source=hs_email&amp;utm_content=85165037&amp;hsCtaTracking=7e048f91-fedd-4131-939d-25771a4a2d12%7Cf6d6f061-2319-4b5b-89f8-8c89fca06239" TargetMode="External"/><Relationship Id="rId1378" Type="http://schemas.openxmlformats.org/officeDocument/2006/relationships/hyperlink" Target="https://resources.simonelectric.com/simon-catalogo-vehiculo-electrico?utm_campaign=SIC%20-%20Veh%C3%ADculo%20El%C3%A9ctrico&amp;utm_medium=email&amp;_hsenc=p2ANqtz-9Hr0yvEwPaAXlgZo_lpUG-2DX1w_7ToOolzub0F9gTuZ3_NOo89lwN5V9VVRuyjuwsHKbk&amp;_hsmi=87085363&amp;utm_content=87085363&amp;utm_source=hs_email&amp;hsCtaTracking=6fedf137-fd90-4f17-bfb4-d61f710ec7f8%7Cf2771843-6636-4969-9010-2d8d0389b89c" TargetMode="External"/><Relationship Id="rId1379" Type="http://schemas.openxmlformats.org/officeDocument/2006/relationships/hyperlink" Target="https://resources.simonelectric.com/simon-catalogo-vehiculo-electrico?utm_campaign=SIC%20-%20Veh%C3%ADculo%20El%C3%A9ctrico&amp;utm_medium=email&amp;_hsenc=p2ANqtz-9KNabwSMB07erNzV0vwK40jOiq6UsFbW4vFgbkqhPTYvcXmwSeoifTIKFRLlXoaLRCZcxM&amp;_hsmi=87085363&amp;utm_content=87085363&amp;utm_source=hs_email&amp;hsCtaTracking=6fedf137-fd90-4f17-bfb4-d61f710ec7f8%7Cf2771843-6636-4969-9010-2d8d0389b89c" TargetMode="External"/><Relationship Id="rId789" Type="http://schemas.openxmlformats.org/officeDocument/2006/relationships/hyperlink" Target="https://resources.simonelectric.com/simon-material-formativo-vehiculo-electrico?utm_campaign=SIC%20-%20Veh%C3%ADculo%20El%C3%A9ctrico&amp;utm_medium=email&amp;_hsenc=p2ANqtz-8GtWAyyAM0rx5Z_4ofzA6UrF8pPZbIy85MbLhQ7XIif_VDRiZE2i2OnWdt96qpSei-6H5dGom1e2uUE0Kx07rmk5rRSg&amp;_hsmi=88328235&amp;utm_source=hs_email&amp;utm_content=88328407&amp;hsCtaTracking=f8a31ce8-daf1-4d69-a5d6-c3349f3aab91%7C75f9b9fd-a2b2-4ad4-9d4a-0dcb7c99194f" TargetMode="External"/><Relationship Id="rId788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__aAzYorNvtQnWv8ncuNG3_gveQ9pKkxWkcAy-XXvq2jccEAPKKogGzVfawFtHm6ICu0s_emTtLjW09ZgfPN0FI6C_eRDaeq0unLgviRjQ83x0mg&amp;_hsmi=88328232" TargetMode="External"/><Relationship Id="rId787" Type="http://schemas.openxmlformats.org/officeDocument/2006/relationships/hyperlink" Target="https://resources.simonelectric.com/simon-material-formativo-vehiculo-electrico?utm_campaign=SIC%20-%20Veh%C3%ADculo%20El%C3%A9ctrico&amp;utm_medium=email&amp;_hsenc=p2ANqtz-_RRaSZC5AE5aLZ4P56c5nhniGsb2c9T38QOr-ztpPpHoZSPnSXwmCYzSGnec3xTOr4Vevt3WGiHnZImyxH5T2awOJg7w&amp;_hsmi=88328232&amp;utm_source=hs_email&amp;utm_content=88328407&amp;hsCtaTracking=f8a31ce8-daf1-4d69-a5d6-c3349f3aab91%7C75f9b9fd-a2b2-4ad4-9d4a-0dcb7c99194f" TargetMode="External"/><Relationship Id="rId786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-sdE-B16KyddUrymR6Q_ASC7rteeDyavVrY7cFegzt8Bueu9TzlLmrjYye2VZ5lwBadEvN-OMRzn6srZLVpdwhl03ccQ&amp;_hsmi=88328232" TargetMode="External"/><Relationship Id="rId781" Type="http://schemas.openxmlformats.org/officeDocument/2006/relationships/hyperlink" Target="https://resources.simonelectric.com/simon-material-formativo-vehiculo-electrico?utm_campaign=SIC%20-%20Veh%C3%ADculo%20El%C3%A9ctrico&amp;utm_medium=email&amp;_hsenc=p2ANqtz-9qeaF3DSSQbUPyQ3tyJNQ2oDW92nBArae34Cl6RogKHshAKNTwH7sl9LPPMj1C2-y5Nrcb0LVbCkWappwljTijUXsB7IoNrNvUDqnE3Y9RgdB-KB0&amp;_hsmi=88328232&amp;utm_source=hs_email&amp;utm_content=88328407&amp;hsCtaTracking=f8a31ce8-daf1-4d69-a5d6-c3349f3aab91%7C75f9b9fd-a2b2-4ad4-9d4a-0dcb7c99194f" TargetMode="External"/><Relationship Id="rId1370" Type="http://schemas.openxmlformats.org/officeDocument/2006/relationships/hyperlink" Target="https://resources.simonelectric.com/simon-catalogo-vehiculo-electrico?utm_campaign=SIC%20-%20Veh%C3%ADculo%20El%C3%A9ctrico&amp;utm_medium=email&amp;_hsmi=87085363&amp;_hsenc=p2ANqtz--i_KZShZ1Sujomg3570TZ3uw07fIq3XGhAAqFU4xnmyH_w32uAhHk6pbDmQNfM9N_dtbJ3&amp;utm_content=87085363&amp;utm_source=hs_email" TargetMode="External"/><Relationship Id="rId780" Type="http://schemas.openxmlformats.org/officeDocument/2006/relationships/hyperlink" Target="https://resources.simonelectric.com/simon-material-formativo-vehiculo-electrico?utm_campaign=SIC%20-%20Veh%C3%ADculo%20El%C3%A9ctrico&amp;utm_medium=email&amp;_hsenc=p2ANqtz-88Zh_tOl10cAI4-4176iovvitfs_VIYcENmyfnVAUB-No5LHbqt5RaIdW0LniGBAX2NxkuqkD2QicWDHFfIFzzEggOYA&amp;_hsmi=88328235&amp;utm_source=hs_email&amp;utm_content=88328407&amp;hsCtaTracking=f8a31ce8-daf1-4d69-a5d6-c3349f3aab91%7C75f9b9fd-a2b2-4ad4-9d4a-0dcb7c99194f" TargetMode="External"/><Relationship Id="rId1371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" TargetMode="External"/><Relationship Id="rId1372" Type="http://schemas.openxmlformats.org/officeDocument/2006/relationships/hyperlink" Target="https://resources.simonelectric.com/simon-catalogo-vehiculo-electrico?utm_campaign=SIC%20-%20Veh%C3%ADculo%20El%C3%A9ctrico&amp;utm_medium=email&amp;_hsenc=p2ANqtz-9HLvShv8uxkbI9sFE4Alhgw5wvfb40k2vzxzLEvEUJKpnrqjT42daZnn6T_PdiL8wIIrEU&amp;_hsmi=87085302&amp;utm_content=87085302&amp;utm_source=hs_email&amp;hsCtaTracking=6fedf137-fd90-4f17-bfb4-d61f710ec7f8%7Cf2771843-6636-4969-9010-2d8d0389b89c" TargetMode="External"/><Relationship Id="rId1373" Type="http://schemas.openxmlformats.org/officeDocument/2006/relationships/hyperlink" Target="https://resources.simonelectric.com/simon-catalogo-vehiculo-electrico?utm_campaign=SIC%20-%20Veh%C3%ADculo%20El%C3%A9ctrico&amp;utm_medium=email&amp;_hsenc=p2ANqtz--D6s9jqRAgTVekliEPVw_XcvVQWOPsWxYYGYhrheQ3AQbU0OEFmHtIlixNbHfKz7ecvLvt&amp;_hsmi=87085363&amp;utm_content=87085363&amp;utm_source=hs_email&amp;hsCtaTracking=6fedf137-fd90-4f17-bfb4-d61f710ec7f8%7Cf2771843-6636-4969-9010-2d8d0389b89c" TargetMode="External"/><Relationship Id="rId785" Type="http://schemas.openxmlformats.org/officeDocument/2006/relationships/hyperlink" Target="https://resources.simonelectric.com/simon-material-formativo-vehiculo-electrico?utm_campaign=SIC%20-%20Veh%C3%ADculo%20El%C3%A9ctrico&amp;utm_medium=email&amp;_hsenc=p2ANqtz--sdE-B16KyddUrymR6Q_ASC7rteeDyavVrY7cFegzt8Bueu9TzlLmrjYye2VZ5lwBadEvN-OMRzn6srZLVpdwhl03ccQ&amp;_hsmi=88328232&amp;utm_source=hs_email&amp;utm_content=88328407&amp;hsCtaTracking=f8a31ce8-daf1-4d69-a5d6-c3349f3aab91%7C75f9b9fd-a2b2-4ad4-9d4a-0dcb7c99194f" TargetMode="External"/><Relationship Id="rId1374" Type="http://schemas.openxmlformats.org/officeDocument/2006/relationships/hyperlink" Target="https://resources.simonelectric.com/simon-catalogo-vehiculo-electrico?utm_campaign=SIC%20-%20Veh%C3%ADculo%20El%C3%A9ctrico&amp;utm_medium=email&amp;_hsenc=p2ANqtz-__rooWQTR_uoyuNUPzIqwXycn865PyPA5mcAa5aGKIk3KYW4Yb76pYmUdcILrDAxa9V88S&amp;_hsmi=87085363&amp;utm_content=87085363&amp;utm_source=hs_email&amp;hsCtaTracking=6fedf137-fd90-4f17-bfb4-d61f710ec7f8%7Cf2771843-6636-4969-9010-2d8d0389b89c" TargetMode="External"/><Relationship Id="rId784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eUvk5BganTBwECkAqkctkWypB-j5kiwmwkbOLvOFY_3f3hcnbZBnbn_DrhohasHKJG5UK2RPGY91WbyaJVfnOhuhF-VGJ5LKfXKpb9UpX47QQHQI&amp;_hsmi=88328232" TargetMode="External"/><Relationship Id="rId1375" Type="http://schemas.openxmlformats.org/officeDocument/2006/relationships/hyperlink" Target="https://resources.simonelectric.com/simon-catalogo-vehiculo-electrico?utm_campaign=SIC%20-%20Veh%C3%ADculo%20El%C3%A9ctrico&amp;utm_medium=email&amp;_hsenc=p2ANqtz-_6ho-_46kjNMFejyKIZ7QEu1QXtSReC_tzGULeuZz8yTsgfmcwjsChEVu1bDSVK5D2gdTw&amp;_hsmi=87085302&amp;utm_content=87085302&amp;utm_source=hs_email&amp;hsCtaTracking=6fedf137-fd90-4f17-bfb4-d61f710ec7f8%7Cf2771843-6636-4969-9010-2d8d0389b89c" TargetMode="External"/><Relationship Id="rId783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w6KCzxELSfYwqSsf5tdpcCPgNna5h0b0uXs6y8dx_4tBOcZzptVyY6pKuGUxlAsKkNDIqPfdokkL8OhlDYOkQ_qbH3w&amp;_hsmi=88328232" TargetMode="External"/><Relationship Id="rId1376" Type="http://schemas.openxmlformats.org/officeDocument/2006/relationships/hyperlink" Target="https://resources.simonelectric.com/simon-catalogo-vehiculo-electrico?utm_campaign=SIC%20-%20Veh%C3%ADculo%20El%C3%A9ctrico&amp;utm_medium=email&amp;_hsenc=p2ANqtz--ow_OxAsaVK-Gv_PPFnWFqtjo3wLq724I9ZILmwDwGK-EouQL809TB0AzuN1IGdEDsy0SC&amp;_hsmi=87085363&amp;utm_content=87085363&amp;utm_source=hs_email&amp;hsCtaTracking=6fedf137-fd90-4f17-bfb4-d61f710ec7f8%7Cf2771843-6636-4969-9010-2d8d0389b89c" TargetMode="External"/><Relationship Id="rId782" Type="http://schemas.openxmlformats.org/officeDocument/2006/relationships/hyperlink" Target="https://resources.simonelectric.com/simon-material-formativo-vehiculo-electrico?utm_campaign=SIC%20-%20Veh%C3%ADculo%20El%C3%A9ctrico&amp;utm_medium=email&amp;_hsenc=p2ANqtz-9E2C4vDaXY_jgNXmTqe0csPQ8XrLuPj9UfdJv2Bqs2IQG_WQkVtuYH4dnTPyvHwL3WqRZJABAjrMQYX5wVkem3HDUVQCwpgQfXiluv7uC3iprLFGs&amp;_hsmi=88328235&amp;utm_source=hs_email&amp;utm_content=88328407&amp;hsCtaTracking=f8a31ce8-daf1-4d69-a5d6-c3349f3aab91%7C75f9b9fd-a2b2-4ad4-9d4a-0dcb7c99194f" TargetMode="External"/><Relationship Id="rId1377" Type="http://schemas.openxmlformats.org/officeDocument/2006/relationships/hyperlink" Target="https://resources.simonelectric.com/simon-catalogo-vehiculo-electrico" TargetMode="External"/><Relationship Id="rId1367" Type="http://schemas.openxmlformats.org/officeDocument/2006/relationships/hyperlink" Target="https://resources.simonelectric.com/simon-ebook-vehiculo-electrico" TargetMode="External"/><Relationship Id="rId269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368" Type="http://schemas.openxmlformats.org/officeDocument/2006/relationships/hyperlink" Target="https://resources.simonelectric.com/simon-catalogo-vehiculo-electrico?__hstc=83084745.6f180c2e54119bd47a4c2bb53edab869.1570471383999.1588097319024.1588274496802.45&amp;__hssc=83084745.3.1588274496802&amp;__hsfp=3194165559" TargetMode="External"/><Relationship Id="rId2699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_SDxXl08gDkCqKZFrJlXZkA7hTINZTiVLWPDzGtd2Ji83-bzAEhq5687aP0SFUClnVSv6HP5hVhGLaoEEEuQunanR4Qg&amp;_hsmi=71034014" TargetMode="External"/><Relationship Id="rId1369" Type="http://schemas.openxmlformats.org/officeDocument/2006/relationships/hyperlink" Target="https://resources.simonelectric.com/simon-catalogo-vehiculo-electrico?utm_campaign=SIC%20-%20Veh%C3%ADculo%20El%C3%A9ctrico&amp;utm_medium=email&amp;_hsenc=p2ANqtz--_cNCLnmhiiJKeB9wH5ia8Q4MCQsJE-cneEvBmi4lHjaljf-xhq6nBssHY4aABAGjXhDEj&amp;_hsmi=87085363&amp;utm_content=87085363&amp;utm_source=hs_email&amp;hsCtaTracking=6fedf137-fd90-4f17-bfb4-d61f710ec7f8%7Cf2771843-6636-4969-9010-2d8d0389b89c" TargetMode="External"/><Relationship Id="rId778" Type="http://schemas.openxmlformats.org/officeDocument/2006/relationships/hyperlink" Target="https://resources.simonelectric.com/simon-material-formativo-vehiculo-electrico?utm_campaign=SIC%20-%20Veh%C3%ADculo%20El%C3%A9ctrico&amp;utm_medium=email&amp;_hsenc=p2ANqtz-8QdHFIqHs9GjaC21myI4jb0NdegrGLEInw40SOPcQgy8wcwbXmWRmpuSNTO_5lrZT2jfqPw8PKQw33HNZzxV4KqEU1IWr5pozJJfgtcHy9goMGjy4&amp;_hsmi=88328232&amp;utm_source=hs_email&amp;utm_content=88328407&amp;hsCtaTracking=f8a31ce8-daf1-4d69-a5d6-c3349f3aab91%7C75f9b9fd-a2b2-4ad4-9d4a-0dcb7c99194f" TargetMode="External"/><Relationship Id="rId777" Type="http://schemas.openxmlformats.org/officeDocument/2006/relationships/hyperlink" Target="https://resources.simonelectric.com/simon-material-formativo-vehiculo-electrico?utm_campaign=SIC%20-%20Veh%C3%ADculo%20El%C3%A9ctrico&amp;utm_medium=email&amp;_hsenc=p2ANqtz-9meSJyOY5OFgT3C6pZMLPvAezFYAah_eAQ0UtTBYCkNT7HlsJ46Glhy49BCkDU7jOPsslV6p7PSqlST1V1WyIfGsR7Rw&amp;_hsmi=88328232&amp;utm_source=hs_email&amp;utm_content=88328407&amp;hsCtaTracking=f8a31ce8-daf1-4d69-a5d6-c3349f3aab91%7C75f9b9fd-a2b2-4ad4-9d4a-0dcb7c99194f" TargetMode="External"/><Relationship Id="rId776" Type="http://schemas.openxmlformats.org/officeDocument/2006/relationships/hyperlink" Target="https://resources.simonelectric.com/simon-material-formativo-vehiculo-electrico?utm_campaign=SIC%20-%20Veh%C3%ADculo%20El%C3%A9ctrico&amp;utm_medium=email&amp;_hsenc=p2ANqtz--mLrXGVFn1R9fCvTrGJLDlavOeF3rtnQzb8Lr6HJwxbVIPZFEpERassTOBM3Ie7A4KH2wE450zxAmilzqZ7CXAZUDK6g&amp;_hsmi=88328232&amp;utm_source=hs_email&amp;utm_content=88328407&amp;hsCtaTracking=f8a31ce8-daf1-4d69-a5d6-c3349f3aab91%7C75f9b9fd-a2b2-4ad4-9d4a-0dcb7c99194f" TargetMode="External"/><Relationship Id="rId775" Type="http://schemas.openxmlformats.org/officeDocument/2006/relationships/hyperlink" Target="https://resources.simonelectric.com/simon-material-formativo-vehiculo-electrico?utm_campaign=SIC%20-%20Veh%C3%ADculo%20El%C3%A9ctrico&amp;utm_medium=email&amp;_hsenc=p2ANqtz-84MB_KkdERyFX1N9Gd0pfFT7G3QnDRgG5m_2dktKzpg9stvAF14pwFMl-z6LO9E0BnLCLHVq6i_izTTaqtOeN7msSgng&amp;_hsmi=88328232&amp;utm_source=hs_email&amp;utm_content=88328407&amp;hsCtaTracking=f8a31ce8-daf1-4d69-a5d6-c3349f3aab91%7C75f9b9fd-a2b2-4ad4-9d4a-0dcb7c99194f" TargetMode="External"/><Relationship Id="rId779" Type="http://schemas.openxmlformats.org/officeDocument/2006/relationships/hyperlink" Target="https://resources.simonelectric.com/simon-material-formativo-vehiculo-electrico?utm_campaign=SIC%20-%20Veh%C3%ADculo%20El%C3%A9ctrico&amp;utm_medium=email&amp;_hsenc=p2ANqtz--p7tpV8vukzjo73F66Rbr-eMPIPFU5iNJR9rIRTCkMRlJhXhMfS6EHcM3EhJ3Je9yUJy5kbeK8QYyWTMXlkTctskEuog&amp;_hsmi=88328232&amp;utm_source=hs_email&amp;utm_content=88328407&amp;hsCtaTracking=f8a31ce8-daf1-4d69-a5d6-c3349f3aab91%7C75f9b9fd-a2b2-4ad4-9d4a-0dcb7c99194f" TargetMode="External"/><Relationship Id="rId770" Type="http://schemas.openxmlformats.org/officeDocument/2006/relationships/hyperlink" Target="https://resources.simonelectric.com/simon-material-formativo-vehiculo-electrico?utm_campaign=SIC%20-%20Veh%C3%ADculo%20El%C3%A9ctrico&amp;utm_medium=email&amp;_hsenc=p2ANqtz-83K-jvieOZVhGgHAqNIbEMSD5TXd2TsgeL2WjsdQlvP_mRkantyGnl9NNvS9e3-Jeka3w4JuytVEEolpoOOwaPHWQYHISYXS5utRuC9G2xKg6-G0M&amp;_hsmi=88328232&amp;utm_source=hs_email&amp;utm_content=88328407&amp;hsCtaTracking=f8a31ce8-daf1-4d69-a5d6-c3349f3aab91%7C75f9b9fd-a2b2-4ad4-9d4a-0dcb7c99194f" TargetMode="External"/><Relationship Id="rId2690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360" Type="http://schemas.openxmlformats.org/officeDocument/2006/relationships/hyperlink" Target="https://resources.simonelectric.com/simon-catalogo-vehiculo-electrico?utm_campaign=SIC%20-%20Veh%C3%ADculo%20El%C3%A9ctrico&amp;utm_medium=email&amp;_hsenc=p2ANqtz-_Uagyb6uvqv9VJxEZ7cbB8lSmWoN2K9KSbSQ1RsMOIHU9DhjE_TuTQ8yWTMdAhS1kouvNw&amp;_hsmi=87085363&amp;utm_content=87085363&amp;utm_source=hs_email&amp;hsCtaTracking=6fedf137-fd90-4f17-bfb4-d61f710ec7f8%7Cf2771843-6636-4969-9010-2d8d0389b89c" TargetMode="External"/><Relationship Id="rId2691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9CiFNlpbDXeUU7BAKBT7BtvhP2unuQZlaZt0KVFKfrOLaixLige0F5xYy_dGusN6JBN-Ra5aSVLEdMIzu6Ro04Tef7CrnY8HNnuEywmVcCYlYwPdU%26_hsmi%3D71033828" TargetMode="External"/><Relationship Id="rId1361" Type="http://schemas.openxmlformats.org/officeDocument/2006/relationships/hyperlink" Target="https://resources.simonelectric.com/simon-catalogo-vehiculo-electrico?utm_campaign=SIC%20-%20Veh%C3%ADculo%20El%C3%A9ctrico&amp;utm_medium=email&amp;_hsenc=p2ANqtz-8mXK8NIKjAy8H78Grj7mC-vPMxg4lc71syEnT2Ja04Vb4Pv6ngMwATPbJf97jYxIOpVPdK&amp;_hsmi=87085363&amp;utm_content=87085363&amp;utm_source=hs_email&amp;hsCtaTracking=6fedf137-fd90-4f17-bfb4-d61f710ec7f8%7Cf2771843-6636-4969-9010-2d8d0389b89c" TargetMode="External"/><Relationship Id="rId2692" Type="http://schemas.openxmlformats.org/officeDocument/2006/relationships/hyperlink" Target="https://resources.simonelectric.com/simon-ebook-vehiculo-electrico-0?gclid=EAIaIQobChMI6v6Moqvs6AIVCT4bCh27FgQWEAEYASAAEgK6GfD_BwE" TargetMode="External"/><Relationship Id="rId1362" Type="http://schemas.openxmlformats.org/officeDocument/2006/relationships/hyperlink" Target="https://resources.simonelectric.com/simon-catalogo-vehiculo-electrico?utm_campaign=SIC%20-%20Veh%C3%ADculo%20El%C3%A9ctrico&amp;utm_medium=email&amp;_hsenc=p2ANqtz-9GIAloAptugSPPyBF0oWTDX4ElM2MkJOZipm5-ShpmvIFFtnZCggtznwScbENu02IRmFAG&amp;_hsmi=87085363&amp;utm_content=87085363&amp;utm_source=hs_email&amp;hsCtaTracking=6fedf137-fd90-4f17-bfb4-d61f710ec7f8%7Cf2771843-6636-4969-9010-2d8d0389b89c" TargetMode="External"/><Relationship Id="rId269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774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9NPhrdga5qR8efEo1irci_0QsiOcICumC4NSLGSaLSC0A0jUgC-sGUHeftmbqnkI6x_hOu4DZkn85lMaQQYaKVOfrBg&amp;_hsmi=88328232" TargetMode="External"/><Relationship Id="rId1363" Type="http://schemas.openxmlformats.org/officeDocument/2006/relationships/hyperlink" Target="https://resources.simonelectric.com/simon-catalogo-vehiculo-electrico?utm_campaign=SIC%20-%20Veh%C3%ADculo%20El%C3%A9ctrico&amp;utm_medium=email&amp;_hsenc=p2ANqtz--qaaX0joGyK_Ydx8-CWg6zgwYDSeHAjaZ4506s-91i8d-kIw4EDOMcX8LJqdKbUXF-xNIo&amp;_hsmi=87085363&amp;utm_content=87085363&amp;utm_source=hs_email&amp;hsCtaTracking=6fedf137-fd90-4f17-bfb4-d61f710ec7f8%7Cf2771843-6636-4969-9010-2d8d0389b89c" TargetMode="External"/><Relationship Id="rId2694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773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-enlwp1ecEkHpWqdSe90uh4Aze67nuLc3E0cibxIAcP8S2DD4x-hOKm1sVnuG03JIFLN9LNNwndw9C-NtnlCRobfnPcUfMM6APFqHC7SVa3O2YefE&amp;_hsmi=88328235" TargetMode="External"/><Relationship Id="rId1364" Type="http://schemas.openxmlformats.org/officeDocument/2006/relationships/hyperlink" Target="https://resources.simonelectric.com/simon-catalogo-vehiculo-electrico?utm_campaign=SIC%20-%20Veh%C3%ADculo%20El%C3%A9ctrico&amp;utm_medium=email&amp;_hsenc=p2ANqtz-9yPaUY8MkBE2-krUAUXUPoYx_lhPOhtR8RtD4ZOFhk8E2XDy-i-hfD2PS1O2vPbbnm3Raa&amp;_hsmi=87085363&amp;utm_content=87085363&amp;utm_source=hs_email&amp;hsCtaTracking=6fedf137-fd90-4f17-bfb4-d61f710ec7f8%7Cf2771843-6636-4969-9010-2d8d0389b89c" TargetMode="External"/><Relationship Id="rId2695" Type="http://schemas.openxmlformats.org/officeDocument/2006/relationships/hyperlink" Target="https://resources.simonelectric.com/simon-ebook-vehiculo-electrico?utm_campaign=%23Simonentucasa&amp;utm_medium=email&amp;_hsenc=p2ANqtz-9Gy_MEBxZObBer479zBdERvyCWxLAcAYPQGGV1GjPGiM2hjh540P7Z1TG0F3PrwVgXwzRlDlhN3hWbemZB9i0HztqjJA&amp;_hsmi=85165037&amp;utm_source=hs_email&amp;utm_content=85165037&amp;hsCtaTracking=7e048f91-fedd-4131-939d-25771a4a2d12%7Cf6d6f061-2319-4b5b-89f8-8c89fca06239" TargetMode="External"/><Relationship Id="rId772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P3cnPJmkAiwaRPrBRp9mtj6EA-kDXQVSObPONhsa-vZKPnO7_lVSfaT5B-4m_X3kn97z4Y5ZS6IWajnEKkInnSLB8dA&amp;_hsmi=88328235" TargetMode="External"/><Relationship Id="rId1365" Type="http://schemas.openxmlformats.org/officeDocument/2006/relationships/hyperlink" Target="https://resources.simonelectric.com/simon-catalogo-vehiculo-electrico?utm_campaign=SIC%20-%20Veh%C3%ADculo%20El%C3%A9ctrico&amp;utm_medium=email&amp;_hsenc=p2ANqtz-9LkNNimLXdXnEswTv6Rg6ntuqtGMNFpTBCGfuZ6BkD2so0qz0aZRTe3ULX-H3L2HEMjwn5&amp;_hsmi=87085363&amp;utm_content=87085363&amp;utm_source=hs_email&amp;hsCtaTracking=6fedf137-fd90-4f17-bfb4-d61f710ec7f8%7Cf2771843-6636-4969-9010-2d8d0389b89c" TargetMode="External"/><Relationship Id="rId2696" Type="http://schemas.openxmlformats.org/officeDocument/2006/relationships/hyperlink" Target="https://resources.simonelectric.com/simon-ebook-vehiculo-electrico" TargetMode="External"/><Relationship Id="rId771" Type="http://schemas.openxmlformats.org/officeDocument/2006/relationships/hyperlink" Target="https://resources.simonelectric.com/simon-material-formativo-vehiculo-electrico?utm_campaign=SIC%20-%20Veh%C3%ADculo%20El%C3%A9ctrico&amp;utm_medium=email&amp;_hsenc=p2ANqtz-9bRlA__vNNDhAXWisy9FwcLHxbSoFqcFd4BFmvgWeaHb7xfpvxy_JK3nLW9Gc2Ta1gkRECZGcCUX2mM8iBlIvoSOYnvA&amp;_hsmi=88328235&amp;utm_source=hs_email&amp;utm_content=88328407&amp;hsCtaTracking=f8a31ce8-daf1-4d69-a5d6-c3349f3aab91%7C75f9b9fd-a2b2-4ad4-9d4a-0dcb7c99194f" TargetMode="External"/><Relationship Id="rId136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69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390" Type="http://schemas.openxmlformats.org/officeDocument/2006/relationships/hyperlink" Target="https://resources.simonelectric.com/simon-catalogo-vehiculo-electrico?utm_campaign=SIC%20-%20Veh%C3%ADculo%20El%C3%A9ctrico&amp;utm_medium=email&amp;_hsenc=p2ANqtz-_A2-X7-B4qgITqA6KDfC2RrsTTSbQ6VGRoyrzs_74PLklRLkkfNp_YESdlCuBq8xe996WS&amp;_hsmi=87085363&amp;utm_content=87085363&amp;utm_source=hs_email&amp;hsCtaTracking=6fedf137-fd90-4f17-bfb4-d61f710ec7f8%7Cf2771843-6636-4969-9010-2d8d0389b89c" TargetMode="External"/><Relationship Id="rId139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392" Type="http://schemas.openxmlformats.org/officeDocument/2006/relationships/hyperlink" Target="https://resources.simonelectric.com/simon-catalogo-vehiculo-electrico?utm_campaign=SIC%20-%20Veh%C3%ADculo%20El%C3%A9ctrico&amp;utm_medium=email&amp;_hsenc=p2ANqtz-_yhtzKDV2wk9qcuic3Lxn2mF7joFUQhR7coCcQex4cF90JUuf57LlwjmaJONr3ObPzqxms&amp;_hsmi=87085363&amp;utm_content=87085363&amp;utm_source=hs_email&amp;hsCtaTracking=6fedf137-fd90-4f17-bfb4-d61f710ec7f8%7Cf2771843-6636-4969-9010-2d8d0389b89c" TargetMode="External"/><Relationship Id="rId1393" Type="http://schemas.openxmlformats.org/officeDocument/2006/relationships/hyperlink" Target="https://resources.simonelectric.com/simon-catalogo-vehiculo-electrico?utm_campaign=SIC%20-%20Veh%C3%ADculo%20El%C3%A9ctrico&amp;utm_medium=email&amp;_hsenc=p2ANqtz-_R18L5stUf88C5XoHfIDk5KsSN4ockMAcVM3U4OjVdGlxPnu-AgJYLOsHz0lbzvP_SI2lK&amp;_hsmi=87085363&amp;utm_content=87085363&amp;utm_source=hs_email&amp;hsCtaTracking=6fedf137-fd90-4f17-bfb4-d61f710ec7f8%7Cf2771843-6636-4969-9010-2d8d0389b89c" TargetMode="External"/><Relationship Id="rId1394" Type="http://schemas.openxmlformats.org/officeDocument/2006/relationships/hyperlink" Target="https://resources.simonelectric.com/simon-catalogo-vehiculo-electrico?utm_campaign=SIC%20-%20Veh%C3%ADculo%20El%C3%A9ctrico&amp;utm_medium=email&amp;_hsenc=p2ANqtz--PuTcP5XulZRlKjShEiF3SNHKZv1aHaRDAy7x4WxQRVXxEpooHL3vg-uD6aZcjzy3vGSpc&amp;_hsmi=87085363&amp;utm_content=87085363&amp;utm_source=hs_email&amp;hsCtaTracking=6fedf137-fd90-4f17-bfb4-d61f710ec7f8%7Cf2771843-6636-4969-9010-2d8d0389b89c" TargetMode="External"/><Relationship Id="rId1395" Type="http://schemas.openxmlformats.org/officeDocument/2006/relationships/hyperlink" Target="https://resources.simonelectric.com/simon-catalogo-vehiculo-electrico?utm_campaign=SIC%20-%20Veh%C3%ADculo%20El%C3%A9ctrico&amp;utm_medium=email&amp;_hsenc=p2ANqtz-8xk5qzuCoh_hnabwUoETCU9r9h3j0iXTnpz2lwrYZKHvG-xJplbRVzBapqFTkSbV5ZfahL&amp;_hsmi=87085363&amp;utm_content=87085363&amp;utm_source=hs_email&amp;hsCtaTracking=6fedf137-fd90-4f17-bfb4-d61f710ec7f8%7Cf2771843-6636-4969-9010-2d8d0389b89c" TargetMode="External"/><Relationship Id="rId1396" Type="http://schemas.openxmlformats.org/officeDocument/2006/relationships/hyperlink" Target="https://resources.simonelectric.com/simon-catalogo-vehiculo-electrico?utm_campaign=SIC%20-%20Veh%C3%ADculo%20El%C3%A9ctrico&amp;utm_medium=email&amp;_hsenc=p2ANqtz-_44L7TyX3EqYTx-iCBSe9K4rtGkQMAl1yA49tn0098I8BPbSprm8hF_LG3lVc2MIWs7Xd9&amp;_hsmi=87085363&amp;utm_content=87085363&amp;utm_source=hs_email&amp;hsCtaTracking=6fedf137-fd90-4f17-bfb4-d61f710ec7f8%7Cf2771843-6636-4969-9010-2d8d0389b89c" TargetMode="External"/><Relationship Id="rId1397" Type="http://schemas.openxmlformats.org/officeDocument/2006/relationships/hyperlink" Target="https://resources.simonelectric.com/simon-catalogo-vehiculo-electrico?utm_campaign=SIC%20-%20Veh%C3%ADculo%20El%C3%A9ctrico&amp;utm_medium=email&amp;_hsenc=p2ANqtz-_Cd5kg25kX6srT059MqcAsUOzlDKbZOSTKyhs3Z6T8-mhm3ptKAnP2Ix828azr0fGHcy2A&amp;_hsmi=87085363&amp;utm_content=87085363&amp;utm_source=hs_email&amp;hsCtaTracking=6fedf137-fd90-4f17-bfb4-d61f710ec7f8%7Cf2771843-6636-4969-9010-2d8d0389b89c" TargetMode="External"/><Relationship Id="rId139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399" Type="http://schemas.openxmlformats.org/officeDocument/2006/relationships/hyperlink" Target="https://resources.simonelectric.com/simon-catalogo-vehiculo-electrico?utm_campaign=SIC%20-%20Veh%C3%ADculo%20El%C3%A9ctrico&amp;utm_medium=email&amp;_hsenc=p2ANqtz-9H3lu3eDQPRggr9N13IoRbBYB-hEDB6ct7EEjGi432rqVWLuZab06bIlFZ7AKI4e8oIOff&amp;_hsmi=87085302&amp;utm_content=87085302&amp;utm_source=hs_email&amp;hsCtaTracking=6fedf137-fd90-4f17-bfb4-d61f710ec7f8%7Cf2771843-6636-4969-9010-2d8d0389b89c" TargetMode="External"/><Relationship Id="rId1389" Type="http://schemas.openxmlformats.org/officeDocument/2006/relationships/hyperlink" Target="https://resources.simonelectric.com/simon-ebook-vehiculo-electrico-ppc?utm_source=facebook&amp;utm_medium=social_ads&amp;utm_campaign=vehiculo_electrico&amp;fbclid=IwAR13EpK0rU3MAC75OD5WRAaLcQJD6jCHszEasM3LVnR8wGsbPlOXbZ-tOzc" TargetMode="External"/><Relationship Id="rId799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JJ1yWC2F9__p9PCOATS6bKdjMWbNFHJJMnSYTEOnZeZR2QZ371byqQxOqhddW0rz8-uIIwBmbCwiohd_rYk_EJylN8sgIlhCpgFXed-GnEysMcr0&amp;_hsmi=88328232" TargetMode="External"/><Relationship Id="rId798" Type="http://schemas.openxmlformats.org/officeDocument/2006/relationships/hyperlink" Target="https://resources.simonelectric.com/simon-material-formativo-vehiculo-electrico?utm_campaign=SIC%20-%20Veh%C3%ADculo%20El%C3%A9ctrico&amp;utm_medium=email&amp;_hsenc=p2ANqtz--Rw9aa1qv5xnwpYjtaGk3_BzM6NZ3LxfVYTyOdqd-sknp4XAQhlcZTQCM91PMbVqiWOXmBTjFY3LclM84ca3qgRvJ_rw&amp;_hsmi=88328232&amp;utm_source=hs_email&amp;utm_content=88328407&amp;hsCtaTracking=f8a31ce8-daf1-4d69-a5d6-c3349f3aab91%7C75f9b9fd-a2b2-4ad4-9d4a-0dcb7c99194f" TargetMode="External"/><Relationship Id="rId797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5aZP8CAiuRf7Q6PAKvDqvqe4sHR0UN6KdGctUhXnHvlwOBVTR4Z2pEyWJ7YwMADvhDggIO3GC-3YtLdiX5y9S_PyKmQ&amp;_hsmi=88328232" TargetMode="External"/><Relationship Id="rId1380" Type="http://schemas.openxmlformats.org/officeDocument/2006/relationships/hyperlink" Target="https://resources.simonelectric.com/simon-catalogo-vehiculo-electrico?utm_campaign=SIC%20-%20Veh%C3%ADculo%20El%C3%A9ctrico&amp;utm_medium=email&amp;_hsenc=p2ANqtz-9WRttPGEYuq9jWIAsorXH0UvxNYEo-AUtZzomRvwoYOL7mtMbobjV8kOpz3g25en6cQRrL&amp;_hsmi=87085302&amp;utm_content=87085302&amp;utm_source=hs_email&amp;hsCtaTracking=6fedf137-fd90-4f17-bfb4-d61f710ec7f8%7Cf2771843-6636-4969-9010-2d8d0389b89c" TargetMode="External"/><Relationship Id="rId792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w1rOVMIUCapweCnegJqvPK0Ue7IkZYvligYWvpOtlAu5G3Gut65MBqIvjq8gGWknxt25pHqxKEV5PrcoIZboP4THNo0AcyA0J32JhKVrliV-N7IA&amp;_hsmi=88328232" TargetMode="External"/><Relationship Id="rId1381" Type="http://schemas.openxmlformats.org/officeDocument/2006/relationships/hyperlink" Target="https://resources.simonelectric.com/simon-ebook-vehiculo-electrico-0?gclid=Cj0KCQjw7qn1BRDqARIsAKMbHDbQA47hbXSZTAnyN4XSP5HfJS6ym6eSPvRfXTuTXlJ-lVaJkW9QBKkaAgp7EALw_wcB" TargetMode="External"/><Relationship Id="rId791" Type="http://schemas.openxmlformats.org/officeDocument/2006/relationships/hyperlink" Target="https://resources.simonelectric.com/simon-material-formativo-vehiculo-electrico?utm_campaign=SIC%20-%20Veh%C3%ADculo%20El%C3%A9ctrico&amp;utm_medium=email&amp;_hsenc=p2ANqtz--k12Y1ybCATxDgcEeGlVZQNvYqRDQA7HSF23OgRCLMZVOGs9oi6qnJwZIsVswASICGxXi03nWCOf1MjZ-q89MNLb-cnA&amp;_hsmi=88328232&amp;utm_source=hs_email&amp;utm_content=88328407&amp;hsCtaTracking=f8a31ce8-daf1-4d69-a5d6-c3349f3aab91%7C75f9b9fd-a2b2-4ad4-9d4a-0dcb7c99194f" TargetMode="External"/><Relationship Id="rId1382" Type="http://schemas.openxmlformats.org/officeDocument/2006/relationships/hyperlink" Target="https://resources.simonelectric.com/simon-catalogo-vehiculo-electrico?utm_campaign=SIC%20-%20Veh%C3%ADculo%20El%C3%A9ctrico&amp;utm_medium=email&amp;_hsenc=p2ANqtz-8CbSXT7D7-B8Z4GeewW4rVokU5eq1AEQDmrS7O13zIbhCC0XaCqwQg63uiuo6iA06_cgKm&amp;_hsmi=87085302&amp;utm_content=87085302&amp;utm_source=hs_email&amp;hsCtaTracking=6fedf137-fd90-4f17-bfb4-d61f710ec7f8%7Cf2771843-6636-4969-9010-2d8d0389b89c" TargetMode="External"/><Relationship Id="rId790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ojHsulTQkfwXJE_wXyZTVVyDbVdyhslj8D9f6-COGT3ZzTZgw1zPJSpkMDSBqXr9M3PNfliL8f3WUkL_VPkfSTUcymw&amp;_hsmi=88328232" TargetMode="External"/><Relationship Id="rId1383" Type="http://schemas.openxmlformats.org/officeDocument/2006/relationships/hyperlink" Target="https://resources.simonelectric.com/simon-catalogo-vehiculo-electrico?utm_campaign=SIC%20-%20Veh%C3%ADculo%20El%C3%A9ctrico&amp;utm_medium=email&amp;_hsenc=p2ANqtz-9CAX-RWU6ep_2KVyziScqP4sLgnqhyG9iLZvzBY4Q_HuMZ-b2ZGOQ-5sFQtemt5708AAEj&amp;_hsmi=87085302&amp;utm_content=87085302&amp;utm_source=hs_email&amp;hsCtaTracking=6fedf137-fd90-4f17-bfb4-d61f710ec7f8%7Cf2771843-6636-4969-9010-2d8d0389b89c" TargetMode="External"/><Relationship Id="rId1384" Type="http://schemas.openxmlformats.org/officeDocument/2006/relationships/hyperlink" Target="https://resources.simonelectric.com/simon-catalogo-vehiculo-electrico?utm_campaign=SIC%20-%20Veh%C3%ADculo%20El%C3%A9ctrico&amp;utm_medium=email&amp;_hsenc=p2ANqtz-_t9kgot8q4JyO6oBriuxIinMHHDJfCC6q0Q9Tkziloj35lKhAIU1TIuhsfC3oi5BRGTAZc&amp;_hsmi=87085363&amp;utm_content=87085363&amp;utm_source=hs_email&amp;hsCtaTracking=6fedf137-fd90-4f17-bfb4-d61f710ec7f8%7Cf2771843-6636-4969-9010-2d8d0389b89c" TargetMode="External"/><Relationship Id="rId796" Type="http://schemas.openxmlformats.org/officeDocument/2006/relationships/hyperlink" Target="https://resources.simonelectric.com/simon-material-formativo-vehiculo-electrico?utm_campaign=SIC%20-%20Veh%C3%ADculo%20El%C3%A9ctrico&amp;utm_medium=email&amp;_hsenc=p2ANqtz-_2SAKUbG43hb_EZDcAMqSdeCYXHAfPhElLIiTTDTbiCCZwbRUYtn85pk05izZ3LeWiXLAc7koF-YzgilTMAX3so9DZ5w&amp;_hsmi=88328232&amp;utm_source=hs_email&amp;utm_content=88328407&amp;hsCtaTracking=f8a31ce8-daf1-4d69-a5d6-c3349f3aab91%7C75f9b9fd-a2b2-4ad4-9d4a-0dcb7c99194f" TargetMode="External"/><Relationship Id="rId1385" Type="http://schemas.openxmlformats.org/officeDocument/2006/relationships/hyperlink" Target="https://resources.simonelectric.com/simon-catalogo-vehiculo-electrico?utm_campaign=SIC%20-%20Veh%C3%ADculo%20El%C3%A9ctrico&amp;utm_medium=email&amp;_hsenc=p2ANqtz-9ZbA9rsBGGHGF2KD7D303U5vy1RXWMWk-QHqZxx1orwENAgjtkUvNZYXyC_4JuKxRP048q&amp;_hsmi=87085363&amp;utm_content=87085363&amp;utm_source=hs_email&amp;hsCtaTracking=6fedf137-fd90-4f17-bfb4-d61f710ec7f8%7Cf2771843-6636-4969-9010-2d8d0389b89c" TargetMode="External"/><Relationship Id="rId795" Type="http://schemas.openxmlformats.org/officeDocument/2006/relationships/hyperlink" Target="https://resources.simonelectric.com/simon-catalogo-vehiculo-electrico?utm_campaign=SIC%20-%20Veh%C3%ADculo%20El%C3%A9ctrico&amp;utm_medium=email&amp;_hsenc=p2ANqtz-_beaV_Q3cxpX4HeQqCm0vcRAzuUFVXreQeZrl3YMiSh_d9zzGFViAAE8O0J6mUaVJLGBgk&amp;_hsmi=87085302&amp;utm_content=87085302&amp;utm_source=hs_email&amp;hsCtaTracking=6fedf137-fd90-4f17-bfb4-d61f710ec7f8%7Cf2771843-6636-4969-9010-2d8d0389b89c" TargetMode="External"/><Relationship Id="rId1386" Type="http://schemas.openxmlformats.org/officeDocument/2006/relationships/hyperlink" Target="https://resources.simonelectric.com/simon-catalogo-vehiculo-electrico?utm_campaign=SIC%20-%20Veh%C3%ADculo%20El%C3%A9ctrico&amp;utm_medium=email&amp;_hsenc=p2ANqtz--WAgo_lbXMoRr2A--UsVjy12KDdw3PpV8o4j4lRjlKb71a4sxD7xQ562wtIiC1RpPcxj31&amp;_hsmi=87085302&amp;utm_content=87085302&amp;utm_source=hs_email&amp;hsCtaTracking=6fedf137-fd90-4f17-bfb4-d61f710ec7f8%7Cf2771843-6636-4969-9010-2d8d0389b89c" TargetMode="External"/><Relationship Id="rId794" Type="http://schemas.openxmlformats.org/officeDocument/2006/relationships/hyperlink" Target="https://resources.simonelectric.com/simon-material-formativo-vehiculo-electrico?utm_campaign=SIC%20-%20Veh%C3%ADculo%20El%C3%A9ctrico&amp;utm_medium=email&amp;_hsenc=p2ANqtz-8e2QdihLtgLxxVB7OxFRt1Ji_CJ_PPswT-ZgBZPm6ump-1NNZdPYRXeG1hx8DySV9lteBQk0boQZIG4UZXqp-45iSlBw&amp;_hsmi=88328235&amp;utm_source=hs_email&amp;utm_content=88328407&amp;hsCtaTracking=f8a31ce8-daf1-4d69-a5d6-c3349f3aab91%7C75f9b9fd-a2b2-4ad4-9d4a-0dcb7c99194f" TargetMode="External"/><Relationship Id="rId1387" Type="http://schemas.openxmlformats.org/officeDocument/2006/relationships/hyperlink" Target="https://resources.simonelectric.com/simon-catalogo-vehiculo-electrico?utm_campaign=SIC%20-%20Veh%C3%ADculo%20El%C3%A9ctrico&amp;utm_medium=email&amp;_hsenc=p2ANqtz-_ahXeNUJNlu1UvlRIbsHQ9MA72MRBN8dU4CWvV8C88istT1vzjeEuYwXEWEV93z5P07y9L&amp;_hsmi=87085363&amp;utm_content=87085363&amp;utm_source=hs_email&amp;hsCtaTracking=6fedf137-fd90-4f17-bfb4-d61f710ec7f8%7Cf2771843-6636-4969-9010-2d8d0389b89c" TargetMode="External"/><Relationship Id="rId793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-FboWeVwtxq4dUakKvkCGr4IYnGe5zcXSNbdEkarX695ED0aiyhConwi64Ddg0ecWXH_bktYeu2J4s3DHVk7bqOwPp0w&amp;_hsmi=88328232" TargetMode="External"/><Relationship Id="rId1388" Type="http://schemas.openxmlformats.org/officeDocument/2006/relationships/hyperlink" Target="https://resources.simonelectric.com/simon-catalogo-vehiculo-electrico?utm_campaign=SIC%20-%20Veh%C3%ADculo%20El%C3%A9ctrico&amp;utm_medium=email&amp;_hsenc=p2ANqtz-9n0rz_NBIUDf4rqlQP4mRk7e2DG1jjcgzMN2NR4R1Kd_so8Sme-nqLkGcIGiChdqspFUxE&amp;_hsmi=87085363&amp;utm_content=87085363&amp;utm_source=hs_email&amp;hsCtaTracking=6fedf137-fd90-4f17-bfb4-d61f710ec7f8%7Cf2771843-6636-4969-9010-2d8d0389b89c" TargetMode="External"/><Relationship Id="rId319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190" Type="http://schemas.openxmlformats.org/officeDocument/2006/relationships/hyperlink" Target="https://resources.simonelectric.com/simon-ebook-vehiculo-electrico?utm_campaign=SIC%20-%20Veh%C3%ADculo%20El%C3%A9ctrico&amp;utm_medium=email&amp;_hsenc=p2ANqtz-9F7vmNet2YtVa5g8aer-_8GEQtFHGhIE1uuxZvI3hhO0GcVLUxIHBOah0WF5CqK23hjYxRLmStYvlCeB0QBrTh2vHJZg&amp;_hsmi=71033675&amp;utm_source=hs_automation&amp;utm_content=71033675&amp;hsCtaTracking=2e94ebfc-d414-4389-870c-d2f266a9420b%7C587ac4dc-a49a-4bdc-b449-e36f5d95395b" TargetMode="External"/><Relationship Id="rId319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192" Type="http://schemas.openxmlformats.org/officeDocument/2006/relationships/hyperlink" Target="https://resources.simonelectric.com/simon-ebook-vehiculo-electrico?__hssc=83084745.5.1584466312912&amp;__hstc=83084745.cd3084c4a0f1a6348a0d43c2715d0e6a.1525000054250.1583688389271.1584466312912.4&amp;__hsfp=1540626750&amp;hsCtaTracking=2e94ebfc-d414-4389-870c-d2f266a9420b%7C587ac4dc-a49a-4bdc-b449-e36f5d95395b" TargetMode="External"/><Relationship Id="rId3195" Type="http://schemas.openxmlformats.org/officeDocument/2006/relationships/hyperlink" Target="https://resources.simonelectric.com/simon-ebook-vehiculo-electrico?utm_campaign=SIC%20-%20Veh%C3%ADculo%20El%C3%A9ctrico&amp;utm_medium=email&amp;_hsenc=p2ANqtz-8WRU7izSRk0M1vFxd76BhLkx3l-8QQ2ma_V_zDmwoTmHhJ7gjixNn8q3Z-YwqKCeT_F4pSqV90P6BzE3IvTy6QNE7cvkCi7KUFZSE4Qj5OEVqiZI4&amp;_hsmi=67858848&amp;utm_source=hs_automation&amp;utm_content=67858848&amp;hsCtaTracking=4ffb3aa1-677f-463b-8339-fc65a1da68db%7C5790d3b1-fbc3-4c32-a016-744222ad1cdc" TargetMode="External"/><Relationship Id="rId319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197" Type="http://schemas.openxmlformats.org/officeDocument/2006/relationships/hyperlink" Target="https://resources.simonelectric.com/simon-ebook-vehiculo-electrico" TargetMode="External"/><Relationship Id="rId3196" Type="http://schemas.openxmlformats.org/officeDocument/2006/relationships/hyperlink" Target="https://resources.simonelectric.com/simon-catalogo-vehiculo-electrico?__hstc=83084745.cbb910817508969d15f033b1e23d6ed6.1584452893718.1584452893718.1584452893718.1&amp;__hssc=83084745.2.1584452893718&amp;__hsfp=952938693" TargetMode="External"/><Relationship Id="rId319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19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180" Type="http://schemas.openxmlformats.org/officeDocument/2006/relationships/hyperlink" Target="https://resources.simonelectric.com/simon-ebook-vehiculo-electrico" TargetMode="External"/><Relationship Id="rId318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181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_Aiqqd_u_RQ7OTfNNvqeRWuFDiqjn_IATonO9JWwcz3XMBNLO5wW32vfdwRcZW421SSZZ3Wp0iqUcq0dleHoXrvpXNhA&amp;_hsmi=71034014" TargetMode="External"/><Relationship Id="rId318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183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" TargetMode="External"/><Relationship Id="rId318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18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18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187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8vfIBRErd81utUie6EeFc_He6vEZjzPHLtk-WRjCj8wSMtySt7MxESWxKsi8pXhORKAtpARQ78CaDwwr395xsaTWoprU2BNK3PSx0djwP_aR4r9zs&amp;_hsmi=71033675" TargetMode="External"/><Relationship Id="rId3189" Type="http://schemas.openxmlformats.org/officeDocument/2006/relationships/hyperlink" Target="https://resources.simonelectric.com/simon-catalogo-vehiculo-electrico?__hstc=83084745.6858fb56c9d05a519626c3652c160ff6.1584362345165.1584447957568.1584485819986.3&amp;__hssc=83084745.2.1584485819986&amp;__hsfp=137485176" TargetMode="External"/><Relationship Id="rId3151" Type="http://schemas.openxmlformats.org/officeDocument/2006/relationships/hyperlink" Target="https://resources.simonelectric.com/simon-ebook-vehiculo-electrico?utm_campaign=%23Simonentucasa&amp;utm_medium=email&amp;_hsenc=p2ANqtz-_ntjCnmh_H42JAn6zI4e59QZZLY1sqxIXZqh-UFMLTd1jsFcFRu3nD1h_gWtdCBb91LaBDYFx3hsOSkGZw94ZeYWBEHQ&amp;_hsmi=85165037&amp;utm_source=hs_email&amp;utm_content=85165037&amp;hsCtaTracking=7e048f91-fedd-4131-939d-25771a4a2d12%7Cf6d6f061-2319-4b5b-89f8-8c89fca06239" TargetMode="External"/><Relationship Id="rId3150" Type="http://schemas.openxmlformats.org/officeDocument/2006/relationships/hyperlink" Target="https://resources.simonelectric.com/simon-ebook-vehiculo-electrico?utm_campaign=%23Simonentucasa&amp;utm_medium=email&amp;_hsenc=p2ANqtz-9ktW8EWSpX7qJmr23DPqhRGnje2on9wYzmgFyuFwq1CjRS8aOGiC98uVDnRO6OC9YRLkdh4ANSw7Kj9zXQRkqKt22VCQ&amp;_hsmi=85165037&amp;utm_source=hs_email&amp;utm_content=85165037&amp;hsCtaTracking=7e048f91-fedd-4131-939d-25771a4a2d12%7Cf6d6f061-2319-4b5b-89f8-8c89fca06239" TargetMode="External"/><Relationship Id="rId3153" Type="http://schemas.openxmlformats.org/officeDocument/2006/relationships/hyperlink" Target="https://resources.simonelectric.com/simon-ebook-vehiculo-electrico?utm_campaign=%23Simonentucasa&amp;utm_medium=email&amp;_hsenc=p2ANqtz-8REN_mWWQbyD9WQviXi_Dg8KPal5LR6bQ2nNDYKTuynQjJMjNPPed2jNfVwrYUa6wiIX7eBBH2njKSZgvTLIuoUBojaA&amp;_hsmi=85165037&amp;utm_source=hs_email&amp;utm_content=85165037&amp;hsCtaTracking=7e048f91-fedd-4131-939d-25771a4a2d12%7Cf6d6f061-2319-4b5b-89f8-8c89fca06239" TargetMode="External"/><Relationship Id="rId3152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JHsJwCT9vtZ_cH1qsqZKe8z-QCr4MjFXTfsLU6oRGN0MZq2Is6Ob7PGITfs__of708WFinZ9lQYHlBvEjx1iincCMxr-_9gS_jnBgB30to04DjcE&amp;_hsmi=85165037" TargetMode="External"/><Relationship Id="rId3155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3Q-TmfmHUQ1EDhwGeNZjasRBO3inRaa2hleNTOu6_W5QVDSVz2IsQT1tPrHtIV6MCIuq-YaoNkJUpSNsaDwbJclND8g&amp;_hsmi=85165037" TargetMode="External"/><Relationship Id="rId3154" Type="http://schemas.openxmlformats.org/officeDocument/2006/relationships/hyperlink" Target="https://resources.simonelectric.com/simon-ebook-vehiculo-electrico?utm_campaign=%23Simonentucasa&amp;utm_medium=email&amp;_hsenc=p2ANqtz-8Jiuc-x4gsWr-sBVOvBL8RwzkqBrfHfjbCWQMdvPxOrguWSLIPKPYRFDEXuEy64He9nWbog-LL35ev8suL3ZqPg_LE3URkbg1gFJHg7dLZF46rm4c&amp;_hsmi=85165037&amp;utm_source=hs_email&amp;utm_content=85165037&amp;hsCtaTracking=7e048f91-fedd-4131-939d-25771a4a2d12%7Cf6d6f061-2319-4b5b-89f8-8c89fca06239" TargetMode="External"/><Relationship Id="rId3157" Type="http://schemas.openxmlformats.org/officeDocument/2006/relationships/hyperlink" Target="https://resources.simonelectric.com/simon-ebook-vehiculo-electrico?utm_campaign=%23Simonentucasa&amp;utm_medium=email&amp;_hsenc=p2ANqtz-9wr2896B9OxPDI--4wf2U19F-sBTi9eIcr93D1axZ7xjDZa3QeCYzHXqIppU5U1oTanMorPBLznbw_bfBJe8_O9sbORQ&amp;_hsmi=85165037&amp;utm_source=hs_email&amp;utm_content=85165037&amp;hsCtaTracking=7e048f91-fedd-4131-939d-25771a4a2d12%7Cf6d6f061-2319-4b5b-89f8-8c89fca06239" TargetMode="External"/><Relationship Id="rId3156" Type="http://schemas.openxmlformats.org/officeDocument/2006/relationships/hyperlink" Target="https://resources.simonelectric.com/simon-ebook-vehiculo-electrico?utm_campaign=%23Simonentucasa&amp;utm_medium=email&amp;_hsenc=p2ANqtz--hbBVOz7BdyFYLIQ-2U7KMyldlmRk0nl5f-uK28uGzBqr1fm5HnX-142VvUsBhWKH70lrqIMSRc46qUc3gMtKgHDoKOg&amp;_hsmi=85165037&amp;utm_source=hs_email&amp;utm_content=85165037&amp;hsCtaTracking=7e048f91-fedd-4131-939d-25771a4a2d12%7Cf6d6f061-2319-4b5b-89f8-8c89fca06239" TargetMode="External"/><Relationship Id="rId3159" Type="http://schemas.openxmlformats.org/officeDocument/2006/relationships/hyperlink" Target="https://resources.simonelectric.com/simon-ebook-vehiculo-electrico?utm_campaign=SIC%20-%20Veh%C3%ADculo%20El%C3%A9ctrico&amp;utm_medium=email&amp;_hsenc=p2ANqtz-8mORo9IqcQZlOonXCg_xLCB-ezJ_lEgK28EMlVQ8NlJ-2hjSy8T5R7RRvU-yM3CvI2GDOCdSZa4-Z4aGcq1GBCHaEdFGg_MuJf4sBEEsiT3rcNjbE&amp;_hsmi=71033675&amp;utm_source=hs_automation&amp;utm_content=71033675&amp;hsCtaTracking=2e94ebfc-d414-4389-870c-d2f266a9420b%7C587ac4dc-a49a-4bdc-b449-e36f5d95395b" TargetMode="External"/><Relationship Id="rId3158" Type="http://schemas.openxmlformats.org/officeDocument/2006/relationships/hyperlink" Target="https://resources.simonelectric.com/simon-ebook-vehiculo-electrico?utm_campaign=%23Simonentucasa&amp;utm_medium=email&amp;_hsenc=p2ANqtz--DZG-9QbWf-0AnbSSpj9T4jFtFwaUSPhTySpwUizFKy1i841npoqksLhgvNlmjk-WiW-rssVkG75lTSGt5DTu1x7tEVA&amp;_hsmi=85165037&amp;utm_source=hs_email&amp;utm_content=85165037&amp;hsCtaTracking=7e048f91-fedd-4131-939d-25771a4a2d12%7Cf6d6f061-2319-4b5b-89f8-8c89fca06239" TargetMode="External"/><Relationship Id="rId3149" Type="http://schemas.openxmlformats.org/officeDocument/2006/relationships/hyperlink" Target="https://resources.simonelectric.com/simon-ebook-vehiculo-electrico?utm_campaign=%23Simonentucasa&amp;utm_medium=email&amp;_hsenc=p2ANqtz-9QP_sThm1kslCzusW_NFDfQ1L9Zk_nIHXKEcKli0RXLeVe4kAPvw7Ru5keJyQmFKFWMnyo0KMltLcp7fprze5ixWW6OFSrtgNXeMp_y4It5FhdAbY&amp;_hsmi=85165037&amp;utm_source=hs_email&amp;utm_content=85165037&amp;hsCtaTracking=7e048f91-fedd-4131-939d-25771a4a2d12%7Cf6d6f061-2319-4b5b-89f8-8c89fca06239" TargetMode="External"/><Relationship Id="rId3140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9NdajubMkT00fpoF5qO4ZGYeTzudFb68dWzxTpGwg74Y8W-d678Bd6TuEuUehqfodnuEk3jUUR-JdsjAGs7XOFyCMeyT3cM46hfBdqOtRybwghP5c&amp;_hsmi=85165037" TargetMode="External"/><Relationship Id="rId3142" Type="http://schemas.openxmlformats.org/officeDocument/2006/relationships/hyperlink" Target="https://resources.simonelectric.com/simon-ebook-vehiculo-electrico?utm_campaign=%23Simonentucasa&amp;utm_medium=email&amp;_hsenc=p2ANqtz--f8RuMUAAnHxUua9EA4thQB2sk4Jw5YTqem2ZwrLuGkeySMoGtXU1-HWEavAYBeYfmhAZfB-NRDRTbSWDcC0Kt6QGseA&amp;_hsmi=85165037&amp;utm_source=hs_email&amp;utm_content=85165037&amp;hsCtaTracking=7e048f91-fedd-4131-939d-25771a4a2d12%7Cf6d6f061-2319-4b5b-89f8-8c89fca06239" TargetMode="External"/><Relationship Id="rId3141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b6U2PjvbYINUqVjK4vAcEtH5v20zbmmKtu6QCtLg6TAEK6gdYm2NcAemrUTaC_Q8qk6IV0p2nnSbnSbZkkLjEMRa0JNUIHb0zrre5N1ofYkiw89c&amp;_hsmi=85165037" TargetMode="External"/><Relationship Id="rId3144" Type="http://schemas.openxmlformats.org/officeDocument/2006/relationships/hyperlink" Target="https://resources.simonelectric.com/simon-ebook-vehiculo-electrico?utm_campaign=%23Simonentucasa&amp;utm_medium=email&amp;_hsenc=p2ANqtz-8V8joF5IYgMM7YsMN99FYxGoNH5UW6G6uMBkdSJduuUrFe8xAa3dX-0L__BUGeBMqbxe83b3zCqHfx8sb0nDHmZqjZ-A&amp;_hsmi=85165037&amp;utm_source=hs_email&amp;utm_content=85165037&amp;hsCtaTracking=7e048f91-fedd-4131-939d-25771a4a2d12%7Cf6d6f061-2319-4b5b-89f8-8c89fca06239" TargetMode="External"/><Relationship Id="rId3143" Type="http://schemas.openxmlformats.org/officeDocument/2006/relationships/hyperlink" Target="https://resources.simonelectric.com/simon-ebook-vehiculo-electrico?utm_campaign=%23Simonentucasa&amp;utm_medium=email&amp;_hsenc=p2ANqtz-8ikGMPul47UuZEPUaQNhxe5La62xkULJma-o4g1P9f5vyzhor0-NZaaL60KHy33uNE7nEn2O5MnlC36pT8D5nd8049aA&amp;_hsmi=85165037&amp;utm_source=hs_email&amp;utm_content=85165037&amp;hsCtaTracking=7e048f91-fedd-4131-939d-25771a4a2d12%7Cf6d6f061-2319-4b5b-89f8-8c89fca06239" TargetMode="External"/><Relationship Id="rId3146" Type="http://schemas.openxmlformats.org/officeDocument/2006/relationships/hyperlink" Target="https://resources.simonelectric.com/simon-ebook-vehiculo-electrico?utm_campaign=%23Simonentucasa&amp;utm_medium=email&amp;_hsenc=p2ANqtz-9jjbAL2vq5b9bIo5sX5z6BQE9GtV77pjH6-t1oU4M47744Y2XrNcoJTbA_UexQnstNIetEh9Lmin0zYAtkZR3yi5lJHA&amp;_hsmi=85165037&amp;utm_source=hs_email&amp;utm_content=85165037&amp;hsCtaTracking=7e048f91-fedd-4131-939d-25771a4a2d12%7Cf6d6f061-2319-4b5b-89f8-8c89fca06239" TargetMode="External"/><Relationship Id="rId3145" Type="http://schemas.openxmlformats.org/officeDocument/2006/relationships/hyperlink" Target="https://resources.simonelectric.com/simon-ebook-vehiculo-electrico?utm_campaign=%23Simonentucasa&amp;utm_medium=email&amp;_hsenc=p2ANqtz-98gJB3FxJ68aHcfNrbQ2SEoF580I08N03O4HOBvbBxFbRtT6YoVOO3znH9LzIQv1I3qHPy_2e51XaqWhm9h2PpEfbCtg&amp;_hsmi=85165037&amp;utm_source=hs_email&amp;utm_content=85165037&amp;hsCtaTracking=7e048f91-fedd-4131-939d-25771a4a2d12%7Cf6d6f061-2319-4b5b-89f8-8c89fca06239" TargetMode="External"/><Relationship Id="rId3148" Type="http://schemas.openxmlformats.org/officeDocument/2006/relationships/hyperlink" Target="https://resources.simonelectric.com/simon-ebook-vehiculo-electrico?utm_campaign=%23Simonentucasa&amp;utm_medium=email&amp;_hsenc=p2ANqtz--Z4-rAsQiTc4C5XqBFwMeoz-EOGvNtzyOswgB5rUxt6NbOEf8T_5u6BtXv9-cov455YPNP7snqlDa9v-wlmJOdAV5mIw&amp;_hsmi=85165037&amp;utm_source=hs_email&amp;utm_content=85165037&amp;hsCtaTracking=7e048f91-fedd-4131-939d-25771a4a2d12%7Cf6d6f061-2319-4b5b-89f8-8c89fca06239" TargetMode="External"/><Relationship Id="rId3147" Type="http://schemas.openxmlformats.org/officeDocument/2006/relationships/hyperlink" Target="https://resources.simonelectric.com/simon-ebook-vehiculo-electrico?utm_campaign=%23Simonentucasa&amp;utm_medium=email&amp;_hsenc=p2ANqtz-9--xDaX3INw3qDMOj7_8LmHrx53IVLzD5WLCHZnjL1V15ONRp8dhyhU_5Nhiu93sD0x12EsgThLZ3o5LjDNA-4hI4kScWPeGHXA8THN1LO9dhCvW4&amp;_hsmi=85165037&amp;utm_source=hs_email&amp;utm_content=85165037&amp;hsCtaTracking=7e048f91-fedd-4131-939d-25771a4a2d12%7Cf6d6f061-2319-4b5b-89f8-8c89fca06239" TargetMode="External"/><Relationship Id="rId317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170" Type="http://schemas.openxmlformats.org/officeDocument/2006/relationships/hyperlink" Target="https://resources.simonelectric.com/simon-ebook-vehiculo-electrico" TargetMode="External"/><Relationship Id="rId317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17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17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17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17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176" Type="http://schemas.openxmlformats.org/officeDocument/2006/relationships/hyperlink" Target="https://resources.simonelectric.com/simon-ebook-vehiculo-electrico?utm_referrer=https%3A%2F%2Fwww.simonelectric.com%2Fblog%2Fsistemas-de-recarga-para-la-gestion-de-flotas-de-vehiculos-en-pequenos-negocios" TargetMode="External"/><Relationship Id="rId317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17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160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3162" Type="http://schemas.openxmlformats.org/officeDocument/2006/relationships/hyperlink" Target="https://resources.simonelectric.com/simon-ebook-vehiculo-electrico" TargetMode="External"/><Relationship Id="rId316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16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163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%3Futm_campaign%3DSIC%2520-%2520Veh%25C3%25ADculo%2520El%25C3%25A9ctrico%26utm_source%3Dhs_automation%26utm_medium%3Demail%26utm_content%3D71033996%26_hsenc%3Dp2ANqtz-9undynLgPYaLJsxHYjssJf7XrCmo2bKGQ8iDIwV_IFjeWaS8Yg039fVbtFgAl7xiJk7Lm5VCt28VAW7fFDqPB9rYR4wg%26_hsmi%3D71033996" TargetMode="External"/><Relationship Id="rId3166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-6a_Bgm0m-Eh0owcomTEoDmU8Bfr_lSnHN5BRYa2blsq8dfwtOQ3OfN1GPg8RNbgaoT3pbdmORnMdt_67YjfmQ9PUKAw&amp;_hsmi=71034014" TargetMode="External"/><Relationship Id="rId3165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8-gZzRI7d3Y6q_4GS2XqVSJ5Fn-QzLLcZ02XLkbK0T7JaflYVmeh1Q2ckmpjPJzu0goiIP-nQUcNUKWAuMYIE6_Ap9Ww&amp;_hsmi=71034014" TargetMode="External"/><Relationship Id="rId3168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9Zvd9xI46N0l8yYOLPiW2Oh_k18eqYvZi9xe_1qzwi5cwCzO9B2yagVEdkfX95amjUQgjZqAeIOCQnm6S6g-3-wtOH7BhAXJuoE5PuBcaze8xuTos&amp;_hsmi=71034014" TargetMode="External"/><Relationship Id="rId316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169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9_pQ7SJjJe0wY9-5gnddhEqE1XmraPT8p-wpWqXzBV84d6ISoDrBU6OmC7-1jWaAmzZ0b7q51_AYI3YcTPcEwpgDpxFdy0RnqyyNRUBWHx8dsJgGM&amp;_hsmi=71034014" TargetMode="External"/><Relationship Id="rId270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701" Type="http://schemas.openxmlformats.org/officeDocument/2006/relationships/hyperlink" Target="https://resources.simonelectric.com/simon-ebook-vehiculo-electrico-ppc?utm_source=facebook&amp;utm_medium=social_ads&amp;utm_campaign=vehiculo_electrico&amp;fbclid=IwAR1D_uq-mRJC5H_RfCxqmvIvENPspYUY7-Hq-JeEeaDGnVI4R0JTfrYtJ6Q" TargetMode="External"/><Relationship Id="rId270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703" Type="http://schemas.openxmlformats.org/officeDocument/2006/relationships/hyperlink" Target="https://resources.simonelectric.com/simon-ebook-vehiculo-electrico-ppc?fbclid=IwAR0bAzziTX4pJmuYGUqdKY0XmaBb2Xrr9Gr_LPuMhnpHatkV4B_vboW6HZI" TargetMode="External"/><Relationship Id="rId2704" Type="http://schemas.openxmlformats.org/officeDocument/2006/relationships/hyperlink" Target="https://resources.simonelectric.com/simon-catalogo-vehiculo-electrico" TargetMode="External"/><Relationship Id="rId2705" Type="http://schemas.openxmlformats.org/officeDocument/2006/relationships/hyperlink" Target="https://resources.simonelectric.com/simon-ebook-vehiculo-electrico?utm_referrer=https%3A%2F%2Fwww.simonelectric.com%2Fvehiculo-electrico%2Fsoluciones-recarga-exterior" TargetMode="External"/><Relationship Id="rId2706" Type="http://schemas.openxmlformats.org/officeDocument/2006/relationships/hyperlink" Target="https://resources.simonelectric.com/simon-ebook-vehiculo-electrico-ppc?utm_source=facebook&amp;utm_medium=social_ads&amp;utm_campaign=vehiculo_electrico&amp;fbclid=IwAR0JxMTndd_JCLhSV5KKMptJBt7wGpi-nemU2L9XuzdUsXxlcWmxbkOLbJI" TargetMode="External"/><Relationship Id="rId270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70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70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72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721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8MwJSct55aJL5MDeumwjkgIp_3TpqlvVImo1qpYOSWuyl-e2p9ha8WTclVfuvCchJTSWKkvGOy2V_zSU2qKPnuhYF3QQ&amp;_hsmi=71034014" TargetMode="External"/><Relationship Id="rId2722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-0O4qKogE_BmtloZgeJxxtYu1JrbEsHkledUojQw4F0087P7LgwHi9AswqVgHCa-SFN7pgJflPbp9BUsttr11z_8HD7A&amp;_hsmi=71034014" TargetMode="External"/><Relationship Id="rId2723" Type="http://schemas.openxmlformats.org/officeDocument/2006/relationships/hyperlink" Target="https://resources.simonelectric.com/simon-ebook-vehiculo-electrico-ppc?utm_source=facebook&amp;utm_medium=social_ads&amp;utm_campaign=vehiculo_electrico&amp;fbclid=IwAR34dx8iA-PlF4Rz5sYF-pu7tgMoUlCrBbLJzHmmbd1McED1OZZHy0vvXdE" TargetMode="External"/><Relationship Id="rId272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725" Type="http://schemas.openxmlformats.org/officeDocument/2006/relationships/hyperlink" Target="https://resources.simonelectric.com/simon-ebook-vehiculo-electrico-0?gclid=CjwKCAjw1cX0BRBmEiwAy9tKHmxDYo34Xnpm9FI5KntbmgqoYrSlUKs-af4TyjErmYjB3-bzglNEDhoCFq8QAvD_BwE" TargetMode="External"/><Relationship Id="rId272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72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72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72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710" Type="http://schemas.openxmlformats.org/officeDocument/2006/relationships/hyperlink" Target="https://resources.simonelectric.com/simon-catalogo-vehiculo-electrico?__hstc=83084745.db03393bf42cc2fa5767ffdfb1137f6d.1586808603967.1586808603967.1586808603967.1&amp;__hssc=83084745.3.1586808603969&amp;__hsfp=1008463" TargetMode="External"/><Relationship Id="rId271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712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8lcH2tKLr642eLSD9uBRrPIeMpBXZcuySr9cpByKKy5Cu9dlnoTwC3u7ROonqYnsDtmfM3gSnm8ojKxFSSQ76i9CbVfA&amp;_hsmi=71034014" TargetMode="External"/><Relationship Id="rId271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71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715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%3Futm_campaign%3DSIC%2520-%2520Veh%25C3%25ADculo%2520El%25C3%25A9ctrico%26utm_source%3Dhs_automation%26utm_medium%3Demail%26utm_content%3D71033996%26_hsenc%3Dp2ANqtz-9t4ggkcKDgOstf8H8WOLslCg-1yas8K41_fmWH8m4NMfh9zIk7oegpC5LzQ14YZH6idjRqCvMmqmo-J2Ev-OUOlCQYdA%26_hsmi%3D71033996" TargetMode="External"/><Relationship Id="rId2716" Type="http://schemas.openxmlformats.org/officeDocument/2006/relationships/hyperlink" Target="https://resources.simonelectric.com/simon-ebook-vehiculo-electrico?utm_campaign=SIC%20-%20Veh%C3%ADculo%20El%C3%A9ctrico&amp;utm_medium=email&amp;_hsenc=p2ANqtz-_X_arA6MHyaGLTxQvFK7nGYzRcw8TVRn5QUzC9RlqDZ4MZ9zVMg9TsQds9h3RN95Yl17Y72uoL00--6a0ysPl0W-Fa1qlLCG3hiBYmtWHX25-jIK8&amp;_hsmi=71033675&amp;utm_source=hs_automation&amp;utm_content=71033675&amp;hsCtaTracking=2e94ebfc-d414-4389-870c-d2f266a9420b%7C587ac4dc-a49a-4bdc-b449-e36f5d95395b" TargetMode="External"/><Relationship Id="rId271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71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719" Type="http://schemas.openxmlformats.org/officeDocument/2006/relationships/hyperlink" Target="https://resources.simonelectric.com/simon-ebook-vehiculo-electrico" TargetMode="External"/><Relationship Id="rId1455" Type="http://schemas.openxmlformats.org/officeDocument/2006/relationships/hyperlink" Target="https://resources.simonelectric.com/simon-catalogo-vehiculo-electrico?utm_campaign=SIC%20-%20Veh%C3%ADculo%20El%C3%A9ctrico&amp;utm_medium=email&amp;_hsenc=p2ANqtz--_n2SZsyOZ6U5GzGZvxwKp1uRul1hvcdaUC38toDmVxXrxysUnR7JRaJaageQt8PV3or_K&amp;_hsmi=87085363&amp;utm_content=87085363&amp;utm_source=hs_email&amp;hsCtaTracking=6fedf137-fd90-4f17-bfb4-d61f710ec7f8%7Cf2771843-6636-4969-9010-2d8d0389b89c" TargetMode="External"/><Relationship Id="rId278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56" Type="http://schemas.openxmlformats.org/officeDocument/2006/relationships/hyperlink" Target="https://resources.simonelectric.com/simon-catalogo-vehiculo-electrico?utm_campaign=SIC%20-%20Veh%C3%ADculo%20El%C3%A9ctrico&amp;utm_medium=email&amp;_hsenc=p2ANqtz-8e7cyrXCGDi1VsrzF0UWL4kGgQsvr0Eet9vji9-EkhFo2ooyPwYc1Yqn7X7Rt-fAHoI0Gk&amp;_hsmi=87085363&amp;utm_content=87085363&amp;utm_source=hs_email&amp;hsCtaTracking=6fedf137-fd90-4f17-bfb4-d61f710ec7f8%7Cf2771843-6636-4969-9010-2d8d0389b89c" TargetMode="External"/><Relationship Id="rId2787" Type="http://schemas.openxmlformats.org/officeDocument/2006/relationships/hyperlink" Target="https://resources.simonelectric.com/simon-ebook-vehiculo-electrico?utm_campaign=%23Simonentucasa&amp;utm_medium=email&amp;_hsenc=p2ANqtz--5kCuca5WKW_fVyg4w9q-3uvwum9QWhvrw22ehm7uLuoZGMwmJPBg2gXrwnZlal29j7Sm3GAOvLEulF-cd0c7h8-dSZA&amp;_hsmi=85165037&amp;utm_source=hs_email&amp;utm_content=85165037&amp;hsCtaTracking=7e048f91-fedd-4131-939d-25771a4a2d12%7Cf6d6f061-2319-4b5b-89f8-8c89fca06239" TargetMode="External"/><Relationship Id="rId1457" Type="http://schemas.openxmlformats.org/officeDocument/2006/relationships/hyperlink" Target="https://resources.simonelectric.com/simon-catalogo-vehiculo-electrico?utm_campaign=SIC%20-%20Veh%C3%ADculo%20El%C3%A9ctrico&amp;utm_medium=email&amp;_hsenc=p2ANqtz--13WpS3DfdZ9PtfxVOSXt8w5_MD7h6phKy1zXqK8UmXW6pqwv1_lGvHu9THA8FzpJZbUBz&amp;_hsmi=87085363&amp;utm_content=87085363&amp;utm_source=hs_email&amp;hsCtaTracking=6fedf137-fd90-4f17-bfb4-d61f710ec7f8%7Cf2771843-6636-4969-9010-2d8d0389b89c" TargetMode="External"/><Relationship Id="rId278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58" Type="http://schemas.openxmlformats.org/officeDocument/2006/relationships/hyperlink" Target="https://resources.simonelectric.com/simon-catalogo-vehiculo-electrico?utm_campaign=SIC%20-%20Veh%C3%ADculo%20El%C3%A9ctrico&amp;utm_medium=email&amp;_hsenc=p2ANqtz--Z50RHCYdJ-fSosf4DO6OujnAKIpmABsAvjc9a8nq-UB34YNoHD45Gw9kUjlpRaMETVyjL&amp;_hsmi=87085363&amp;utm_content=87085363&amp;utm_source=hs_email&amp;hsCtaTracking=6fedf137-fd90-4f17-bfb4-d61f710ec7f8%7Cf2771843-6636-4969-9010-2d8d0389b89c" TargetMode="External"/><Relationship Id="rId278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459" Type="http://schemas.openxmlformats.org/officeDocument/2006/relationships/hyperlink" Target="https://resources.simonelectric.com/simon-catalogo-vehiculo-electrico?utm_campaign=SIC%20-%20Veh%C3%ADculo%20El%C3%A9ctrico&amp;utm_medium=email&amp;_hsenc=p2ANqtz-_m1eYC0jH_mMcarcaf3QpK_Y7kqGKNG21AeY6X8x2ddb5cGK-CLM8nxxWn6vnsXgZTOVo4&amp;_hsmi=87085363&amp;utm_content=87085363&amp;utm_source=hs_email&amp;hsCtaTracking=6fedf137-fd90-4f17-bfb4-d61f710ec7f8%7Cf2771843-6636-4969-9010-2d8d0389b89c" TargetMode="External"/><Relationship Id="rId629" Type="http://schemas.openxmlformats.org/officeDocument/2006/relationships/hyperlink" Target="https://resources.simonelectric.com/simon-ebook-vehiculo-electrico" TargetMode="External"/><Relationship Id="rId624" Type="http://schemas.openxmlformats.org/officeDocument/2006/relationships/hyperlink" Target="https://resources.simonelectric.com/simon-catalogo-vehiculo-electrico?__hstc=83084745.1940043495acdb5b755eb3ba11a3405f.1590483935736.1590483935736.1590483935736.1&amp;__hssc=83084745.1.1590483935737&amp;__hsfp=2738147310" TargetMode="External"/><Relationship Id="rId623" Type="http://schemas.openxmlformats.org/officeDocument/2006/relationships/hyperlink" Target="https://resources.simonelectric.com/simon-catalogo-vehiculo-electrico" TargetMode="External"/><Relationship Id="rId622" Type="http://schemas.openxmlformats.org/officeDocument/2006/relationships/hyperlink" Target="https://resources.simonelectric.com/simon-catalogo-vehiculo-electrico?utm_campaign=SIC%20-%20Veh%C3%ADculo%20El%C3%A9ctrico&amp;utm_medium=email&amp;_hsenc=p2ANqtz-_NFBHOZ2AlpVZ3SRlf4hsE2c0mV_uhB7aLwNK3L-sbhGwg53sMgrO4zDqshDEYcL7G-I0ko0eF9GbrLBlSG7Rt8zYZgQ&amp;_hsmi=87865495&amp;utm_source=hs_automation&amp;utm_content=87865495&amp;hsCtaTracking=6fedf137-fd90-4f17-bfb4-d61f710ec7f8%7Cf2771843-6636-4969-9010-2d8d0389b89c" TargetMode="External"/><Relationship Id="rId621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_-3eD00OefccwO4BIf4veERxiiwcHjoeAWkjQ6X4BchB291LvyFSnCRs9Txwa8whNJaZ2kjgz3wqELVx8YShndBjnDbg&amp;_hsmi=71033675" TargetMode="External"/><Relationship Id="rId628" Type="http://schemas.openxmlformats.org/officeDocument/2006/relationships/hyperlink" Target="https://resources.simonelectric.com/simon-catalogo-vehiculo-electrico?__hstc=83084745.a3423243d5ac6826b3d0d87aa92f786a.1590465714560.1590465714560.1590465714560.1&amp;__hssc=83084745.12.1590465714560&amp;__hsfp=2738147310" TargetMode="External"/><Relationship Id="rId627" Type="http://schemas.openxmlformats.org/officeDocument/2006/relationships/hyperlink" Target="https://resources.simonelectric.com/simon-ebook-vehiculo-electrico?utm_campaign=SIC%20-%20Veh%C3%ADculo%20El%C3%A9ctrico&amp;utm_medium=email&amp;_hsenc=p2ANqtz-8on-9HvxGuU4WcV7wWBsfgir3ONnOV-wod60lXs0PV-m-6eXD3fc2oAgW9Kg7Y70faHh8uGwQf-7R6EMTc4J9Dq4BifA&amp;_hsmi=71033675&amp;utm_source=hs_automation&amp;utm_content=71033675&amp;hsCtaTracking=2e94ebfc-d414-4389-870c-d2f266a9420b%7C587ac4dc-a49a-4bdc-b449-e36f5d95395b" TargetMode="External"/><Relationship Id="rId626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" TargetMode="External"/><Relationship Id="rId625" Type="http://schemas.openxmlformats.org/officeDocument/2006/relationships/hyperlink" Target="https://resources.simonelectric.com/simon-material-formativo-vehiculo-electrico" TargetMode="External"/><Relationship Id="rId2780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970VQwIjkYDNxWKieuA6MchAzq3MS3Xy9Bgydmla8D8zlCG00ysHbZf24eAuIdq-DJbjxp_oU3bCzUdh-EQd43CeM1uQ&amp;_hsmi=71034014" TargetMode="External"/><Relationship Id="rId1450" Type="http://schemas.openxmlformats.org/officeDocument/2006/relationships/hyperlink" Target="https://resources.simonelectric.com/simon-catalogo-vehiculo-electrico?utm_campaign=SIC%20-%20Veh%C3%ADculo%20El%C3%A9ctrico&amp;utm_medium=email&amp;_hsenc=p2ANqtz-8SUUmHYFnOf9TH3mbi1sE7pV78aE1RCdr6kgHCzeTgG86IzK7XrQf4w1ZwUhOTIfwy-H0_&amp;_hsmi=87085302&amp;utm_content=87085302&amp;utm_source=hs_email&amp;hsCtaTracking=6fedf137-fd90-4f17-bfb4-d61f710ec7f8%7Cf2771843-6636-4969-9010-2d8d0389b89c" TargetMode="External"/><Relationship Id="rId2781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_FgTgZBGR6_e5vgrxyUkQlCKZ2bPk-O2_A_tqALzkaTiwPK9naDIqYcLLqEl9zhy697_hmCz-T1XNeMah1xBPALXnmqA&amp;_hsmi=71034014" TargetMode="External"/><Relationship Id="rId620" Type="http://schemas.openxmlformats.org/officeDocument/2006/relationships/hyperlink" Target="https://resources.simonelectric.com/simon-catalogo-vehiculo-electrico?utm_campaign=SIC%20-%20Veh%C3%ADculo%20El%C3%A9ctrico&amp;utm_medium=email&amp;_hsmi=87085363&amp;_hsenc=p2ANqtz--E5IJAyqrAWKzMDqclkfdTWc6dm9zb7KjoB1tyCK83k5FUoSX1ptADVGqYyud67N5WCsa_&amp;utm_content=87085363&amp;utm_source=hs_email" TargetMode="External"/><Relationship Id="rId1451" Type="http://schemas.openxmlformats.org/officeDocument/2006/relationships/hyperlink" Target="https://resources.simonelectric.com/simon-catalogo-vehiculo-electrico?utm_campaign=SIC%20-%20Veh%C3%ADculo%20El%C3%A9ctrico&amp;utm_medium=email&amp;_hsenc=p2ANqtz-_v2erVtbWYs-VbBrNFi8puEacl24VgKmm6MbmMlZjmM1XyWE1Z4sHmQu_cE71hry6CXVN7&amp;_hsmi=87085302&amp;utm_content=87085302&amp;utm_source=hs_email&amp;hsCtaTracking=6fedf137-fd90-4f17-bfb4-d61f710ec7f8%7Cf2771843-6636-4969-9010-2d8d0389b89c" TargetMode="External"/><Relationship Id="rId2782" Type="http://schemas.openxmlformats.org/officeDocument/2006/relationships/hyperlink" Target="https://resources.simonelectric.com/simon-ebook-vehiculo-electrico-0?gclid=EAIaIQobChMI69v0nPbU6AIVhI8bCh2kVgzvEAEYASAAEgLK8fD_BwE" TargetMode="External"/><Relationship Id="rId1452" Type="http://schemas.openxmlformats.org/officeDocument/2006/relationships/hyperlink" Target="https://resources.simonelectric.com/simon-catalogo-vehiculo-electrico?utm_campaign=SIC%20-%20Veh%C3%ADculo%20El%C3%A9ctrico&amp;utm_medium=email&amp;_hsenc=p2ANqtz-9Q4_LQvKS5zMZPwQUgId-deJtgG12JemyZlzGEL6a7H6tfUskvnrQVDEgQ9lqoXRsRgtlq&amp;_hsmi=87085302&amp;utm_content=87085302&amp;utm_source=hs_email&amp;hsCtaTracking=6fedf137-fd90-4f17-bfb4-d61f710ec7f8%7Cf2771843-6636-4969-9010-2d8d0389b89c" TargetMode="External"/><Relationship Id="rId2783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53" Type="http://schemas.openxmlformats.org/officeDocument/2006/relationships/hyperlink" Target="https://resources.simonelectric.com/simon-catalogo-vehiculo-electrico?utm_campaign=SIC%20-%20Veh%C3%ADculo%20El%C3%A9ctrico&amp;utm_medium=email&amp;_hsenc=p2ANqtz--3oF9lJpRMhb8zmQzXJhK04sPhEo1fl_Vtp1zC2dspQMNRvuzmXMxSWFrOMtY_hqF66EmI&amp;_hsmi=87085302&amp;utm_content=87085302&amp;utm_source=hs_email&amp;hsCtaTracking=6fedf137-fd90-4f17-bfb4-d61f710ec7f8%7Cf2771843-6636-4969-9010-2d8d0389b89c" TargetMode="External"/><Relationship Id="rId2784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9JvVhu74Y9tJvNKT_gTf1JI2NAvKV-Hema7ypKEq24nXbqbb6gZVAFddDYsZhIN1sg-rAl06G9_rO5phxFNUQHIymE-w&amp;_hsmi=71034014" TargetMode="External"/><Relationship Id="rId1454" Type="http://schemas.openxmlformats.org/officeDocument/2006/relationships/hyperlink" Target="https://resources.simonelectric.com/simon-catalogo-vehiculo-electrico?utm_campaign=SIC%20-%20Veh%C3%ADculo%20El%C3%A9ctrico&amp;utm_medium=email&amp;_hsenc=p2ANqtz-9ojRaJLzDqEAmdm4PwJKiQjSuIiJEn6WpljLdqVyLfRimlJGNyq33HTmjfpSOWyu0tcspv&amp;_hsmi=87085363&amp;utm_content=87085363&amp;utm_source=hs_email&amp;hsCtaTracking=6fedf137-fd90-4f17-bfb4-d61f710ec7f8%7Cf2771843-6636-4969-9010-2d8d0389b89c" TargetMode="External"/><Relationship Id="rId2785" Type="http://schemas.openxmlformats.org/officeDocument/2006/relationships/hyperlink" Target="https://resources.simonelectric.com/simon-ebook-vehiculo-electrico?utm_campaign=SIC%20-%20Veh%C3%ADculo%20El%C3%A9ctrico&amp;utm_medium=email&amp;_hsenc=p2ANqtz--eCxmGwJcEc9hlplZI4ZYRTazmNGSt7mSDfX8ZZJj1PhQWpOefMHV-B-ddeossfZ6ebteIYz07Y76xuapF4IqpQQYBzQ&amp;_hsmi=71033675&amp;utm_source=hs_automation&amp;utm_content=71033675&amp;hsCtaTracking=2e94ebfc-d414-4389-870c-d2f266a9420b%7C587ac4dc-a49a-4bdc-b449-e36f5d95395b" TargetMode="External"/><Relationship Id="rId1444" Type="http://schemas.openxmlformats.org/officeDocument/2006/relationships/hyperlink" Target="https://resources.simonelectric.com/simon-catalogo-vehiculo-electrico?utm_campaign=SIC%20-%20Veh%C3%ADculo%20El%C3%A9ctrico&amp;utm_medium=email&amp;_hsenc=p2ANqtz-_iMdyvFxd6PJ0cfD7FvZ-NYfeg1J6O75696SkU5pABWt7r71uNdVPH2jQxR-PdjMhZ3B4H&amp;_hsmi=87085363&amp;utm_content=87085363&amp;utm_source=hs_email&amp;hsCtaTracking=6fedf137-fd90-4f17-bfb4-d61f710ec7f8%7Cf2771843-6636-4969-9010-2d8d0389b89c" TargetMode="External"/><Relationship Id="rId2775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MEnkir8kv_Vq-znOyE6M_3B4AzTcErlaSqJ1NTuz4497HzTRqzvmBGs6yuGUZXM06fMOLHfHopQs_Vx7ZtBxT6w-GpA&amp;_hsmi=85165037" TargetMode="External"/><Relationship Id="rId1445" Type="http://schemas.openxmlformats.org/officeDocument/2006/relationships/hyperlink" Target="https://resources.simonelectric.com/simon-catalogo-vehiculo-electrico?utm_campaign=SIC%20-%20Veh%C3%ADculo%20El%C3%A9ctrico&amp;utm_medium=email&amp;_hsenc=p2ANqtz-8HVyQ6OKylFOGJ2V4_iRmb4DfeY84gJlTMpJvJOJe7YOCB-gfJ1__Rggmwq-6svmOxIS8C&amp;_hsmi=87085363&amp;utm_content=87085363&amp;utm_source=hs_email&amp;hsCtaTracking=6fedf137-fd90-4f17-bfb4-d61f710ec7f8%7Cf2771843-6636-4969-9010-2d8d0389b89c" TargetMode="External"/><Relationship Id="rId2776" Type="http://schemas.openxmlformats.org/officeDocument/2006/relationships/hyperlink" Target="https://resources.simonelectric.com/simon-catalogo-vehiculo-electrico?__hstc=83084745.1c5dd4903454e7b797fb64594cdcdb3d.1524557660518.1585747346969.1586268111110.40&amp;__hssc=83084745.4.1586268111110&amp;__hsfp=285415251" TargetMode="External"/><Relationship Id="rId1446" Type="http://schemas.openxmlformats.org/officeDocument/2006/relationships/hyperlink" Target="https://resources.simonelectric.com/simon-catalogo-vehiculo-electrico?utm_campaign=SIC%20-%20Veh%C3%ADculo%20El%C3%A9ctrico&amp;utm_medium=email&amp;_hsenc=p2ANqtz-9VLU6hah6sQ-UYOMQpLWYfR08SL9mcMtPKrW3vm4Qge4hE92jt-llbjVY-nZoAHtwn8RqC&amp;_hsmi=87085363&amp;utm_content=87085363&amp;utm_source=hs_email&amp;hsCtaTracking=6fedf137-fd90-4f17-bfb4-d61f710ec7f8%7Cf2771843-6636-4969-9010-2d8d0389b89c" TargetMode="External"/><Relationship Id="rId277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47" Type="http://schemas.openxmlformats.org/officeDocument/2006/relationships/hyperlink" Target="https://resources.simonelectric.com/simon-catalogo-vehiculo-electrico?utm_campaign=SIC%20-%20Veh%C3%ADculo%20El%C3%A9ctrico&amp;utm_medium=email&amp;_hsenc=p2ANqtz-8QPfWvvusfo_gp0BwrNWwwcXf89SLXOiFsjCY3JxdKuVZ2OWJGTRIz8lGCx66sKfMxzODN&amp;_hsmi=87085302&amp;utm_content=87085302&amp;utm_source=hs_email&amp;hsCtaTracking=6fedf137-fd90-4f17-bfb4-d61f710ec7f8%7Cf2771843-6636-4969-9010-2d8d0389b89c" TargetMode="External"/><Relationship Id="rId2778" Type="http://schemas.openxmlformats.org/officeDocument/2006/relationships/hyperlink" Target="https://resources.simonelectric.com/simon-ebook-vehiculo-electrico?utm_campaign=%23Simonentucasa&amp;utm_medium=email&amp;_hsenc=p2ANqtz--Y_7stRrWhygGRPscWQXFhFYRvM25ll7DrudTqgVVzIoHUVkukrerNgfZNldeiiyKer17jfvBTSY2nWgec0QAzXb0cRKVm5wALZqHsEOhSZOOPsnc&amp;_hsmi=85165037&amp;utm_source=hs_email&amp;utm_content=85165037&amp;hsCtaTracking=7e048f91-fedd-4131-939d-25771a4a2d12%7Cf6d6f061-2319-4b5b-89f8-8c89fca06239" TargetMode="External"/><Relationship Id="rId1448" Type="http://schemas.openxmlformats.org/officeDocument/2006/relationships/hyperlink" Target="https://resources.simonelectric.com/simon-catalogo-vehiculo-electrico?utm_campaign=SIC%20-%20Veh%C3%ADculo%20El%C3%A9ctrico&amp;utm_medium=email&amp;_hsenc=p2ANqtz-_tCqbFUw8eFa_ID_6xqF3jba7B68SNTR7Jl2CUQie05Mpmx8V8vxxSmyLgoXBOKqASZkUy&amp;_hsmi=87085363&amp;utm_content=87085363&amp;utm_source=hs_email&amp;hsCtaTracking=6fedf137-fd90-4f17-bfb4-d61f710ec7f8%7Cf2771843-6636-4969-9010-2d8d0389b89c" TargetMode="External"/><Relationship Id="rId277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49" Type="http://schemas.openxmlformats.org/officeDocument/2006/relationships/hyperlink" Target="https://resources.simonelectric.com/simon-catalogo-vehiculo-electrico?utm_campaign=SIC%20-%20Veh%C3%ADculo%20El%C3%A9ctrico&amp;utm_medium=email&amp;_hsenc=p2ANqtz-_f_0105BmyF2MHL26Tl1fnkFgJ1WdVDS9V-ZsOxS6FPPi1L8mU4WLVbpgUaGbwkxp5ebVu&amp;_hsmi=87085302&amp;utm_content=87085302&amp;utm_source=hs_email&amp;hsCtaTracking=6fedf137-fd90-4f17-bfb4-d61f710ec7f8%7Cf2771843-6636-4969-9010-2d8d0389b89c" TargetMode="External"/><Relationship Id="rId61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618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%3Futm_campaign%3DSIC%2520-%2520Veh%25C3%25ADculo%2520El%25C3%25A9ctrico%26utm_source%3Dhs_automation%26utm_medium%3Demail%26utm_content%3D71033996%26_hsenc%3Dp2ANqtz-9RHbTczXasOxiCVdUdFufvtTmlfhrbH2rRf-lkJdAnMiDO7doVBDjNJvAn_a8HbXCPmMS-thvV2tmgcsG8hgNXLeBgVw%26_hsmi%3D71033996" TargetMode="External"/><Relationship Id="rId61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61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61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61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61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61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61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61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770" Type="http://schemas.openxmlformats.org/officeDocument/2006/relationships/hyperlink" Target="https://resources.simonelectric.com/simon-catalogo-vehiculo-electrico" TargetMode="External"/><Relationship Id="rId1440" Type="http://schemas.openxmlformats.org/officeDocument/2006/relationships/hyperlink" Target="https://resources.simonelectric.com/simon-catalogo-vehiculo-electrico?utm_campaign=SIC%20-%20Veh%C3%ADculo%20El%C3%A9ctrico&amp;utm_medium=email&amp;_hsenc=p2ANqtz-9_L6zU6jbW5hwL0w_t0vtR-a9lV5eRTS4xtYJIocObhFRelzDv1Vkp_eQ6A3uwkG45RuxE&amp;_hsmi=87085363&amp;utm_content=87085363&amp;utm_source=hs_email&amp;hsCtaTracking=6fedf137-fd90-4f17-bfb4-d61f710ec7f8%7Cf2771843-6636-4969-9010-2d8d0389b89c" TargetMode="External"/><Relationship Id="rId2771" Type="http://schemas.openxmlformats.org/officeDocument/2006/relationships/hyperlink" Target="https://resources.simonelectric.com/simon-ebook-vehiculo-electrico" TargetMode="External"/><Relationship Id="rId1441" Type="http://schemas.openxmlformats.org/officeDocument/2006/relationships/hyperlink" Target="https://resources.simonelectric.com/simon-catalogo-vehiculo-electrico?utm_campaign=SIC%20-%20Veh%C3%ADculo%20El%C3%A9ctrico&amp;utm_medium=email&amp;_hsenc=p2ANqtz-9uiXY6bPYrHQf_HUOvl8hU68zb1mjr9lJyQD6FTAblZG-lONnmZIGb9yXVeIPn5irUfkjI&amp;_hsmi=87085302&amp;utm_content=87085302&amp;utm_source=hs_email&amp;hsCtaTracking=6fedf137-fd90-4f17-bfb4-d61f710ec7f8%7Cf2771843-6636-4969-9010-2d8d0389b89c" TargetMode="External"/><Relationship Id="rId2772" Type="http://schemas.openxmlformats.org/officeDocument/2006/relationships/hyperlink" Target="https://resources.simonelectric.com/simon-ebook-vehiculo-electrico" TargetMode="External"/><Relationship Id="rId1442" Type="http://schemas.openxmlformats.org/officeDocument/2006/relationships/hyperlink" Target="https://resources.simonelectric.com/simon-catalogo-vehiculo-electrico?utm_campaign=SIC%20-%20Veh%C3%ADculo%20El%C3%A9ctrico&amp;utm_medium=email&amp;_hsenc=p2ANqtz-_qANmUZK8E3O__prpXndRXYOhNB5qJxQKnW2jg0Sl3D-CqqvYtdoC98tZBVF3indKBXBx3&amp;_hsmi=87085363&amp;utm_content=87085363&amp;utm_source=hs_email&amp;hsCtaTracking=6fedf137-fd90-4f17-bfb4-d61f710ec7f8%7Cf2771843-6636-4969-9010-2d8d0389b89c" TargetMode="External"/><Relationship Id="rId2773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43" Type="http://schemas.openxmlformats.org/officeDocument/2006/relationships/hyperlink" Target="https://resources.simonelectric.com/simon-catalogo-vehiculo-electrico?utm_campaign=SIC%20-%20Veh%C3%ADculo%20El%C3%A9ctrico&amp;utm_medium=email&amp;_hsenc=p2ANqtz-9SGHOrazqRK8X8MAtGZcX12CjTPCaTzBkSPJFmhqvxxM1fqXE04FKZfg5XV9g4VkzRy69s&amp;_hsmi=87085363&amp;utm_content=87085363&amp;utm_source=hs_email&amp;hsCtaTracking=6fedf137-fd90-4f17-bfb4-d61f710ec7f8%7Cf2771843-6636-4969-9010-2d8d0389b89c" TargetMode="External"/><Relationship Id="rId277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477" Type="http://schemas.openxmlformats.org/officeDocument/2006/relationships/hyperlink" Target="https://resources.simonelectric.com/simon-catalogo-vehiculo-electrico?utm_campaign=SIC%20-%20Veh%C3%ADculo%20El%C3%A9ctrico&amp;utm_medium=email&amp;_hsenc=p2ANqtz-9AQ-sSbmTo3Ui0SswM_pZDUVcsYwWlDVvtPzjnlq5ZwA3x1EtKyS4AW_P01-r2TIIzPC3m&amp;_hsmi=87085363&amp;utm_content=87085363&amp;utm_source=hs_email&amp;hsCtaTracking=6fedf137-fd90-4f17-bfb4-d61f710ec7f8%7Cf2771843-6636-4969-9010-2d8d0389b89c" TargetMode="External"/><Relationship Id="rId1478" Type="http://schemas.openxmlformats.org/officeDocument/2006/relationships/hyperlink" Target="https://resources.simonelectric.com/simon-catalogo-vehiculo-electrico?utm_campaign=SIC%20-%20Veh%C3%ADculo%20El%C3%A9ctrico&amp;utm_medium=email&amp;_hsenc=p2ANqtz--tBvAGrwZ3gXkxezKMv48ufe4DY5Me4DSfbxHRihuwz-uZ57dizE2dtgMS24Cfu_2xkKrz&amp;_hsmi=87085363&amp;utm_content=87085363&amp;utm_source=hs_email&amp;hsCtaTracking=6fedf137-fd90-4f17-bfb4-d61f710ec7f8%7Cf2771843-6636-4969-9010-2d8d0389b89c" TargetMode="External"/><Relationship Id="rId147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64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645" Type="http://schemas.openxmlformats.org/officeDocument/2006/relationships/hyperlink" Target="https://resources.simonelectric.com/simon-ebook-vehiculo-electrico?utm_campaign=SIC%20-%20Veh%C3%ADculo%20El%C3%A9ctrico&amp;utm_medium=email&amp;_hsenc=p2ANqtz-9WMPzWhf7elY9XrDQ6ZY1PzAb0_NqtESNLHJHEZYXQ2FhbPPG8-n-Hfa5T4C4Zvvo73ew-3z9aLkevfNpbGVettN_OE0mIDaRbTBjuMux-F_LryZY&amp;_hsmi=71033675&amp;utm_source=hs_automation&amp;utm_content=71033675&amp;hsCtaTracking=2e94ebfc-d414-4389-870c-d2f266a9420b%7C587ac4dc-a49a-4bdc-b449-e36f5d95395b" TargetMode="External"/><Relationship Id="rId644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9wjzgJDMZS-bOXbb1nVE_NwUUPf9Ro4uf9Ku-y4tGwQ9tPB7vaxO-LPjvG-KFCvrcp8igtL3nAWUwh9hoxHx1VnsqCFg&amp;_hsmi=71034014" TargetMode="External"/><Relationship Id="rId643" Type="http://schemas.openxmlformats.org/officeDocument/2006/relationships/hyperlink" Target="https://resources.simonelectric.com/simon-ebook-vehiculo-electrico?utm_campaign=SIC%20-%20Veh%C3%ADculo%20El%C3%A9ctrico&amp;utm_medium=email&amp;_hsenc=p2ANqtz-_UkPKhrEVvAD_bOZqZaDmKdE1lOcSV-quBGfJp_Mbopp5oaCDPp7_abjMlE3Av60j5PoUbX1FDrdcHTJXSivlYicdQbyMgSTX34BPZ_WPobnmN1QQ&amp;_hsmi=71033675&amp;utm_source=hs_automation&amp;utm_content=71033675&amp;hsCtaTracking=2e94ebfc-d414-4389-870c-d2f266a9420b%7C587ac4dc-a49a-4bdc-b449-e36f5d95395b" TargetMode="External"/><Relationship Id="rId649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9UcvRolGGv_LNFjRR6CcFP95oJrgkZkOoSrz5JPavFVpQRNUIMpJ6pH9tZWVmzQZirb8eKGEdZA2ZTv0iqT4qxFqH5cg&amp;_hsmi=71033675" TargetMode="External"/><Relationship Id="rId648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95H8SBQYQPRqeUz2WWSrfRTY8x8KVDmbv31YXSH4Epnqicxdmj6xx1mWz4Pzg-trCh99EPy6xUsXIJdxFf4LyZ60SRLB-sDZfjmJi9REY8hn2R9Yc&amp;_hsmi=71033675" TargetMode="External"/><Relationship Id="rId647" Type="http://schemas.openxmlformats.org/officeDocument/2006/relationships/hyperlink" Target="https://resources.simonelectric.com/simon-ebook-vehiculo-electrico?utm_campaign=SIC%20-%20Veh%C3%ADculo%20El%C3%A9ctrico&amp;utm_medium=email&amp;_hsenc=p2ANqtz-8T0r5H9UWaAPuAqvwObkz7KHvgWSq86CtNx7PPQAMCeouogzQvIa0Ym1qI3rlDu9f-CA25hHBLiaY0Q-RdOEIfOVbRrA&amp;_hsmi=71033675&amp;utm_source=hs_automation&amp;utm_content=71033675&amp;hsCtaTracking=2e94ebfc-d414-4389-870c-d2f266a9420b%7C587ac4dc-a49a-4bdc-b449-e36f5d95395b" TargetMode="External"/><Relationship Id="rId1470" Type="http://schemas.openxmlformats.org/officeDocument/2006/relationships/hyperlink" Target="https://resources.simonelectric.com/simon-catalogo-vehiculo-electrico?utm_campaign=SIC%20-%20Veh%C3%ADculo%20El%C3%A9ctrico&amp;utm_medium=email&amp;_hsenc=p2ANqtz--Rn6H2ZHaph1DvfOf9aZPp16b_VgXJ7DLZhNX3mHclayOzMkr9LE4Xt87_pN5PJc-g2yIL&amp;_hsmi=87085302&amp;utm_content=87085302&amp;utm_source=hs_email&amp;hsCtaTracking=6fedf137-fd90-4f17-bfb4-d61f710ec7f8%7Cf2771843-6636-4969-9010-2d8d0389b89c" TargetMode="External"/><Relationship Id="rId1471" Type="http://schemas.openxmlformats.org/officeDocument/2006/relationships/hyperlink" Target="https://resources.simonelectric.com/simon-catalogo-vehiculo-electrico?utm_campaign=SIC%20-%20Veh%C3%ADculo%20El%C3%A9ctrico&amp;utm_medium=email&amp;_hsmi=87085302&amp;_hsenc=p2ANqtz-9aE16cCoPV-ybHB6Xf3Qv0dn3Q_t5uyzxOKROXdwwptK-7dGMjU5rrdFyENc9NbeYn7Z4H&amp;utm_content=87085302&amp;utm_source=hs_email" TargetMode="External"/><Relationship Id="rId1472" Type="http://schemas.openxmlformats.org/officeDocument/2006/relationships/hyperlink" Target="https://resources.simonelectric.com/simon-catalogo-vehiculo-electrico?utm_campaign=SIC%20-%20Veh%C3%ADculo%20El%C3%A9ctrico&amp;utm_medium=email&amp;_hsenc=p2ANqtz--Y2GcIwmKsOlFPN0rPIftdMwhCHnlfAJNcRkJVg27-epMK4IHYbvkoHlCWKjSl3ZzihKMy&amp;_hsmi=87085363&amp;utm_content=87085363&amp;utm_source=hs_email&amp;hsCtaTracking=6fedf137-fd90-4f17-bfb4-d61f710ec7f8%7Cf2771843-6636-4969-9010-2d8d0389b89c" TargetMode="External"/><Relationship Id="rId642" Type="http://schemas.openxmlformats.org/officeDocument/2006/relationships/hyperlink" Target="https://resources.simonelectric.com/simon-ebook-vehiculo-electrico?utm_campaign=SIC%20-%20Veh%C3%ADculo%20El%C3%A9ctrico&amp;utm_medium=email&amp;_hsenc=p2ANqtz-9lA6O7zO9q1gO94RII7jY3RivnYxP9rFhqCq9HKfxE5Dk598OCteks_fwvw4IgJCdKsi8ofCmzzYXZTtTh2Qi6mQ7HfXieqiMVuf23oFbjEtlEKL0&amp;_hsmi=71033675&amp;utm_source=hs_automation&amp;utm_content=71033675&amp;hsCtaTracking=2e94ebfc-d414-4389-870c-d2f266a9420b%7C587ac4dc-a49a-4bdc-b449-e36f5d95395b" TargetMode="External"/><Relationship Id="rId1473" Type="http://schemas.openxmlformats.org/officeDocument/2006/relationships/hyperlink" Target="https://resources.simonelectric.com/simon-catalogo-vehiculo-electrico?utm_campaign=SIC%20-%20Veh%C3%ADculo%20El%C3%A9ctrico&amp;utm_medium=email&amp;_hsenc=p2ANqtz-_SXEewpyAAzqqAPG0s9VbAB8csTSrwpmgfvm6e54xgPi-RlIzmfMbQXOgTWZFQt8g5BurB&amp;_hsmi=87085302&amp;utm_content=87085302&amp;utm_source=hs_email&amp;hsCtaTracking=6fedf137-fd90-4f17-bfb4-d61f710ec7f8%7Cf2771843-6636-4969-9010-2d8d0389b89c" TargetMode="External"/><Relationship Id="rId641" Type="http://schemas.openxmlformats.org/officeDocument/2006/relationships/hyperlink" Target="https://resources.simonelectric.com/simon-ebook-vehiculo-electrico?utm_campaign=SIC%20-%20Veh%C3%ADculo%20El%C3%A9ctrico&amp;utm_medium=email&amp;_hsenc=p2ANqtz-9Z6SDvPOF-8bTrcW2BI0lOf5emZj66SySMkLhtCBzz6fo6vmbsgXxe11tSYO_dsMXrutgp5vdN64-ivy8iwJ0MH5aszA&amp;_hsmi=71033675&amp;utm_source=hs_automation&amp;utm_content=71033675&amp;hsCtaTracking=2e94ebfc-d414-4389-870c-d2f266a9420b%7C587ac4dc-a49a-4bdc-b449-e36f5d95395b" TargetMode="External"/><Relationship Id="rId1474" Type="http://schemas.openxmlformats.org/officeDocument/2006/relationships/hyperlink" Target="https://resources.simonelectric.com/simon-catalogo-vehiculo-electrico?utm_campaign=SIC%20-%20Veh%C3%ADculo%20El%C3%A9ctrico&amp;utm_medium=email&amp;_hsenc=p2ANqtz-8SxEXbVpNOWlEk-SXlJLdOjDwBwG4fmsuAeTJCRwRU7DO8v1g5Chhuzym0qjnLdwdKFUsP&amp;_hsmi=87085302&amp;utm_content=87085302&amp;utm_source=hs_email&amp;hsCtaTracking=6fedf137-fd90-4f17-bfb4-d61f710ec7f8%7Cf2771843-6636-4969-9010-2d8d0389b89c" TargetMode="External"/><Relationship Id="rId640" Type="http://schemas.openxmlformats.org/officeDocument/2006/relationships/hyperlink" Target="https://resources.simonelectric.com/simon-ebook-vehiculo-electrico?utm_campaign=SIC%20-%20Veh%C3%ADculo%20El%C3%A9ctrico&amp;utm_medium=email&amp;_hsenc=p2ANqtz-8VvO1Mi3CCMjRXxevzoEDcyqyUGkdUR7x1_3aSp_puomnFlovBlQMjcGwI9q4lHh7zJCwEtRrM7RcpNygoO02g3QAduA&amp;_hsmi=71033675&amp;utm_source=hs_automation&amp;utm_content=71033675&amp;hsCtaTracking=2e94ebfc-d414-4389-870c-d2f266a9420b%7C587ac4dc-a49a-4bdc-b449-e36f5d95395b" TargetMode="External"/><Relationship Id="rId1475" Type="http://schemas.openxmlformats.org/officeDocument/2006/relationships/hyperlink" Target="https://resources.simonelectric.com/simon-catalogo-vehiculo-electrico?utm_campaign=SIC%20-%20Veh%C3%ADculo%20El%C3%A9ctrico&amp;utm_medium=email&amp;_hsenc=p2ANqtz--oiP4qEf9mkRTUKlxQZW-CyUau7YQ7OndP56Hs8OHSGt-npNJSHslPNYOdsDFzIvM6A9cP&amp;_hsmi=87085363&amp;utm_content=87085363&amp;utm_source=hs_email&amp;hsCtaTracking=6fedf137-fd90-4f17-bfb4-d61f710ec7f8%7Cf2771843-6636-4969-9010-2d8d0389b89c" TargetMode="External"/><Relationship Id="rId1476" Type="http://schemas.openxmlformats.org/officeDocument/2006/relationships/hyperlink" Target="https://resources.simonelectric.com/simon-catalogo-vehiculo-electrico?utm_campaign=SIC%20-%20Veh%C3%ADculo%20El%C3%A9ctrico&amp;utm_medium=email&amp;_hsenc=p2ANqtz-80oF0bIKTz3uXRhpOOxGXS5-2ztvTdqEQ1FQg4F6IzRwRQlOZkO-EmW3qdvwnSXtHdWjx5&amp;_hsmi=87085363&amp;utm_content=87085363&amp;utm_source=hs_email&amp;hsCtaTracking=6fedf137-fd90-4f17-bfb4-d61f710ec7f8%7Cf2771843-6636-4969-9010-2d8d0389b89c" TargetMode="External"/><Relationship Id="rId1466" Type="http://schemas.openxmlformats.org/officeDocument/2006/relationships/hyperlink" Target="https://resources.simonelectric.com/simon-catalogo-vehiculo-electrico?utm_campaign=SIC%20-%20Veh%C3%ADculo%20El%C3%A9ctrico&amp;utm_medium=email&amp;_hsenc=p2ANqtz-_L7mX-rOOXbd5m01NwfovZI_hDy_7xUxSgUS6qW55MZfIRV2jWnK-iTuc8OS8BLfhM29P0&amp;_hsmi=87085363&amp;utm_content=87085363&amp;utm_source=hs_email&amp;hsCtaTracking=6fedf137-fd90-4f17-bfb4-d61f710ec7f8%7Cf2771843-6636-4969-9010-2d8d0389b89c" TargetMode="External"/><Relationship Id="rId2797" Type="http://schemas.openxmlformats.org/officeDocument/2006/relationships/hyperlink" Target="https://resources.simonelectric.com/simon-catalogo-vehiculo-electrico?__hstc=83084745.e4bae13ab899aacbe890c7b3c13fe4b8.1568972839880.1584013388450.1586170394628.4&amp;__hssc=83084745.1.1586170394628&amp;__hsfp=285415251" TargetMode="External"/><Relationship Id="rId1467" Type="http://schemas.openxmlformats.org/officeDocument/2006/relationships/hyperlink" Target="https://resources.simonelectric.com/simon-catalogo-vehiculo-electrico?utm_campaign=SIC%20-%20Veh%C3%ADculo%20El%C3%A9ctrico&amp;utm_medium=email&amp;_hsenc=p2ANqtz-9AAU4cLJaKjfzEI-fqc4vWDX-y1R9Uadrm8nVp2aXM4q0aWV2U7C6BaP0zudZr3ysauQ5-&amp;_hsmi=87085363&amp;utm_content=87085363&amp;utm_source=hs_email&amp;hsCtaTracking=6fedf137-fd90-4f17-bfb4-d61f710ec7f8%7Cf2771843-6636-4969-9010-2d8d0389b89c" TargetMode="External"/><Relationship Id="rId2798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90N5eTaOe9Gibkg4QQuLaDq_OU-SuBfewRES_-bwjVA7G7zsVlRdZhb2e9zMTllMxzE1yBv_vPGt_9B7blS1Kk67-XIQ&amp;_hsmi=71034014" TargetMode="External"/><Relationship Id="rId1468" Type="http://schemas.openxmlformats.org/officeDocument/2006/relationships/hyperlink" Target="https://resources.simonelectric.com/simon-catalogo-vehiculo-electrico?utm_campaign=SIC%20-%20Veh%C3%ADculo%20El%C3%A9ctrico&amp;utm_medium=email&amp;_hsenc=p2ANqtz--yjmORvOjSBjVKpm1Jq8Xu2Q2r1VYwJTyVEA4CYHCMwFLqpUJsCSD8QGInnIvi8XgfiEGn&amp;_hsmi=87085363&amp;utm_content=87085363&amp;utm_source=hs_email&amp;hsCtaTracking=6fedf137-fd90-4f17-bfb4-d61f710ec7f8%7Cf2771843-6636-4969-9010-2d8d0389b89c" TargetMode="External"/><Relationship Id="rId279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469" Type="http://schemas.openxmlformats.org/officeDocument/2006/relationships/hyperlink" Target="https://resources.simonelectric.com/simon-catalogo-vehiculo-electrico?utm_campaign=SIC%20-%20Veh%C3%ADculo%20El%C3%A9ctrico&amp;utm_medium=email&amp;_hsenc=p2ANqtz-98a1k7cDm-UJNz5aQjcfFfNpe6g-4yOI83RisypTSmlYv63f2a8nUB3wefmhGT7JZyBESY&amp;_hsmi=87085363&amp;utm_content=87085363&amp;utm_source=hs_email&amp;hsCtaTracking=6fedf137-fd90-4f17-bfb4-d61f710ec7f8%7Cf2771843-6636-4969-9010-2d8d0389b89c" TargetMode="External"/><Relationship Id="rId635" Type="http://schemas.openxmlformats.org/officeDocument/2006/relationships/hyperlink" Target="https://resources.simonelectric.com/simon-ebook-vehiculo-electrico?utm_campaign=SIC%20-%20Veh%C3%ADculo%20El%C3%A9ctrico&amp;utm_medium=email&amp;_hsenc=p2ANqtz-_4EAq2pNykBnU4P2O6gT_n6ur0RfRrY6sSh-L9zYkZS1VM4QDntZ44WtH1iBrtaicsChXFMXTJYQ5-_5uXnV-5kD098Q&amp;_hsmi=71033675&amp;utm_source=hs_automation&amp;utm_content=71033675&amp;hsCtaTracking=2e94ebfc-d414-4389-870c-d2f266a9420b%7C587ac4dc-a49a-4bdc-b449-e36f5d95395b" TargetMode="External"/><Relationship Id="rId634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-6OM11wI3ke2DBNtE7gNwcZRwXi0OdZPllc9f702Hc8nGAd6u50OCgfOIGA6hyAAHspNBWWaV5Yl_NfFBce4qvZR-fXKycmOGB8vCxNLcj9p-tioY&amp;_hsmi=71033675" TargetMode="External"/><Relationship Id="rId633" Type="http://schemas.openxmlformats.org/officeDocument/2006/relationships/hyperlink" Target="https://resources.simonelectric.com/simon-ebook-vehiculo-electrico?utm_campaign=SIC%20-%20Veh%C3%ADculo%20El%C3%A9ctrico&amp;utm_medium=email&amp;_hsenc=p2ANqtz-8gF_oOqXbGuKLMQ5aadkAye6HpLOlqdyx2qmexROvWqshWl1EWqABVtcl5jh_FUjWqWznf6V2Epswgrbb4--m_ZIa_jw&amp;_hsmi=71033675&amp;utm_source=hs_automation&amp;utm_content=71033675&amp;hsCtaTracking=2e94ebfc-d414-4389-870c-d2f266a9420b%7C587ac4dc-a49a-4bdc-b449-e36f5d95395b" TargetMode="External"/><Relationship Id="rId63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639" Type="http://schemas.openxmlformats.org/officeDocument/2006/relationships/hyperlink" Target="https://resources.simonelectric.com/simon-ebook-vehiculo-electrico?utm_campaign=SIC%20-%20Veh%C3%ADculo%20El%C3%A9ctrico&amp;utm_medium=email&amp;_hsenc=p2ANqtz-9fKjLHkpFR7XsjHAU4V47ursOq3eHAsu1hv8WUU0BGlF8SWrT9lbY4M_0cWzSsaCOHSD4NzBAIkVQDvn5fv1P6M_q-Gw&amp;_hsmi=71033675&amp;utm_source=hs_automation&amp;utm_content=71033675&amp;hsCtaTracking=2e94ebfc-d414-4389-870c-d2f266a9420b%7C587ac4dc-a49a-4bdc-b449-e36f5d95395b" TargetMode="External"/><Relationship Id="rId638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9b3pNIEzUekbQwYjDpI95LhDTkCw8yW_olUH8WxX3M_1uIP1YpuIdP3REt0B1TJBJwMMvU2gjAgk0x8JuNcfewGSpWbQ&amp;_hsmi=71033675" TargetMode="External"/><Relationship Id="rId63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636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_KmZtvjWAvxTLSqYAcuYLeWzfXiLLEB7pu3cGFLR-xzDzi3ZLnRjX0AIk7tdJG7s_uoMyeMySUPuqmu7Exfl7SXviKLpv-rBT5bRe_e4E8PTKlWBs&amp;_hsmi=71033675" TargetMode="External"/><Relationship Id="rId279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60" Type="http://schemas.openxmlformats.org/officeDocument/2006/relationships/hyperlink" Target="https://resources.simonelectric.com/simon-catalogo-vehiculo-electrico?utm_campaign=SIC%20-%20Veh%C3%ADculo%20El%C3%A9ctrico&amp;utm_medium=email&amp;_hsenc=p2ANqtz--wFR_qY-y7EHXGS3RyGR3866_lbe_3c5cs9LWeBQpvI079-umj302FQbFuTNvH6rOHA-mk&amp;_hsmi=87085302&amp;utm_content=87085302&amp;utm_source=hs_email&amp;hsCtaTracking=6fedf137-fd90-4f17-bfb4-d61f710ec7f8%7Cf2771843-6636-4969-9010-2d8d0389b89c" TargetMode="External"/><Relationship Id="rId2791" Type="http://schemas.openxmlformats.org/officeDocument/2006/relationships/hyperlink" Target="https://resources.simonelectric.com/simon-catalogo-vehiculo-electrico?__hstc=83084745.ecce4b4148567aed7541a5d8006fd546.1586176466434.1586176466434.1586176466434.1&amp;__hssc=83084745.5.1586176466434&amp;__hsfp=905620248" TargetMode="External"/><Relationship Id="rId1461" Type="http://schemas.openxmlformats.org/officeDocument/2006/relationships/hyperlink" Target="https://resources.simonelectric.com/simon-catalogo-vehiculo-electrico?utm_campaign=SIC%20-%20Veh%C3%ADculo%20El%C3%A9ctrico&amp;utm_medium=email&amp;_hsenc=p2ANqtz-9D09_FIKcrgULNJER7CkCNLyDtLkKMi7YiB5z8zdBViuq0ns3SV17zTu_DKxNdKDMyFeeZ&amp;_hsmi=87085302&amp;utm_content=87085302&amp;utm_source=hs_email&amp;hsCtaTracking=6fedf137-fd90-4f17-bfb4-d61f710ec7f8%7Cf2771843-6636-4969-9010-2d8d0389b89c" TargetMode="External"/><Relationship Id="rId2792" Type="http://schemas.openxmlformats.org/officeDocument/2006/relationships/hyperlink" Target="https://resources.simonelectric.com/simon-ebook-vehiculo-electrico?utm_campaign=SIC%20-%20Veh%C3%ADculo%20El%C3%A9ctrico&amp;utm_medium=email&amp;_hsenc=p2ANqtz-99k5Lz1oW7jIE3Tq4emFD3RX1GHTlgIGsrkJcXbE3hrepNpXzl3ZEZdtWs-JnDqnJ0KwiuC5Qoi_XN71OTR3Sje63IkEMvXd5S4n8XsLFlZl_cwe0&amp;_hsmi=71033675&amp;utm_source=hs_automation&amp;utm_content=71033675&amp;hsCtaTracking=2e94ebfc-d414-4389-870c-d2f266a9420b%7C587ac4dc-a49a-4bdc-b449-e36f5d95395b" TargetMode="External"/><Relationship Id="rId63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462" Type="http://schemas.openxmlformats.org/officeDocument/2006/relationships/hyperlink" Target="https://resources.simonelectric.com/simon-catalogo-vehiculo-electrico?utm_campaign=SIC%20-%20Veh%C3%ADculo%20El%C3%A9ctrico&amp;utm_medium=email&amp;_hsenc=p2ANqtz-8WaGEzSP3UEtp1bxPqUvnz8LUG6hJF779cNpDmH-EzVy64mZbD9fBtNTKXLJh57ZQlf1HU&amp;_hsmi=87085363&amp;utm_content=87085363&amp;utm_source=hs_email&amp;hsCtaTracking=6fedf137-fd90-4f17-bfb4-d61f710ec7f8%7Cf2771843-6636-4969-9010-2d8d0389b89c" TargetMode="External"/><Relationship Id="rId2793" Type="http://schemas.openxmlformats.org/officeDocument/2006/relationships/hyperlink" Target="https://resources.simonelectric.com/simon-catalogo-vehiculo-electrico?__hstc=83084745.2640b34dae8d3e359ec3de2039f1af4d.1586171193248.1586171193248.1586171193248.1&amp;__hssc=83084745.3.1586171193249&amp;__hsfp=1159522144" TargetMode="External"/><Relationship Id="rId63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463" Type="http://schemas.openxmlformats.org/officeDocument/2006/relationships/hyperlink" Target="https://resources.simonelectric.com/simon-catalogo-vehiculo-electrico?utm_campaign=SIC%20-%20Veh%C3%ADculo%20El%C3%A9ctrico&amp;utm_medium=email&amp;_hsenc=p2ANqtz-8CjEhxgj39NHT3uV5oQhBllorej_V5luf9pFKlw18H8N4ducsgNvjQJfSC-jbcsg2M-teW&amp;_hsmi=87085302&amp;utm_content=87085302&amp;utm_source=hs_email&amp;hsCtaTracking=6fedf137-fd90-4f17-bfb4-d61f710ec7f8%7Cf2771843-6636-4969-9010-2d8d0389b89c" TargetMode="External"/><Relationship Id="rId2794" Type="http://schemas.openxmlformats.org/officeDocument/2006/relationships/hyperlink" Target="https://resources.simonelectric.com/simon-ebook-vehiculo-electrico" TargetMode="External"/><Relationship Id="rId1464" Type="http://schemas.openxmlformats.org/officeDocument/2006/relationships/hyperlink" Target="https://resources.simonelectric.com/simon-catalogo-vehiculo-electrico?utm_campaign=SIC%20-%20Veh%C3%ADculo%20El%C3%A9ctrico&amp;utm_medium=email&amp;_hsenc=p2ANqtz-8IeVHRnfp0mtioqPxV1lRLM4SMa9JEbB1xiiAU9bQKVLoXaeXhzmzGL-s6Zvl3-3iVwQIt&amp;_hsmi=87085302&amp;utm_content=87085302&amp;utm_source=hs_email&amp;hsCtaTracking=6fedf137-fd90-4f17-bfb4-d61f710ec7f8%7Cf2771843-6636-4969-9010-2d8d0389b89c" TargetMode="External"/><Relationship Id="rId279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65" Type="http://schemas.openxmlformats.org/officeDocument/2006/relationships/hyperlink" Target="https://resources.simonelectric.com/simon-catalogo-vehiculo-electrico?utm_campaign=SIC%20-%20Veh%C3%ADculo%20El%C3%A9ctrico&amp;utm_medium=email&amp;_hsenc=p2ANqtz--9A702z_TfeGoTQFHczpqZfL16Is6ztcgScejy4Cclh-licjZcReQ_id74FUboNdYZdouJ&amp;_hsmi=87085363&amp;utm_content=87085363&amp;utm_source=hs_email&amp;hsCtaTracking=6fedf137-fd90-4f17-bfb4-d61f710ec7f8%7Cf2771843-6636-4969-9010-2d8d0389b89c" TargetMode="External"/><Relationship Id="rId2796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99k5Lz1oW7jIE3Tq4emFD3RX1GHTlgIGsrkJcXbE3hrepNpXzl3ZEZdtWs-JnDqnJ0KwiuC5Qoi_XN71OTR3Sje63IkEMvXd5S4n8XsLFlZl_cwe0&amp;_hsmi=71033675" TargetMode="External"/><Relationship Id="rId1411" Type="http://schemas.openxmlformats.org/officeDocument/2006/relationships/hyperlink" Target="https://resources.simonelectric.com/simon-catalogo-vehiculo-electrico?utm_campaign=SIC%20-%20Veh%C3%ADculo%20El%C3%A9ctrico&amp;utm_medium=email&amp;_hsenc=p2ANqtz-9GeNe7SF8VMO0AoOkFU4gBoQm1R8ZOIvbc5jWb3X7GJDz-4F5ULv5jEz6CxuUizUaazMHC&amp;_hsmi=87085302&amp;utm_content=87085302&amp;utm_source=hs_email&amp;hsCtaTracking=6fedf137-fd90-4f17-bfb4-d61f710ec7f8%7Cf2771843-6636-4969-9010-2d8d0389b89c" TargetMode="External"/><Relationship Id="rId274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12" Type="http://schemas.openxmlformats.org/officeDocument/2006/relationships/hyperlink" Target="https://resources.simonelectric.com/simon-catalogo-vehiculo-electrico?utm_campaign=SIC%20-%20Veh%C3%ADculo%20El%C3%A9ctrico&amp;utm_medium=email&amp;_hsenc=p2ANqtz-96DP43MICxfQeyctw6anzDGfWjLjNxizkc8Yezg6JSydYmEoNniHXC2s3ohG4wyXZxc3a0&amp;_hsmi=87085363&amp;utm_content=87085363&amp;utm_source=hs_email&amp;hsCtaTracking=6fedf137-fd90-4f17-bfb4-d61f710ec7f8%7Cf2771843-6636-4969-9010-2d8d0389b89c" TargetMode="External"/><Relationship Id="rId2743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13" Type="http://schemas.openxmlformats.org/officeDocument/2006/relationships/hyperlink" Target="https://resources.simonelectric.com/simon-ebook-vehiculo-electrico-0?gclid=Cj0KCQjw7qn1BRDqARIsAKMbHDbz2Xt8QK5qJwG2QaXWl17Ae2cGb2FjKpwmBdjh6CZVPZK_TJCQ_OsaAkocEALw_wcB" TargetMode="External"/><Relationship Id="rId274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14" Type="http://schemas.openxmlformats.org/officeDocument/2006/relationships/hyperlink" Target="https://resources.simonelectric.com/simon-catalogo-vehiculo-electrico?utm_campaign=SIC%20-%20Veh%C3%ADculo%20El%C3%A9ctrico&amp;utm_medium=email&amp;_hsenc=p2ANqtz-9Ep_tNp5y3ujzNL1lZxVKGyo9_tRYwJjkKByfsO9k1U3T8IRgRJhlP_4Cg6-DGbWl3bSFE&amp;_hsmi=87085363&amp;utm_content=87085363&amp;utm_source=hs_email&amp;hsCtaTracking=6fedf137-fd90-4f17-bfb4-d61f710ec7f8%7Cf2771843-6636-4969-9010-2d8d0389b89c" TargetMode="External"/><Relationship Id="rId274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15" Type="http://schemas.openxmlformats.org/officeDocument/2006/relationships/hyperlink" Target="https://resources.simonelectric.com/simon-catalogo-vehiculo-electrico?utm_campaign=SIC%20-%20Veh%C3%ADculo%20El%C3%A9ctrico&amp;utm_medium=email&amp;_hsenc=p2ANqtz--G6EU53tdEX__q8UX_oCBVC4ixykD4qzZx1LsnCPgV4_M75kOmjt3ae_euFqZRUyTg3u2d&amp;_hsmi=87085363&amp;utm_content=87085363&amp;utm_source=hs_email&amp;hsCtaTracking=6fedf137-fd90-4f17-bfb4-d61f710ec7f8%7Cf2771843-6636-4969-9010-2d8d0389b89c" TargetMode="External"/><Relationship Id="rId274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16" Type="http://schemas.openxmlformats.org/officeDocument/2006/relationships/hyperlink" Target="https://resources.simonelectric.com/simon-catalogo-vehiculo-electrico?utm_campaign=SIC%20-%20Veh%C3%ADculo%20El%C3%A9ctrico&amp;utm_medium=email&amp;_hsenc=p2ANqtz-9xoeY4m7OZKvGQvAKvuyNwFySb2ppl45dAA16RFGkxl2d2dTp_LeeYm3YdnbJugaMRn1eD&amp;_hsmi=87085302&amp;utm_content=87085302&amp;utm_source=hs_email&amp;hsCtaTracking=6fedf137-fd90-4f17-bfb4-d61f710ec7f8%7Cf2771843-6636-4969-9010-2d8d0389b89c" TargetMode="External"/><Relationship Id="rId274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417" Type="http://schemas.openxmlformats.org/officeDocument/2006/relationships/hyperlink" Target="https://resources.simonelectric.com/simon-catalogo-vehiculo-electrico?utm_campaign=SIC%20-%20Veh%C3%ADculo%20El%C3%A9ctrico&amp;utm_medium=email&amp;_hsenc=p2ANqtz-8loTsuI03ZgDX4P1zV-AtKbNVLaAlwE2VUVc79AscrMtVeJTQ7hkiH7NWSRvhuwFHZsUkh&amp;_hsmi=87085363&amp;utm_content=87085363&amp;utm_source=hs_email&amp;hsCtaTracking=6fedf137-fd90-4f17-bfb4-d61f710ec7f8%7Cf2771843-6636-4969-9010-2d8d0389b89c" TargetMode="External"/><Relationship Id="rId2748" Type="http://schemas.openxmlformats.org/officeDocument/2006/relationships/hyperlink" Target="https://resources.simonelectric.com/simon-ebook-vehiculo-electrico?utm_campaign=SIC%20-%20Veh%C3%ADculo%20El%C3%A9ctrico&amp;utm_medium=email&amp;_hsenc=p2ANqtz-9PEMD77RLZ4UOePbM8cqBNuMDXK04LT5kO_BL9PNy1TrqtPJ2Dq038QOPZTnlo8r4NPpt93hBlMmyWeHjA70QqvIEhdA&amp;_hsmi=71033675&amp;utm_source=hs_automation&amp;utm_content=71033675&amp;hsCtaTracking=2e94ebfc-d414-4389-870c-d2f266a9420b%7C587ac4dc-a49a-4bdc-b449-e36f5d95395b" TargetMode="External"/><Relationship Id="rId1418" Type="http://schemas.openxmlformats.org/officeDocument/2006/relationships/hyperlink" Target="https://resources.simonelectric.com/simon-catalogo-vehiculo-electrico?utm_campaign=SIC%20-%20Veh%C3%ADculo%20El%C3%A9ctrico&amp;utm_medium=email&amp;_hsenc=p2ANqtz-8rxH1j-_fhwWwzGks51jTVCVFlu1qTlCTx_VrbJaG_4KnwqMS51AEak0gLb98Y14GQeb3vXHXGc5qN6Pzmvz6sIEi7mg&amp;utm_source=hs_email&amp;utm_content=87085363&amp;hsCtaTracking=6fedf137-fd90-4f17-bfb4-d61f710ec7f8%7Cf2771843-6636-4969-9010-2d8d0389b89c" TargetMode="External"/><Relationship Id="rId2749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9PoBiDTORpOInSJJhRDuPJonidR3SiW6FCd27Ff2p_zuvD1IL-3C9v_mfhwn8VIpRluDYyXQ6HPye2xAPLE8ejfaHl5A&amp;_hsmi=71033675" TargetMode="External"/><Relationship Id="rId1419" Type="http://schemas.openxmlformats.org/officeDocument/2006/relationships/hyperlink" Target="https://resources.simonelectric.com/simon-catalogo-vehiculo-electrico?utm_campaign=SIC%20-%20Veh%C3%ADculo%20El%C3%A9ctrico&amp;utm_medium=email&amp;_hsenc=p2ANqtz-865gKGXuES6ZeXa0R09IB8b7iiJoFkG-pOlsAQh1E3tpT4GvGQEx6PWmIJbMqEeDHHXQ56&amp;_hsmi=87085302&amp;utm_content=87085302&amp;utm_source=hs_email&amp;hsCtaTracking=6fedf137-fd90-4f17-bfb4-d61f710ec7f8%7Cf2771843-6636-4969-9010-2d8d0389b89c" TargetMode="External"/><Relationship Id="rId2740" Type="http://schemas.openxmlformats.org/officeDocument/2006/relationships/hyperlink" Target="https://resources.simonelectric.com/simon-catalogo-vehiculo-electrico?__hstc=83084745.3b3df9dfc3abab6fd497f0a30cb04acb.1586517847458.1586517847458.1586517847458.1&amp;__hssc=83084745.15.1586517847458&amp;__hsfp=3996457545" TargetMode="External"/><Relationship Id="rId1410" Type="http://schemas.openxmlformats.org/officeDocument/2006/relationships/hyperlink" Target="https://resources.simonelectric.com/simon-catalogo-vehiculo-electrico?utm_campaign=SIC%20-%20Veh%C3%ADculo%20El%C3%A9ctrico&amp;utm_medium=email&amp;_hsenc=p2ANqtz-_usXXT5fQbB8KtY0woyxMGfppNxxnMg7iLBh1Sfdsm2Bvtztqcg29i40TJjvo0_4z3l50e&amp;_hsmi=87085302&amp;utm_content=87085302&amp;utm_source=hs_email&amp;hsCtaTracking=6fedf137-fd90-4f17-bfb4-d61f710ec7f8%7Cf2771843-6636-4969-9010-2d8d0389b89c" TargetMode="External"/><Relationship Id="rId2741" Type="http://schemas.openxmlformats.org/officeDocument/2006/relationships/hyperlink" Target="https://resources.simonelectric.com/simon-ebook-vehiculo-electrico" TargetMode="External"/><Relationship Id="rId1400" Type="http://schemas.openxmlformats.org/officeDocument/2006/relationships/hyperlink" Target="https://resources.simonelectric.com/simon-catalogo-vehiculo-electrico?utm_campaign=SIC%20-%20Veh%C3%ADculo%20El%C3%A9ctrico&amp;utm_medium=email&amp;_hsenc=p2ANqtz--r5nePwDKmb64wzrHtoyE8dhumsfqUiLsJ-siUCwN_0ROYgSaHuUEL3S9vjOi6HCIlzyRm&amp;_hsmi=87085363&amp;utm_content=87085363&amp;utm_source=hs_email&amp;hsCtaTracking=6fedf137-fd90-4f17-bfb4-d61f710ec7f8%7Cf2771843-6636-4969-9010-2d8d0389b89c" TargetMode="External"/><Relationship Id="rId273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01" Type="http://schemas.openxmlformats.org/officeDocument/2006/relationships/hyperlink" Target="https://resources.simonelectric.com/simon-catalogo-vehiculo-electrico?utm_campaign=SIC%20-%20Veh%C3%ADculo%20El%C3%A9ctrico&amp;utm_medium=email&amp;_hsenc=p2ANqtz-9-BAfhqBac1g6e-wTKA2JW30qQlV7xWW80OcnHngtxHejdzanZh0xp79eJODqYHFc-93Bd&amp;_hsmi=87085363&amp;utm_content=87085363&amp;utm_source=hs_email&amp;hsCtaTracking=6fedf137-fd90-4f17-bfb4-d61f710ec7f8%7Cf2771843-6636-4969-9010-2d8d0389b89c" TargetMode="External"/><Relationship Id="rId2732" Type="http://schemas.openxmlformats.org/officeDocument/2006/relationships/hyperlink" Target="https://resources.simonelectric.com/simon-ebook-vehiculo-electrico-0?gclid=EAIaIQobChMIn5uBtIvf6AIVjgW5Bh0KwQIkEAEYASAAEgKRNPD_BwE" TargetMode="External"/><Relationship Id="rId1402" Type="http://schemas.openxmlformats.org/officeDocument/2006/relationships/hyperlink" Target="https://resources.simonelectric.com/simon-catalogo-vehiculo-electrico?utm_campaign=SIC%20-%20Veh%C3%ADculo%20El%C3%A9ctrico&amp;utm_medium=email&amp;_hsenc=p2ANqtz-9jr2hHQpi7lYY-BrizFcl-CyTjTdzBv4xWvyYZrJ0yqbiTq4KXb0y_KGNKXcYQNRbN8J0S&amp;_hsmi=87085363&amp;utm_content=87085363&amp;utm_source=hs_email&amp;hsCtaTracking=6fedf137-fd90-4f17-bfb4-d61f710ec7f8%7Cf2771843-6636-4969-9010-2d8d0389b89c" TargetMode="External"/><Relationship Id="rId273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403" Type="http://schemas.openxmlformats.org/officeDocument/2006/relationships/hyperlink" Target="https://resources.simonelectric.com/simon-catalogo-vehiculo-electrico?utm_campaign=SIC%20-%20Veh%C3%ADculo%20El%C3%A9ctrico&amp;utm_medium=email&amp;_hsenc=p2ANqtz-_UD3WegEebIOFAxGfmWiPlSk0yVDCMjXleX4fCIy5ckJ2OPErIS_5KiiT8l6yn48RTXR_d&amp;_hsmi=87085363&amp;utm_content=87085363&amp;utm_source=hs_email&amp;hsCtaTracking=6fedf137-fd90-4f17-bfb4-d61f710ec7f8%7Cf2771843-6636-4969-9010-2d8d0389b89c" TargetMode="External"/><Relationship Id="rId273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04" Type="http://schemas.openxmlformats.org/officeDocument/2006/relationships/hyperlink" Target="https://resources.simonelectric.com/simon-ebook-vehiculo-electrico-0?gclid=Cj0KCQjw7qn1BRDqARIsAKMbHDaqrqBU57pXH8XPBkqM1Yb3lJ67kcuI5XAdNkiaVAw-Vjyjx9Xe6b8aAii8EALw_wcB" TargetMode="External"/><Relationship Id="rId273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405" Type="http://schemas.openxmlformats.org/officeDocument/2006/relationships/hyperlink" Target="https://resources.simonelectric.com/simon-catalogo-vehiculo-electrico?utm_campaign=SIC%20-%20Veh%C3%ADculo%20El%C3%A9ctrico&amp;utm_medium=email&amp;_hsenc=p2ANqtz--UZ_Mj46whvdYApFKS5FTkZpUjWpri-aLY7DttUJOnnSZEMc_5gQkjpeWh1cFXEpLSn6MU&amp;_hsmi=87085363&amp;utm_content=87085363&amp;utm_source=hs_email&amp;hsCtaTracking=6fedf137-fd90-4f17-bfb4-d61f710ec7f8%7Cf2771843-6636-4969-9010-2d8d0389b89c" TargetMode="External"/><Relationship Id="rId273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06" Type="http://schemas.openxmlformats.org/officeDocument/2006/relationships/hyperlink" Target="https://resources.simonelectric.com/simon-catalogo-vehiculo-electrico?utm_campaign=SIC%20-%20Veh%C3%ADculo%20El%C3%A9ctrico&amp;utm_medium=email&amp;_hsenc=p2ANqtz-9lk9gCtgNT-KpkxVQD99LyCmr8D-SNT8ebh2PMKLe0q6R22YOU2EhOKuZwGKL-ax60Zvr5&amp;_hsmi=87085363&amp;utm_content=87085363&amp;utm_source=hs_email&amp;hsCtaTracking=6fedf137-fd90-4f17-bfb4-d61f710ec7f8%7Cf2771843-6636-4969-9010-2d8d0389b89c" TargetMode="External"/><Relationship Id="rId273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07" Type="http://schemas.openxmlformats.org/officeDocument/2006/relationships/hyperlink" Target="https://resources.simonelectric.com/simon-catalogo-vehiculo-electrico?utm_campaign=SIC%20-%20Veh%C3%ADculo%20El%C3%A9ctrico&amp;utm_medium=email&amp;_hsenc=p2ANqtz-9miqr7B_Kxml_ThWDElp3QEL-xtJRp0rI0p0jzX-i9cTDf3ycQBnpAl2hJFHbgUyQz3a8F&amp;_hsmi=87085363&amp;utm_content=87085363&amp;utm_source=hs_email&amp;hsCtaTracking=6fedf137-fd90-4f17-bfb4-d61f710ec7f8%7Cf2771843-6636-4969-9010-2d8d0389b89c" TargetMode="External"/><Relationship Id="rId273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408" Type="http://schemas.openxmlformats.org/officeDocument/2006/relationships/hyperlink" Target="https://resources.simonelectric.com/simon-catalogo-vehiculo-electrico?utm_campaign=SIC%20-%20Veh%C3%ADculo%20El%C3%A9ctrico&amp;utm_medium=email&amp;_hsenc=p2ANqtz--5nhTzihgRyy9yNd781sdAJUrt5yTVYT0cCwP1xGIIuEdD_IdpWSQDxfVlo6LHFOxiwK2t&amp;_hsmi=87085363&amp;utm_content=87085363&amp;utm_source=hs_email&amp;hsCtaTracking=6fedf137-fd90-4f17-bfb4-d61f710ec7f8%7Cf2771843-6636-4969-9010-2d8d0389b89c" TargetMode="External"/><Relationship Id="rId2739" Type="http://schemas.openxmlformats.org/officeDocument/2006/relationships/hyperlink" Target="https://resources.simonelectric.com/simon-ebook-vehiculo-electrico-ppc?utm_source=facebook&amp;utm_medium=social_ads&amp;utm_campaign=vehiculo_electrico&amp;fbclid=IwAR0wp_equeopZnfniF6sspRZqp5o-dWYo5NDuKlBixA4CB0M3cbG66LtN2s" TargetMode="External"/><Relationship Id="rId1409" Type="http://schemas.openxmlformats.org/officeDocument/2006/relationships/hyperlink" Target="https://resources.simonelectric.com/simon-catalogo-vehiculo-electrico?utm_campaign=SIC%20-%20Veh%C3%ADculo%20El%C3%A9ctrico&amp;utm_medium=email&amp;_hsenc=p2ANqtz--qA4trfTNrEXLm1YzCB1k5pnuWgaFTeZDF8XxBSM3lkmS8B7sR5CkhhVMArNO2DT6DXrFx&amp;_hsmi=87085302&amp;utm_content=87085302&amp;utm_source=hs_email&amp;hsCtaTracking=6fedf137-fd90-4f17-bfb4-d61f710ec7f8%7Cf2771843-6636-4969-9010-2d8d0389b89c" TargetMode="External"/><Relationship Id="rId273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33" Type="http://schemas.openxmlformats.org/officeDocument/2006/relationships/hyperlink" Target="https://resources.simonelectric.com/simon-catalogo-vehiculo-electrico?utm_campaign=SIC%20-%20Veh%C3%ADculo%20El%C3%A9ctrico&amp;utm_medium=email&amp;_hsenc=p2ANqtz-8A8rKR2bkrf6mIjV5bgYb7mMSa9KwXy5b_EVH42nHX8xlv1-w4qDQovSLxN8j3Z9iRhVgH&amp;_hsmi=87085302&amp;utm_content=87085302&amp;utm_source=hs_email&amp;hsCtaTracking=6fedf137-fd90-4f17-bfb4-d61f710ec7f8%7Cf2771843-6636-4969-9010-2d8d0389b89c" TargetMode="External"/><Relationship Id="rId2764" Type="http://schemas.openxmlformats.org/officeDocument/2006/relationships/hyperlink" Target="https://resources.simonelectric.com/simon-ebook-vehiculo-electrico" TargetMode="External"/><Relationship Id="rId1434" Type="http://schemas.openxmlformats.org/officeDocument/2006/relationships/hyperlink" Target="https://resources.simonelectric.com/simon-catalogo-vehiculo-electrico?utm_campaign=SIC%20-%20Veh%C3%ADculo%20El%C3%A9ctrico&amp;utm_medium=email&amp;_hsenc=p2ANqtz-_DliV75HdF-B3gNKzSyerHXXH7F2rXAg0mFQei0uz5WeqspRSHocOmZo6sXrctkjoENVKd&amp;_hsmi=87085363&amp;utm_content=87085363&amp;utm_source=hs_email&amp;hsCtaTracking=6fedf137-fd90-4f17-bfb4-d61f710ec7f8%7Cf2771843-6636-4969-9010-2d8d0389b89c" TargetMode="External"/><Relationship Id="rId276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435" Type="http://schemas.openxmlformats.org/officeDocument/2006/relationships/hyperlink" Target="https://resources.simonelectric.com/simon-catalogo-vehiculo-electrico?utm_campaign=SIC%20-%20Veh%C3%ADculo%20El%C3%A9ctrico&amp;utm_medium=email&amp;_hsenc=p2ANqtz-9zxTmNIStc9e_U41-Asmb-0Ml536FWGE2a2Ciux8t5mHIQEs2rnlkMCWfuFW9_T5_LO7cT&amp;_hsmi=87085302&amp;utm_content=87085302&amp;utm_source=hs_email&amp;hsCtaTracking=6fedf137-fd90-4f17-bfb4-d61f710ec7f8%7Cf2771843-6636-4969-9010-2d8d0389b89c" TargetMode="External"/><Relationship Id="rId276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36" Type="http://schemas.openxmlformats.org/officeDocument/2006/relationships/hyperlink" Target="https://resources.simonelectric.com/simon-catalogo-vehiculo-electrico?utm_campaign=SIC%20-%20Veh%C3%ADculo%20El%C3%A9ctrico&amp;utm_medium=email&amp;_hsenc=p2ANqtz-_jTcwoH4zlKUt2Lat8D3RsEdd0Tt4vvZAq6UQABEktbDf9VfcRwgya_x_vJi5nILAIbzOg&amp;_hsmi=87085363&amp;utm_content=87085363&amp;utm_source=hs_email&amp;hsCtaTracking=6fedf137-fd90-4f17-bfb4-d61f710ec7f8%7Cf2771843-6636-4969-9010-2d8d0389b89c" TargetMode="External"/><Relationship Id="rId2767" Type="http://schemas.openxmlformats.org/officeDocument/2006/relationships/hyperlink" Target="https://resources.simonelectric.com/simon-catalogo-vehiculo-electrico?__hstc=83084745.d23b297d371d35bf1282218819d613bb.1586336472845.1586336472845.1586336472845.1&amp;__hssc=83084745.2.1586336472845&amp;__hsfp=1008463" TargetMode="External"/><Relationship Id="rId1437" Type="http://schemas.openxmlformats.org/officeDocument/2006/relationships/hyperlink" Target="https://resources.simonelectric.com/simon-catalogo-vehiculo-electrico?utm_campaign=SIC%20-%20Veh%C3%ADculo%20El%C3%A9ctrico&amp;utm_medium=email&amp;_hsenc=p2ANqtz--AiXbXOECwnmPfiMBgYxr3SEzyBYstDxdx98FI_shbyNRCSX679_zsj4BQcm093BlAyedR&amp;_hsmi=87085363&amp;utm_content=87085363&amp;utm_source=hs_email&amp;hsCtaTracking=6fedf137-fd90-4f17-bfb4-d61f710ec7f8%7Cf2771843-6636-4969-9010-2d8d0389b89c" TargetMode="External"/><Relationship Id="rId276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38" Type="http://schemas.openxmlformats.org/officeDocument/2006/relationships/hyperlink" Target="https://resources.simonelectric.com/simon-catalogo-vehiculo-electrico?utm_campaign=SIC%20-%20Veh%C3%ADculo%20El%C3%A9ctrico&amp;utm_medium=email&amp;_hsenc=p2ANqtz--iTWpkKEMoCY0W3wQIY8RdTYF0xkkMEj8LXWI35NPxHBvn7xZ8_e2aChybqasyu7hcsvkq&amp;_hsmi=87085363&amp;utm_content=87085363&amp;utm_source=hs_email&amp;hsCtaTracking=6fedf137-fd90-4f17-bfb4-d61f710ec7f8%7Cf2771843-6636-4969-9010-2d8d0389b89c" TargetMode="External"/><Relationship Id="rId2769" Type="http://schemas.openxmlformats.org/officeDocument/2006/relationships/hyperlink" Target="https://resources.simonelectric.com/simon-ebook-vehiculo-electrico-0?gclid=EAIaIQobChMIq76IxLnX6AIVWeLVCh0FXg9dEAEYASAAEgIjdvD_BwE" TargetMode="External"/><Relationship Id="rId1439" Type="http://schemas.openxmlformats.org/officeDocument/2006/relationships/hyperlink" Target="https://resources.simonelectric.com/simon-catalogo-vehiculo-electrico?utm_campaign=SIC%20-%20Veh%C3%ADculo%20El%C3%A9ctrico&amp;utm_medium=email&amp;_hsmi=87085363&amp;_hsenc=p2ANqtz-9jwiXXAMcNTQEiV_FC5Gus4q-6Ds8qu7nUlXqhs_oIcn9-CvmADjpP3rzVFYZpFTgiNa8g&amp;utm_content=87085363&amp;utm_source=hs_email" TargetMode="External"/><Relationship Id="rId609" Type="http://schemas.openxmlformats.org/officeDocument/2006/relationships/hyperlink" Target="https://resources.simonelectric.com/simon-material-formativo-vehiculo-electrico?utm_campaign=SIC%20-%20Veh%C3%ADculo%20El%C3%A9ctrico&amp;utm_medium=email&amp;_hsenc=p2ANqtz-__4iv2Myd01q6Ge4D74L5YTgfe2hW_Vg8cjmxIec-EjRpuhD2cKTmLAyOi3Rjm5-MsZpoWqnSPQxLciOVS1y5cEXIBPupky80Wo19lpbFbPXWLpeY&amp;_hsmi=88328232&amp;utm_source=hs_email&amp;utm_content=88328407&amp;hsCtaTracking=f8a31ce8-daf1-4d69-a5d6-c3349f3aab91%7C75f9b9fd-a2b2-4ad4-9d4a-0dcb7c99194f" TargetMode="External"/><Relationship Id="rId608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9IAtWyVo-AUp8qt-_1k1_zOIlO_864IhaGlcFe9PvuxEHuAXVaQMaQSA4NkHgneOQ6JPyGGLeeQikYc8l2iXcCgZUBHw%26_hsmi%3D71033828" TargetMode="External"/><Relationship Id="rId60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602" Type="http://schemas.openxmlformats.org/officeDocument/2006/relationships/hyperlink" Target="https://resources.simonelectric.com/simon-ebook-vehiculo-electrico?utm_referrer=https%3A%2F%2Fwww.simonelectric.com%2Fblog%2Finstalacion-electrica-en-un-garaje-privado" TargetMode="External"/><Relationship Id="rId60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60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606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605" Type="http://schemas.openxmlformats.org/officeDocument/2006/relationships/hyperlink" Target="https://resources.simonelectric.com/simon-ebook-vehiculo-electrico?utm_campaign=SIC%20-%20Veh%C3%ADculo%20El%C3%A9ctrico&amp;utm_medium=email&amp;_hsenc=p2ANqtz--dg5y6P3wZ5ZHo6iKW4_zioJbPDVWQABr4tyY0cxFMjLCZ4hOuko7RhzCYn_E6QtXisdRZYunYnz5ZrCfcUqnMnQt-HKjWqEA56H-etpn6sYUKg6g&amp;_hsmi=71033675&amp;utm_source=hs_automation&amp;utm_content=71033675&amp;hsCtaTracking=2e94ebfc-d414-4389-870c-d2f266a9420b%7C587ac4dc-a49a-4bdc-b449-e36f5d95395b" TargetMode="External"/><Relationship Id="rId60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603" Type="http://schemas.openxmlformats.org/officeDocument/2006/relationships/hyperlink" Target="https://resources.simonelectric.com/simon-catalogo-vehiculo-electrico?__hstc=83084745.2a679d1bade1c52df4bb04c6e8ee861f.1590656315817.1590656315817.1590656315817.1&amp;__hssc=83084745.50.1590656315817&amp;__hsfp=849634180" TargetMode="External"/><Relationship Id="rId2760" Type="http://schemas.openxmlformats.org/officeDocument/2006/relationships/hyperlink" Target="https://resources.simonelectric.com/simon-ebook-vehiculo-electrico" TargetMode="External"/><Relationship Id="rId1430" Type="http://schemas.openxmlformats.org/officeDocument/2006/relationships/hyperlink" Target="https://resources.simonelectric.com/simon-catalogo-vehiculo-electrico?utm_campaign=SIC%20-%20Veh%C3%ADculo%20El%C3%A9ctrico&amp;utm_medium=email&amp;_hsenc=p2ANqtz-9DZtjvb-DpibMGceU7Janp8oDMuRjnQWDWTdue3UxDq6zh2wyCqazFkn0PGrq1vk9_3xEh&amp;_hsmi=87085363&amp;utm_content=87085363&amp;utm_source=hs_email&amp;hsCtaTracking=6fedf137-fd90-4f17-bfb4-d61f710ec7f8%7Cf2771843-6636-4969-9010-2d8d0389b89c" TargetMode="External"/><Relationship Id="rId2761" Type="http://schemas.openxmlformats.org/officeDocument/2006/relationships/hyperlink" Target="https://resources.simonelectric.com/simon-ebook-vehiculo-electrico-ppc?utm_source=facebook&amp;utm_medium=social_ads&amp;utm_campaign=vehiculo_electrico&amp;fbclid=IwAR3A7QxYBZylFr_mp1lxhoyawpUe2_KMz4L_DPF44L84TSCbWAENaqLLbmc" TargetMode="External"/><Relationship Id="rId1431" Type="http://schemas.openxmlformats.org/officeDocument/2006/relationships/hyperlink" Target="https://resources.simonelectric.com/simon-catalogo-vehiculo-electrico?utm_campaign=SIC%20-%20Veh%C3%ADculo%20El%C3%A9ctrico&amp;utm_medium=email&amp;_hsenc=p2ANqtz-8Wt62KXf7KSpEQouYUBwWC3m27WwRNc2W_VQOBvNWyPfrFT51Rxv9pWPSIhhRXG46jUbGu&amp;_hsmi=87085363&amp;utm_content=87085363&amp;utm_source=hs_email&amp;hsCtaTracking=6fedf137-fd90-4f17-bfb4-d61f710ec7f8%7Cf2771843-6636-4969-9010-2d8d0389b89c" TargetMode="External"/><Relationship Id="rId276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432" Type="http://schemas.openxmlformats.org/officeDocument/2006/relationships/hyperlink" Target="https://resources.simonelectric.com/simon-catalogo-vehiculo-electrico?utm_campaign=SIC%20-%20Veh%C3%ADculo%20El%C3%A9ctrico&amp;utm_medium=email&amp;_hsenc=p2ANqtz-9B4m7w4H6JefDl4fu27GNijext3iDYBb7CJbvf3euPLlpQ5BeZAO0m8cMFIe29HrLpFOSh&amp;_hsmi=87085363&amp;utm_content=87085363&amp;utm_source=hs_email&amp;hsCtaTracking=6fedf137-fd90-4f17-bfb4-d61f710ec7f8%7Cf2771843-6636-4969-9010-2d8d0389b89c" TargetMode="External"/><Relationship Id="rId276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422" Type="http://schemas.openxmlformats.org/officeDocument/2006/relationships/hyperlink" Target="https://resources.simonelectric.com/simon-catalogo-vehiculo-electrico?utm_campaign=SIC%20-%20Veh%C3%ADculo%20El%C3%A9ctrico&amp;utm_medium=email&amp;_hsenc=p2ANqtz-9zzl8BfPu5KPeScfwTrvTR7IPjzzUePGxPw_AYktn1eD3uO9GxETz1gyvC6VZkRVmw0GHIELN9dgqR6s4W5vYDUCIR-w&amp;utm_source=hs_email&amp;utm_content=87085363&amp;hsCtaTracking=6fedf137-fd90-4f17-bfb4-d61f710ec7f8%7Cf2771843-6636-4969-9010-2d8d0389b89c" TargetMode="External"/><Relationship Id="rId2753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23" Type="http://schemas.openxmlformats.org/officeDocument/2006/relationships/hyperlink" Target="https://resources.simonelectric.com/simon-catalogo-vehiculo-electrico?utm_campaign=SIC%20-%20Veh%C3%ADculo%20El%C3%A9ctrico&amp;utm_medium=email&amp;_hsenc=p2ANqtz-_6LkgW5-dg-_m-EFH9Y6cb6amWRrolaSVWHi_GuJBZns6DxVrJGXOV1e0bJntfKcHh1L2T&amp;_hsmi=87085363&amp;utm_content=87085363&amp;utm_source=hs_email&amp;hsCtaTracking=6fedf137-fd90-4f17-bfb4-d61f710ec7f8%7Cf2771843-6636-4969-9010-2d8d0389b89c" TargetMode="External"/><Relationship Id="rId275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24" Type="http://schemas.openxmlformats.org/officeDocument/2006/relationships/hyperlink" Target="https://resources.simonelectric.com/simon-catalogo-vehiculo-electrico?utm_campaign=SIC%20-%20Veh%C3%ADculo%20El%C3%A9ctrico&amp;utm_medium=email&amp;_hsenc=p2ANqtz-_cw_EZ7bbZArHrKWHXpZQ8fKtpyvhRVp-8BrJaSCbPacLiefxET0nBB2ehwQHDXD6BUxGG&amp;_hsmi=87085363&amp;utm_content=87085363&amp;utm_source=hs_email&amp;hsCtaTracking=6fedf137-fd90-4f17-bfb4-d61f710ec7f8%7Cf2771843-6636-4969-9010-2d8d0389b89c" TargetMode="External"/><Relationship Id="rId2755" Type="http://schemas.openxmlformats.org/officeDocument/2006/relationships/hyperlink" Target="https://resources.simonelectric.com/simon-ebook-vehiculo-electrico-0?gclid=EAIaIQobChMIt4PCgPvZ6AIVFBgbCh3WSAT4EAEYASAAEgJ3gvD_BwE" TargetMode="External"/><Relationship Id="rId1425" Type="http://schemas.openxmlformats.org/officeDocument/2006/relationships/hyperlink" Target="https://resources.simonelectric.com/simon-catalogo-vehiculo-electrico?utm_campaign=SIC%20-%20Veh%C3%ADculo%20El%C3%A9ctrico&amp;utm_medium=email&amp;_hsenc=p2ANqtz-9l1TEIYcykbplNfLpi_RszoQHy7hsEImG1O-Zhlg5ipWmGJ71DIyYR-juFkHyYxGG-9oNJ&amp;_hsmi=87085302&amp;utm_content=87085302&amp;utm_source=hs_email&amp;hsCtaTracking=6fedf137-fd90-4f17-bfb4-d61f710ec7f8%7Cf2771843-6636-4969-9010-2d8d0389b89c" TargetMode="External"/><Relationship Id="rId2756" Type="http://schemas.openxmlformats.org/officeDocument/2006/relationships/hyperlink" Target="https://resources.simonelectric.com/simon-ebook-vehiculo-electrico-ppc?utm_source=facebook&amp;utm_medium=social_ads&amp;utm_campaign=vehiculo_electrico&amp;fbclid=IwAR2IndGs3UC1-V2RogeKgxza6BHd_YQ00qgqfVI3yGR-N-_CDtL0Dmu-USA" TargetMode="External"/><Relationship Id="rId1426" Type="http://schemas.openxmlformats.org/officeDocument/2006/relationships/hyperlink" Target="https://resources.simonelectric.com/simon-catalogo-vehiculo-electrico?utm_campaign=SIC%20-%20Veh%C3%ADculo%20El%C3%A9ctrico&amp;utm_medium=email&amp;_hsenc=p2ANqtz-9Cpj7toXwd82GcGu24_LPKUlRRt5-CFBI0rJWyhMbBHXSY0PxCanN5Z7j7PDxzHjldyqpn&amp;_hsmi=87085302&amp;utm_content=87085302&amp;utm_source=hs_email&amp;hsCtaTracking=6fedf137-fd90-4f17-bfb4-d61f710ec7f8%7Cf2771843-6636-4969-9010-2d8d0389b89c" TargetMode="External"/><Relationship Id="rId2757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" TargetMode="External"/><Relationship Id="rId1427" Type="http://schemas.openxmlformats.org/officeDocument/2006/relationships/hyperlink" Target="https://resources.simonelectric.com/simon-ebook-vehiculo-electrico?utm_referrer=https%3A%2F%2Fwww.simonelectric.com%2Fblog%2Fvehiculo-electrico-todo-lo-que-tienes-que-saber-de-movilidad-sostenible%3Futm_campaign%3DSIC%2520-%2520Veh%25C3%25ADculo%2520El%25C3%25A9ctrico%26utm_medium%3Demail%26_hsenc%3Dp2ANqtz--u4SYdHnEdTlIORCunGhLAJxR7crFP8uP1Gq1X5ivbvSx-sRnP2LMUp_TP5K_0WVjObEe2%26_hsmi%3D84245558%26utm_content%3D84245558%26utm_source%3Dhs_automation%26hsCtaTracking%3D142b9333-ac5c-4efa-bb4a-d64b5cd618a7%257C1ecb110e-27d1-495c-b2c8-078959415359" TargetMode="External"/><Relationship Id="rId2758" Type="http://schemas.openxmlformats.org/officeDocument/2006/relationships/hyperlink" Target="https://resources.simonelectric.com/simon-ebook-vehiculo-electrico-ppc?utm_source=facebook&amp;utm_medium=social_ads&amp;utm_campaign=vehiculo_electrico&amp;fbclid=IwAR0RdYI9JC_6TM0A4f34gTs1LaVlFh7cVTIEtcI3WYeY65fPkcXzSK55QuM" TargetMode="External"/><Relationship Id="rId1428" Type="http://schemas.openxmlformats.org/officeDocument/2006/relationships/hyperlink" Target="https://resources.simonelectric.com/simon-ebook-vehiculo-electrico?utm_referrer=https%3A%2F%2Fwww.simonelectric.com%2Fblog%2Fpuntos-de-recarga-de-vehiculos-electricos-en-centros-comerciales" TargetMode="External"/><Relationship Id="rId2759" Type="http://schemas.openxmlformats.org/officeDocument/2006/relationships/hyperlink" Target="https://resources.simonelectric.com/simon-catalogo-vehiculo-electrico?__hstc=83084745.533853b3bdf7bfcff21c5d619221cf8c.1586376802563.1586376802563.1586376802563.1&amp;__hssc=83084745.11.1586376802564&amp;__hsfp=3361055166" TargetMode="External"/><Relationship Id="rId1429" Type="http://schemas.openxmlformats.org/officeDocument/2006/relationships/hyperlink" Target="https://resources.simonelectric.com/simon-catalogo-vehiculo-electrico?utm_campaign=SIC%20-%20Veh%C3%ADculo%20El%C3%A9ctrico&amp;utm_medium=email&amp;_hsenc=p2ANqtz-__wFeM8hkZybwNXw-YfOmGhdZ1YQFoNHinFENiQ-byl1GmprgosF2m9tTk5v8gNvKg0AJQ&amp;_hsmi=87085363&amp;utm_content=87085363&amp;utm_source=hs_email&amp;hsCtaTracking=6fedf137-fd90-4f17-bfb4-d61f710ec7f8%7Cf2771843-6636-4969-9010-2d8d0389b89c" TargetMode="External"/><Relationship Id="rId2750" Type="http://schemas.openxmlformats.org/officeDocument/2006/relationships/hyperlink" Target="https://resources.simonelectric.com/simon-ebook-vehiculo-electrico" TargetMode="External"/><Relationship Id="rId1420" Type="http://schemas.openxmlformats.org/officeDocument/2006/relationships/hyperlink" Target="https://resources.simonelectric.com/simon-catalogo-vehiculo-electrico?utm_campaign=SIC%20-%20Veh%C3%ADculo%20El%C3%A9ctrico&amp;utm_medium=email&amp;_hsenc=p2ANqtz-9OG3Fx584qswWa04Samgt7t5SE2zbeupgW9vuQVrPMFo9FuRxOf0FRo7OQnUwCodnZwSTw&amp;_hsmi=87085363&amp;utm_content=87085363&amp;utm_source=hs_email&amp;hsCtaTracking=6fedf137-fd90-4f17-bfb4-d61f710ec7f8%7Cf2771843-6636-4969-9010-2d8d0389b89c" TargetMode="External"/><Relationship Id="rId275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21" Type="http://schemas.openxmlformats.org/officeDocument/2006/relationships/hyperlink" Target="https://resources.simonelectric.com/simon-catalogo-vehiculo-electrico?utm_campaign=SIC%20-%20Veh%C3%ADculo%20El%C3%A9ctrico&amp;utm_medium=email&amp;_hsenc=p2ANqtz-9nJt8v_35X64ZiOy-53EK1Cce-w05cghlb5nJvyB5g1lcBZ_8McTN9VcbW0iLN5Oq7kRyz&amp;_hsmi=87085363&amp;utm_content=87085363&amp;utm_source=hs_email&amp;hsCtaTracking=6fedf137-fd90-4f17-bfb4-d61f710ec7f8%7Cf2771843-6636-4969-9010-2d8d0389b89c" TargetMode="External"/><Relationship Id="rId275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3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37" Type="http://schemas.openxmlformats.org/officeDocument/2006/relationships/hyperlink" Target="https://resources.simonelectric.com/simon-catalogo-vehiculo-electrico?__hstc=83084745.0b6763b6c7f15a1c91dc1f2e8fa304a5.1582009670274.1583338973982.1583936404159.5&amp;__hssc=83084745.2.1583936404159&amp;__hsfp=137485176" TargetMode="External"/><Relationship Id="rId323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30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232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23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234" Type="http://schemas.openxmlformats.org/officeDocument/2006/relationships/hyperlink" Target="https://resources.simonelectric.com/simon-ebook-vehiculo-electrico-0?gclid=EAIaIQobChMIlIGO08WT6AIVjAYGAB3Seg_2EAEYASAAEgKXvvD_BwE" TargetMode="External"/><Relationship Id="rId323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36" Type="http://schemas.openxmlformats.org/officeDocument/2006/relationships/hyperlink" Target="https://resources.simonelectric.com/simon-catalogo-vehiculo-electrico?__hstc=83084745.0f43a46b614a0c6ffd969606dc9e2fc4.1562230161263.1580895839443.1583939783922.15&amp;__hssc=83084745.5.1583939783922&amp;__hsfp=137485176" TargetMode="External"/><Relationship Id="rId323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22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22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22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228" Type="http://schemas.openxmlformats.org/officeDocument/2006/relationships/hyperlink" Target="https://resources.simonelectric.com/simon-ebook-vehiculo-electrico?utm_campaign=SIC%20-%20Veh%C3%ADculo%20El%C3%A9ctrico&amp;utm_medium=email&amp;_hsenc=p2ANqtz-8F3pgA0kDubJF91LB9HCpEnO3SN3QGekruQ8s8UzFoQFQktQEM6YPIOuXmL0SYYYEbz4K3LLgs8WsWCyZVUh1utErgfBO3QWA6CNRFG29w24hwpuk&amp;_hsmi=71033675&amp;utm_source=hs_automation&amp;utm_content=71033675&amp;hsCtaTracking=2e94ebfc-d414-4389-870c-d2f266a9420b%7C587ac4dc-a49a-4bdc-b449-e36f5d95395b" TargetMode="External"/><Relationship Id="rId699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-JdHhnOzj8nCH1Hyjfb2kkWYdkRwc0_zt8WvFX7AWAgLf42WLCVXSls1ljS4kFU7SJyfV2S7_PfwXnJXYI-TGv-ouMrw&amp;_hsmi=71033675" TargetMode="External"/><Relationship Id="rId698" Type="http://schemas.openxmlformats.org/officeDocument/2006/relationships/hyperlink" Target="https://resources.simonelectric.com/simon-material-formativo-vehiculo-electrico?utm_campaign=SIC%20-%20Veh%C3%ADculo%20El%C3%A9ctrico&amp;utm_medium=email&amp;_hsenc=p2ANqtz--YtrrJnO1NPGc8LlnHtD1bts_C9gEUE5uiEYRAAvbEPTCWUT843dNG5Nx627bUj-HXkly3ucW0wwTScnmsrx7dZ0qKLg&amp;_hsmi=88328232&amp;utm_source=hs_email&amp;utm_content=88328407&amp;hsCtaTracking=f8a31ce8-daf1-4d69-a5d6-c3349f3aab91%7C75f9b9fd-a2b2-4ad4-9d4a-0dcb7c99194f" TargetMode="External"/><Relationship Id="rId693" Type="http://schemas.openxmlformats.org/officeDocument/2006/relationships/hyperlink" Target="https://resources.simonelectric.com/simon-material-formativo-vehiculo-electrico?utm_campaign=SIC%20-%20Veh%C3%ADculo%20El%C3%A9ctrico&amp;utm_medium=email&amp;_hsenc=p2ANqtz-8Uv9XBwBSOHlkT2P6uZ8cZ3C6gf51AsO7GcxCGFf5cX05FpvZL_AETZlZHrZMMY8FJHLpOfTgp-rJEzi-4W-2kkxLqUfvznr1S-9RzjVTwAsZIUqc&amp;_hsmi=88328232&amp;utm_source=hs_email&amp;utm_content=88328407&amp;hsCtaTracking=f8a31ce8-daf1-4d69-a5d6-c3349f3aab91%7C75f9b9fd-a2b2-4ad4-9d4a-0dcb7c99194f" TargetMode="External"/><Relationship Id="rId69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691" Type="http://schemas.openxmlformats.org/officeDocument/2006/relationships/hyperlink" Target="https://resources.simonelectric.com/simon-catalogo-vehiculo-electrico?utm_campaign=SIC%20-%20Veh%C3%ADculo%20El%C3%A9ctrico&amp;utm_medium=email&amp;_hsenc=p2ANqtz-8-kwnvhQet2datJ1rb_Nqc2Fnn51DVHC3oq5GAI6l3pcok-0oFqcanaoT9k7N_GfRmj7Yd&amp;_hsmi=87085363&amp;utm_content=87085363&amp;utm_source=hs_email&amp;hsCtaTracking=6fedf137-fd90-4f17-bfb4-d61f710ec7f8%7Cf2771843-6636-4969-9010-2d8d0389b89c" TargetMode="External"/><Relationship Id="rId322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69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322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697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sCXElDEnmDvvimGMw-ia0oa42gBBs8PUxPFEb8lqZmGpqRqAWZRyovC9KQjDs5at_bybuzt-L5ik8Z9aZ19vcoe_LKw&amp;_hsmi=88328234" TargetMode="External"/><Relationship Id="rId3223" Type="http://schemas.openxmlformats.org/officeDocument/2006/relationships/hyperlink" Target="https://resources.simonelectric.com/simon-ebook-vehiculo-electrico?utm_campaign=SIC%20-%20Veh%C3%ADculo%20El%C3%A9ctrico&amp;utm_medium=email&amp;_hsenc=p2ANqtz-8RcYptkwI5DPpXg2uNexq2TgEgcxcE8ifHakReWoD-7UEOnieoyrNUhsx_q90eOBgrQ4YvsoUJwLPD9VWn1tP0XBaz_A&amp;_hsmi=71033675&amp;utm_source=hs_automation&amp;utm_content=71033675&amp;hsCtaTracking=2e94ebfc-d414-4389-870c-d2f266a9420b%7C587ac4dc-a49a-4bdc-b449-e36f5d95395b" TargetMode="External"/><Relationship Id="rId696" Type="http://schemas.openxmlformats.org/officeDocument/2006/relationships/hyperlink" Target="https://resources.simonelectric.com/simon-ebook-vehiculo-electrico-0?gclid=CjwKCAjwk6P2BRAIEiwAfVJ0rIsM4d8tR45JjqRXZoR-BNLRKHF_xdY6VBhaQfFmpYvFiY2fP_QvvhoCJrUQAvD_BwE" TargetMode="External"/><Relationship Id="rId3222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9vBigeJQUvdi5kbXV0HBJh9nxb1vJ3IJ7Xbe_52Tv9Cjv40U1iERZ4Z_6S8jfweo7b31k3wcqOJ0e9ELGKmCeXYnuQwA&amp;_hsmi=71034014" TargetMode="External"/><Relationship Id="rId695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3225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_tVc5-pdM-9pxBj11ePjU_K9VOjYAWjRHProcSqRA7WI-5iCQVeO3DKZSxr6Ni31aTme4IDNsrXoIwk7yYZ4wlUs2TwQ&amp;_hsmi=71034014" TargetMode="External"/><Relationship Id="rId694" Type="http://schemas.openxmlformats.org/officeDocument/2006/relationships/hyperlink" Target="https://resources.simonelectric.com/simon-material-formativo-vehiculo-electrico?utm_campaign=SIC%20-%20Veh%C3%ADculo%20El%C3%A9ctrico&amp;utm_medium=email&amp;_hsenc=p2ANqtz-_Sg0p8orj6xEFLajd1g_9dDt1M3mXdjaNdLep8oiyWNmpuko05GOWm5hGHLpRS7l-3kxOHqj2PJ7rLfUqavuufGltmBA&amp;_hsmi=88328232&amp;utm_source=hs_email&amp;utm_content=88328407&amp;hsCtaTracking=f8a31ce8-daf1-4d69-a5d6-c3349f3aab91%7C75f9b9fd-a2b2-4ad4-9d4a-0dcb7c99194f" TargetMode="External"/><Relationship Id="rId322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25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25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5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5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25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253" Type="http://schemas.openxmlformats.org/officeDocument/2006/relationships/hyperlink" Target="https://resources.simonelectric.com/simon-ebook-vehiculo-electrico" TargetMode="External"/><Relationship Id="rId325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55" Type="http://schemas.openxmlformats.org/officeDocument/2006/relationships/hyperlink" Target="https://resources.simonelectric.com/simon-ebook-vehiculo-electrico?utm_campaign=SIC%20-%20Veh%C3%ADculo%20El%C3%A9ctrico&amp;utm_medium=email&amp;_hsenc=p2ANqtz-8HsFYdpHEh65ORDmjO8KimH-YsxyuQqJMI-Wjyv7jB621SHsLpiP0BKngsitWDWGyzqAbRGfgyaHgpissLsu1Ov_1Qog&amp;_hsmi=71033675&amp;utm_source=hs_automation&amp;utm_content=71033675&amp;hsCtaTracking=2e94ebfc-d414-4389-870c-d2f266a9420b%7C587ac4dc-a49a-4bdc-b449-e36f5d95395b" TargetMode="External"/><Relationship Id="rId3258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3257" Type="http://schemas.openxmlformats.org/officeDocument/2006/relationships/hyperlink" Target="https://resources.simonelectric.com/simon-ebook-vehiculo-electrico?utm_campaign=SIC%20-%20Veh%C3%ADculo%20El%C3%A9ctrico&amp;utm_medium=email&amp;_hsenc=p2ANqtz-94_GIeNZ549QMgWuE7tQOASBeCLNMkAAXi18KKQiGB_-n4I3iT5euTu1MdQ_pWAUlfrOy25Zoqfs-Nmqw7HJC_BLS-UXqAk_KvMdKjfn6wUqqSiYE&amp;_hsmi=71033675&amp;utm_source=hs_automation&amp;utm_content=71033675&amp;hsCtaTracking=2e94ebfc-d414-4389-870c-d2f266a9420b%7C587ac4dc-a49a-4bdc-b449-e36f5d95395b" TargetMode="External"/><Relationship Id="rId3249" Type="http://schemas.openxmlformats.org/officeDocument/2006/relationships/hyperlink" Target="https://resources.simonelectric.com/simon-ebook-vehiculo-electrico" TargetMode="External"/><Relationship Id="rId324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241" Type="http://schemas.openxmlformats.org/officeDocument/2006/relationships/hyperlink" Target="https://resources.simonelectric.com/simon-ebook-vehiculo-electrico" TargetMode="External"/><Relationship Id="rId3240" Type="http://schemas.openxmlformats.org/officeDocument/2006/relationships/hyperlink" Target="https://resources.simonelectric.com/simon-catalogo-vehiculo-electrico?__hstc=83084745.005699f42df5ab4058b1e40d574bbd40.1578421095100.1583850346521.1583928260275.65&amp;__hssc=83084745.1119.1583928260275&amp;__hsfp=1183290012" TargetMode="External"/><Relationship Id="rId3243" Type="http://schemas.openxmlformats.org/officeDocument/2006/relationships/hyperlink" Target="https://resources.simonelectric.com/simon-ebook-vehiculo-electrico?utm_campaign=SIC%20-%20Veh%C3%ADculo%20El%C3%A9ctrico&amp;utm_medium=email&amp;_hsenc=p2ANqtz-_5mvkbo8D8EPh9XoCIsYo7ietQYdW_pWj1SYKQDnY1RgPZBWS4cQq7k4wcgHTumvW3M2J7kfNX50QppsgPmB3tCRyiYXjpHvdLV8dR0AiCRFfK1ww&amp;_hsmi=71033675&amp;utm_source=hs_automation&amp;utm_content=71033675&amp;hsCtaTracking=2e94ebfc-d414-4389-870c-d2f266a9420b%7C587ac4dc-a49a-4bdc-b449-e36f5d95395b" TargetMode="External"/><Relationship Id="rId3242" Type="http://schemas.openxmlformats.org/officeDocument/2006/relationships/hyperlink" Target="https://resources.simonelectric.com/simon-catalogo-vehiculo-electrico?__hstc=83084745.95406d6a3302ca3963465fb2c09c965b.1583923068442.1583923068442.1583925302111.2&amp;__hssc=83084745.10.1583925302111&amp;__hsfp=1058893358" TargetMode="External"/><Relationship Id="rId3245" Type="http://schemas.openxmlformats.org/officeDocument/2006/relationships/hyperlink" Target="https://resources.simonelectric.com/simon-ebook-vehiculo-electrico" TargetMode="External"/><Relationship Id="rId3244" Type="http://schemas.openxmlformats.org/officeDocument/2006/relationships/hyperlink" Target="https://resources.simonelectric.com/simon-catalogo-vehiculo-electrico?__hstc=83084745.b35975246d5151186ec37103dc0f64ea.1583914578890.1583914578890.1583914578890.1&amp;__hssc=83084745.14.1583914578891&amp;__hsfp=137485176" TargetMode="External"/><Relationship Id="rId3247" Type="http://schemas.openxmlformats.org/officeDocument/2006/relationships/hyperlink" Target="https://resources.simonelectric.com/simon-ebook-vehiculo-electrico?utm_campaign=SIC%20-%20Veh%C3%ADculo%20El%C3%A9ctrico&amp;utm_medium=email&amp;_hsenc=p2ANqtz-8ZAtb5QVE1FIdyhwmayIAx5uSDHpwWl45zqhWt0xlnT9lHJEQUkHc5qX0Qr-U8nhhbZ5yyBzgWAdE6ULZf_BPcSCuyaA&amp;_hsmi=84202906&amp;utm_source=hs_automation&amp;utm_content=84202906&amp;hsCtaTracking=26d36c03-e482-4ae2-bb24-a3deafd20fb4%7C767cf64e-061e-4dd8-9e07-e6256dfa595c" TargetMode="External"/><Relationship Id="rId324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499" Type="http://schemas.openxmlformats.org/officeDocument/2006/relationships/hyperlink" Target="https://resources.simonelectric.com/simon-catalogo-vehiculo-electrico?utm_campaign=SIC%20-%20Veh%C3%ADculo%20El%C3%A9ctrico&amp;utm_medium=email&amp;_hsenc=p2ANqtz-9rFJZfYrJ5UzdZRJQgHVYQmfZFY9raeycW081UBAe14ycsRAbH-7Ml-ms3FbeX6K6y4hcD&amp;_hsmi=87085302&amp;utm_content=87085302&amp;utm_source=hs_email&amp;hsCtaTracking=6fedf137-fd90-4f17-bfb4-d61f710ec7f8%7Cf2771843-6636-4969-9010-2d8d0389b89c" TargetMode="External"/><Relationship Id="rId668" Type="http://schemas.openxmlformats.org/officeDocument/2006/relationships/hyperlink" Target="https://resources.simonelectric.com/simon-ebook-vehiculo-electrico?utm_campaign=SIC%20-%20Veh%C3%ADculo%20El%C3%A9ctrico&amp;utm_medium=email&amp;_hsenc=p2ANqtz-8Ei0cwddaquGsayFmKxtvwNwtEyynqllbJHGc1xzRyIA3alLwxzanTpCT4-GBdL3M6m9lfOuqX970DwxwQcJ6863CN1Q&amp;_hsmi=71033675&amp;utm_source=hs_automation&amp;utm_content=71033675&amp;hsCtaTracking=2e94ebfc-d414-4389-870c-d2f266a9420b%7C587ac4dc-a49a-4bdc-b449-e36f5d95395b" TargetMode="External"/><Relationship Id="rId667" Type="http://schemas.openxmlformats.org/officeDocument/2006/relationships/hyperlink" Target="https://resources.simonelectric.com/simon-ebook-vehiculo-electrico?utm_campaign=SIC%20-%20Veh%C3%ADculo%20El%C3%A9ctrico&amp;utm_medium=email&amp;_hsenc=p2ANqtz-_84Mt4UGXJ-YMIcsPA8u3kTG7WP94Oec7SzHkHTpiFftNYqIauM3HBN1QOY_wMQJWU9m1McYV4hCMu8F3WAC5JCwCr6Q&amp;_hsmi=71033675&amp;utm_source=hs_automation&amp;utm_content=71033675&amp;hsCtaTracking=2e94ebfc-d414-4389-870c-d2f266a9420b%7C587ac4dc-a49a-4bdc-b449-e36f5d95395b" TargetMode="External"/><Relationship Id="rId666" Type="http://schemas.openxmlformats.org/officeDocument/2006/relationships/hyperlink" Target="https://resources.simonelectric.com/simon-ebook-vehiculo-electrico?utm_campaign=SIC%20-%20Veh%C3%ADculo%20El%C3%A9ctrico&amp;utm_medium=email&amp;_hsenc=p2ANqtz-8UCebkD65KuUaSxwJc83uwN18GL7QRQ6j-6GdYk4HbeIOEqTxGDvzxxrUaNLprjzJoBxTekt-D3UZo1L61f0b-kmOWonviqvBVmAnIq6p693Wha_E&amp;_hsmi=71033675&amp;utm_source=hs_automation&amp;utm_content=71033675&amp;hsCtaTracking=2e94ebfc-d414-4389-870c-d2f266a9420b%7C587ac4dc-a49a-4bdc-b449-e36f5d95395b" TargetMode="External"/><Relationship Id="rId665" Type="http://schemas.openxmlformats.org/officeDocument/2006/relationships/hyperlink" Target="https://resources.simonelectric.com/simon-ebook-vehiculo-electrico?utm_campaign=SIC%20-%20Veh%C3%ADculo%20El%C3%A9ctrico&amp;utm_medium=email&amp;_hsenc=p2ANqtz-8Q56v8evoX2iEPzHRytxr-_EWU0EF_qXjefRHCP4abVQXgw_aqe0YT3PW0e2CxrFoMEK9FkklJ55ctYajx3L_B1DE3aw&amp;_hsmi=71033675&amp;utm_source=hs_automation&amp;utm_content=71033675&amp;hsCtaTracking=2e94ebfc-d414-4389-870c-d2f266a9420b%7C587ac4dc-a49a-4bdc-b449-e36f5d95395b" TargetMode="External"/><Relationship Id="rId669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8_oJsr1e8Mt0qRP15E2YxY2UJSawDSk478T8w6ih1i78Rc2b9V38z4TweTCe969niDXN9IZNgaREpo2vY60pEuqngRI29qXm_XlYxUttKBfpTZ3rE&amp;_hsmi=71033675" TargetMode="External"/><Relationship Id="rId1490" Type="http://schemas.openxmlformats.org/officeDocument/2006/relationships/hyperlink" Target="https://resources.simonelectric.com/simon-catalogo-vehiculo-electrico?utm_campaign=SIC%20-%20Veh%C3%ADculo%20El%C3%A9ctrico&amp;utm_medium=email&amp;_hsenc=p2ANqtz-9GOL88RC-0iWv-oGdbnRetOGqYzCgLUv76uUBCicBVT-LUpJc4abffxCKiH-LcJVsKwq2y&amp;_hsmi=87085363&amp;utm_content=87085363&amp;utm_source=hs_email&amp;hsCtaTracking=6fedf137-fd90-4f17-bfb4-d61f710ec7f8%7Cf2771843-6636-4969-9010-2d8d0389b89c" TargetMode="External"/><Relationship Id="rId660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87RAel5AH6t3W4V3Q0-5GGvPE_1jb7-lmD8647b8Jh7gN6--wQslQkWnNUSyY_BQg3D1c3LB1Svq7VYUoJSNv9Xcl-Zg&amp;_hsmi=71033675" TargetMode="External"/><Relationship Id="rId1491" Type="http://schemas.openxmlformats.org/officeDocument/2006/relationships/hyperlink" Target="https://resources.simonelectric.com/simon-catalogo-vehiculo-electrico?utm_campaign=SIC%20-%20Veh%C3%ADculo%20El%C3%A9ctrico&amp;utm_medium=email&amp;_hsenc=p2ANqtz--G7LUIYL9GEZU46x5M4FVEx4L9aK8WQie8BcyU1-yOpPqlaiPAA34HQWBGAzngsgkQ8tni&amp;_hsmi=87085363&amp;utm_content=87085363&amp;utm_source=hs_email&amp;hsCtaTracking=6fedf137-fd90-4f17-bfb4-d61f710ec7f8%7Cf2771843-6636-4969-9010-2d8d0389b89c" TargetMode="External"/><Relationship Id="rId1492" Type="http://schemas.openxmlformats.org/officeDocument/2006/relationships/hyperlink" Target="https://resources.simonelectric.com/simon-catalogo-vehiculo-electrico?utm_campaign=SIC%20-%20Veh%C3%ADculo%20El%C3%A9ctrico&amp;utm_medium=email&amp;_hsenc=p2ANqtz--0M6YNJTYUgAvzPz6uk-V_TYZykRM4nkQUguuAsWx-5I0kmgyNcxWCzv567jqP-89b0ypw&amp;_hsmi=87085363&amp;utm_content=87085363&amp;utm_source=hs_email&amp;hsCtaTracking=6fedf137-fd90-4f17-bfb4-d61f710ec7f8%7Cf2771843-6636-4969-9010-2d8d0389b89c" TargetMode="External"/><Relationship Id="rId1493" Type="http://schemas.openxmlformats.org/officeDocument/2006/relationships/hyperlink" Target="https://resources.simonelectric.com/simon-catalogo-vehiculo-electrico?utm_campaign=SIC%20-%20Veh%C3%ADculo%20El%C3%A9ctrico&amp;utm_medium=email&amp;_hsenc=p2ANqtz--RNgu2tnkJbmO6wiwZ70KGnu-k76nbBUmHeBq8tXpYbmXcbfdNjoI-cw5EatfD-88u4EUY&amp;_hsmi=87085363&amp;utm_content=87085363&amp;utm_source=hs_email&amp;hsCtaTracking=6fedf137-fd90-4f17-bfb4-d61f710ec7f8%7Cf2771843-6636-4969-9010-2d8d0389b89c" TargetMode="External"/><Relationship Id="rId1494" Type="http://schemas.openxmlformats.org/officeDocument/2006/relationships/hyperlink" Target="https://resources.simonelectric.com/simon-catalogo-vehiculo-electrico?utm_campaign=SIC%20-%20Veh%C3%ADculo%20El%C3%A9ctrico&amp;utm_medium=email&amp;_hsenc=p2ANqtz-_xfBBWsTeFDGtzJhOTk7nlIG2UXGoEtjzfveXCfRHCIj5q_PdL2kFAw0bzfYICyCxmd2T-&amp;_hsmi=87085302&amp;utm_content=87085302&amp;utm_source=hs_email&amp;hsCtaTracking=6fedf137-fd90-4f17-bfb4-d61f710ec7f8%7Cf2771843-6636-4969-9010-2d8d0389b89c" TargetMode="External"/><Relationship Id="rId664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8HCrm6KoorAqJ732uCMuXfEHQgG1ywVH4jU02qLi993G7PuSCmMQG9aPtzzDsDVhfs5a6zRFOTccAsUwiCUda7PTCqOA&amp;_hsmi=71033675" TargetMode="External"/><Relationship Id="rId1495" Type="http://schemas.openxmlformats.org/officeDocument/2006/relationships/hyperlink" Target="https://resources.simonelectric.com/simon-catalogo-vehiculo-electrico?utm_campaign=SIC%20-%20Veh%C3%ADculo%20El%C3%A9ctrico&amp;utm_medium=email&amp;_hsenc=p2ANqtz--XWZBjkb9t_45WPUDSKvFXfTr0upxty8tZlbAtKx6aQJ3CPymAawRw083Q9PfEXCpXNGYk&amp;_hsmi=87085363&amp;utm_content=87085363&amp;utm_source=hs_email&amp;hsCtaTracking=6fedf137-fd90-4f17-bfb4-d61f710ec7f8%7Cf2771843-6636-4969-9010-2d8d0389b89c" TargetMode="External"/><Relationship Id="rId663" Type="http://schemas.openxmlformats.org/officeDocument/2006/relationships/hyperlink" Target="https://resources.simonelectric.com/simon-ebook-vehiculo-electrico?utm_campaign=SIC%20-%20Veh%C3%ADculo%20El%C3%A9ctrico&amp;utm_medium=email&amp;_hsenc=p2ANqtz-8JHZSYGCCromreiNSGWIsHQe7G7n74zcnA_LJ6ndj1mf0Pi9KWy84YDS0NGi99j0JOXNc-NvS3bkZ-cZU_co02LMd27g&amp;_hsmi=71033675&amp;utm_source=hs_automation&amp;utm_content=71033675&amp;hsCtaTracking=2e94ebfc-d414-4389-870c-d2f266a9420b%7C587ac4dc-a49a-4bdc-b449-e36f5d95395b" TargetMode="External"/><Relationship Id="rId1496" Type="http://schemas.openxmlformats.org/officeDocument/2006/relationships/hyperlink" Target="https://resources.simonelectric.com/simon-catalogo-vehiculo-electrico?utm_campaign=SIC%20-%20Veh%C3%ADculo%20El%C3%A9ctrico&amp;utm_medium=email&amp;_hsenc=p2ANqtz--IWUPlgQBh6J36cCWAhUkJ0u4fPcgeaGCvC83oNpTraz_4Y3i0KVFYwJK0X0BoAq_klraT&amp;_hsmi=87085363&amp;utm_content=87085363&amp;utm_source=hs_email&amp;hsCtaTracking=6fedf137-fd90-4f17-bfb4-d61f710ec7f8%7Cf2771843-6636-4969-9010-2d8d0389b89c" TargetMode="External"/><Relationship Id="rId662" Type="http://schemas.openxmlformats.org/officeDocument/2006/relationships/hyperlink" Target="https://resources.simonelectric.com/simon-catalogo-vehiculo-electrico?utm_campaign=SIC%20-%20Veh%C3%ADculo%20El%C3%A9ctrico&amp;utm_medium=email&amp;_hsenc=p2ANqtz--bpnd-LeOMoKowf84GOQ06OaXXYmdhouU42riYRhczluV_4QDHApMtMSOQZCoFckMj3OWMYyh9E0TZDXa9h9YtcIYHww&amp;_hsmi=87865495&amp;utm_source=hs_automation&amp;utm_content=87865495&amp;hsCtaTracking=6fedf137-fd90-4f17-bfb4-d61f710ec7f8%7Cf2771843-6636-4969-9010-2d8d0389b89c" TargetMode="External"/><Relationship Id="rId1497" Type="http://schemas.openxmlformats.org/officeDocument/2006/relationships/hyperlink" Target="https://resources.simonelectric.com/simon-catalogo-vehiculo-electrico?utm_campaign=SIC%20-%20Veh%C3%ADculo%20El%C3%A9ctrico&amp;utm_medium=email&amp;_hsenc=p2ANqtz-9EQt6_LOwllvp-Cmr2espYqopADuUR6pXklWnnaieSDQEf2RKavywRHokI5U9mS2XtsQAL&amp;_hsmi=87085363&amp;utm_content=87085363&amp;utm_source=hs_email&amp;hsCtaTracking=6fedf137-fd90-4f17-bfb4-d61f710ec7f8%7Cf2771843-6636-4969-9010-2d8d0389b89c" TargetMode="External"/><Relationship Id="rId661" Type="http://schemas.openxmlformats.org/officeDocument/2006/relationships/hyperlink" Target="https://resources.simonelectric.com/simon-ebook-vehiculo-electrico?utm_campaign=SIC%20-%20Veh%C3%ADculo%20El%C3%A9ctrico&amp;utm_medium=email&amp;_hsenc=p2ANqtz--5LnQOG7tywrvilC9JBOg_-Wr3anvpqwSudwyU1A7W_fZOpwTKLV20r8B6jazXYd16hQ4PGQ4yesnz01AoeZrDH_yjUNNvkqsgO54dNRbzynuFAUY&amp;_hsmi=71033675&amp;utm_source=hs_automation&amp;utm_content=71033675&amp;hsCtaTracking=2e94ebfc-d414-4389-870c-d2f266a9420b%7C587ac4dc-a49a-4bdc-b449-e36f5d95395b" TargetMode="External"/><Relationship Id="rId1498" Type="http://schemas.openxmlformats.org/officeDocument/2006/relationships/hyperlink" Target="https://resources.simonelectric.com/simon-catalogo-vehiculo-electrico?utm_campaign=SIC%20-%20Veh%C3%ADculo%20El%C3%A9ctrico&amp;utm_medium=email&amp;_hsenc=p2ANqtz-9Cl_a6TfIETcB0DgIZd9WtZ32NMGJ0Ok3jGPLJWZSxhIpUrDTvqkkup-d8Sqxx_x8EGKGB&amp;_hsmi=87085302&amp;utm_content=87085302&amp;utm_source=hs_email&amp;hsCtaTracking=6fedf137-fd90-4f17-bfb4-d61f710ec7f8%7Cf2771843-6636-4969-9010-2d8d0389b89c" TargetMode="External"/><Relationship Id="rId1488" Type="http://schemas.openxmlformats.org/officeDocument/2006/relationships/hyperlink" Target="https://resources.simonelectric.com/simon-catalogo-vehiculo-electrico?utm_campaign=SIC%20-%20Veh%C3%ADculo%20El%C3%A9ctrico&amp;utm_medium=email&amp;_hsenc=p2ANqtz-_ZwkjU8tRd5PvghWKKCZppnHXXEMUpY2aaBfpxiazKXVWofkzMw2MkUGxLGkZqZtHNDv-l&amp;_hsmi=87085363&amp;utm_content=87085363&amp;utm_source=hs_email&amp;hsCtaTracking=6fedf137-fd90-4f17-bfb4-d61f710ec7f8%7Cf2771843-6636-4969-9010-2d8d0389b89c" TargetMode="External"/><Relationship Id="rId1489" Type="http://schemas.openxmlformats.org/officeDocument/2006/relationships/hyperlink" Target="https://resources.simonelectric.com/simon-catalogo-vehiculo-electrico?utm_campaign=SIC%20-%20Veh%C3%ADculo%20El%C3%A9ctrico&amp;utm_medium=email&amp;_hsenc=p2ANqtz-9WLKplhlg9BF7nkkjmmvZg3Z_jOC2ud_R41olziIYLEKdJe870WPqg6XrKXnSzpDoegAOm&amp;_hsmi=87085363&amp;utm_content=87085363&amp;utm_source=hs_email&amp;hsCtaTracking=6fedf137-fd90-4f17-bfb4-d61f710ec7f8%7Cf2771843-6636-4969-9010-2d8d0389b89c" TargetMode="External"/><Relationship Id="rId657" Type="http://schemas.openxmlformats.org/officeDocument/2006/relationships/hyperlink" Target="https://resources.simonelectric.com/simon-ebook-vehiculo-electrico?utm_campaign=SIC%20-%20Veh%C3%ADculo%20El%C3%A9ctrico&amp;utm_medium=email&amp;_hsenc=p2ANqtz-9kCxQ0rr5HPWPdGklc3v8DJaUlkCH-BfRQrlQQ7jhdpvG_kCkDpwF2nndNxG8Q5o54ZcHRlKGgAdMZGbu88n1vH3vE1sPxn3c-HtWL1fUWYguFnJU&amp;_hsmi=71033675&amp;utm_source=hs_automation&amp;utm_content=71033675&amp;hsCtaTracking=2e94ebfc-d414-4389-870c-d2f266a9420b%7C587ac4dc-a49a-4bdc-b449-e36f5d95395b" TargetMode="External"/><Relationship Id="rId65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655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8svxI2D-kxxIcMefLGlXpxbt81YKaidqzm_WDes7f0geGtktiSfY_T2cQ5ByyHFSH-2bJcvhL5S7yK1l9Hm0BmYuylonImkjquBprB5Gm4-YpFpBU&amp;_hsmi=71033675" TargetMode="External"/><Relationship Id="rId654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8uVlJOThJton616C975fuMS-F_IUZSuUO-UgOcH1eDWsvjojKL3LVcRrtp65m-CNuNeWXURwx2QlBa1DEKc_1ls2TM1w&amp;_hsmi=71033675" TargetMode="External"/><Relationship Id="rId659" Type="http://schemas.openxmlformats.org/officeDocument/2006/relationships/hyperlink" Target="https://resources.simonelectric.com/simon-ebook-vehiculo-electrico?utm_campaign=SIC%20-%20Veh%C3%ADculo%20El%C3%A9ctrico&amp;utm_medium=email&amp;_hsenc=p2ANqtz-8TFUJeEuDorOj77VXa7ibuTasXMAYwG5MOl8tRuSL9R-zEGJ7U8nkqR6gEzFTrXPO0TRrL_9vZc_-asfDicHWy0iSIOJlyjkDPGdiDcYUb_RxGMO8&amp;_hsmi=71033675&amp;utm_source=hs_automation&amp;utm_content=71033675&amp;hsCtaTracking=2e94ebfc-d414-4389-870c-d2f266a9420b%7C587ac4dc-a49a-4bdc-b449-e36f5d95395b" TargetMode="External"/><Relationship Id="rId658" Type="http://schemas.openxmlformats.org/officeDocument/2006/relationships/hyperlink" Target="https://resources.simonelectric.com/simon-ebook-vehiculo-electrico?utm_campaign=SIC%20-%20Veh%C3%ADculo%20El%C3%A9ctrico&amp;utm_medium=email&amp;_hsenc=p2ANqtz--c5jPoaNzd6mpjXU4v3rgFExkkkql6bDFgtJ7e81mdWFKMR7Ti0Or9_pWIXI1dY4QIquMVZYUU1orAl7VjiaiJEkRGRw&amp;_hsmi=71033675&amp;utm_source=hs_automation&amp;utm_content=71033675&amp;hsCtaTracking=2e94ebfc-d414-4389-870c-d2f266a9420b%7C587ac4dc-a49a-4bdc-b449-e36f5d95395b" TargetMode="External"/><Relationship Id="rId148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481" Type="http://schemas.openxmlformats.org/officeDocument/2006/relationships/hyperlink" Target="https://resources.simonelectric.com/simon-catalogo-vehiculo-electrico?utm_campaign=SIC%20-%20Veh%C3%ADculo%20El%C3%A9ctrico&amp;utm_medium=email&amp;_hsenc=p2ANqtz--W7CgAw9PFP27kornT2FfCIWgwuZKMBc33GkElXYtzey-fCDkXWLFe-SVJJhV7sP3d6_uZ&amp;_hsmi=87085363&amp;utm_content=87085363&amp;utm_source=hs_email&amp;hsCtaTracking=6fedf137-fd90-4f17-bfb4-d61f710ec7f8%7Cf2771843-6636-4969-9010-2d8d0389b89c" TargetMode="External"/><Relationship Id="rId1482" Type="http://schemas.openxmlformats.org/officeDocument/2006/relationships/hyperlink" Target="https://resources.simonelectric.com/simon-catalogo-vehiculo-electrico?utm_campaign=SIC%20-%20Veh%C3%ADculo%20El%C3%A9ctrico&amp;utm_medium=email&amp;_hsenc=p2ANqtz--WmIf_0ItgnhDY-oq73yk3iqZnM23BmvWlkq064xD5fbq6k2dxaC8mC8MOhrcHHp-5NDl3&amp;_hsmi=87085363&amp;utm_content=87085363&amp;utm_source=hs_email&amp;hsCtaTracking=6fedf137-fd90-4f17-bfb4-d61f710ec7f8%7Cf2771843-6636-4969-9010-2d8d0389b89c" TargetMode="External"/><Relationship Id="rId1483" Type="http://schemas.openxmlformats.org/officeDocument/2006/relationships/hyperlink" Target="https://resources.simonelectric.com/simon-catalogo-vehiculo-electrico?utm_campaign=SIC%20-%20Veh%C3%ADculo%20El%C3%A9ctrico&amp;utm_medium=email&amp;_hsenc=p2ANqtz-9RsnbbVeESRj5df-MgvJLhpT4e2NKZqZLr33Hrl3Npdv2mJuGC830lxZY_M1KOFUmIg5FU&amp;_hsmi=87085363&amp;utm_content=87085363&amp;utm_source=hs_email&amp;hsCtaTracking=6fedf137-fd90-4f17-bfb4-d61f710ec7f8%7Cf2771843-6636-4969-9010-2d8d0389b89c" TargetMode="External"/><Relationship Id="rId653" Type="http://schemas.openxmlformats.org/officeDocument/2006/relationships/hyperlink" Target="https://resources.simonelectric.com/simon-ebook-vehiculo-electrico?utm_campaign=SIC%20-%20Veh%C3%ADculo%20El%C3%A9ctrico&amp;utm_medium=email&amp;_hsenc=p2ANqtz-_1b7T9JD1AgARSqb9mNsEuOV0k9JJNxDG3il6xmgiUC4JkUnzif_-w4QZWI9F0eh9FXJwcxs3r8QTAaRnJAmP-HPTT4OXpzbseuyvW9jgpHu_fW70&amp;_hsmi=71033675&amp;utm_source=hs_automation&amp;utm_content=71033675&amp;hsCtaTracking=2e94ebfc-d414-4389-870c-d2f266a9420b%7C587ac4dc-a49a-4bdc-b449-e36f5d95395b" TargetMode="External"/><Relationship Id="rId1484" Type="http://schemas.openxmlformats.org/officeDocument/2006/relationships/hyperlink" Target="https://resources.simonelectric.com/simon-catalogo-vehiculo-electrico?utm_campaign=SIC%20-%20Veh%C3%ADculo%20El%C3%A9ctrico&amp;utm_medium=email&amp;_hsenc=p2ANqtz-_NB47qRSA3lYwA7tQq_t_czjo9-pwernti7EBMeJkx9SgmTPjt_Jcn8KhDwFLBrDb1Owmt&amp;_hsmi=87085363&amp;utm_content=87085363&amp;utm_source=hs_email&amp;hsCtaTracking=6fedf137-fd90-4f17-bfb4-d61f710ec7f8%7Cf2771843-6636-4969-9010-2d8d0389b89c" TargetMode="External"/><Relationship Id="rId652" Type="http://schemas.openxmlformats.org/officeDocument/2006/relationships/hyperlink" Target="https://resources.simonelectric.com/simon-material-formativo-vehiculo-electrico?utm_campaign=SIC%20-%20Veh%C3%ADculo%20El%C3%A9ctrico&amp;utm_medium=email&amp;_hsenc=p2ANqtz--8WcrllIzNaVBFV-pa5BF24ToosogvLj6I1yw6VH2KmWpMAOwg50m4JFvK22vGdmXr2a4FnBQWHqNdhkwMmueVvo44jsN17Fy_8RW_lH7TDrvj6XE&amp;_hsmi=88328232&amp;utm_source=hs_email&amp;utm_content=88328407&amp;hsCtaTracking=f8a31ce8-daf1-4d69-a5d6-c3349f3aab91%7C75f9b9fd-a2b2-4ad4-9d4a-0dcb7c99194f" TargetMode="External"/><Relationship Id="rId1485" Type="http://schemas.openxmlformats.org/officeDocument/2006/relationships/hyperlink" Target="https://resources.simonelectric.com/simon-catalogo-vehiculo-electrico?utm_campaign=SIC%20-%20Veh%C3%ADculo%20El%C3%A9ctrico&amp;utm_medium=email&amp;_hsenc=p2ANqtz-94pu2C_2XCrjFipjxaJW33fl9jwLhNNXwgEa-sA2kgMXKoJT8wdFLlbAVByEqvihHcaTEY&amp;_hsmi=87085302&amp;utm_content=87085302&amp;utm_source=hs_email&amp;hsCtaTracking=6fedf137-fd90-4f17-bfb4-d61f710ec7f8%7Cf2771843-6636-4969-9010-2d8d0389b89c" TargetMode="External"/><Relationship Id="rId651" Type="http://schemas.openxmlformats.org/officeDocument/2006/relationships/hyperlink" Target="https://resources.simonelectric.com/simon-ebook-vehiculo-electrico?utm_campaign=SIC%20-%20Veh%C3%ADculo%20El%C3%A9ctrico&amp;utm_medium=email&amp;_hsenc=p2ANqtz-8tlQQcaRZsu5AdUm73uIcAHil1psohf6-gtqGyc52uuzFydM2_QUjGArg_PUBmd_vhhPyATy2LWDSqttznZDfRmBwnCw&amp;_hsmi=71033675&amp;utm_source=hs_automation&amp;utm_content=71033675&amp;hsCtaTracking=2e94ebfc-d414-4389-870c-d2f266a9420b%7C587ac4dc-a49a-4bdc-b449-e36f5d95395b" TargetMode="External"/><Relationship Id="rId1486" Type="http://schemas.openxmlformats.org/officeDocument/2006/relationships/hyperlink" Target="https://resources.simonelectric.com/simon-catalogo-vehiculo-electrico?utm_campaign=SIC%20-%20Veh%C3%ADculo%20El%C3%A9ctrico&amp;utm_medium=email&amp;_hsenc=p2ANqtz--s5LTX66Sf3udAoTSBhD_0h4e2gSOpHrv74s5rVCjbdRXu2Pbwt5x_V9C9FZi3MFZwBrF5&amp;_hsmi=87085302&amp;utm_content=87085302&amp;utm_source=hs_email&amp;hsCtaTracking=6fedf137-fd90-4f17-bfb4-d61f710ec7f8%7Cf2771843-6636-4969-9010-2d8d0389b89c" TargetMode="External"/><Relationship Id="rId650" Type="http://schemas.openxmlformats.org/officeDocument/2006/relationships/hyperlink" Target="https://resources.simonelectric.com/simon-ebook-vehiculo-electrico?utm_campaign=SIC%20-%20Veh%C3%ADculo%20El%C3%A9ctrico&amp;utm_medium=email&amp;_hsenc=p2ANqtz--g1xrCpzM705DEIEiQl4bfzFZ-OfilmY6cjaW9lBbHzNvIyJ2ghgHSzOMScKr15qPRCrWMLz02Q3ANs-61vgaIkjs2zg&amp;_hsmi=71033675&amp;utm_source=hs_automation&amp;utm_content=71033675&amp;hsCtaTracking=2e94ebfc-d414-4389-870c-d2f266a9420b%7C587ac4dc-a49a-4bdc-b449-e36f5d95395b" TargetMode="External"/><Relationship Id="rId1487" Type="http://schemas.openxmlformats.org/officeDocument/2006/relationships/hyperlink" Target="https://resources.simonelectric.com/simon-catalogo-vehiculo-electrico?utm_campaign=SIC%20-%20Veh%C3%ADculo%20El%C3%A9ctrico&amp;utm_medium=email&amp;_hsenc=p2ANqtz-9rSY0kn_y8Jt_xG3cOVAUBRXhvhvyQnO3AP89v_yxpU2zOccrEgHfTHQWTtbmklq-B2Sfx&amp;_hsmi=87085363&amp;utm_content=87085363&amp;utm_source=hs_email&amp;hsCtaTracking=6fedf137-fd90-4f17-bfb4-d61f710ec7f8%7Cf2771843-6636-4969-9010-2d8d0389b89c" TargetMode="External"/><Relationship Id="rId321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215" Type="http://schemas.openxmlformats.org/officeDocument/2006/relationships/hyperlink" Target="https://resources.simonelectric.com/simon-ebook-vehiculo-electrico?utm_referrer=https%3A%2F%2Fwww.simonelectric.com%2Fblog%2Fvehiculo-electrico-todo-lo-que-tienes-que-saber-de-movilidad-sostenible%3Futm_campaign%3DSIC%2520-%2520Veh%25C3%25ADculo%2520El%25C3%25A9ctrico%26utm_medium%3Demail%26_hsenc%3Dp2ANqtz--I9E35H300SgI6mfvbczid0W-MrVDiBfDActqJ_sX9zuGwI2zUR-one8lkH8m1WVP8rq8uzcNR4Rsfc-Z_R0KLn0s5777VJToxhEdOStumFS-283o%26_hsmi%3D84121605%26utm_source%3Dhs_email%26utm_content%3D84121603%26hsCtaTracking%3D142b9333-ac5c-4efa-bb4a-d64b5cd618a7%257C1ecb110e-27d1-495c-b2c8-078959415359" TargetMode="External"/><Relationship Id="rId321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217" Type="http://schemas.openxmlformats.org/officeDocument/2006/relationships/hyperlink" Target="https://resources.simonelectric.com/simon-ebook-vehiculo-electrico" TargetMode="External"/><Relationship Id="rId3219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" TargetMode="External"/><Relationship Id="rId689" Type="http://schemas.openxmlformats.org/officeDocument/2006/relationships/hyperlink" Target="https://resources.simonelectric.com/simon-material-formativo-vehiculo-electrico?utm_campaign=SIC%20-%20Veh%C3%ADculo%20El%C3%A9ctrico&amp;utm_medium=email&amp;_hsenc=p2ANqtz-9PHmbVowtkih7sukY4cmt9TqtqYnXfsOIEsSFwESsF1WnPY65fkh6o6U0dylY9Mk122DVCq3FnnDhrVr7vKIcUHTNddA&amp;_hsmi=88328232&amp;utm_source=hs_email&amp;utm_content=88328407&amp;hsCtaTracking=f8a31ce8-daf1-4d69-a5d6-c3349f3aab91%7C75f9b9fd-a2b2-4ad4-9d4a-0dcb7c99194f" TargetMode="External"/><Relationship Id="rId68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68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68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681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R3t3CNihLEMfpC7LQWFQaVbs_RVoE5iW2YlOtRxCKLt3D9bLTSv-0PVfgxeZAzHv7x3hI4b6gDb_MYNxclQJKkoDJ7g&amp;_hsmi=88328232" TargetMode="External"/><Relationship Id="rId680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9tiUpHKpwa4kFKhVf_fHNfYdkQ-5AUe-7fQg2qNhW0nrHJ2vYw8_ivfXvixIWw1DzDNmt9FOCuIGhn7tS7wCXwG6n-xg&amp;_hsmi=71033675" TargetMode="External"/><Relationship Id="rId3210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-_nbg_NtVe3zy2pPJrPTz2QkP0hXxeR-4XEIe0dXC1q1dJ7TvW7HmVndKo2wJ_CV-eVsKGVH34kaDjBziG5Os7WRThtg&amp;_hsmi=71034014" TargetMode="External"/><Relationship Id="rId686" Type="http://schemas.openxmlformats.org/officeDocument/2006/relationships/hyperlink" Target="https://resources.simonelectric.com/simon-material-formativo-vehiculo-electrico?utm_campaign=SIC%20-%20Veh%C3%ADculo%20El%C3%A9ctrico&amp;utm_medium=email&amp;_hsenc=p2ANqtz-9k4OEpfaqhXQS1XD7MyuGmWbU4EVl21E3nb8j68RfYrZK-SjeVK7BmSAnvbjUw_9ky_Zj6w-pGu7_6y4FBIwk3z4a0bQ&amp;_hsmi=88328232&amp;utm_source=hs_email&amp;utm_content=88328407&amp;hsCtaTracking=f8a31ce8-daf1-4d69-a5d6-c3349f3aab91%7C75f9b9fd-a2b2-4ad4-9d4a-0dcb7c99194f" TargetMode="External"/><Relationship Id="rId3212" Type="http://schemas.openxmlformats.org/officeDocument/2006/relationships/hyperlink" Target="https://resources.simonelectric.com/simon-ebook-vehiculo-electrico" TargetMode="External"/><Relationship Id="rId685" Type="http://schemas.openxmlformats.org/officeDocument/2006/relationships/hyperlink" Target="https://resources.simonelectric.com/simon-material-formativo-vehiculo-electrico?utm_campaign=SIC%20-%20Veh%C3%ADculo%20El%C3%A9ctrico&amp;utm_medium=email&amp;_hsenc=p2ANqtz-_Ws0ycH-4l-D_Cz9-JO9lMoWRlLH65vZa3nioxoCqD-sr3y_e7Ypg-DzUgKT5wKfe6-4NLIW98oj2iOdDxdgVraKYd-A&amp;_hsmi=88328232&amp;utm_source=hs_email&amp;utm_content=88328407&amp;hsCtaTracking=f8a31ce8-daf1-4d69-a5d6-c3349f3aab91%7C75f9b9fd-a2b2-4ad4-9d4a-0dcb7c99194f" TargetMode="External"/><Relationship Id="rId3211" Type="http://schemas.openxmlformats.org/officeDocument/2006/relationships/hyperlink" Target="https://resources.simonelectric.com/simon-catalogo-vehiculo-electrico?__hstc=83084745.c21efcde2d02b9bf55623c4438b6ac07.1584350327201.1584350327201.1584350327201.1&amp;__hssc=83084745.1.1584350327202&amp;__hsfp=475390084" TargetMode="External"/><Relationship Id="rId684" Type="http://schemas.openxmlformats.org/officeDocument/2006/relationships/hyperlink" Target="https://resources.simonelectric.com/simon-ebook-vehiculo-electrico-0?gclid=EAIaIQobChMI-Mfnl57N6QIVDGsbCh1_2Q1oEAEYASAAEgLDBvD_BwE" TargetMode="External"/><Relationship Id="rId3214" Type="http://schemas.openxmlformats.org/officeDocument/2006/relationships/hyperlink" Target="https://resources.simonelectric.com/simon-ebook-vehiculo-electrico?utm_campaign=SIC%20-%20Veh%C3%ADculo%20El%C3%A9ctrico&amp;utm_medium=email&amp;_hsenc=p2ANqtz-_VV7XpJu_EkXbU1oq5uRwMrOP-sEtJVaqjz3otls_FLEMmcDcL60YxapmvrNN7IM46Au6Nq3D6jmNVp50fOYC7N87rRg&amp;_hsmi=71033675&amp;utm_source=hs_automation&amp;utm_content=71033675&amp;hsCtaTracking=2e94ebfc-d414-4389-870c-d2f266a9420b%7C587ac4dc-a49a-4bdc-b449-e36f5d95395b" TargetMode="External"/><Relationship Id="rId683" Type="http://schemas.openxmlformats.org/officeDocument/2006/relationships/hyperlink" Target="https://resources.simonelectric.com/simon-material-formativo-vehiculo-electrico?utm_campaign=SIC%20-%20Veh%C3%ADculo%20El%C3%A9ctrico&amp;utm_medium=email&amp;_hsenc=p2ANqtz-82fON7kympWzymsdc-DzJsRnZXd5TZxVweGXZOClhCGlRJJ6UoJy8Uv7tjGvGKJHYtDSFKakRusW04-qVEztbBr5FIUpzxrUaqNkO4YEq8GrXkTMs&amp;_hsmi=88328232&amp;utm_source=hs_email&amp;utm_content=88328407&amp;hsCtaTracking=f8a31ce8-daf1-4d69-a5d6-c3349f3aab91%7C75f9b9fd-a2b2-4ad4-9d4a-0dcb7c99194f" TargetMode="External"/><Relationship Id="rId321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205" Type="http://schemas.openxmlformats.org/officeDocument/2006/relationships/hyperlink" Target="https://resources.simonelectric.com/simon-ebook-vehiculo-electrico-0?gclid=EAIaIQobChMIlOG3jpSg6AIVVhIbCh1Qwwh6EAEYASAAEgIB3fD_BwE" TargetMode="External"/><Relationship Id="rId320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0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0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09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_Ql3j7DZ_A3q1NsxRk4VKbrerVqISD7o1P4l7WGbYHyzssehNNfkNuuSvP8tCtRDz8q8MM4R1ORTUPJewb1LuValriug&amp;_hsmi=71034014" TargetMode="External"/><Relationship Id="rId3208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%3Futm_campaign%3DSIC%2520-%2520Veh%25C3%25ADculo%2520El%25C3%25A9ctrico%26utm_source%3Dhs_automation%26utm_medium%3Demail%26utm_content%3D71033996%26_hsenc%3Dp2ANqtz-8rVNBBX4tyYuNagEc2xSHPRlTS_stFq4r0yk2enE4wdnFq7XLAe89SrIuYYoEFmNr4npe4E_ZBZE50oG8QWzDOaOGE1A%26_hsmi%3D71033996" TargetMode="External"/><Relationship Id="rId679" Type="http://schemas.openxmlformats.org/officeDocument/2006/relationships/hyperlink" Target="https://resources.simonelectric.com/simon-ebook-vehiculo-electrico?utm_campaign=SIC%20-%20Veh%C3%ADculo%20El%C3%A9ctrico&amp;utm_medium=email&amp;_hsenc=p2ANqtz-9Ztd0yO94Wh4LVIHbo4jYYt-SYIZKVupYAtBKczbXvCKvg_uCoESbCxwUnrmgFv9U2-t3XpdM1Id4Y6Kzwj8EJeo6MNA&amp;_hsmi=71033675&amp;utm_source=hs_automation&amp;utm_content=71033675&amp;hsCtaTracking=2e94ebfc-d414-4389-870c-d2f266a9420b%7C587ac4dc-a49a-4bdc-b449-e36f5d95395b" TargetMode="External"/><Relationship Id="rId678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_fTNfSr0WUT-EcN5Czp_1j3sx0bsfCsthSfpuByNBr2rH2K953bG9imy-kF7ZTTsIViLEamcdFV1pWyluXDc5kpNnsAA&amp;_hsmi=71034014" TargetMode="External"/><Relationship Id="rId677" Type="http://schemas.openxmlformats.org/officeDocument/2006/relationships/hyperlink" Target="https://resources.simonelectric.com/simon-ebook-vehiculo-electrico?utm_campaign=SIC%20-%20Veh%C3%ADculo%20El%C3%A9ctrico&amp;utm_medium=email&amp;_hsenc=p2ANqtz-_kegvrOgX1OBu_o7suvwbNxebOqr2bw_VHH6k4XeGnaZicrVKuzthKNQEQisA788bgJO9NneFYOTaw6bZTMFKEUvyW1A&amp;_hsmi=71033675&amp;utm_source=hs_automation&amp;utm_content=71033675&amp;hsCtaTracking=2e94ebfc-d414-4389-870c-d2f266a9420b%7C587ac4dc-a49a-4bdc-b449-e36f5d95395b" TargetMode="External"/><Relationship Id="rId676" Type="http://schemas.openxmlformats.org/officeDocument/2006/relationships/hyperlink" Target="https://resources.simonelectric.com/simon-ebook-vehiculo-electrico?utm_campaign=SIC%20-%20Veh%C3%ADculo%20El%C3%A9ctrico&amp;utm_medium=email&amp;_hsenc=p2ANqtz--oRO15zP_0cA5_wt6go8IhjhK128F02w5ovwHctZXt6C8kwJNCGCkbrFxpiTwT_ZY1rDhwI-cOtq5x_dC0XI4S2m9DvA&amp;_hsmi=71033675&amp;utm_source=hs_automation&amp;utm_content=71033675&amp;hsCtaTracking=2e94ebfc-d414-4389-870c-d2f266a9420b%7C587ac4dc-a49a-4bdc-b449-e36f5d95395b" TargetMode="External"/><Relationship Id="rId671" Type="http://schemas.openxmlformats.org/officeDocument/2006/relationships/hyperlink" Target="https://resources.simonelectric.com/simon-ebook-vehiculo-electrico?utm_campaign=SIC%20-%20Veh%C3%ADculo%20El%C3%A9ctrico&amp;utm_medium=email&amp;_hsenc=p2ANqtz--7j8h_10frOCezFOi2sNYsz6vdjcQ3mh-3CrpB_i1WD3PLF_t1BLLq2XX27caRgX1BJfqeOUH_PDr5X0twg4P8axEJyg&amp;_hsmi=71033675&amp;utm_source=hs_automation&amp;utm_content=71033675&amp;hsCtaTracking=2e94ebfc-d414-4389-870c-d2f266a9420b%7C587ac4dc-a49a-4bdc-b449-e36f5d95395b" TargetMode="External"/><Relationship Id="rId670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-mVBsxcXfbglkT3dbK6vqV-ekSjdgHNy1rDbNwQ8ikn_Blf74CgrPRK3DAPf-OOwi3BfBj4zgdN55nQ1-leBoSIsF8Bg&amp;_hsmi=71033675" TargetMode="External"/><Relationship Id="rId675" Type="http://schemas.openxmlformats.org/officeDocument/2006/relationships/hyperlink" Target="https://resources.simonelectric.com/simon-ebook-vehiculo-electrico?utm_campaign=SIC%20-%20Veh%C3%ADculo%20El%C3%A9ctrico&amp;utm_medium=email&amp;_hsenc=p2ANqtz-87hWD9Q4FQw5ZOWvJeHGiCQ7YC9flz9BlX0Kw-Es-iDULh0M207aEoi1K7YyjX9kvwse7qpSBHXj_IcgqLgR5jH7Ly5VOLuRVl5XhRO6k8609pBuk&amp;_hsmi=71033675&amp;utm_source=hs_automation&amp;utm_content=71033675&amp;hsCtaTracking=2e94ebfc-d414-4389-870c-d2f266a9420b%7C587ac4dc-a49a-4bdc-b449-e36f5d95395b" TargetMode="External"/><Relationship Id="rId320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674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8cPpEQJNTYPEmYaIPi6Rkl02QjeIaLMC8K6eyHqVVnB1ldgrPExF9_3RjfHiGMGgPjPbCs6dIdbD93u0ve8V2GyX7bcg&amp;_hsmi=71033675" TargetMode="External"/><Relationship Id="rId320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673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_r6v-ZxLB7qT6U7PP5XbdZJFlsQzIvwVNUKR-i7CLRlLXQpWCsRFX4ywCJT4v4I3Zqeya2oJjyFSdBnXEqro5XYDWNkA&amp;_hsmi=71033675" TargetMode="External"/><Relationship Id="rId3203" Type="http://schemas.openxmlformats.org/officeDocument/2006/relationships/hyperlink" Target="https://resources.simonelectric.com/simon-ebook-vehiculo-electrico?utm_campaign=SIC%20-%20Veh%C3%ADculo%20El%C3%A9ctrico&amp;utm_medium=email&amp;_hsenc=p2ANqtz-_8T61fzMPvboI5gf9xCx6NIe1ln4W8u_It4nJAMUpVXWJCt_FPLCC8rISvny-niDgjnI_utibPBiw_GpqHq28zfcxC9A&amp;_hsmi=71033675&amp;utm_source=hs_automation&amp;utm_content=71033675&amp;hsCtaTracking=2e94ebfc-d414-4389-870c-d2f266a9420b%7C587ac4dc-a49a-4bdc-b449-e36f5d95395b" TargetMode="External"/><Relationship Id="rId672" Type="http://schemas.openxmlformats.org/officeDocument/2006/relationships/hyperlink" Target="https://resources.simonelectric.com/simon-ebook-vehiculo-electrico?utm_campaign=SIC%20-%20Veh%C3%ADculo%20El%C3%A9ctrico&amp;utm_medium=email&amp;_hsenc=p2ANqtz-_b0yqvbWnqss_G1kexfkOnMqp1yqVdlf_M_ly1EXNeSooWIr5wTibioLzF1oh8UCSSaEOBTMcviPqJ70hNUy5BoNXXuw&amp;_hsmi=71033675&amp;utm_source=hs_automation&amp;utm_content=71033675&amp;hsCtaTracking=2e94ebfc-d414-4389-870c-d2f266a9420b%7C587ac4dc-a49a-4bdc-b449-e36f5d95395b" TargetMode="External"/><Relationship Id="rId3202" Type="http://schemas.openxmlformats.org/officeDocument/2006/relationships/hyperlink" Target="https://resources.simonelectric.com/simon-catalogo-vehiculo-electrico" TargetMode="External"/><Relationship Id="rId190" Type="http://schemas.openxmlformats.org/officeDocument/2006/relationships/hyperlink" Target="https://resources.simonelectric.com/simon-material-formativo-vehiculo-electrico?utm_campaign=SIC%20-%20Veh%C3%ADculo%20El%C3%A9ctrico&amp;utm_medium=email&amp;_hsenc=p2ANqtz-_Vls8WIh_7g4LuYOXyXBUKHuPr2ponYB9ynA-UlHOXM5gGU8R6NxJLp5PDxGAUH0fHHJr41cUT5fQC1MVnuLB3lcv2hCRnnVkT5oMfiY7vs_ZsbLY&amp;_hsmi=89784488&amp;utm_content=89784488&amp;utm_source=hs_email&amp;hsCtaTracking=f8a31ce8-daf1-4d69-a5d6-c3349f3aab91%7C75f9b9fd-a2b2-4ad4-9d4a-0dcb7c99194f" TargetMode="External"/><Relationship Id="rId194" Type="http://schemas.openxmlformats.org/officeDocument/2006/relationships/hyperlink" Target="https://resources.simonelectric.com/simon-material-formativo-vehiculo-electrico?utm_campaign=SIC%20-%20Veh%C3%ADculo%20El%C3%A9ctrico&amp;utm_medium=email&amp;_hsenc=p2ANqtz-_EGZQQ3_ZUJIBbG_Fkq-ttjcuIj0IhWAVIJfprlg4IAS8VJ9UFNRPgtPdJAfNLb-UqWxJowrDn1YWjGERpL8mcROphww&amp;_hsmi=89784488&amp;utm_content=89784488&amp;utm_source=hs_email&amp;hsCtaTracking=f8a31ce8-daf1-4d69-a5d6-c3349f3aab91%7C75f9b9fd-a2b2-4ad4-9d4a-0dcb7c99194f" TargetMode="External"/><Relationship Id="rId193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90bsvUJ239DkatnjBhOid4dk2pmCWftDzBYQbrB9Jx6OpYKzKYptzRZbdn7Iplnu22Vlg4w7dkiH2RoEPQGpef8YBjtQ&amp;utm_content=89784488&amp;utm_source=hs_email" TargetMode="External"/><Relationship Id="rId192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_qJJz6gYPT0PJKDQHIjBMFDjmbYXPX_Hu9UYyeDND8TcGtEgO6dwL41iKoPmXCRUc0XGmp0hNHiVV8A_J26gOYJqWMo56LhRxo5SoZKagze5kpeV0&amp;utm_content=89784488&amp;utm_source=hs_email" TargetMode="External"/><Relationship Id="rId191" Type="http://schemas.openxmlformats.org/officeDocument/2006/relationships/hyperlink" Target="https://resources.simonelectric.com/simon-catalogo-vehiculo-electrico?utm_campaign=SIC%20-%20Veh%C3%ADculo%20El%C3%A9ctrico&amp;utm_medium=email&amp;_hsmi=71034014&amp;_hsenc=p2ANqtz--vP4bs4WoJIOw--JGOULDIIsbozkD214bZ9gZo1saNPg8e09AiWicz74f_L5V3E2itQk4RaY_Q3suDrMzcGdUzXSjasA&amp;utm_content=71034014&amp;utm_source=hs_automation" TargetMode="External"/><Relationship Id="rId187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_1vvH7oYgnmC7hID54imOJw1aLAwz4KgvQ4gKfgBl8DfpiKZJtXgBJGc-tUSRwaoM4nH-FP1rza_LP4QbmqHryfRk4GXpPJD11ryNDhQmIphH691o&amp;utm_content=89784488&amp;utm_source=hs_email" TargetMode="External"/><Relationship Id="rId186" Type="http://schemas.openxmlformats.org/officeDocument/2006/relationships/hyperlink" Target="https://resources.simonelectric.com/simon-material-formativo-vehiculo-electrico?utm_campaign=SIC%20-%20Veh%C3%ADculo%20El%C3%A9ctrico&amp;utm_medium=email&amp;_hsenc=p2ANqtz-99c5Q4CMpdVwc268cW8thP0hmAZkmk5LKaknpRxOiV2eZfSHoKx6dCzd-_0bKRFRZke95lCXfoYNMkersTgF9YI1lW0w&amp;_hsmi=89784488&amp;utm_content=89784488&amp;utm_source=hs_email&amp;hsCtaTracking=f8a31ce8-daf1-4d69-a5d6-c3349f3aab91%7C75f9b9fd-a2b2-4ad4-9d4a-0dcb7c99194f" TargetMode="External"/><Relationship Id="rId185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_ugGYgu7_d4qlan06wdR2qaFgnR0otkHl2HpFWNWnhgtSS95iUAOq-HuwTePqEwUyOGRE6qrTIyzaCwd1sJBlvWpBDc6WW1tETxxUrl8DFuvwsKhM&amp;utm_content=89784488&amp;utm_source=hs_email" TargetMode="External"/><Relationship Id="rId184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189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_ka8w3hV684I_hsSdHeGal3WZlNMKzev8hEREfNeUGW2r1LkjRWkxj7svapqfOnjXLcTm0Rk78Zz6O0XrkQ65phAp0tA&amp;utm_content=89784488&amp;utm_source=hs_email" TargetMode="External"/><Relationship Id="rId188" Type="http://schemas.openxmlformats.org/officeDocument/2006/relationships/hyperlink" Target="https://resources.simonelectric.com/simon-material-formativo-vehiculo-electrico?utm_campaign=SIC%20-%20Veh%C3%ADculo%20El%C3%A9ctrico&amp;utm_medium=email&amp;_hsenc=p2ANqtz-9czJCs6kcI6vaBUVzDhSgKmWfokGobuEjcwYRvPO-f2SWTBYQQVZOrteKBJ7GFFcUABabDYQdJ18gyH1maKvCUfMNdrA&amp;_hsmi=89784488&amp;utm_content=89784488&amp;utm_source=hs_email&amp;hsCtaTracking=f8a31ce8-daf1-4d69-a5d6-c3349f3aab91%7C75f9b9fd-a2b2-4ad4-9d4a-0dcb7c99194f" TargetMode="External"/><Relationship Id="rId183" Type="http://schemas.openxmlformats.org/officeDocument/2006/relationships/hyperlink" Target="https://resources.simonelectric.com/simon-material-formativo-vehiculo-electrico" TargetMode="External"/><Relationship Id="rId182" Type="http://schemas.openxmlformats.org/officeDocument/2006/relationships/hyperlink" Target="https://resources.simonelectric.com/simon-material-formativo-vehiculo-electrico?utm_campaign=SIC%20-%20Veh%C3%ADculo%20El%C3%A9ctrico&amp;utm_medium=email&amp;_hsenc=p2ANqtz-9aN7ZXW___iexx8crHqu2DnxZuySr4K4_Xb82HtRXFJOQb_0XTfjcbO_hTqbb0_uUqFEkFoT6j7tvTt05dTessYV10NA&amp;_hsmi=89784488&amp;utm_content=89784488&amp;utm_source=hs_email&amp;hsCtaTracking=f8a31ce8-daf1-4d69-a5d6-c3349f3aab91%7C75f9b9fd-a2b2-4ad4-9d4a-0dcb7c99194f" TargetMode="External"/><Relationship Id="rId181" Type="http://schemas.openxmlformats.org/officeDocument/2006/relationships/hyperlink" Target="https://resources.simonelectric.com/simon-catalogo-vehiculo-electrico?utm_campaign=SIC%20-%20Veh%C3%ADculo%20El%C3%A9ctrico&amp;utm_medium=email&amp;_hsmi=71034014&amp;_hsenc=p2ANqtz---H7_xRawJGXugH34Prx1EjCLs2Rfj9MQPuqDe7jP9EGNjwJ-zksQd39DDKc23BZsRfhT5MKVdOvi-kWFV7FE9uBG_lnzYH2PsAC7PEsu_utbGyso&amp;utm_content=71034014&amp;utm_source=hs_automation" TargetMode="External"/><Relationship Id="rId180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_0EGhyTH52sJ2priH3xsE2adYZ2XKCClNgWxz9bh4M3VrAIRjweHVEFfdUpfrNwzxJMSNspslx2eIhyM_sAWuG7u8GN600jPgR1IB7oSs7cTIDHsA&amp;utm_content=89784488&amp;utm_source=hs_email" TargetMode="External"/><Relationship Id="rId17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75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_T1oaxfa1l0JAMOUbEPlXwimZ6BtHZZ8CA_AK_cmMW-U5Y_x8YWHlmMwHpAYi1QqoUNri7p9SHWNsaPWJ4-jYp4UVGYQ&amp;utm_content=89784488&amp;utm_source=hs_email" TargetMode="External"/><Relationship Id="rId174" Type="http://schemas.openxmlformats.org/officeDocument/2006/relationships/hyperlink" Target="https://resources.simonelectric.com/simon-catalogo-vehiculo-electrico?utm_campaign=SIC%20-%20Veh%C3%ADculo%20El%C3%A9ctrico&amp;utm_medium=email&amp;_hsmi=71034014&amp;_hsenc=p2ANqtz--s3ay7y3jE-U6J1arIBQwU1sRQZ095B36ZTe2Z8ctFQvUziib1o9NMf59SzzlUtJgBqX8UPFiOCBU4HbAZiYdi1N-UVg&amp;utm_content=71034014&amp;utm_source=hs_automation" TargetMode="External"/><Relationship Id="rId173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8Lw9CVoLD4Qi-j4u-2jPSdf_Krh1t-EW2O2oq1drrkmYb5Spx7mc7d5BnSBqBiZHNDoStyIbRtSljvcOiNlH9tOeKByQ&amp;utm_content=89784488&amp;utm_source=hs_email" TargetMode="External"/><Relationship Id="rId179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-suSgOoegXZfGYan-9syIWGB2liKAVixFuClSh-7glVRsBCutuzKH_rmCarPmRkN469Q1aQ2PlQ9IDcbDGcyio-qY5Lw&amp;utm_content=89784488&amp;utm_source=hs_email" TargetMode="External"/><Relationship Id="rId178" Type="http://schemas.openxmlformats.org/officeDocument/2006/relationships/hyperlink" Target="https://resources.simonelectric.com/simon-material-formativo-vehiculo-electrico?utm_campaign=SIC%20-%20Veh%C3%ADculo%20El%C3%A9ctrico&amp;utm_medium=email&amp;_hsenc=p2ANqtz--TWwSDDFFI7qaPlNKHVTXDckPcylXZM0uLPpevXcoDaEBpNGOvyPTHps04OWad1QuL92qc_ln-3DZ7nX2U55_YE2E-YA&amp;_hsmi=89784488&amp;utm_content=89784488&amp;utm_source=hs_email&amp;hsCtaTracking=f8a31ce8-daf1-4d69-a5d6-c3349f3aab91%7C75f9b9fd-a2b2-4ad4-9d4a-0dcb7c99194f" TargetMode="External"/><Relationship Id="rId177" Type="http://schemas.openxmlformats.org/officeDocument/2006/relationships/hyperlink" Target="https://resources.simonelectric.com/simon-material-formativo-vehiculo-electrico?utm_campaign=SIC%20-%20Veh%C3%ADculo%20El%C3%A9ctrico&amp;utm_medium=email&amp;_hsenc=p2ANqtz--RYNbXo41L87u1zlajJKYdqLUoiUQHHDGgWm5tVxmLrduIOqt8KlWpHBx_pv2kHL6MqBRlnsVEk54KwFaSu-w3MU6dFA-_imo5rYSX9RK7zx-k9aA&amp;_hsmi=89784488&amp;utm_content=89784488&amp;utm_source=hs_email&amp;hsCtaTracking=f8a31ce8-daf1-4d69-a5d6-c3349f3aab91%7C75f9b9fd-a2b2-4ad4-9d4a-0dcb7c99194f" TargetMode="External"/><Relationship Id="rId198" Type="http://schemas.openxmlformats.org/officeDocument/2006/relationships/hyperlink" Target="https://resources.simonelectric.com/simon-material-formativo-vehiculo-electrico?utm_campaign=SIC%20-%20Veh%C3%ADculo%20El%C3%A9ctrico&amp;utm_medium=email&amp;_hsenc=p2ANqtz--ZiU0W0yRkd0ei2jWk-MGODSJ-OvfWYK5tYIYE7zMGKuFXXnhh4n00lItBDmKErTfeCRMs0YZGPULf3U_WYWkEqWfgZsuT8gd7jHfvPISd2Jjo-bQ&amp;_hsmi=89784488&amp;utm_content=89784488&amp;utm_source=hs_email&amp;hsCtaTracking=f8a31ce8-daf1-4d69-a5d6-c3349f3aab91%7C75f9b9fd-a2b2-4ad4-9d4a-0dcb7c99194f" TargetMode="External"/><Relationship Id="rId197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9e72c_UZD1lT1DY_tJr6dx_2yRqpSSNmw0cY8JSPaLj6CW4IAswi8K6FUV_5lCePkien6NEqRE68kmG5OrerG13GWejus8QtYBEpkbtKGb8QG-K0k&amp;utm_content=89784488&amp;utm_source=hs_email" TargetMode="External"/><Relationship Id="rId196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195" Type="http://schemas.openxmlformats.org/officeDocument/2006/relationships/hyperlink" Target="https://resources.simonelectric.com/simon-material-formativo-vehiculo-electrico?utm_campaign=SIC%20-%20Veh%C3%ADculo%20El%C3%A9ctrico&amp;utm_medium=email&amp;_hsenc=p2ANqtz-8xXvXEBH4Yxful_G8lMYQfehD-qXPjWM7kI_I8BRPrEkODHHT0Dw_PPBhvIDfylFfXZIuLMB3waPZFefJTBpVmHDoyNg&amp;_hsmi=89784488&amp;utm_content=89784488&amp;utm_source=hs_email&amp;hsCtaTracking=f8a31ce8-daf1-4d69-a5d6-c3349f3aab91%7C75f9b9fd-a2b2-4ad4-9d4a-0dcb7c99194f" TargetMode="External"/><Relationship Id="rId199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-yl65CHrNL-M9a8KinB6WzQ4fKehW03VNVR4Yrit_uJZ3ft4Wb3G1gIF1VzQToOlxBELkmbSMikq1RxagPTN_RQPTO4A&amp;utm_content=89784488&amp;utm_source=hs_email" TargetMode="External"/><Relationship Id="rId150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9_YNHBkYnNLGUojWy4ORurdgSVb4Yri5R9oLbHbpixKWmvuy4G0EW-4D9d_udVwBcdcL5SoJ-tWXa-Hg4iakC7Sw2JRRPotbcqX6ea4ZAWUlAMF1Q&amp;utm_content=89784488&amp;utm_source=hs_email" TargetMode="External"/><Relationship Id="rId149" Type="http://schemas.openxmlformats.org/officeDocument/2006/relationships/hyperlink" Target="https://resources.simonelectric.com/simon-material-formativo-vehiculo-electrico?utm_campaign=SIC%20-%20Veh%C3%ADculo%20El%C3%A9ctrico&amp;utm_medium=email&amp;_hsenc=p2ANqtz-9KGQGpuAlYEjO_fN4KJS7_eouxMX7D8WXws2-u6eBbqfSF5RsOAIttEPylnldDXl7ypx5RxT8rujFeCESLKsnnFv6plg&amp;_hsmi=89784488&amp;utm_content=89784488&amp;utm_source=hs_email&amp;hsCtaTracking=f8a31ce8-daf1-4d69-a5d6-c3349f3aab91%7C75f9b9fd-a2b2-4ad4-9d4a-0dcb7c99194f" TargetMode="External"/><Relationship Id="rId148" Type="http://schemas.openxmlformats.org/officeDocument/2006/relationships/hyperlink" Target="https://resources.simonelectric.com/simon-material-formativo-vehiculo-electrico?utm_campaign=SIC%20-%20Veh%C3%ADculo%20El%C3%A9ctrico&amp;utm_medium=email&amp;_hsenc=p2ANqtz-9SvIkvhEWhzApPPPos_k4GVi28ZxLqYQChKrdtIKUjWtCfIZZSWPzgQVfwSgpuNwDCp_cue2Dt3p3mC615dJLLNZQlVA&amp;_hsmi=89784488&amp;utm_content=89784488&amp;utm_source=hs_email&amp;hsCtaTracking=f8a31ce8-daf1-4d69-a5d6-c3349f3aab91%7C75f9b9fd-a2b2-4ad4-9d4a-0dcb7c99194f" TargetMode="External"/><Relationship Id="rId3270" Type="http://schemas.openxmlformats.org/officeDocument/2006/relationships/hyperlink" Target="https://resources.simonelectric.com/simon-ebook-vehiculo-electrico?utm_campaign=SIC%20-%20Veh%C3%ADculo%20El%C3%A9ctrico&amp;utm_medium=email&amp;_hsenc=p2ANqtz-_3FhN9SZ3iS3EU5gMRrd90ziNDowidSOm2HVJpnpdniJ789VG6GRQmxKwZfJuKlwHqIYa-5NcsByfLk0BhYtHVPz_hiQ&amp;_hsmi=71033675&amp;utm_source=hs_automation&amp;utm_content=71033675&amp;hsCtaTracking=2e94ebfc-d414-4389-870c-d2f266a9420b%7C587ac4dc-a49a-4bdc-b449-e36f5d95395b" TargetMode="External"/><Relationship Id="rId3272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%3Futm_campaign%3DSIC%2520-%2520Veh%25C3%25ADculo%2520El%25C3%25A9ctrico%26utm_source%3Dhs_automation%26utm_medium%3Demail%26utm_content%3D71033828%26_hsenc%3Dp2ANqtz-_Z8KwS1_kAUoreLdT8WfE3UTT90swVKUlYhFxW9mt3mePWm_CHjwMqtQrAV0dTGcNVqTuxYCDWr6-IEWv_1UQgE4N5PQugPmodCdLwaQ9ZzOyFCyM%26_hsmi%3D71033828" TargetMode="External"/><Relationship Id="rId3271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-iNKI7Ay4vIAl3dvXIoWzccbak5mrjgSOWk5OykGoXYGx6Q8r5nP5XUT450WJJmjwAWAYg6WNod9w_zNHi-99-WRlMWB5HmpYxvyEib4kcsU_FHBM%26_hsmi%3D71033828" TargetMode="External"/><Relationship Id="rId143" Type="http://schemas.openxmlformats.org/officeDocument/2006/relationships/hyperlink" Target="https://resources.simonelectric.com/simon-material-formativo-vehiculo-electrico?utm_campaign=SIC%20-%20Veh%C3%ADculo%20El%C3%A9ctrico&amp;utm_medium=email&amp;_hsenc=p2ANqtz--ecXDnsU5v3XVc02t5MXAEUQQ3W8xxUvpKpAEncniu0HF7Cyisv_BWWPDQy1nM-TA6YyDUCv6d7midgt2qk1unpGZHvVJLhNiCfn513xT3JVk17VM&amp;_hsmi=89784488&amp;utm_content=89784488&amp;utm_source=hs_email&amp;hsCtaTracking=f8a31ce8-daf1-4d69-a5d6-c3349f3aab91%7C75f9b9fd-a2b2-4ad4-9d4a-0dcb7c99194f" TargetMode="External"/><Relationship Id="rId3274" Type="http://schemas.openxmlformats.org/officeDocument/2006/relationships/hyperlink" Target="https://resources.simonelectric.com/simon-ebook-vehiculo-electrico?utm_campaign=SIC%20-%20Veh%C3%ADculo%20El%C3%A9ctrico&amp;utm_medium=email&amp;_hsenc=p2ANqtz-_ZusnurdLmFhgkCqtWa2aJiu1DFLqufUlqeLMLoy5u6UPXXT1bFS9Ydd5MVFt772XUxyDG8gazNxL2k6XvTYYK3n1uhA&amp;_hsmi=71033675&amp;utm_source=hs_automation&amp;utm_content=71033675&amp;hsCtaTracking=2e94ebfc-d414-4389-870c-d2f266a9420b%7C587ac4dc-a49a-4bdc-b449-e36f5d95395b" TargetMode="External"/><Relationship Id="rId142" Type="http://schemas.openxmlformats.org/officeDocument/2006/relationships/hyperlink" Target="https://resources.simonelectric.com/simon-ebook-vehiculo-electrico-0?gclid=EAIaIQobChMI9c2e6IaR6gIVgkzlCh3V5ww-EAEYASAAEgIWUPD_BwE" TargetMode="External"/><Relationship Id="rId327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41" Type="http://schemas.openxmlformats.org/officeDocument/2006/relationships/hyperlink" Target="https://resources.simonelectric.com/simon-catalogo-vehiculo-electrico" TargetMode="External"/><Relationship Id="rId3276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4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75" Type="http://schemas.openxmlformats.org/officeDocument/2006/relationships/hyperlink" Target="https://resources.simonelectric.com/simon-ebook-vehiculo-electrico?utm_campaign=SIC%20-%20Veh%C3%ADculo%20El%C3%A9ctrico&amp;utm_medium=email&amp;_hsenc=p2ANqtz-8RJ2at-4Lnmno2yIRNsj1wQcRMxJmbmbibgnwZNLm_lvr1bIx_07Th8z3o5SuhAmlEw1MROpDbfc3_K3w81GHIGrI4Vu7NTZnRiZWuV4JBZfXoszE&amp;_hsmi=71033675&amp;utm_source=hs_automation&amp;utm_content=71033675&amp;hsCtaTracking=2e94ebfc-d414-4389-870c-d2f266a9420b%7C587ac4dc-a49a-4bdc-b449-e36f5d95395b" TargetMode="External"/><Relationship Id="rId147" Type="http://schemas.openxmlformats.org/officeDocument/2006/relationships/hyperlink" Target="https://resources.simonelectric.com/simon-catalogo-vehiculo-electrico" TargetMode="External"/><Relationship Id="rId3278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14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77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145" Type="http://schemas.openxmlformats.org/officeDocument/2006/relationships/hyperlink" Target="https://resources.simonelectric.com/simon-catalogo-vehiculo-electrico" TargetMode="External"/><Relationship Id="rId144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_XOK4IzcKxt-miyXx-A5fMwCYZHn5mTIIrq1DJocofBHytNRxSzIkSwPJzI9p-WJ7Lj2JgCKS_bs_xe09ZOyYAsIKAI6o3BNdxu-3cCmZrHicFlZs&amp;utm_content=89784488&amp;utm_source=hs_email" TargetMode="External"/><Relationship Id="rId327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39" Type="http://schemas.openxmlformats.org/officeDocument/2006/relationships/hyperlink" Target="https://resources.simonelectric.com/simon-material-formativo-vehiculo-electrico?utm_campaign=SIC%20-%20Veh%C3%ADculo%20El%C3%A9ctrico&amp;utm_medium=email&amp;_hsenc=p2ANqtz--XNdEMnPGkvtozkbPfVlZNVbgHUPng1xhVLc_MYdCoJYFUhrF2mcAq1LPBxIUbQ_VIXaCuD4VX8Jf9wbWkJ66X-rMh9Q&amp;_hsmi=89784488&amp;utm_content=89784488&amp;utm_source=hs_email&amp;hsCtaTracking=f8a31ce8-daf1-4d69-a5d6-c3349f3aab91%7C75f9b9fd-a2b2-4ad4-9d4a-0dcb7c99194f" TargetMode="External"/><Relationship Id="rId138" Type="http://schemas.openxmlformats.org/officeDocument/2006/relationships/hyperlink" Target="https://resources.simonelectric.com/simon-material-formativo-vehiculo-electrico?utm_campaign=SIC%20-%20Veh%C3%ADculo%20El%C3%A9ctrico&amp;utm_medium=email&amp;_hsenc=p2ANqtz--E1ImSq4t8X8iq1KDILclm-rHvXWOEHOrfwpjhUEkLFkod3zmX7rM8Q_ZmbaOq2PaBzhx8LZoLehfn-xbA-5g4-atGew&amp;_hsmi=89784488&amp;utm_content=89784488&amp;utm_source=hs_email&amp;hsCtaTracking=f8a31ce8-daf1-4d69-a5d6-c3349f3aab91%7C75f9b9fd-a2b2-4ad4-9d4a-0dcb7c99194f" TargetMode="External"/><Relationship Id="rId13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6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60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13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63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9rOkUxcJyYXISHgFwKr0NWOZ28UhEBhwDdUojZLqnMm0Ut7mRNTugZu2316O8S9yYPyLgeo3w9kKUDXQ1G10X8tSLJhw&amp;_hsmi=71033675" TargetMode="External"/><Relationship Id="rId131" Type="http://schemas.openxmlformats.org/officeDocument/2006/relationships/hyperlink" Target="https://resources.simonelectric.com/simon-ebook-vehiculo-electrico-0?gclid=Cj0KCQjwirz3BRD_ARIsAImf7LPVg1pClDCDHDngZ8I-KOh1j0b0XxfT_iRx8PiLOh-H5u4nTRNXOfAaAoGEEALw_wcB" TargetMode="External"/><Relationship Id="rId3262" Type="http://schemas.openxmlformats.org/officeDocument/2006/relationships/hyperlink" Target="https://resources.simonelectric.com/simon-ebook-vehiculo-electrico?utm_campaign=SIC%20-%20Veh%C3%ADculo%20El%C3%A9ctrico&amp;utm_medium=email&amp;_hsenc=p2ANqtz-89R8GeAdHsOSWercrfqo2yyLTw4OzyFAHW8uujM36C-ZfAU1QO2rurQ4Tx2n9djaqw8vga_9GEc_pvDK4BH3pqIVxdxg&amp;_hsmi=84202906&amp;utm_source=hs_automation&amp;utm_content=84202906&amp;hsCtaTracking=26d36c03-e482-4ae2-bb24-a3deafd20fb4%7C767cf64e-061e-4dd8-9e07-e6256dfa595c" TargetMode="External"/><Relationship Id="rId130" Type="http://schemas.openxmlformats.org/officeDocument/2006/relationships/hyperlink" Target="https://resources.simonelectric.com/simon-ebook-vehiculo-electrico?utm_campaign=SIC%20-%20Veh%C3%ADculo%20El%C3%A9ctrico&amp;utm_medium=email&amp;_hsmi=71033675&amp;_hsenc=p2ANqtz-9hhSfUBsjpyHSvOVRQaoElpf8-eH0uhVMkgWFsKrS4fQ0OiZtg2n_-6j2Wk3ABEDDrpAC5SxvgrDhugQ560wBpGGyVhw&amp;utm_content=71033675&amp;utm_source=hs_automation" TargetMode="External"/><Relationship Id="rId3265" Type="http://schemas.openxmlformats.org/officeDocument/2006/relationships/hyperlink" Target="https://resources.simonelectric.com/simon-ebook-vehiculo-electrico?utm_campaign=SIC%20-%20Veh%C3%ADculo%20El%C3%A9ctrico&amp;utm_medium=email&amp;_hsenc=p2ANqtz-8YnFmK6T8Tx5W56vRRMEKjVCT9-mf2VRlZJmsZJBaHcrjlTm0-_Uz28UA_1Kt5O5KXhkZNO5VZieMLduUSpNGY90I8nZ7YgoIz2F3Yc4YKeV1Rb-s&amp;_hsmi=84202906&amp;utm_source=hs_automation&amp;utm_content=84202906&amp;hsCtaTracking=26d36c03-e482-4ae2-bb24-a3deafd20fb4%7C767cf64e-061e-4dd8-9e07-e6256dfa595c" TargetMode="External"/><Relationship Id="rId326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36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" TargetMode="External"/><Relationship Id="rId3267" Type="http://schemas.openxmlformats.org/officeDocument/2006/relationships/hyperlink" Target="https://resources.simonelectric.com/simon-ebook-vehiculo-electrico?utm_campaign=SIC%20-%20Veh%C3%ADculo%20El%C3%A9ctrico&amp;utm_medium=email&amp;_hsenc=p2ANqtz--XjC-cSVeyei_Q9NmN9oOlPBwqgC8xKP0ScRt2lKt_cEErNgrRJL1iL2ArByyw_eGg7Fnpf8KsFLEFC2sfQIyLhCNXjw&amp;_hsmi=84202906&amp;utm_source=hs_automation&amp;utm_content=84202906&amp;hsCtaTracking=26d36c03-e482-4ae2-bb24-a3deafd20fb4%7C767cf64e-061e-4dd8-9e07-e6256dfa595c" TargetMode="External"/><Relationship Id="rId135" Type="http://schemas.openxmlformats.org/officeDocument/2006/relationships/hyperlink" Target="https://resources.simonelectric.com/simon-material-formativo-vehiculo-electrico?utm_campaign=SIC%20-%20Veh%C3%ADculo%20El%C3%A9ctrico&amp;utm_medium=email&amp;_hsenc=p2ANqtz-9tYFzpqAiiiVnCHMkKfa5834FDaTBQBvEMVHxgP8quekYdRcSuLhOriJJXzWvBkNVNAhzmFfCxgKxWv6ul8RcNArrj0EL8PM8eY81EWoSq4RXObKE&amp;_hsmi=89784488&amp;utm_content=89784488&amp;utm_source=hs_email&amp;hsCtaTracking=f8a31ce8-daf1-4d69-a5d6-c3349f3aab91%7C75f9b9fd-a2b2-4ad4-9d4a-0dcb7c99194f" TargetMode="External"/><Relationship Id="rId3266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_l4r_Zl5-TIdL_X3KhisPlQmGPU47B1ZHSZ_rXtBfkrP91Uh0Acjb9gWrCoRZrPNtxaXRBR9dwwCdx_jz7u11dicvl2A%26_hsmi%3D71033828" TargetMode="External"/><Relationship Id="rId134" Type="http://schemas.openxmlformats.org/officeDocument/2006/relationships/hyperlink" Target="https://resources.simonelectric.com/simon-material-formativo-vehiculo-electrico?utm_campaign=SIC%20-%20Veh%C3%ADculo%20El%C3%A9ctrico&amp;utm_medium=email&amp;_hsenc=p2ANqtz-9dXeyQz2KVn4i8BC31A6clbMG14R9GParGyPj_zNCs9kKESX0L1UV3uKxd0Eh-Bsfw2dr01ZIwg4JlbA1-8o8h_a0_0w&amp;utm_source=hs_email&amp;utm_content=89784488&amp;hsCtaTracking=f8a31ce8-daf1-4d69-a5d6-c3349f3aab91%7C75f9b9fd-a2b2-4ad4-9d4a-0dcb7c99194f" TargetMode="External"/><Relationship Id="rId3269" Type="http://schemas.openxmlformats.org/officeDocument/2006/relationships/hyperlink" Target="https://resources.simonelectric.com/simon-ebook-vehiculo-electrico?utm_campaign=SIC%20-%20Veh%C3%ADculo%20El%C3%A9ctrico&amp;utm_medium=email&amp;_hsenc=p2ANqtz-9pUbtRNf7e86gOCfGtEIP0uKNr2nmbLFa35Hc-t7bXE3N40DK_dWfHkiD-yKcaqkN8ni8Z2Pf49DWw1Nt1m3bsH-O0i6ydr_0deasvzEAY4t4rOmM&amp;_hsmi=71033675&amp;utm_source=hs_automation&amp;utm_content=71033675&amp;hsCtaTracking=2e94ebfc-d414-4389-870c-d2f266a9420b%7C587ac4dc-a49a-4bdc-b449-e36f5d95395b" TargetMode="External"/><Relationship Id="rId133" Type="http://schemas.openxmlformats.org/officeDocument/2006/relationships/hyperlink" Target="https://resources.simonelectric.com/simon-material-formativo-vehiculo-electrico?utm_campaign=SIC%20-%20Veh%C3%ADculo%20El%C3%A9ctrico&amp;utm_medium=email&amp;_hsenc=p2ANqtz-8JAgV0iNVYkf6ouiBJDipylnPtGiYg54OrI-L-QJu8uIiYgBb7yaQni968nAmGZQZ1nMjRk_7UqJcP4MOAx5PSH5Uo7Q&amp;utm_source=hs_email&amp;utm_content=89784488&amp;hsCtaTracking=f8a31ce8-daf1-4d69-a5d6-c3349f3aab91%7C75f9b9fd-a2b2-4ad4-9d4a-0dcb7c99194f" TargetMode="External"/><Relationship Id="rId326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72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-LWAI-O44QRcyDM_Wu_mjMOxy7SjsPbhfyDUR3rZADJN2uGNulToPs3qjgWCpB5HaAKCaCVUPLedRKmddcYQqyfmTv6g&amp;utm_content=89784488&amp;utm_source=hs_email" TargetMode="External"/><Relationship Id="rId171" Type="http://schemas.openxmlformats.org/officeDocument/2006/relationships/hyperlink" Target="https://resources.simonelectric.com/simon-material-formativo-vehiculo-electrico?utm_campaign=SIC%20-%20Veh%C3%ADculo%20El%C3%A9ctrico&amp;utm_medium=email&amp;_hsmi=89784488&amp;_hsenc=p2ANqtz-9m0_lCCBxJY_7UaR_TqBPtbYVypBZMouRoOy922wnoYNOCA4NkdldXgBeQd5MO1p97jUAMSDn4lz6lE2JcQ-l51DvNYg&amp;utm_content=89784488&amp;utm_source=hs_email" TargetMode="External"/><Relationship Id="rId17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90" Type="http://schemas.openxmlformats.org/officeDocument/2006/relationships/hyperlink" Target="https://resources.simonelectric.com/simon-ebook-vehiculo-electrico?utm_referrer=https%3A%2F%2Fwww.simonelectric.com%2Fblog%2Finstalacion-de-un-punto-de-recarga-para-un-coche-electrico%3Futm_campaign%3DSIC%2520-%2520Veh%25C3%25ADculo%2520El%25C3%25A9ctrico%26utm_source%3Dhs_automation%26utm_medium%3Demail%26utm_content%3D71034014%26_hsenc%3Dp2ANqtz-9ciV2LQKWfUa8J0Xl-7KjtvmOtTodnx9ve3X_SUrzW6BXaySPs9Gs3_2G8TKKAxmxewlsWgPpe_-WXcQXV8q_zkieoeg%26_hsmi%3D71034014" TargetMode="External"/><Relationship Id="rId3292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9ijgCfDKg5BD25tJZtYKne27IP9Ezmk60DwciAbFLTYHzPYiC4VPse5FKZG-2K3Gw1EDK9cPwZ0P1NKdjiSjs0xUq52w&amp;_hsmi=71034014" TargetMode="External"/><Relationship Id="rId3291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329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93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9qRZfAd_Ihs-5jVJAD9h1Ut98xiLicOtrAUFmF0rtBIzRnBWkvsrKefLeGQ1fYDjadSExS3yMwaqePpjWm8loU_xw2Ow&amp;_hsmi=71034014" TargetMode="External"/><Relationship Id="rId165" Type="http://schemas.openxmlformats.org/officeDocument/2006/relationships/hyperlink" Target="https://resources.simonelectric.com/simon-catalogo-vehiculo-electrico?utm_campaign=SIC%20-%20Veh%C3%ADculo%20El%C3%A9ctrico&amp;utm_medium=email&amp;_hsmi=71034014&amp;_hsenc=p2ANqtz--6woRO7KvpK_IWuWvzyyDDBIh_70C00Ftl-_EpGX44d5zW2P6GfXEmldE14CacfYbNcFkOqSriaSoJrQrb2YuUQOWAUw&amp;utm_content=71034014&amp;utm_source=hs_automation" TargetMode="External"/><Relationship Id="rId329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64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" TargetMode="External"/><Relationship Id="rId3295" Type="http://schemas.openxmlformats.org/officeDocument/2006/relationships/hyperlink" Target="https://resources.simonelectric.com/simon-ebook-vehiculo-electrico?utm_campaign=SIC%20-%20Veh%C3%ADculo%20El%C3%A9ctrico&amp;utm_medium=email&amp;_hsenc=p2ANqtz-8Ujw4-4pYC2KgUNahQd6OSgL7ma4pkwhqaCPrv_WSDDOgeYXNRnMDDeklchnuRGzisCO-sPLQVV8PPM4kvTgPs_XSV7w&amp;_hsmi=84202906&amp;utm_source=hs_automation&amp;utm_content=84202906&amp;hsCtaTracking=26d36c03-e482-4ae2-bb24-a3deafd20fb4%7C767cf64e-061e-4dd8-9e07-e6256dfa595c" TargetMode="External"/><Relationship Id="rId163" Type="http://schemas.openxmlformats.org/officeDocument/2006/relationships/hyperlink" Target="https://resources.simonelectric.com/simon-material-formativo-vehiculo-electrico?utm_campaign=SIC%20-%20Veh%C3%ADculo%20El%C3%A9ctrico&amp;utm_medium=email&amp;_hsenc=p2ANqtz-_9U4kgsA7HF74XmYvQlekN2dGHaQECy0dCzLTs6-oCtLiSUwlzRWv8jHLEV2i9zcwVHZyp9mcvd26kNYBlRCRd8UmaFg&amp;_hsmi=89784488&amp;utm_content=89784488&amp;utm_source=hs_email&amp;hsCtaTracking=f8a31ce8-daf1-4d69-a5d6-c3349f3aab91%7C75f9b9fd-a2b2-4ad4-9d4a-0dcb7c99194f" TargetMode="External"/><Relationship Id="rId3298" Type="http://schemas.openxmlformats.org/officeDocument/2006/relationships/hyperlink" Target="https://resources.simonelectric.com/simon-catalogo-vehiculo-electrico?__hstc=83084745.454559a1a16116a7324cb5f8279abed7.1583476677428.1583476677428.1583476677428.1&amp;__hssc=83084745.9.1583476677429&amp;__hsfp=137485176" TargetMode="External"/><Relationship Id="rId162" Type="http://schemas.openxmlformats.org/officeDocument/2006/relationships/hyperlink" Target="https://resources.simonelectric.com/simon-catalogo-vehiculo-electrico" TargetMode="External"/><Relationship Id="rId3297" Type="http://schemas.openxmlformats.org/officeDocument/2006/relationships/hyperlink" Target="https://resources.simonelectric.com/simon-ebook-vehiculo-electrico?utm_campaign=SIC%20-%20Veh%C3%ADculo%20El%C3%A9ctrico&amp;utm_medium=email&amp;_hsenc=p2ANqtz--WHaBH_SUvBkg6E1XuxP6Dy3Vmi40s-vuR1IjnyxT3ZIoOndhsOJzW7LgoDYgafvJ5uMQxhLF40dyHmeT3z841i1LbMQ&amp;_hsmi=84202906&amp;utm_source=hs_automation&amp;utm_content=84202906&amp;hsCtaTracking=26d36c03-e482-4ae2-bb24-a3deafd20fb4%7C767cf64e-061e-4dd8-9e07-e6256dfa595c" TargetMode="External"/><Relationship Id="rId169" Type="http://schemas.openxmlformats.org/officeDocument/2006/relationships/hyperlink" Target="https://resources.simonelectric.com/simon-catalogo-vehiculo-electrico" TargetMode="External"/><Relationship Id="rId168" Type="http://schemas.openxmlformats.org/officeDocument/2006/relationships/hyperlink" Target="https://resources.simonelectric.com/simon-material-formativo-vehiculo-electrico?utm_campaign=SIC%20-%20Veh%C3%ADculo%20El%C3%A9ctrico&amp;utm_medium=email&amp;_hsenc=p2ANqtz-8jPWww88_KhjQzmgOIw-wlvmq5_MIOR1hy1uY6vH9OC_C3UbvWhtTTKeiiHaIfqwJ-JcIsfscYk92bAMZxkV6SS2PyeQ&amp;_hsmi=89784488&amp;utm_content=89784488&amp;utm_source=hs_email&amp;hsCtaTracking=f8a31ce8-daf1-4d69-a5d6-c3349f3aab91%7C75f9b9fd-a2b2-4ad4-9d4a-0dcb7c99194f" TargetMode="External"/><Relationship Id="rId329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67" Type="http://schemas.openxmlformats.org/officeDocument/2006/relationships/hyperlink" Target="https://resources.simonelectric.com/simon-catalogo-vehiculo-electrico" TargetMode="External"/><Relationship Id="rId166" Type="http://schemas.openxmlformats.org/officeDocument/2006/relationships/hyperlink" Target="https://resources.simonelectric.com/simon-catalogo-vehiculo-electrico?utm_campaign=SIC%20-%20Veh%C3%ADculo%20El%C3%A9ctrico&amp;utm_medium=email&amp;_hsmi=71034014&amp;_hsenc=p2ANqtz-_ab_kHFWONQ7eEsDw356DHjE-2vcpMjdLhiAY6YS-bSPGsJZREg_TvDLYtfH_b0B6EkCDyKFNOvJeIIY_P3oBe5AjLRg&amp;utm_content=71034014&amp;utm_source=hs_automation" TargetMode="External"/><Relationship Id="rId161" Type="http://schemas.openxmlformats.org/officeDocument/2006/relationships/hyperlink" Target="https://resources.simonelectric.com/simon-material-formativo-vehiculo-electrico?utm_campaign=SIC%20-%20Veh%C3%ADculo%20El%C3%A9ctrico&amp;utm_medium=email&amp;_hsenc=p2ANqtz-9z0cyEa4F_dPQsyCziVLxanPz3nzFRaYQIxyp4m37K18mPjOAUHzr-LQJ-KG2lUg6fsvKHpROULfkm8a2s0HCLQuG-8w&amp;_hsmi=89784488&amp;utm_content=89784488&amp;utm_source=hs_email&amp;hsCtaTracking=f8a31ce8-daf1-4d69-a5d6-c3349f3aab91%7C75f9b9fd-a2b2-4ad4-9d4a-0dcb7c99194f" TargetMode="External"/><Relationship Id="rId160" Type="http://schemas.openxmlformats.org/officeDocument/2006/relationships/hyperlink" Target="https://resources.simonelectric.com/simon-material-formativo-vehiculo-electrico?utm_campaign=SIC%20-%20Veh%C3%ADculo%20El%C3%A9ctrico&amp;utm_medium=email&amp;_hsenc=p2ANqtz-96wPl2AebKnBkB_eSFsG4MRDxpYzA77XtPN0D_y82wOVAciur-mybBlcbgN2bktovJzSMNzQeMGhXqFaWfIg4Us1QOZA&amp;_hsmi=89784488&amp;utm_content=89784488&amp;utm_source=hs_email&amp;hsCtaTracking=f8a31ce8-daf1-4d69-a5d6-c3349f3aab91%7C75f9b9fd-a2b2-4ad4-9d4a-0dcb7c99194f" TargetMode="External"/><Relationship Id="rId159" Type="http://schemas.openxmlformats.org/officeDocument/2006/relationships/hyperlink" Target="https://resources.simonelectric.com/simon-material-formativo-vehiculo-electrico?utm_campaign=SIC%20-%20Veh%C3%ADculo%20El%C3%A9ctrico&amp;utm_medium=email&amp;_hsenc=p2ANqtz-8abAGbENpDF5pWAFEkyC4-f3FjBsH0-UsLwsjKL1exPtaOrBuViNK4YE3iuMzjhXdnyRUEuqXrPBSKfDrLExLeWpqlBg&amp;_hsmi=89784488&amp;utm_content=89784488&amp;utm_source=hs_email&amp;hsCtaTracking=f8a31ce8-daf1-4d69-a5d6-c3349f3aab91%7C75f9b9fd-a2b2-4ad4-9d4a-0dcb7c99194f" TargetMode="External"/><Relationship Id="rId3281" Type="http://schemas.openxmlformats.org/officeDocument/2006/relationships/hyperlink" Target="https://resources.simonelectric.com/simon-catalogo-vehiculo-electrico?__hstc=83084745.3fe71311dd3677b144bde33e498bfe17.1578988423259.1578988423259.1583569717790.2&amp;__hssc=83084745.9.1583569717790&amp;__hsfp=2604063290" TargetMode="External"/><Relationship Id="rId3280" Type="http://schemas.openxmlformats.org/officeDocument/2006/relationships/hyperlink" Target="https://resources.simonelectric.com/simon-ebook-vehiculo-electrico" TargetMode="External"/><Relationship Id="rId328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282" Type="http://schemas.openxmlformats.org/officeDocument/2006/relationships/hyperlink" Target="https://resources.simonelectric.com/simon-ebook-vehiculo-electrico?utm_campaign=SIC%20-%20Veh%C3%ADculo%20El%C3%A9ctrico&amp;utm_medium=email&amp;_hsenc=p2ANqtz-8Ujw4-4pYC2KgUNahQd6OSgL7ma4pkwhqaCPrv_WSDDOgeYXNRnMDDeklchnuRGzisCO-sPLQVV8PPM4kvTgPs_XSV7w&amp;_hsmi=84202906&amp;utm_source=hs_automation&amp;utm_content=84202906&amp;hsCtaTracking=26d36c03-e482-4ae2-bb24-a3deafd20fb4%7C767cf64e-061e-4dd8-9e07-e6256dfa595c" TargetMode="External"/><Relationship Id="rId154" Type="http://schemas.openxmlformats.org/officeDocument/2006/relationships/hyperlink" Target="https://resources.simonelectric.com/simon-material-formativo-vehiculo-electrico?utm_campaign=SIC%20-%20Veh%C3%ADculo%20El%C3%A9ctrico&amp;utm_medium=email&amp;_hsenc=p2ANqtz-8oPLAG1XMXz4FanXnAJvgeN4W5K-VaP04rpNIFt5CiU39BAeU1cO6L9z2x8VhKcGGVoz_yabygmFTTm-wC_uTkvx44OA&amp;_hsmi=89784488&amp;utm_content=89784488&amp;utm_source=hs_email&amp;hsCtaTracking=f8a31ce8-daf1-4d69-a5d6-c3349f3aab91%7C75f9b9fd-a2b2-4ad4-9d4a-0dcb7c99194f" TargetMode="External"/><Relationship Id="rId328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53" Type="http://schemas.openxmlformats.org/officeDocument/2006/relationships/hyperlink" Target="https://resources.simonelectric.com/simon-ebook-vehiculo-electrico-ppc?utm_source=facebook&amp;utm_medium=social_ads&amp;utm_campaign=vehiculo_electrico&amp;hsa_acc=674369516233597&amp;hsa_cam=23844272034270156&amp;hsa_grp=23844272034300156&amp;hsa_ad=23844569909930156&amp;hsa_src=fb&amp;hsa_net=facebook&amp;hsa_ver=3&amp;fbclid=IwAR28PWu_Sc9bjXZrL8oWoy2mTjEj9h_BUc_OBngaDdgF1JzjyJLLEAGIRx8" TargetMode="External"/><Relationship Id="rId328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52" Type="http://schemas.openxmlformats.org/officeDocument/2006/relationships/hyperlink" Target="https://resources.simonelectric.com/simon-ebook-vehiculo-electrico-0?gclid=CjwKCAjwxLH3BRApEiwAqX9arcEP_TtEENU0VQn-vp5krOr_9QXQpLZckVAJYIBSwNuRxZA84G645hoC4g8QAvD_BwE" TargetMode="External"/><Relationship Id="rId328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51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" TargetMode="External"/><Relationship Id="rId328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5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289" Type="http://schemas.openxmlformats.org/officeDocument/2006/relationships/hyperlink" Target="https://resources.simonelectric.com/simon-ebook-vehiculo-electrico?utm_campaign=SIC%20-%20Veh%C3%ADculo%20El%C3%A9ctrico&amp;utm_medium=email&amp;_hsenc=p2ANqtz-9qa7J9x7pM_v2OZ1GFXIzWyBRTHX3pY-RBJ8XtCpPiKZJBoZB6DbXlvlLpIgYRmAmw-W7RixF77iqYW-4fLOJc0wlmcrZ0mTZZ7JHhaHkbg10cDqo&amp;_hsmi=84202906&amp;utm_source=hs_automation&amp;utm_content=84202906&amp;hsCtaTracking=26d36c03-e482-4ae2-bb24-a3deafd20fb4%7C767cf64e-061e-4dd8-9e07-e6256dfa595c" TargetMode="External"/><Relationship Id="rId15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288" Type="http://schemas.openxmlformats.org/officeDocument/2006/relationships/hyperlink" Target="https://resources.simonelectric.com/simon-ebook-vehiculo-electrico" TargetMode="External"/><Relationship Id="rId156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155" Type="http://schemas.openxmlformats.org/officeDocument/2006/relationships/hyperlink" Target="https://resources.simonelectric.com/simon-catalogo-vehiculo-electrico?utm_campaign=SIC%20-%20Veh%C3%ADculo%20El%C3%A9ctrico&amp;utm_medium=email&amp;_hsmi=71034014&amp;_hsenc=p2ANqtz-9cmk95lKCw6R4G9opNlukandEsulxIG2oFhpRQXHLgfGF2WFS6vZnZuJHNnh83SPdVI4i5kcwXyRtEeR54Wnv0oiwD0g&amp;utm_content=71034014&amp;utm_source=hs_automation" TargetMode="External"/><Relationship Id="rId282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21" Type="http://schemas.openxmlformats.org/officeDocument/2006/relationships/hyperlink" Target="https://resources.simonelectric.com/simon-ebook-vehiculo-electrico-ppc?utm_source=facebook&amp;utm_medium=social_ads&amp;utm_campaign=vehiculo_electrico&amp;fbclid=IwAR3MwONFfziGK_vTbCt9LtiKEPS48hoS_m1G-FR-KJFE-hSQmS9f_zcjcw8" TargetMode="External"/><Relationship Id="rId282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23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24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82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826" Type="http://schemas.openxmlformats.org/officeDocument/2006/relationships/hyperlink" Target="https://resources.simonelectric.com/simon-catalogo-vehiculo-electrico?__hstc=83084745.c857dd3b0084f21a50a571922638c993.1585905555564.1585905555564.1585905555564.1&amp;__hssc=83084745.1.1585905555565&amp;__hsfp=3026691183" TargetMode="External"/><Relationship Id="rId282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828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%3Futm_campaign%3DSIC%2520-%2520Veh%25C3%25ADculo%2520El%25C3%25A9ctrico%26utm_source%3Dhs_automation%26utm_medium%3Demail%26utm_content%3D71033996%26_hsenc%3Dp2ANqtz--PIiY6FWznPqkQXl-0lVcnoMvm28FhwU9FvP7BELs6sYXoPnJL0oabV9JxlwTo9xgSHtPfQm0whhhHLe9FOVlZ6p33NQ%26_hsmi%3D71033996" TargetMode="External"/><Relationship Id="rId282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1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1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1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13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14" Type="http://schemas.openxmlformats.org/officeDocument/2006/relationships/hyperlink" Target="https://resources.simonelectric.com/simon-ebook-vehiculo-electrico" TargetMode="External"/><Relationship Id="rId2815" Type="http://schemas.openxmlformats.org/officeDocument/2006/relationships/hyperlink" Target="https://resources.simonelectric.com/simon-ebook-vehiculo-electrico" TargetMode="External"/><Relationship Id="rId281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17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281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81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10" Type="http://schemas.openxmlformats.org/officeDocument/2006/relationships/hyperlink" Target="https://resources.simonelectric.com/simon-catalogo-vehiculo-electrico?utm_campaign=SIC%20-%20Veh%C3%ADculo%20El%C3%A9ctrico&amp;utm_medium=email&amp;_hsenc=p2ANqtz-8IsWfgjDRCE4PhSh0H_MlpsPFwU3l0184gWHlPU_m8NqdDhSM3Z3DrlAskTTG7ECdqcxU5&amp;_hsmi=87085363&amp;utm_content=87085363&amp;utm_source=hs_email&amp;hsCtaTracking=6fedf137-fd90-4f17-bfb4-d61f710ec7f8%7Cf2771843-6636-4969-9010-2d8d0389b89c" TargetMode="External"/><Relationship Id="rId2841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1511" Type="http://schemas.openxmlformats.org/officeDocument/2006/relationships/hyperlink" Target="https://resources.simonelectric.com/simon-catalogo-vehiculo-electrico?utm_campaign=SIC%20-%20Veh%C3%ADculo%20El%C3%A9ctrico&amp;utm_medium=email&amp;_hsenc=p2ANqtz-94ytfdyUCiFfs3bqQQuW0QvJG04EujVdZZmcAlAWPb6wXSjjjo_prmhPIiBWVhaRo5LTVM&amp;_hsmi=87085363&amp;utm_content=87085363&amp;utm_source=hs_email&amp;hsCtaTracking=6fedf137-fd90-4f17-bfb4-d61f710ec7f8%7Cf2771843-6636-4969-9010-2d8d0389b89c" TargetMode="External"/><Relationship Id="rId2842" Type="http://schemas.openxmlformats.org/officeDocument/2006/relationships/hyperlink" Target="https://resources.simonelectric.com/simon-catalogo-vehiculo-electrico?__hstc=83084745.795dff28dd430cb59a477da8082e3a35.1578850579844.1585737691054.1585815334518.4&amp;__hssc=83084745.12.1585815334518&amp;__hsfp=3026691183" TargetMode="External"/><Relationship Id="rId1512" Type="http://schemas.openxmlformats.org/officeDocument/2006/relationships/hyperlink" Target="https://resources.simonelectric.com/simon-catalogo-vehiculo-electrico?utm_campaign=SIC%20-%20Veh%C3%ADculo%20El%C3%A9ctrico&amp;utm_medium=email&amp;_hsenc=p2ANqtz-9Bj7KuB8SZqePQoQtL_9RCtp1SmjEECGUl4NWAMPMKjUCLHeD3u8lM5ehA4T9c0beMUCQq&amp;_hsmi=87085302&amp;utm_content=87085302&amp;utm_source=hs_email&amp;hsCtaTracking=6fedf137-fd90-4f17-bfb4-d61f710ec7f8%7Cf2771843-6636-4969-9010-2d8d0389b89c" TargetMode="External"/><Relationship Id="rId284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513" Type="http://schemas.openxmlformats.org/officeDocument/2006/relationships/hyperlink" Target="https://resources.simonelectric.com/simon-catalogo-vehiculo-electrico?utm_campaign=SIC%20-%20Veh%C3%ADculo%20El%C3%A9ctrico&amp;utm_medium=email&amp;_hsenc=p2ANqtz-_ZjhQFqJP6L75JTrF3RKiYGnKRhHrqad0rxajkBAwt9rK1Cw8QQ1sg2anhjX1Uw_ZJTlRD&amp;_hsmi=87085302&amp;utm_content=87085302&amp;utm_source=hs_email&amp;hsCtaTracking=6fedf137-fd90-4f17-bfb4-d61f710ec7f8%7Cf2771843-6636-4969-9010-2d8d0389b89c" TargetMode="External"/><Relationship Id="rId284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14" Type="http://schemas.openxmlformats.org/officeDocument/2006/relationships/hyperlink" Target="https://resources.simonelectric.com/simon-catalogo-vehiculo-electrico?utm_campaign=SIC%20-%20Veh%C3%ADculo%20El%C3%A9ctrico&amp;utm_medium=email&amp;_hsenc=p2ANqtz--CZdJRSZpMIFh9X_HTsDIowB9NlEqSsa_mfVDZGB9Gvrly3fL3OL4Eotkw-lbZuXDSnfHD&amp;_hsmi=87085302&amp;utm_content=87085302&amp;utm_source=hs_email&amp;hsCtaTracking=6fedf137-fd90-4f17-bfb4-d61f710ec7f8%7Cf2771843-6636-4969-9010-2d8d0389b89c" TargetMode="External"/><Relationship Id="rId284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515" Type="http://schemas.openxmlformats.org/officeDocument/2006/relationships/hyperlink" Target="https://resources.simonelectric.com/simon-catalogo-vehiculo-electrico?utm_campaign=SIC%20-%20Veh%C3%ADculo%20El%C3%A9ctrico&amp;utm_medium=email&amp;_hsenc=p2ANqtz-9II60ynaHUoNiFE25yE16MI5xkozHbaxRnyt65xVi27SIn5jl_Ff7FtsWe7KwS1d3A0pp6&amp;_hsmi=87085363&amp;utm_content=87085363&amp;utm_source=hs_email&amp;hsCtaTracking=6fedf137-fd90-4f17-bfb4-d61f710ec7f8%7Cf2771843-6636-4969-9010-2d8d0389b89c" TargetMode="External"/><Relationship Id="rId284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16" Type="http://schemas.openxmlformats.org/officeDocument/2006/relationships/hyperlink" Target="https://resources.simonelectric.com/simon-catalogo-vehiculo-electrico?utm_campaign=SIC%20-%20Veh%C3%ADculo%20El%C3%A9ctrico&amp;utm_medium=email&amp;_hsenc=p2ANqtz--eodSwwSU4JhSeFbhQSBneEFKHJM0IAWvk60H0xsQFYSEY0f0fgrpQZEcP1yBE-gNpfxVT&amp;_hsmi=87085302&amp;utm_content=87085302&amp;utm_source=hs_email&amp;hsCtaTracking=6fedf137-fd90-4f17-bfb4-d61f710ec7f8%7Cf2771843-6636-4969-9010-2d8d0389b89c" TargetMode="External"/><Relationship Id="rId284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17" Type="http://schemas.openxmlformats.org/officeDocument/2006/relationships/hyperlink" Target="https://resources.simonelectric.com/simon-catalogo-vehiculo-electrico?utm_campaign=SIC%20-%20Veh%C3%ADculo%20El%C3%A9ctrico&amp;utm_medium=email&amp;_hsenc=p2ANqtz-9qyGjXc9yZLIrN2q_dWMvDRfJDkC7Anfu4FOuAzfDt0NgRnYxk66tZ-t_zl68yWeZca0fs&amp;_hsmi=87085363&amp;utm_content=87085363&amp;utm_source=hs_email&amp;hsCtaTracking=6fedf137-fd90-4f17-bfb4-d61f710ec7f8%7Cf2771843-6636-4969-9010-2d8d0389b89c" TargetMode="External"/><Relationship Id="rId284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18" Type="http://schemas.openxmlformats.org/officeDocument/2006/relationships/hyperlink" Target="https://resources.simonelectric.com/simon-catalogo-vehiculo-electrico?utm_campaign=SIC%20-%20Veh%C3%ADculo%20El%C3%A9ctrico&amp;utm_medium=email&amp;_hsenc=p2ANqtz--vFyR16SvY1gH0K1xWeuD7kGAwakimbym7NWPMe5qGxI1BX18VRqbOqekkdurhC06RQvoe&amp;_hsmi=87085363&amp;utm_content=87085363&amp;utm_source=hs_email&amp;hsCtaTracking=6fedf137-fd90-4f17-bfb4-d61f710ec7f8%7Cf2771843-6636-4969-9010-2d8d0389b89c" TargetMode="External"/><Relationship Id="rId2849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%3Futm_campaign%3DSIC%2520-%2520Veh%25C3%25ADculo%2520El%25C3%25A9ctrico%26utm_source%3Dhs_automation%26utm_medium%3Demail%26utm_content%3D71033996%26_hsenc%3Dp2ANqtz-8YtGUK6hZM-mqrW3H3F4Xf3smnCPAIw54bJFENxSkNTiMyyAkHuSHDnfnwepEW7BvmL3qWEZcmzB9TCi9gKU66KWAVAA%26_hsmi%3D71033996" TargetMode="External"/><Relationship Id="rId1519" Type="http://schemas.openxmlformats.org/officeDocument/2006/relationships/hyperlink" Target="https://resources.simonelectric.com/simon-catalogo-vehiculo-electrico?utm_campaign=SIC%20-%20Veh%C3%ADculo%20El%C3%A9ctrico&amp;utm_medium=email&amp;_hsenc=p2ANqtz--BCd3EQqc1QCoinTbxegZnt5MpPxRRu_v1rQfQtWlXrEUEWaPRPAOspWrPqfq-Er29EZqH&amp;_hsmi=87085363&amp;utm_content=87085363&amp;utm_source=hs_email&amp;hsCtaTracking=6fedf137-fd90-4f17-bfb4-d61f710ec7f8%7Cf2771843-6636-4969-9010-2d8d0389b89c" TargetMode="External"/><Relationship Id="rId2840" Type="http://schemas.openxmlformats.org/officeDocument/2006/relationships/hyperlink" Target="https://resources.simonelectric.com/simon-ebook-vehiculo-electrico?utm_campaign=%23Simonentucasa&amp;utm_medium=email&amp;_hsenc=p2ANqtz-_4Zl08RUizEhkct_aQvfe2QAsKwUSXQg9X4WhHF0MkTsxgUdNc1_ESw9doEK_mRZyq7YLu5U0C9ffBzKhCmCINWcE9-XyAZOUq6FNpxqmIO6lLqE8&amp;_hsmi=85165037&amp;utm_source=hs_email&amp;utm_content=85165037&amp;hsCtaTracking=7e048f91-fedd-4131-939d-25771a4a2d12%7Cf6d6f061-2319-4b5b-89f8-8c89fca06239" TargetMode="External"/><Relationship Id="rId2830" Type="http://schemas.openxmlformats.org/officeDocument/2006/relationships/hyperlink" Target="https://resources.simonelectric.com/simon-ebook-vehiculo-electrico-0?gclid=Cj0KCQjwmpb0BRCBARIsAG7y4zah1oXLQP0FoFzGVa-Dbxf4NRuuVV1cwewdf9PUXSQnss9IeJcbLpcaAtK9EALw_wcB" TargetMode="External"/><Relationship Id="rId1500" Type="http://schemas.openxmlformats.org/officeDocument/2006/relationships/hyperlink" Target="https://resources.simonelectric.com/simon-catalogo-vehiculo-electrico?utm_campaign=SIC%20-%20Veh%C3%ADculo%20El%C3%A9ctrico&amp;utm_medium=email&amp;_hsmi=87085363&amp;_hsenc=p2ANqtz--RjbCKxha8c7SBJ_JGehJUMPyndq8TsPh597oVhzwtxCkIfPEomOWq2PkcHCoad9yJDrZC&amp;utm_content=87085363&amp;utm_source=hs_email" TargetMode="External"/><Relationship Id="rId2831" Type="http://schemas.openxmlformats.org/officeDocument/2006/relationships/hyperlink" Target="https://resources.simonelectric.com/simon-ebook-vehiculo-electrico?utm_referrer=https%3A%2F%2Fwww.simonelectric.com%2Fblog%2Fcomo-instalar-un-punto-de-recarga-de-coche-electrico-en-tu-domicilio-o-tu-empresa-en-7-pasos%3Futm_campaign%3DSIC%2520-%2520Veh%25C3%25ADculo%2520El%25C3%25A9ctrico%26utm_source%3Dhs_automation%26utm_medium%3Demail%26utm_content%3D71033828%26_hsenc%3Dp2ANqtz-9o4rD_XmPvS-9cRnpPey0SXMO09vzFZD5aE3C7O3TH4y-UyxCSnWku7HjA9P7BC0di4ag_bMDrQ-IvaEnEmz4xnQrM7A%26_hsmi%3D71033828" TargetMode="External"/><Relationship Id="rId1501" Type="http://schemas.openxmlformats.org/officeDocument/2006/relationships/hyperlink" Target="https://resources.simonelectric.com/simon-catalogo-vehiculo-electrico?utm_campaign=SIC%20-%20Veh%C3%ADculo%20El%C3%A9ctrico&amp;utm_medium=email&amp;_hsenc=p2ANqtz-8q0GJ35yBUEIQhPZS5ySyx9NKQSpjeZT_hzmwJsz4EQRyDtdHO0vVfMjdLdrOR-vLixs_U&amp;_hsmi=87085363&amp;utm_content=87085363&amp;utm_source=hs_email&amp;hsCtaTracking=6fedf137-fd90-4f17-bfb4-d61f710ec7f8%7Cf2771843-6636-4969-9010-2d8d0389b89c" TargetMode="External"/><Relationship Id="rId283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02" Type="http://schemas.openxmlformats.org/officeDocument/2006/relationships/hyperlink" Target="https://resources.simonelectric.com/simon-catalogo-vehiculo-electrico?utm_campaign=SIC%20-%20Veh%C3%ADculo%20El%C3%A9ctrico&amp;utm_medium=email&amp;_hsenc=p2ANqtz-_l2UoRJR656fkW4X-bb6xdMdA-IlDFfYrn40JDsMMzARZKUuWRQ9tpXLGk2JUajDJYZN7e&amp;_hsmi=87085363&amp;utm_content=87085363&amp;utm_source=hs_email&amp;hsCtaTracking=6fedf137-fd90-4f17-bfb4-d61f710ec7f8%7Cf2771843-6636-4969-9010-2d8d0389b89c" TargetMode="External"/><Relationship Id="rId2833" Type="http://schemas.openxmlformats.org/officeDocument/2006/relationships/hyperlink" Target="https://resources.simonelectric.com/simon-ebook-vehiculo-electrico-0?gclid=EAIaIQobChMI9bedzN_K6AIVl7cbCh320wSsEAEYASAAEgINqvD_BwE" TargetMode="External"/><Relationship Id="rId1503" Type="http://schemas.openxmlformats.org/officeDocument/2006/relationships/hyperlink" Target="https://resources.simonelectric.com/simon-catalogo-vehiculo-electrico?utm_campaign=SIC%20-%20Veh%C3%ADculo%20El%C3%A9ctrico&amp;utm_medium=email&amp;_hsenc=p2ANqtz-8fHW2Y7ce3_8VA2pxcmxfIKo30YX-4dMPO-T3HIrhs7FvaGP4f9-lyFA6kr69-TNJS5aHC&amp;_hsmi=87085363&amp;utm_content=87085363&amp;utm_source=hs_email&amp;hsCtaTracking=6fedf137-fd90-4f17-bfb4-d61f710ec7f8%7Cf2771843-6636-4969-9010-2d8d0389b89c" TargetMode="External"/><Relationship Id="rId283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04" Type="http://schemas.openxmlformats.org/officeDocument/2006/relationships/hyperlink" Target="https://resources.simonelectric.com/simon-catalogo-vehiculo-electrico?utm_campaign=SIC%20-%20Veh%C3%ADculo%20El%C3%A9ctrico&amp;utm_medium=email&amp;_hsmi=87085363&amp;_hsenc=p2ANqtz--rbIqWp6bBIXin-lf3J9NG7L2cbogmPDutTzI4tJmdl_vE2OB8auM671FSCh0hRJ7zUBtj&amp;utm_content=87085363&amp;utm_source=hs_email" TargetMode="External"/><Relationship Id="rId2835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1505" Type="http://schemas.openxmlformats.org/officeDocument/2006/relationships/hyperlink" Target="https://resources.simonelectric.com/simon-catalogo-vehiculo-electrico?utm_campaign=SIC%20-%20Veh%C3%ADculo%20El%C3%A9ctrico&amp;utm_medium=email&amp;_hsenc=p2ANqtz-8_5g7QFahfJZPbgN4lCrC6oBOoeXRsfeh7KDTZWXrCHlooqahn13TAtSgwFORmkrU33QZu&amp;_hsmi=87085302&amp;utm_content=87085302&amp;utm_source=hs_email&amp;hsCtaTracking=6fedf137-fd90-4f17-bfb4-d61f710ec7f8%7Cf2771843-6636-4969-9010-2d8d0389b89c" TargetMode="External"/><Relationship Id="rId283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06" Type="http://schemas.openxmlformats.org/officeDocument/2006/relationships/hyperlink" Target="https://resources.simonelectric.com/simon-catalogo-vehiculo-electrico?utm_campaign=SIC%20-%20Veh%C3%ADculo%20El%C3%A9ctrico&amp;utm_medium=email&amp;_hsenc=p2ANqtz-8rNk_3ZTa3aNSp19Vt0SX-kA2gTdQWna3yYubWiRQ-2kW-MilMiM0c3LrkxRX_Wlwl8cQo&amp;_hsmi=87085363&amp;utm_content=87085363&amp;utm_source=hs_email&amp;hsCtaTracking=6fedf137-fd90-4f17-bfb4-d61f710ec7f8%7Cf2771843-6636-4969-9010-2d8d0389b89c" TargetMode="External"/><Relationship Id="rId2837" Type="http://schemas.openxmlformats.org/officeDocument/2006/relationships/hyperlink" Target="https://resources.simonelectric.com/simon-ebook-vehiculo-electrico?utm_campaign=%23Simonentucasa&amp;utm_medium=email&amp;_hsenc=p2ANqtz-9kaZ4Fi8qt40RaEksv59VZ9ZHgfyd49usyL4ttlYatCBDqSdCl6e2fDSgunQlyss-0aVRyC7aPGGcabx_KUdUlkhEh8Q&amp;_hsmi=85165037&amp;utm_source=hs_email&amp;utm_content=85165037&amp;hsCtaTracking=7e048f91-fedd-4131-939d-25771a4a2d12%7Cf6d6f061-2319-4b5b-89f8-8c89fca06239" TargetMode="External"/><Relationship Id="rId1507" Type="http://schemas.openxmlformats.org/officeDocument/2006/relationships/hyperlink" Target="https://resources.simonelectric.com/simon-catalogo-vehiculo-electrico?utm_campaign=SIC%20-%20Veh%C3%ADculo%20El%C3%A9ctrico&amp;utm_medium=email&amp;_hsenc=p2ANqtz--1PbK5unSFUS-i0qlbOuIF6-5fBuRIf6WI_JG-A4kEnItIq5tHg3ddX1UTI_XDVX1TKQG_&amp;_hsmi=87085363&amp;utm_content=87085363&amp;utm_source=hs_email&amp;hsCtaTracking=6fedf137-fd90-4f17-bfb4-d61f710ec7f8%7Cf2771843-6636-4969-9010-2d8d0389b89c" TargetMode="External"/><Relationship Id="rId283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08" Type="http://schemas.openxmlformats.org/officeDocument/2006/relationships/hyperlink" Target="https://resources.simonelectric.com/simon-catalogo-vehiculo-electrico?utm_campaign=SIC%20-%20Veh%C3%ADculo%20El%C3%A9ctrico&amp;utm_medium=email&amp;_hsenc=p2ANqtz-8oem4u7WqtLG2LBFnwqxaaB4riS283o_m5LeUwr1fqgwf-rt3JCkmVaW7Sdeqr0Fn758lc&amp;_hsmi=87085363&amp;utm_content=87085363&amp;utm_source=hs_email&amp;hsCtaTracking=6fedf137-fd90-4f17-bfb4-d61f710ec7f8%7Cf2771843-6636-4969-9010-2d8d0389b89c" TargetMode="External"/><Relationship Id="rId283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509" Type="http://schemas.openxmlformats.org/officeDocument/2006/relationships/hyperlink" Target="https://resources.simonelectric.com/simon-catalogo-vehiculo-electrico?utm_campaign=SIC%20-%20Veh%C3%ADculo%20El%C3%A9ctrico&amp;utm_medium=email&amp;_hsenc=p2ANqtz-9bPBuyFAxbMg-xTXL1ujlKMjU_P58AbDVVA03nxnZ4by6mqUTAw_nhkqtXO3YWEHfZmoGc&amp;_hsmi=87085302&amp;utm_content=87085302&amp;utm_source=hs_email&amp;hsCtaTracking=6fedf137-fd90-4f17-bfb4-d61f710ec7f8%7Cf2771843-6636-4969-9010-2d8d0389b89c" TargetMode="External"/><Relationship Id="rId280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0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0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03" Type="http://schemas.openxmlformats.org/officeDocument/2006/relationships/hyperlink" Target="https://resources.simonelectric.com/simon-ebook-vehiculo-electrico-ppc?utm_source=facebook&amp;utm_medium=social_ads&amp;utm_campaign=vehiculo_electrico&amp;fbclid=IwAR2-XRRGcaiTxLBuy9AS_lvxwzYRfSEKg04YjhHtAB-Hv43lH5tS8QbfKL4" TargetMode="External"/><Relationship Id="rId280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0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06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0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0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80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76" Type="http://schemas.openxmlformats.org/officeDocument/2006/relationships/hyperlink" Target="https://resources.simonelectric.com/simon-catalogo-vehiculo-electrico?utm_campaign=SIC%20-%20Veh%C3%ADculo%20El%C3%A9ctrico&amp;utm_medium=email&amp;_hsenc=p2ANqtz--Q2wYC97IS2_QpQ53mCFYnM7Id3Mi7h88lHE8UrfQoLjUWWVB6RqSHBbpP1WcF97QtAkiB&amp;_hsmi=87085363&amp;utm_content=87085363&amp;utm_source=hs_email&amp;hsCtaTracking=6fedf137-fd90-4f17-bfb4-d61f710ec7f8%7Cf2771843-6636-4969-9010-2d8d0389b89c" TargetMode="External"/><Relationship Id="rId1577" Type="http://schemas.openxmlformats.org/officeDocument/2006/relationships/hyperlink" Target="https://resources.simonelectric.com/simon-catalogo-vehiculo-electrico?utm_campaign=SIC%20-%20Veh%C3%ADculo%20El%C3%A9ctrico&amp;utm_medium=email&amp;_hsenc=p2ANqtz-_Alr-SL0IGszZ_tYkBqLZN-zFLCdJJT_nxjoi7G4S7ABl_atF8YdgjtJPhjDXNnEt6gwG8&amp;_hsmi=87085302&amp;utm_content=87085302&amp;utm_source=hs_email&amp;hsCtaTracking=6fedf137-fd90-4f17-bfb4-d61f710ec7f8%7Cf2771843-6636-4969-9010-2d8d0389b89c" TargetMode="External"/><Relationship Id="rId1578" Type="http://schemas.openxmlformats.org/officeDocument/2006/relationships/hyperlink" Target="https://resources.simonelectric.com/simon-catalogo-vehiculo-electrico?utm_campaign=SIC%20-%20Veh%C3%ADculo%20El%C3%A9ctrico&amp;utm_medium=email&amp;_hsenc=p2ANqtz--G-1UbbzyC4tBAr6Lxsz61XhYv-DD66IYAidJQLnVDWFZ0jHjiomK0sUCdG5cn77eNypKC&amp;_hsmi=87085363&amp;utm_content=87085363&amp;utm_source=hs_email&amp;hsCtaTracking=6fedf137-fd90-4f17-bfb4-d61f710ec7f8%7Cf2771843-6636-4969-9010-2d8d0389b89c" TargetMode="External"/><Relationship Id="rId1579" Type="http://schemas.openxmlformats.org/officeDocument/2006/relationships/hyperlink" Target="https://resources.simonelectric.com/simon-catalogo-vehiculo-electrico?utm_campaign=SIC%20-%20Veh%C3%ADculo%20El%C3%A9ctrico&amp;utm_medium=email&amp;_hsenc=p2ANqtz--TanHd6qHeig19JCggl26lksC5-ign7JE1f44MG0OHqJeat04FYALhN52e0fGueNDJ5wCr&amp;_hsmi=87085363&amp;utm_content=87085363&amp;utm_source=hs_email&amp;hsCtaTracking=6fedf137-fd90-4f17-bfb4-d61f710ec7f8%7Cf2771843-6636-4969-9010-2d8d0389b89c" TargetMode="External"/><Relationship Id="rId987" Type="http://schemas.openxmlformats.org/officeDocument/2006/relationships/hyperlink" Target="https://resources.simonelectric.com/simon-ebook-vehiculo-electrico" TargetMode="External"/><Relationship Id="rId986" Type="http://schemas.openxmlformats.org/officeDocument/2006/relationships/hyperlink" Target="https://resources.simonelectric.com/simon-catalogo-vehiculo-electrico?__hstc=83084745.6212b0c4daa30130735d782d8df9d431.1584442216436.1589885637680.1589905850362.15&amp;__hssc=83084745.4.1589905850362&amp;__hsfp=2738147310" TargetMode="External"/><Relationship Id="rId98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984" Type="http://schemas.openxmlformats.org/officeDocument/2006/relationships/hyperlink" Target="https://resources.simonelectric.com/simon-ebook-vehiculo-electrico" TargetMode="External"/><Relationship Id="rId989" Type="http://schemas.openxmlformats.org/officeDocument/2006/relationships/hyperlink" Target="https://resources.simonelectric.com/simon-catalogo-vehiculo-electrico?utm_campaign=SIC%20-%20Veh%C3%ADculo%20El%C3%A9ctrico&amp;utm_medium=email&amp;_hsenc=p2ANqtz-_mClQIDczrEoUMdn-VEskiVLmlfZ0oxQIw-Oi5vMsGP3QmXzqgumRjc8Y5W5koA4EMGA1wyDmZBMe7GU9emkMW-nXyMQ&amp;_hsmi=87865495&amp;utm_source=hs_automation&amp;utm_content=87865495&amp;hsCtaTracking=6fedf137-fd90-4f17-bfb4-d61f710ec7f8%7Cf2771843-6636-4969-9010-2d8d0389b89c" TargetMode="External"/><Relationship Id="rId988" Type="http://schemas.openxmlformats.org/officeDocument/2006/relationships/hyperlink" Target="https://resources.simonelectric.com/simon-ebook-vehiculo-electrico" TargetMode="External"/><Relationship Id="rId1570" Type="http://schemas.openxmlformats.org/officeDocument/2006/relationships/hyperlink" Target="https://resources.simonelectric.com/simon-catalogo-vehiculo-electrico?utm_campaign=SIC%20-%20Veh%C3%ADculo%20El%C3%A9ctrico&amp;utm_medium=email&amp;_hsenc=p2ANqtz-8jlEPNocSArRLpjCXzkRN1A8CMUajvfXUuVChQadn2-WYd3h6YYzZwJkXrCMYWCelvlgVm&amp;_hsmi=87085363&amp;utm_content=87085363&amp;utm_source=hs_email&amp;hsCtaTracking=6fedf137-fd90-4f17-bfb4-d61f710ec7f8%7Cf2771843-6636-4969-9010-2d8d0389b89c" TargetMode="External"/><Relationship Id="rId1571" Type="http://schemas.openxmlformats.org/officeDocument/2006/relationships/hyperlink" Target="https://resources.simonelectric.com/simon-catalogo-vehiculo-electrico?utm_campaign=SIC%20-%20Veh%C3%ADculo%20El%C3%A9ctrico&amp;utm_medium=email&amp;_hsmi=87085363&amp;_hsenc=p2ANqtz-98RAHXzIrqmRSIFDTmWOUzR31lqPcaB6jGBm8HsM9ilCsugW0ILrse8yXWb4EM2bwej48a&amp;utm_content=87085363&amp;utm_source=hs_email" TargetMode="External"/><Relationship Id="rId98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572" Type="http://schemas.openxmlformats.org/officeDocument/2006/relationships/hyperlink" Target="https://resources.simonelectric.com/simon-catalogo-vehiculo-electrico?utm_campaign=SIC%20-%20Veh%C3%ADculo%20El%C3%A9ctrico&amp;utm_medium=email&amp;_hsenc=p2ANqtz--ED_4cwzwFPUU0LZ3nmmeYfL22NK_vLI1WPb5xzulhlXtjINGf8UQVz-Il4_ej_hSVsvaV&amp;_hsmi=87085363&amp;utm_content=87085363&amp;utm_source=hs_email&amp;hsCtaTracking=6fedf137-fd90-4f17-bfb4-d61f710ec7f8%7Cf2771843-6636-4969-9010-2d8d0389b89c" TargetMode="External"/><Relationship Id="rId98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73" Type="http://schemas.openxmlformats.org/officeDocument/2006/relationships/hyperlink" Target="https://resources.simonelectric.com/simon-catalogo-vehiculo-electrico?utm_campaign=SIC%20-%20Veh%C3%ADculo%20El%C3%A9ctrico&amp;utm_medium=email&amp;_hsenc=p2ANqtz-_LhQVwlDqLIXb5aL44m7ZFMWT0Che-TsQt7VN_Rs0bkcSFPyy57E-8B0vVnqTPj9jrkUhD&amp;_hsmi=87085302&amp;utm_content=87085302&amp;utm_source=hs_email&amp;hsCtaTracking=6fedf137-fd90-4f17-bfb4-d61f710ec7f8%7Cf2771843-6636-4969-9010-2d8d0389b89c" TargetMode="External"/><Relationship Id="rId981" Type="http://schemas.openxmlformats.org/officeDocument/2006/relationships/hyperlink" Target="https://resources.simonelectric.com/simon-catalogo-vehiculo-electrico?utm_campaign=SIC%20-%20Veh%C3%ADculo%20El%C3%A9ctrico&amp;utm_medium=email&amp;_hsenc=p2ANqtz-8Cl2_vHyrZgUiGGagrsZBEYeI6y_WpwgqcvSwYRQMq9CbXMDTn8LP817JSkLBdthlHJs3RFG7M66gXsNiP06nuOyL1tQ&amp;_hsmi=87865495&amp;utm_source=hs_automation&amp;utm_content=87865495&amp;hsCtaTracking=6fedf137-fd90-4f17-bfb4-d61f710ec7f8%7Cf2771843-6636-4969-9010-2d8d0389b89c" TargetMode="External"/><Relationship Id="rId1574" Type="http://schemas.openxmlformats.org/officeDocument/2006/relationships/hyperlink" Target="https://resources.simonelectric.com/simon-catalogo-vehiculo-electrico?utm_campaign=SIC%20-%20Veh%C3%ADculo%20El%C3%A9ctrico&amp;utm_medium=email&amp;_hsenc=p2ANqtz--2OdgtZs6Vlr9rXSstJAQ381bvIYI-uF9MmPHlWVaS-0bX3bvdp6bbw62WHesVXhU3bLXC&amp;_hsmi=87085363&amp;utm_content=87085363&amp;utm_source=hs_email&amp;hsCtaTracking=6fedf137-fd90-4f17-bfb4-d61f710ec7f8%7Cf2771843-6636-4969-9010-2d8d0389b89c" TargetMode="External"/><Relationship Id="rId980" Type="http://schemas.openxmlformats.org/officeDocument/2006/relationships/hyperlink" Target="https://resources.simonelectric.com/simon-catalogo-vehiculo-electrico?utm_campaign=SIC%20-%20Veh%C3%ADculo%20El%C3%A9ctrico&amp;utm_medium=email&amp;_hsenc=p2ANqtz--3WCUdg2BuoLzIaz-NDwu9qtrruJ396M5BbiVPaytj40s9zFuFDXDFo7ctXFETVDW-sq1X7KXwLIcOKrB5Waczt5WuxrFXKS0p91cjfBljjWuUitM&amp;_hsmi=87865495&amp;utm_source=hs_automation&amp;utm_content=87865495&amp;hsCtaTracking=6fedf137-fd90-4f17-bfb4-d61f710ec7f8%7Cf2771843-6636-4969-9010-2d8d0389b89c" TargetMode="External"/><Relationship Id="rId1575" Type="http://schemas.openxmlformats.org/officeDocument/2006/relationships/hyperlink" Target="https://resources.simonelectric.com/simon-catalogo-vehiculo-electrico?utm_campaign=SIC%20-%20Veh%C3%ADculo%20El%C3%A9ctrico&amp;utm_medium=email&amp;_hsenc=p2ANqtz-_UBoBkWmgAMct4nuEH1n4CgTUngY9cf2AcZ_BCNKiaxuVLGGJVfIObyfhsW4TD8g9fI6O0&amp;_hsmi=87085363&amp;utm_content=87085363&amp;utm_source=hs_email&amp;hsCtaTracking=6fedf137-fd90-4f17-bfb4-d61f710ec7f8%7Cf2771843-6636-4969-9010-2d8d0389b89c" TargetMode="External"/><Relationship Id="rId1565" Type="http://schemas.openxmlformats.org/officeDocument/2006/relationships/hyperlink" Target="https://resources.simonelectric.com/simon-catalogo-vehiculo-electrico?utm_campaign=SIC%20-%20Veh%C3%ADculo%20El%C3%A9ctrico&amp;utm_medium=email&amp;_hsenc=p2ANqtz--YN1R-M70TyJa3JQ5d-uAAixryvtSOIVtlj4w4r-W6GrK9Vnshwk1ckAbDbwaf7cyv4V_P&amp;_hsmi=87085302&amp;utm_content=87085302&amp;utm_source=hs_email&amp;hsCtaTracking=6fedf137-fd90-4f17-bfb4-d61f710ec7f8%7Cf2771843-6636-4969-9010-2d8d0389b89c" TargetMode="External"/><Relationship Id="rId289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566" Type="http://schemas.openxmlformats.org/officeDocument/2006/relationships/hyperlink" Target="https://resources.simonelectric.com/simon-catalogo-vehiculo-electrico?utm_campaign=SIC%20-%20Veh%C3%ADculo%20El%C3%A9ctrico&amp;utm_medium=email&amp;_hsenc=p2ANqtz-8X6dtjzx8BYAideVsCDxwTqVe53eARWi8YXc95f_LElr6jAlysoJHTqzAT7TiZ2Oqq9x_Y&amp;_hsmi=87085363&amp;utm_content=87085363&amp;utm_source=hs_email&amp;hsCtaTracking=6fedf137-fd90-4f17-bfb4-d61f710ec7f8%7Cf2771843-6636-4969-9010-2d8d0389b89c" TargetMode="External"/><Relationship Id="rId2897" Type="http://schemas.openxmlformats.org/officeDocument/2006/relationships/hyperlink" Target="https://resources.simonelectric.com/simon-ebook-vehiculo-electrico-0?gclid=EAIaIQobChMIuuLHh6O-6AIVMIrtCh0-pAitEAEYASAAEgIVj_D_BwE" TargetMode="External"/><Relationship Id="rId1567" Type="http://schemas.openxmlformats.org/officeDocument/2006/relationships/hyperlink" Target="https://resources.simonelectric.com/simon-catalogo-vehiculo-electrico?utm_campaign=SIC%20-%20Veh%C3%ADculo%20El%C3%A9ctrico&amp;utm_medium=email&amp;_hsmi=87085363&amp;_hsenc=p2ANqtz-_rV9RhhLYDhp1azAZH99IW7BACcWBwY6UREd1ka81mWgmV-AbWP8BHbRSsXXtklL2Gavjt&amp;utm_content=87085363&amp;utm_source=hs_email" TargetMode="External"/><Relationship Id="rId289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568" Type="http://schemas.openxmlformats.org/officeDocument/2006/relationships/hyperlink" Target="https://resources.simonelectric.com/simon-catalogo-vehiculo-electrico?utm_campaign=SIC%20-%20Veh%C3%ADculo%20El%C3%A9ctrico&amp;utm_medium=email&amp;_hsenc=p2ANqtz-_JaBDJ58Mp0W7vLLAB4zfVNdthGiJzlbVtwRuZW5znBhsFE3KMk3_HUPXvAEpUH-vkXrOu&amp;_hsmi=87085363&amp;utm_content=87085363&amp;utm_source=hs_email&amp;hsCtaTracking=6fedf137-fd90-4f17-bfb4-d61f710ec7f8%7Cf2771843-6636-4969-9010-2d8d0389b89c" TargetMode="External"/><Relationship Id="rId2899" Type="http://schemas.openxmlformats.org/officeDocument/2006/relationships/hyperlink" Target="https://resources.simonelectric.com/simon-ebook-vehiculo-electrico-0?gclid=EAIaIQobChMI6IW4zJG86AIV0cO7CB3SBQ-8EAEYASAAEgJ6VvD_BwE" TargetMode="External"/><Relationship Id="rId1569" Type="http://schemas.openxmlformats.org/officeDocument/2006/relationships/hyperlink" Target="https://resources.simonelectric.com/simon-catalogo-vehiculo-electrico?utm_campaign=SIC%20-%20Veh%C3%ADculo%20El%C3%A9ctrico&amp;utm_medium=email&amp;_hsenc=p2ANqtz-8R7YCpFfGRPsfKbL__dchasCtyGrjXKNliqQ0l5z0yc8Lc8uhmZl77BWARoWU7h8qVKY9y&amp;_hsmi=87085363&amp;utm_content=87085363&amp;utm_source=hs_email&amp;hsCtaTracking=6fedf137-fd90-4f17-bfb4-d61f710ec7f8%7Cf2771843-6636-4969-9010-2d8d0389b89c" TargetMode="External"/><Relationship Id="rId976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94xjq2Cs12f8U6nPAMVAGEXUz8Go-sd4Av2QFQOqYTxNz4Eq1IyaQU97Zn0-C78K0Fl9VER7mA2MhEXW2dn7c7ig32iMTMCgDRDI_-ijYkHgGTNaE&amp;_hsmi=87865495" TargetMode="External"/><Relationship Id="rId975" Type="http://schemas.openxmlformats.org/officeDocument/2006/relationships/hyperlink" Target="https://resources.simonelectric.com/simon-catalogo-vehiculo-electrico?utm_campaign=SIC%20-%20Veh%C3%ADculo%20El%C3%A9ctrico&amp;utm_medium=email&amp;_hsenc=p2ANqtz-9ZAyni7mdZsk9REHihz5IPS0RGwtellc8Z4TUPY2PVnf3FyZ_GLSdEh0sA6lXQGJxBKJbN0l7x37Lcs_qICgWpmmwkLQ&amp;_hsmi=87865495&amp;utm_source=hs_automation&amp;utm_content=87865495&amp;hsCtaTracking=6fedf137-fd90-4f17-bfb4-d61f710ec7f8%7Cf2771843-6636-4969-9010-2d8d0389b89c" TargetMode="External"/><Relationship Id="rId974" Type="http://schemas.openxmlformats.org/officeDocument/2006/relationships/hyperlink" Target="https://resources.simonelectric.com/simon-ebook-vehiculo-electrico" TargetMode="External"/><Relationship Id="rId973" Type="http://schemas.openxmlformats.org/officeDocument/2006/relationships/hyperlink" Target="https://resources.simonelectric.com/simon-catalogo-vehiculo-electrico?utm_campaign=SIC%20-%20Veh%C3%ADculo%20El%C3%A9ctrico&amp;utm_medium=email&amp;_hsenc=p2ANqtz-9UQx1d2JF0QfkWMTxYKkafXNhlgsG3TxlI9zxN0KuxIEsBFstgFI0J2Jsoiq3bViM7gpnTWfsH_lg4656xW0oeyzZTeg&amp;_hsmi=87865495&amp;utm_source=hs_automation&amp;utm_content=87865495&amp;hsCtaTracking=6fedf137-fd90-4f17-bfb4-d61f710ec7f8%7Cf2771843-6636-4969-9010-2d8d0389b89c" TargetMode="External"/><Relationship Id="rId97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978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81HkqJiyGP8GKqJHciLcN23tXg6h0jGsF0xJpwPJs1wlVl5ZgKmB56m8zrz8sJSUscRAdRRZJGi0oaOvDv3gCc978piw&amp;_hsmi=87865495" TargetMode="External"/><Relationship Id="rId977" Type="http://schemas.openxmlformats.org/officeDocument/2006/relationships/hyperlink" Target="https://resources.simonelectric.com/simon-catalogo-vehiculo-electrico?utm_campaign=SIC%20-%20Veh%C3%ADculo%20El%C3%A9ctrico&amp;utm_medium=email&amp;_hsenc=p2ANqtz-_lHORxFgpgTpCtnbuayrJ7M6E0udXQnnBTVisK76pGO90l6PYk5cm1x3tOgrNuPJc_gP0yclR0lfWMW6MZMe1BrJ_NiA&amp;_hsmi=87865495&amp;utm_source=hs_automation&amp;utm_content=87865495&amp;hsCtaTracking=6fedf137-fd90-4f17-bfb4-d61f710ec7f8%7Cf2771843-6636-4969-9010-2d8d0389b89c" TargetMode="External"/><Relationship Id="rId289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60" Type="http://schemas.openxmlformats.org/officeDocument/2006/relationships/hyperlink" Target="https://resources.simonelectric.com/simon-catalogo-vehiculo-electrico?utm_campaign=SIC%20-%20Veh%C3%ADculo%20El%C3%A9ctrico&amp;utm_medium=email&amp;_hsenc=p2ANqtz-8oAO9fzna1jUM7SmdjOUJc2SlDgIK3WJka9xAnqoKhE9GH9hyrq4_dA5rtNWPF_cgUV6Hk&amp;_hsmi=87085302&amp;utm_content=87085302&amp;utm_source=hs_email&amp;hsCtaTracking=6fedf137-fd90-4f17-bfb4-d61f710ec7f8%7Cf2771843-6636-4969-9010-2d8d0389b89c" TargetMode="External"/><Relationship Id="rId2891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972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8pKvoM77YNnIx2As30xvbLW4_VgnTtYlmuDGYFT5qbMCturH1Nee2AO-XAPXSEjC5pJQuWDpsQlBIUhhvCKiw6xbFiYQ&amp;_hsmi=87865495" TargetMode="External"/><Relationship Id="rId1561" Type="http://schemas.openxmlformats.org/officeDocument/2006/relationships/hyperlink" Target="https://resources.simonelectric.com/simon-catalogo-vehiculo-electrico?utm_campaign=SIC%20-%20Veh%C3%ADculo%20El%C3%A9ctrico&amp;utm_medium=email&amp;_hsenc=p2ANqtz-_a23dNqP9re6OgprZP_L44me_Uu4aT-vcP7awyTdGJ6QLAE2u94h4GJlV2cbKiGdSb5qzA&amp;_hsmi=87085302&amp;utm_content=87085302&amp;utm_source=hs_email&amp;hsCtaTracking=6fedf137-fd90-4f17-bfb4-d61f710ec7f8%7Cf2771843-6636-4969-9010-2d8d0389b89c" TargetMode="External"/><Relationship Id="rId2892" Type="http://schemas.openxmlformats.org/officeDocument/2006/relationships/hyperlink" Target="https://resources.simonelectric.com/simon-catalogo-vehiculo-electrico?__hstc=83084745.57d50655e69ea0fb16c2e18767506d67.1585553492720.1585553492720.1585553492720.1&amp;__hssc=83084745.1.1585553492721&amp;__hsfp=2714162804" TargetMode="External"/><Relationship Id="rId971" Type="http://schemas.openxmlformats.org/officeDocument/2006/relationships/hyperlink" Target="https://resources.simonelectric.com/simon-catalogo-vehiculo-electrico?utm_campaign=SIC%20-%20Veh%C3%ADculo%20El%C3%A9ctrico&amp;utm_medium=email&amp;_hsenc=p2ANqtz-8pE5Vc0Ci7lEj2ppWqQUApBa-yWki2ZfsgFbzaFiRnxX3hkHi71v0Jyj6MjUB80O9P9Fdta0Esv2supwdP0n2l_dIntQ&amp;_hsmi=87865495&amp;utm_source=hs_automation&amp;utm_content=87865495&amp;hsCtaTracking=6fedf137-fd90-4f17-bfb4-d61f710ec7f8%7Cf2771843-6636-4969-9010-2d8d0389b89c" TargetMode="External"/><Relationship Id="rId1562" Type="http://schemas.openxmlformats.org/officeDocument/2006/relationships/hyperlink" Target="https://resources.simonelectric.com/simon-catalogo-vehiculo-electrico?utm_campaign=SIC%20-%20Veh%C3%ADculo%20El%C3%A9ctrico&amp;utm_medium=email&amp;_hsenc=p2ANqtz-9BQ6IXWpJ2JaEXak33hkIOFqHuSXqKpRpa8tRdQb9Zfj3uz0SkMWOEZNZudlUDCvACWszV&amp;_hsmi=87085363&amp;utm_content=87085363&amp;utm_source=hs_email&amp;hsCtaTracking=6fedf137-fd90-4f17-bfb4-d61f710ec7f8%7Cf2771843-6636-4969-9010-2d8d0389b89c" TargetMode="External"/><Relationship Id="rId2893" Type="http://schemas.openxmlformats.org/officeDocument/2006/relationships/hyperlink" Target="https://resources.simonelectric.com/simon-ebook-vehiculo-electrico?utm_campaign=SIC%20-%20Veh%C3%ADculo%20El%C3%A9ctrico&amp;utm_medium=email&amp;_hsenc=p2ANqtz-9rWysdkqw5pxWLaAwGbcQ2iCf9gZvCBjEZDjjV_n19kPa-F9AoD5smg-y8mPt9ExZ3uirX52XeDdzkB7mfP6HA4z2whQ&amp;_hsmi=71033675&amp;utm_source=hs_automation&amp;utm_content=71033675&amp;hsCtaTracking=2e94ebfc-d414-4389-870c-d2f266a9420b%7C587ac4dc-a49a-4bdc-b449-e36f5d95395b" TargetMode="External"/><Relationship Id="rId970" Type="http://schemas.openxmlformats.org/officeDocument/2006/relationships/hyperlink" Target="https://resources.simonelectric.com/simon-catalogo-vehiculo-electrico?utm_campaign=SIC%20-%20Veh%C3%ADculo%20El%C3%A9ctrico&amp;utm_medium=email&amp;_hsenc=p2ANqtz-9_NXU4NhwycoA4Pk91FGdHdlGLoTdg-NwauIHTCDKsqAed6HL98ai6i6W8pSXOLgVxFHqdLgfMKcT0jtRAJQqEMt9njQMpBi-yqawHrfpJk6faLko&amp;_hsmi=87865495&amp;utm_source=hs_automation&amp;utm_content=87865495&amp;hsCtaTracking=6fedf137-fd90-4f17-bfb4-d61f710ec7f8%7Cf2771843-6636-4969-9010-2d8d0389b89c" TargetMode="External"/><Relationship Id="rId1563" Type="http://schemas.openxmlformats.org/officeDocument/2006/relationships/hyperlink" Target="https://resources.simonelectric.com/simon-catalogo-vehiculo-electrico?utm_campaign=SIC%20-%20Veh%C3%ADculo%20El%C3%A9ctrico&amp;utm_medium=email&amp;_hsenc=p2ANqtz-8-FwTuIrSnvjXvPTTAEqPsPbTiKZA3qVLlElX9atKP5zDOWck2-jvmEBP-uMYoUYoz1-pr&amp;_hsmi=87085363&amp;utm_content=87085363&amp;utm_source=hs_email&amp;hsCtaTracking=6fedf137-fd90-4f17-bfb4-d61f710ec7f8%7Cf2771843-6636-4969-9010-2d8d0389b89c" TargetMode="External"/><Relationship Id="rId2894" Type="http://schemas.openxmlformats.org/officeDocument/2006/relationships/hyperlink" Target="https://resources.simonelectric.com/simon-ebook-vehiculo-electrico" TargetMode="External"/><Relationship Id="rId1564" Type="http://schemas.openxmlformats.org/officeDocument/2006/relationships/hyperlink" Target="https://resources.simonelectric.com/simon-catalogo-vehiculo-electrico?utm_campaign=SIC%20-%20Veh%C3%ADculo%20El%C3%A9ctrico&amp;utm_medium=email&amp;_hsenc=p2ANqtz-8EYeCnTWRsP6KimlLkSwJtnG5yQjGIOej78-vg-8FUOcLOSyAmNXr3bzw4tsvRJmTRXJd-&amp;_hsmi=87085302&amp;utm_content=87085302&amp;utm_source=hs_email&amp;hsCtaTracking=6fedf137-fd90-4f17-bfb4-d61f710ec7f8%7Cf2771843-6636-4969-9010-2d8d0389b89c" TargetMode="External"/><Relationship Id="rId289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598" Type="http://schemas.openxmlformats.org/officeDocument/2006/relationships/hyperlink" Target="https://resources.simonelectric.com/simon-catalogo-vehiculo-electrico?utm_campaign=SIC%20-%20Veh%C3%ADculo%20El%C3%A9ctrico&amp;utm_medium=email&amp;_hsenc=p2ANqtz--USEcYbirzne3EkEU4WX3t0XkYP8N1e6Cbd9opS-eINX-15StLqRYk44IZ6_IOBF13BF0l&amp;_hsmi=87085363&amp;utm_content=87085363&amp;utm_source=hs_email&amp;hsCtaTracking=6fedf137-fd90-4f17-bfb4-d61f710ec7f8%7Cf2771843-6636-4969-9010-2d8d0389b89c" TargetMode="External"/><Relationship Id="rId1599" Type="http://schemas.openxmlformats.org/officeDocument/2006/relationships/hyperlink" Target="https://resources.simonelectric.com/simon-catalogo-vehiculo-electrico?utm_campaign=SIC%20-%20Veh%C3%ADculo%20El%C3%A9ctrico&amp;utm_medium=email&amp;_hsenc=p2ANqtz--pHlgH8sJ5j-VVJjDdurzPz9KvL070U-jO7pVdWhW9HlG_6j9Lu8XX4w8VgLVb6TUlUdgw&amp;_hsmi=87085302&amp;utm_content=87085302&amp;utm_source=hs_email&amp;hsCtaTracking=6fedf137-fd90-4f17-bfb4-d61f710ec7f8%7Cf2771843-6636-4969-9010-2d8d0389b89c" TargetMode="External"/><Relationship Id="rId1590" Type="http://schemas.openxmlformats.org/officeDocument/2006/relationships/hyperlink" Target="https://resources.simonelectric.com/simon-catalogo-vehiculo-electrico?utm_campaign=SIC%20-%20Veh%C3%ADculo%20El%C3%A9ctrico&amp;utm_medium=email&amp;_hsenc=p2ANqtz-9fu6v9y7z6J97QmNni2xKAz8f0jM_q7TT5iTuJAhLiPI_Iz1TofLLxqgZtTIh8l0RrYitZ&amp;_hsmi=87085363&amp;utm_content=87085363&amp;utm_source=hs_email&amp;hsCtaTracking=6fedf137-fd90-4f17-bfb4-d61f710ec7f8%7Cf2771843-6636-4969-9010-2d8d0389b89c" TargetMode="External"/><Relationship Id="rId1591" Type="http://schemas.openxmlformats.org/officeDocument/2006/relationships/hyperlink" Target="https://resources.simonelectric.com/simon-catalogo-vehiculo-electrico?utm_campaign=SIC%20-%20Veh%C3%ADculo%20El%C3%A9ctrico&amp;utm_medium=email&amp;_hsenc=p2ANqtz-9z_ZYx9BFazKTqxEibyD5xtg_KPpuUBj4CttT1sD1tWYbkqrdxJAiyuh6TK_wI8629zug7&amp;_hsmi=87085363&amp;utm_content=87085363&amp;utm_source=hs_email&amp;hsCtaTracking=6fedf137-fd90-4f17-bfb4-d61f710ec7f8%7Cf2771843-6636-4969-9010-2d8d0389b89c" TargetMode="External"/><Relationship Id="rId1592" Type="http://schemas.openxmlformats.org/officeDocument/2006/relationships/hyperlink" Target="https://resources.simonelectric.com/simon-catalogo-vehiculo-electrico?utm_campaign=SIC%20-%20Veh%C3%ADculo%20El%C3%A9ctrico&amp;utm_medium=email&amp;_hsenc=p2ANqtz--xIpwYut_fVzsel6oSAmp-JHCwUFT95wGbYkywpyoxy87R80CpvBx8ByF9yYDsOukvj_QB&amp;_hsmi=87085363&amp;utm_content=87085363&amp;utm_source=hs_email&amp;hsCtaTracking=6fedf137-fd90-4f17-bfb4-d61f710ec7f8%7Cf2771843-6636-4969-9010-2d8d0389b89c" TargetMode="External"/><Relationship Id="rId1593" Type="http://schemas.openxmlformats.org/officeDocument/2006/relationships/hyperlink" Target="https://resources.simonelectric.com/simon-catalogo-vehiculo-electrico?utm_campaign=SIC%20-%20Veh%C3%ADculo%20El%C3%A9ctrico&amp;utm_medium=email&amp;_hsenc=p2ANqtz--q7joo2VMU-rBaed9SmbQ4ZXQ3rEfhJbpRK61P3ExKB3pRE-ANvN-QJDTytBnHYluxuCD5&amp;_hsmi=87085302&amp;utm_content=87085302&amp;utm_source=hs_email&amp;hsCtaTracking=6fedf137-fd90-4f17-bfb4-d61f710ec7f8%7Cf2771843-6636-4969-9010-2d8d0389b89c" TargetMode="External"/><Relationship Id="rId1594" Type="http://schemas.openxmlformats.org/officeDocument/2006/relationships/hyperlink" Target="https://resources.simonelectric.com/simon-catalogo-vehiculo-electrico?utm_campaign=SIC%20-%20Veh%C3%ADculo%20El%C3%A9ctrico&amp;utm_medium=email&amp;_hsenc=p2ANqtz-8FKYRAUKzFTrgv9ORIVwqdWMpBRPfg3qOYX7vH9tRHs6KCKhGsPHtwa_z5_XIkp83CG3cH&amp;_hsmi=87085363&amp;utm_content=87085363&amp;utm_source=hs_email&amp;hsCtaTracking=6fedf137-fd90-4f17-bfb4-d61f710ec7f8%7Cf2771843-6636-4969-9010-2d8d0389b89c" TargetMode="External"/><Relationship Id="rId1595" Type="http://schemas.openxmlformats.org/officeDocument/2006/relationships/hyperlink" Target="https://resources.simonelectric.com/simon-catalogo-vehiculo-electrico?utm_campaign=SIC%20-%20Veh%C3%ADculo%20El%C3%A9ctrico&amp;utm_medium=email&amp;_hsenc=p2ANqtz-8B44BIgjRUW0MvEKJDhQwbEh8xAaIpfWzgoANl4UXFiXQcX21A4Ukxv22LmBz-pc2AXomc&amp;_hsmi=87085363&amp;utm_content=87085363&amp;utm_source=hs_email&amp;hsCtaTracking=6fedf137-fd90-4f17-bfb4-d61f710ec7f8%7Cf2771843-6636-4969-9010-2d8d0389b89c" TargetMode="External"/><Relationship Id="rId1596" Type="http://schemas.openxmlformats.org/officeDocument/2006/relationships/hyperlink" Target="https://resources.simonelectric.com/simon-catalogo-vehiculo-electrico?utm_campaign=SIC%20-%20Veh%C3%ADculo%20El%C3%A9ctrico&amp;utm_medium=email&amp;_hsenc=p2ANqtz--K_C-JR9BB-VvU8iPl4aVrfghcwqFZquOiCt6WJO4xifkvw1b1nlbOn985fkxjsiPqJWW4&amp;_hsmi=87085302&amp;utm_content=87085302&amp;utm_source=hs_email&amp;hsCtaTracking=6fedf137-fd90-4f17-bfb4-d61f710ec7f8%7Cf2771843-6636-4969-9010-2d8d0389b89c" TargetMode="External"/><Relationship Id="rId1597" Type="http://schemas.openxmlformats.org/officeDocument/2006/relationships/hyperlink" Target="https://resources.simonelectric.com/simon-catalogo-vehiculo-electrico?utm_campaign=SIC%20-%20Veh%C3%ADculo%20El%C3%A9ctrico&amp;utm_medium=email&amp;_hsenc=p2ANqtz-8RqEVndMhclBHSgOHUDtZSWtyhZ-OrbuJiHY94EX_4QnIYCwtYjZHF10OdPONCH5eutFW0&amp;_hsmi=87085363&amp;utm_content=87085363&amp;utm_source=hs_email&amp;hsCtaTracking=6fedf137-fd90-4f17-bfb4-d61f710ec7f8%7Cf2771843-6636-4969-9010-2d8d0389b89c" TargetMode="External"/><Relationship Id="rId1587" Type="http://schemas.openxmlformats.org/officeDocument/2006/relationships/hyperlink" Target="https://resources.simonelectric.com/simon-catalogo-vehiculo-electrico?utm_campaign=SIC%20-%20Veh%C3%ADculo%20El%C3%A9ctrico&amp;utm_medium=email&amp;_hsenc=p2ANqtz-92f0zewLZpoc0MNY_Gk27SAKAGauu1A9aN-WDjRxh5Tf_aV_P3K4NMWjTA2JjZRH3MViYe&amp;_hsmi=87085302&amp;utm_content=87085302&amp;utm_source=hs_email&amp;hsCtaTracking=6fedf137-fd90-4f17-bfb4-d61f710ec7f8%7Cf2771843-6636-4969-9010-2d8d0389b89c" TargetMode="External"/><Relationship Id="rId1588" Type="http://schemas.openxmlformats.org/officeDocument/2006/relationships/hyperlink" Target="https://resources.simonelectric.com/simon-catalogo-vehiculo-electrico?utm_campaign=SIC%20-%20Veh%C3%ADculo%20El%C3%A9ctrico&amp;utm_medium=email&amp;_hsenc=p2ANqtz-9QPElNLTct6C-1B_eww8mZ7Xd9NjdAyH0pWL1yDsvdUF11wwYiJok-tpTHoU069peZ982v&amp;_hsmi=87085363&amp;utm_content=87085363&amp;utm_source=hs_email&amp;hsCtaTracking=6fedf137-fd90-4f17-bfb4-d61f710ec7f8%7Cf2771843-6636-4969-9010-2d8d0389b89c" TargetMode="External"/><Relationship Id="rId1589" Type="http://schemas.openxmlformats.org/officeDocument/2006/relationships/hyperlink" Target="https://resources.simonelectric.com/simon-catalogo-vehiculo-electrico?utm_campaign=SIC%20-%20Veh%C3%ADculo%20El%C3%A9ctrico&amp;utm_medium=email&amp;_hsenc=p2ANqtz-8IRPPMie-Ot0KBOWqRdaG1a-_GXYY2v6MSmTgLRfOgHBMbdz9y9rHu_lCGlhnT7qyll30Q&amp;_hsmi=87085363&amp;utm_content=87085363&amp;utm_source=hs_email&amp;hsCtaTracking=6fedf137-fd90-4f17-bfb4-d61f710ec7f8%7Cf2771843-6636-4969-9010-2d8d0389b89c" TargetMode="External"/><Relationship Id="rId99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997" Type="http://schemas.openxmlformats.org/officeDocument/2006/relationships/hyperlink" Target="https://resources.simonelectric.com/simon-catalogo-vehiculo-electrico?utm_campaign=SIC%20-%20Veh%C3%ADculo%20El%C3%A9ctrico&amp;utm_medium=email&amp;_hsenc=p2ANqtz-8NlRzPl5wFiMaXV_CRbOqkn13As5ZYuBJQU2YCpS1Prk9cyxGL95atje-KS8ce3M02AcD_&amp;_hsmi=87085363&amp;utm_content=87085363&amp;utm_source=hs_email&amp;hsCtaTracking=6fedf137-fd90-4f17-bfb4-d61f710ec7f8%7Cf2771843-6636-4969-9010-2d8d0389b89c" TargetMode="External"/><Relationship Id="rId996" Type="http://schemas.openxmlformats.org/officeDocument/2006/relationships/hyperlink" Target="https://resources.simonelectric.com/simon-ebook-vehiculo-electrico" TargetMode="External"/><Relationship Id="rId995" Type="http://schemas.openxmlformats.org/officeDocument/2006/relationships/hyperlink" Target="https://resources.simonelectric.com/simon-catalogo-vehiculo-electrico?utm_campaign=SIC%20-%20Veh%C3%ADculo%20El%C3%A9ctrico&amp;utm_medium=email&amp;_hsenc=p2ANqtz-_AWlAtMRN2shFvzsC4KVUbAZrtZQhHBDj2GwWH0Mk7_uSg_E4jsjmjdqks6RFUpxEGfJnYeKdKrryKE7tYM6W9xZZHvDkhlAxl_DSXugY4D60V1CI&amp;_hsmi=87865495&amp;utm_source=hs_automation&amp;utm_content=87865495&amp;hsCtaTracking=6fedf137-fd90-4f17-bfb4-d61f710ec7f8%7Cf2771843-6636-4969-9010-2d8d0389b89c" TargetMode="External"/><Relationship Id="rId999" Type="http://schemas.openxmlformats.org/officeDocument/2006/relationships/hyperlink" Target="https://resources.simonelectric.com/simon-catalogo-vehiculo-electrico?utm_campaign=SIC%20-%20Veh%C3%ADculo%20El%C3%A9ctrico&amp;utm_medium=email&amp;_hsenc=p2ANqtz-9ls_ebUG5YN9KgPD-CWHZLotdLL3FGkD5czQMAPWq8hfPGnDV2y8iMxNxwhim2aTxk33nNShvLKBhmXEVcrVLWd8nSWw&amp;_hsmi=87865495&amp;utm_source=hs_automation&amp;utm_content=87865495&amp;hsCtaTracking=6fedf137-fd90-4f17-bfb4-d61f710ec7f8%7Cf2771843-6636-4969-9010-2d8d0389b89c" TargetMode="External"/><Relationship Id="rId990" Type="http://schemas.openxmlformats.org/officeDocument/2006/relationships/hyperlink" Target="https://resources.simonelectric.com/simon-ebook-vehiculo-electrico?utm_campaign=SIC%20-%20Veh%C3%ADculo%20El%C3%A9ctrico&amp;utm_medium=email&amp;_hsenc=p2ANqtz--HsHwW0xEg9bl4mA-xGM1vwWqDvmFE9zzMi9gtFolnsOdZeXgaJvBNXzOctVQhUfryMknJNTpPVm7NG2QNagBbjuv92Orr4Dr6KEX1n9jTcgmhiEE&amp;_hsmi=71033675&amp;utm_source=hs_automation&amp;utm_content=71033675&amp;hsCtaTracking=2e94ebfc-d414-4389-870c-d2f266a9420b%7C587ac4dc-a49a-4bdc-b449-e36f5d95395b" TargetMode="External"/><Relationship Id="rId1580" Type="http://schemas.openxmlformats.org/officeDocument/2006/relationships/hyperlink" Target="https://resources.simonelectric.com/simon-catalogo-vehiculo-electrico?utm_campaign=SIC%20-%20Veh%C3%ADculo%20El%C3%A9ctrico&amp;utm_medium=email&amp;_hsenc=p2ANqtz-98dsV5SmSF3wmXOMncDqHKY6hB1dE0ovNXEOboidIIPtk783qQifocyfkPJgGv3tKGiwI3&amp;_hsmi=87085363&amp;utm_content=87085363&amp;utm_source=hs_email&amp;hsCtaTracking=6fedf137-fd90-4f17-bfb4-d61f710ec7f8%7Cf2771843-6636-4969-9010-2d8d0389b89c" TargetMode="External"/><Relationship Id="rId1581" Type="http://schemas.openxmlformats.org/officeDocument/2006/relationships/hyperlink" Target="https://resources.simonelectric.com/simon-catalogo-vehiculo-electrico?utm_campaign=SIC%20-%20Veh%C3%ADculo%20El%C3%A9ctrico&amp;utm_medium=email&amp;_hsenc=p2ANqtz--IHOzkhZpRhlPBMqxaAOjbw0ZeL6bHe6X9mmsBi4rx06d4PiMO_GYJiPpcyilg3_L6pPmR&amp;_hsmi=87085363&amp;utm_content=87085363&amp;utm_source=hs_email&amp;hsCtaTracking=6fedf137-fd90-4f17-bfb4-d61f710ec7f8%7Cf2771843-6636-4969-9010-2d8d0389b89c" TargetMode="External"/><Relationship Id="rId1582" Type="http://schemas.openxmlformats.org/officeDocument/2006/relationships/hyperlink" Target="https://resources.simonelectric.com/simon-catalogo-vehiculo-electrico?utm_campaign=SIC%20-%20Veh%C3%ADculo%20El%C3%A9ctrico&amp;utm_medium=email&amp;_hsenc=p2ANqtz-9uQKyp16zBdij83I45U4NozPUXwxHZPbBFDXGPxMTO03_rHT_Nw5VsulCWcguNQYQMHmST&amp;_hsmi=87085363&amp;utm_content=87085363&amp;utm_source=hs_email&amp;hsCtaTracking=6fedf137-fd90-4f17-bfb4-d61f710ec7f8%7Cf2771843-6636-4969-9010-2d8d0389b89c" TargetMode="External"/><Relationship Id="rId99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583" Type="http://schemas.openxmlformats.org/officeDocument/2006/relationships/hyperlink" Target="https://resources.simonelectric.com/simon-catalogo-vehiculo-electrico?utm_campaign=SIC%20-%20Veh%C3%ADculo%20El%C3%A9ctrico&amp;utm_medium=email&amp;_hsenc=p2ANqtz--BKQ0LPqPCaRH1EpeR2XeDjUh4W8O8DMNN0x_lg0mke--wcrsayERiyxvOf9yzP0WX9JVg&amp;_hsmi=87085363&amp;utm_content=87085363&amp;utm_source=hs_email&amp;hsCtaTracking=6fedf137-fd90-4f17-bfb4-d61f710ec7f8%7Cf2771843-6636-4969-9010-2d8d0389b89c" TargetMode="External"/><Relationship Id="rId99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584" Type="http://schemas.openxmlformats.org/officeDocument/2006/relationships/hyperlink" Target="https://resources.simonelectric.com/simon-catalogo-vehiculo-electrico?utm_campaign=SIC%20-%20Veh%C3%ADculo%20El%C3%A9ctrico&amp;utm_medium=email&amp;_hsenc=p2ANqtz-9TZMpeBQR5AtUYjQ09fx9MK2QpeaQP8TNZ8C3wXlg_JJgI1_sgY1mNwMo6dNGzAYDHYhb1Fnx4Yn8lcJyZG_VSgxLd2QyLYSPmoEjuYF-9FCAietc&amp;utm_source=hs_email&amp;utm_content=87085363&amp;hsCtaTracking=6fedf137-fd90-4f17-bfb4-d61f710ec7f8%7Cf2771843-6636-4969-9010-2d8d0389b89c" TargetMode="External"/><Relationship Id="rId992" Type="http://schemas.openxmlformats.org/officeDocument/2006/relationships/hyperlink" Target="https://resources.simonelectric.com/simon-catalogo-vehiculo-electrico?utm_campaign=SIC%20-%20Veh%C3%ADculo%20El%C3%A9ctrico&amp;utm_medium=email&amp;_hsenc=p2ANqtz--8AHi7ikme5VcJAc-fCn7778gzvzvdH0O9n4iItYNgRcsQZnF6ot7x4LGh6aXlLQP5tRmo4ormtF6gH1JQFUUk1nlClBVlw3YnkMDCq5UjR_z5OTI&amp;_hsmi=87865495&amp;utm_source=hs_automation&amp;utm_content=87865495&amp;hsCtaTracking=6fedf137-fd90-4f17-bfb4-d61f710ec7f8%7Cf2771843-6636-4969-9010-2d8d0389b89c" TargetMode="External"/><Relationship Id="rId1585" Type="http://schemas.openxmlformats.org/officeDocument/2006/relationships/hyperlink" Target="https://resources.simonelectric.com/simon-catalogo-vehiculo-electrico?utm_campaign=SIC%20-%20Veh%C3%ADculo%20El%C3%A9ctrico&amp;utm_medium=email&amp;_hsenc=p2ANqtz-8ACQ9rM8cH4t-p_6Fx2r4xFvS-ML611jH5_8RdeB4HhW55v8evXFVemyjpvuECagPETgWS&amp;_hsmi=87085302&amp;utm_content=87085302&amp;utm_source=hs_email&amp;hsCtaTracking=6fedf137-fd90-4f17-bfb4-d61f710ec7f8%7Cf2771843-6636-4969-9010-2d8d0389b89c" TargetMode="External"/><Relationship Id="rId991" Type="http://schemas.openxmlformats.org/officeDocument/2006/relationships/hyperlink" Target="https://resources.simonelectric.com/simon-catalogo-vehiculo-electrico?utm_campaign=SIC%20-%20Veh%C3%ADculo%20El%C3%A9ctrico&amp;utm_medium=email&amp;_hsenc=p2ANqtz--umdA3XxKEPg80Q1zFG79lsPFMFaaGXYI9mj7AGFWU_dsbNQl22W2_fSTdu1Tt84BvTwoV&amp;_hsmi=87085363&amp;utm_content=87085363&amp;utm_source=hs_email&amp;hsCtaTracking=6fedf137-fd90-4f17-bfb4-d61f710ec7f8%7Cf2771843-6636-4969-9010-2d8d0389b89c" TargetMode="External"/><Relationship Id="rId1586" Type="http://schemas.openxmlformats.org/officeDocument/2006/relationships/hyperlink" Target="https://resources.simonelectric.com/simon-catalogo-vehiculo-electrico?utm_campaign=SIC%20-%20Veh%C3%ADculo%20El%C3%A9ctrico&amp;utm_medium=email&amp;_hsenc=p2ANqtz--sCyob7tjR8xrW7EQKNoppKoRPKMCJWB7T_X52WGqpWzgMntkrGGTRo3ooFn87dxwmQqTk&amp;_hsmi=87085363&amp;utm_content=87085363&amp;utm_source=hs_email&amp;hsCtaTracking=6fedf137-fd90-4f17-bfb4-d61f710ec7f8%7Cf2771843-6636-4969-9010-2d8d0389b89c" TargetMode="External"/><Relationship Id="rId1532" Type="http://schemas.openxmlformats.org/officeDocument/2006/relationships/hyperlink" Target="https://resources.simonelectric.com/simon-catalogo-vehiculo-electrico?utm_campaign=SIC%20-%20Veh%C3%ADculo%20El%C3%A9ctrico&amp;utm_medium=email&amp;_hsenc=p2ANqtz-8_BOhh-EfcvDl4lh-rtCwaOBh5NSNiCqu5vw7lBVzCaIF9IRASAZV9fenrckIWUzugvhZ3&amp;_hsmi=87085363&amp;utm_content=87085363&amp;utm_source=hs_email&amp;hsCtaTracking=6fedf137-fd90-4f17-bfb4-d61f710ec7f8%7Cf2771843-6636-4969-9010-2d8d0389b89c" TargetMode="External"/><Relationship Id="rId2863" Type="http://schemas.openxmlformats.org/officeDocument/2006/relationships/hyperlink" Target="https://resources.simonelectric.com/simon-ebook-vehiculo-electrico?utm_campaign=SIC%20-%20Veh%C3%ADculo%20El%C3%A9ctrico&amp;utm_medium=email&amp;_hsenc=p2ANqtz-8kyrOpkR1ubCW9iPuRAJ4ixe3iktEfynihDOrXW5JJ3-vx584wKkIKy--6YV4VYsRcBsvdprzgWbI0b0VTsuvKTJg6_GJrMYhrtvLeWDxJqp-ND5A&amp;_hsmi=71033675&amp;utm_source=hs_automation&amp;utm_content=71033675&amp;hsCtaTracking=2e94ebfc-d414-4389-870c-d2f266a9420b%7C587ac4dc-a49a-4bdc-b449-e36f5d95395b" TargetMode="External"/><Relationship Id="rId1533" Type="http://schemas.openxmlformats.org/officeDocument/2006/relationships/hyperlink" Target="https://resources.simonelectric.com/simon-catalogo-vehiculo-electrico?utm_campaign=SIC%20-%20Veh%C3%ADculo%20El%C3%A9ctrico&amp;utm_medium=email&amp;_hsmi=87085302&amp;_hsenc=p2ANqtz-_Ar5TIC-FmCTCsVp9x52XtyxCsBF7kwwsLLOc1GoAiulcKiJotC2fSSgyo8ulNW0_E7un8&amp;utm_content=87085302&amp;utm_source=hs_email" TargetMode="External"/><Relationship Id="rId2864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34" Type="http://schemas.openxmlformats.org/officeDocument/2006/relationships/hyperlink" Target="https://resources.simonelectric.com/simon-catalogo-vehiculo-electrico?utm_campaign=SIC%20-%20Veh%C3%ADculo%20El%C3%A9ctrico&amp;utm_medium=email&amp;_hsenc=p2ANqtz-_dFt28s0y_TNOZAN8xMxAQ1EaUeZ7AtyACI6YL45aaRaRORnJNuu6DPodDTVnLDUQVaN7T&amp;_hsmi=87085363&amp;utm_content=87085363&amp;utm_source=hs_email&amp;hsCtaTracking=6fedf137-fd90-4f17-bfb4-d61f710ec7f8%7Cf2771843-6636-4969-9010-2d8d0389b89c" TargetMode="External"/><Relationship Id="rId286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35" Type="http://schemas.openxmlformats.org/officeDocument/2006/relationships/hyperlink" Target="https://resources.simonelectric.com/simon-catalogo-vehiculo-electrico?utm_campaign=SIC%20-%20Veh%C3%ADculo%20El%C3%A9ctrico&amp;utm_medium=email&amp;_hsenc=p2ANqtz-9ZQe3IRBc92VzYStIBWl331iDQiZnhW8oTHaLcxqzViLNtJzDBMIR0AYuEox9jzFnmTlPH&amp;_hsmi=87085363&amp;utm_content=87085363&amp;utm_source=hs_email&amp;hsCtaTracking=6fedf137-fd90-4f17-bfb4-d61f710ec7f8%7Cf2771843-6636-4969-9010-2d8d0389b89c" TargetMode="External"/><Relationship Id="rId286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536" Type="http://schemas.openxmlformats.org/officeDocument/2006/relationships/hyperlink" Target="https://resources.simonelectric.com/simon-catalogo-vehiculo-electrico?utm_campaign=SIC%20-%20Veh%C3%ADculo%20El%C3%A9ctrico&amp;utm_medium=email&amp;_hsenc=p2ANqtz--Nl-c8QNkyyJrQg0rMVW8h2S4Ekdv1RpAmTZnpJ7UlezqOpDKT6EqFdqSjjTzswNFUN3Hp&amp;_hsmi=87085363&amp;utm_content=87085363&amp;utm_source=hs_email&amp;hsCtaTracking=6fedf137-fd90-4f17-bfb4-d61f710ec7f8%7Cf2771843-6636-4969-9010-2d8d0389b89c" TargetMode="External"/><Relationship Id="rId286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537" Type="http://schemas.openxmlformats.org/officeDocument/2006/relationships/hyperlink" Target="https://resources.simonelectric.com/simon-catalogo-vehiculo-electrico?utm_campaign=SIC%20-%20Veh%C3%ADculo%20El%C3%A9ctrico&amp;utm_medium=email&amp;_hsenc=p2ANqtz-9TXoB1tsQkHGqhWH0sXHobd4GuBaygsCCoLwxsl7LV-Sh57LzxqAojOy1gYyZH98lhGf50&amp;_hsmi=87085363&amp;utm_content=87085363&amp;utm_source=hs_email&amp;hsCtaTracking=6fedf137-fd90-4f17-bfb4-d61f710ec7f8%7Cf2771843-6636-4969-9010-2d8d0389b89c" TargetMode="External"/><Relationship Id="rId2868" Type="http://schemas.openxmlformats.org/officeDocument/2006/relationships/hyperlink" Target="https://resources.simonelectric.com/simon-ebook-vehiculo-electrico?utm_referrer=https%3A%2F%2Fwww.simonelectric.com%2Fintl%2Fnode%2F481" TargetMode="External"/><Relationship Id="rId1538" Type="http://schemas.openxmlformats.org/officeDocument/2006/relationships/hyperlink" Target="https://resources.simonelectric.com/simon-catalogo-vehiculo-electrico?utm_campaign=SIC%20-%20Veh%C3%ADculo%20El%C3%A9ctrico&amp;utm_medium=email&amp;_hsmi=87085363&amp;_hsenc=p2ANqtz-9b1y-BdMYjTkl6FoJg6nEVMcYK_DvKMgGML4Qup2hGw6n7RIQDiratgZP195piB8CF3jWN&amp;utm_content=87085363&amp;utm_source=hs_email" TargetMode="External"/><Relationship Id="rId286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539" Type="http://schemas.openxmlformats.org/officeDocument/2006/relationships/hyperlink" Target="https://resources.simonelectric.com/simon-catalogo-vehiculo-electrico?utm_campaign=SIC%20-%20Veh%C3%ADculo%20El%C3%A9ctrico&amp;utm_medium=email&amp;_hsenc=p2ANqtz-_peKMWb1LwPvGZj4sf3OkOTM0wj5ZnKe3P5w-TrcYvm_xUmVEDD1zhFqBX4aK-J5IOEqII&amp;_hsmi=87085363&amp;utm_content=87085363&amp;utm_source=hs_email&amp;hsCtaTracking=6fedf137-fd90-4f17-bfb4-d61f710ec7f8%7Cf2771843-6636-4969-9010-2d8d0389b89c" TargetMode="External"/><Relationship Id="rId949" Type="http://schemas.openxmlformats.org/officeDocument/2006/relationships/hyperlink" Target="https://resources.simonelectric.com/simon-material-formativo-vehiculo-electrico" TargetMode="External"/><Relationship Id="rId94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943" Type="http://schemas.openxmlformats.org/officeDocument/2006/relationships/hyperlink" Target="https://resources.simonelectric.com/simon-catalogo-vehiculo-electrico?utm_campaign=SIC%20-%20Veh%C3%ADculo%20El%C3%A9ctrico&amp;utm_medium=email&amp;_hsenc=p2ANqtz-9bE-kN0c43uqrsWYwOWHtzAUZk3rZdsMgRb5a_jIsMRgrOMCWjeqU4vo0i1q3vcxr5CpDM0LSKjIKQRouJoVWqk1aG5g&amp;_hsmi=87865495&amp;utm_source=hs_automation&amp;utm_content=87865495&amp;hsCtaTracking=6fedf137-fd90-4f17-bfb4-d61f710ec7f8%7Cf2771843-6636-4969-9010-2d8d0389b89c" TargetMode="External"/><Relationship Id="rId942" Type="http://schemas.openxmlformats.org/officeDocument/2006/relationships/hyperlink" Target="https://resources.simonelectric.com/simon-catalogo-vehiculo-electrico?utm_campaign=SIC%20-%20Veh%C3%ADculo%20El%C3%A9ctrico&amp;utm_medium=email&amp;_hsenc=p2ANqtz-9aABBgJeCNY5Vz7bdVZDAqfgukgS6mvKbsshtKpTHZrcS5T5rEETFz71fKpqdWOp_SMbF8S8_CF5pIat_ALRHDw6qFfA&amp;_hsmi=87865495&amp;utm_source=hs_automation&amp;utm_content=87865495&amp;hsCtaTracking=6fedf137-fd90-4f17-bfb4-d61f710ec7f8%7Cf2771843-6636-4969-9010-2d8d0389b89c" TargetMode="External"/><Relationship Id="rId94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940" Type="http://schemas.openxmlformats.org/officeDocument/2006/relationships/hyperlink" Target="https://resources.simonelectric.com/simon-material-formativo-vehiculo-electrico" TargetMode="External"/><Relationship Id="rId947" Type="http://schemas.openxmlformats.org/officeDocument/2006/relationships/hyperlink" Target="https://resources.simonelectric.com/simon-catalogo-vehiculo-electrico?utm_campaign=SIC%20-%20Veh%C3%ADculo%20El%C3%A9ctrico&amp;utm_medium=email&amp;_hsenc=p2ANqtz-9FHD-4FMkiuPWekLALv848n0mtmuKlLgeSQgdecAZQnL_Tg2wuJIUk_3zOYVKEcO3tFiPpFiMynR4z8FVH2UE6NJHLDQ&amp;_hsmi=87865495&amp;utm_source=hs_automation&amp;utm_content=87865495&amp;hsCtaTracking=6fedf137-fd90-4f17-bfb4-d61f710ec7f8%7Cf2771843-6636-4969-9010-2d8d0389b89c" TargetMode="External"/><Relationship Id="rId946" Type="http://schemas.openxmlformats.org/officeDocument/2006/relationships/hyperlink" Target="https://resources.simonelectric.com/simon-catalogo-vehiculo-electrico?utm_campaign=SIC%20-%20Veh%C3%ADculo%20El%C3%A9ctrico&amp;utm_medium=email&amp;_hsenc=p2ANqtz-9FHD-4FMkiuPWekLALv848n0mtmuKlLgeSQgdecAZQnL_Tg2wuJIUk_3zOYVKEcO3tFiPpFiMynR4z8FVH2UE6NJHLDQ&amp;_hsmi=87865495&amp;utm_source=hs_automation&amp;utm_content=87865495&amp;hsCtaTracking=6fedf137-fd90-4f17-bfb4-d61f710ec7f8%7Cf2771843-6636-4969-9010-2d8d0389b89c" TargetMode="External"/><Relationship Id="rId945" Type="http://schemas.openxmlformats.org/officeDocument/2006/relationships/hyperlink" Target="https://resources.simonelectric.com/simon-material-formativo-vehiculo-electrico" TargetMode="External"/><Relationship Id="rId944" Type="http://schemas.openxmlformats.org/officeDocument/2006/relationships/hyperlink" Target="https://resources.simonelectric.com/simon-ebook-vehiculo-electrico" TargetMode="External"/><Relationship Id="rId2860" Type="http://schemas.openxmlformats.org/officeDocument/2006/relationships/hyperlink" Target="https://resources.simonelectric.com/simon-ebook-vehiculo-electrico-0?gclid=CjwKCAjw95D0BRBFEiwAcO1KDEs9EewmjgL3pZuGVytaySrMnbCO7_dUoQv0Ei5yMkbs-fvrHYM2exoCOJEQAvD_BwE" TargetMode="External"/><Relationship Id="rId1530" Type="http://schemas.openxmlformats.org/officeDocument/2006/relationships/hyperlink" Target="https://resources.simonelectric.com/simon-catalogo-vehiculo-electrico?utm_campaign=SIC%20-%20Veh%C3%ADculo%20El%C3%A9ctrico&amp;utm_medium=email&amp;_hsenc=p2ANqtz-8xGOeXDgq6JVzq0AHk2r746P0GdJj1mgUpCMBx5QnCPjFqz1OzGhRJqJFbT_aRMeiTaUdW&amp;_hsmi=87085363&amp;utm_content=87085363&amp;utm_source=hs_email&amp;hsCtaTracking=6fedf137-fd90-4f17-bfb4-d61f710ec7f8%7Cf2771843-6636-4969-9010-2d8d0389b89c" TargetMode="External"/><Relationship Id="rId2861" Type="http://schemas.openxmlformats.org/officeDocument/2006/relationships/hyperlink" Target="https://resources.simonelectric.com/simon-ebook-vehiculo-electrico?utm_campaign=%23Simonentucasa&amp;utm_medium=email&amp;_hsenc=p2ANqtz-8zxFB_SR5kaoA9kd8LaGXiWjICRIjvJ8nj-w7qoTcw1thMjqH9pjh-k2_CWci8SmBGi3X6XSJf5ZAvIo8sexad3qxtehHJNancfZfr6ikKED6vo0s&amp;_hsmi=85165037&amp;utm_source=hs_email&amp;utm_content=85165037&amp;hsCtaTracking=7e048f91-fedd-4131-939d-25771a4a2d12%7Cf6d6f061-2319-4b5b-89f8-8c89fca06239" TargetMode="External"/><Relationship Id="rId1531" Type="http://schemas.openxmlformats.org/officeDocument/2006/relationships/hyperlink" Target="https://resources.simonelectric.com/simon-catalogo-vehiculo-electrico?utm_campaign=SIC%20-%20Veh%C3%ADculo%20El%C3%A9ctrico&amp;utm_medium=email&amp;_hsenc=p2ANqtz--erY0iimqUgKYJjcqY6MLVRX2BKTa5ER_OEU4T98ctvMjavK1Ji_r5tuGlOaWTl8xnrXRN&amp;_hsmi=87085302&amp;utm_content=87085302&amp;utm_source=hs_email&amp;hsCtaTracking=6fedf137-fd90-4f17-bfb4-d61f710ec7f8%7Cf2771843-6636-4969-9010-2d8d0389b89c" TargetMode="External"/><Relationship Id="rId2862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" TargetMode="External"/><Relationship Id="rId1521" Type="http://schemas.openxmlformats.org/officeDocument/2006/relationships/hyperlink" Target="https://resources.simonelectric.com/simon-catalogo-vehiculo-electrico?utm_campaign=SIC%20-%20Veh%C3%ADculo%20El%C3%A9ctrico&amp;utm_medium=email&amp;_hsenc=p2ANqtz-8cah_wHDPVElBdQlVahk6giAq_vZHycsiuwKpI_YMH0Mp1PbNdb15Zqdx23iXdUiEX1lZx&amp;_hsmi=87085363&amp;utm_content=87085363&amp;utm_source=hs_email&amp;hsCtaTracking=6fedf137-fd90-4f17-bfb4-d61f710ec7f8%7Cf2771843-6636-4969-9010-2d8d0389b89c" TargetMode="External"/><Relationship Id="rId2852" Type="http://schemas.openxmlformats.org/officeDocument/2006/relationships/hyperlink" Target="https://resources.simonelectric.com/simon-ebook-vehiculo-electrico-ppc?utm_source=facebook&amp;utm_medium=social_ads&amp;utm_campaign=vehiculo_electrico&amp;fbclid=IwAR3s6Jjx3rAjyffMEas3vxMnJ35CkEE8pWs4bHc57xu_59g5Rg8H8lg1sk8" TargetMode="External"/><Relationship Id="rId1522" Type="http://schemas.openxmlformats.org/officeDocument/2006/relationships/hyperlink" Target="https://resources.simonelectric.com/simon-catalogo-vehiculo-electrico?utm_campaign=SIC%20-%20Veh%C3%ADculo%20El%C3%A9ctrico&amp;utm_medium=email&amp;_hsenc=p2ANqtz-9YTtqsrSND8CIHtJwOild-xg_jP_nYyJW8XcUf0oLvbhFVCPZYypPxOFm-urbTGuCz9ODY&amp;_hsmi=87085302&amp;utm_content=87085302&amp;utm_source=hs_email&amp;hsCtaTracking=6fedf137-fd90-4f17-bfb4-d61f710ec7f8%7Cf2771843-6636-4969-9010-2d8d0389b89c" TargetMode="External"/><Relationship Id="rId285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523" Type="http://schemas.openxmlformats.org/officeDocument/2006/relationships/hyperlink" Target="https://resources.simonelectric.com/simon-catalogo-vehiculo-electrico?utm_campaign=SIC%20-%20Veh%C3%ADculo%20El%C3%A9ctrico&amp;utm_medium=email&amp;_hsenc=p2ANqtz-9VxsduRZVq5zQc6uZsv7nA8UMvPeromL_B66b87LPC3nje4s8mgZsVQk1zHgtUI4qfkNbl&amp;_hsmi=87085363&amp;utm_content=87085363&amp;utm_source=hs_email&amp;hsCtaTracking=6fedf137-fd90-4f17-bfb4-d61f710ec7f8%7Cf2771843-6636-4969-9010-2d8d0389b89c" TargetMode="External"/><Relationship Id="rId2854" Type="http://schemas.openxmlformats.org/officeDocument/2006/relationships/hyperlink" Target="https://resources.simonelectric.com/simon-ebook-vehiculo-electrico-ppc?utm_source=facebook&amp;utm_medium=social_ads&amp;utm_campaign=vehiculo_electrico&amp;fbclid=IwAR1MNKFbqcfuhTKsPli7OPgrF00lpbOoVEGhF7pQil8PMauyqy1I9Ep4-m0" TargetMode="External"/><Relationship Id="rId1524" Type="http://schemas.openxmlformats.org/officeDocument/2006/relationships/hyperlink" Target="https://resources.simonelectric.com/simon-catalogo-vehiculo-electrico?utm_campaign=SIC%20-%20Veh%C3%ADculo%20El%C3%A9ctrico&amp;utm_medium=email&amp;_hsenc=p2ANqtz-8fso4himUgjkIFAV6d8iy0Kbsa7cES8G0fDM-c_65Vof7hnsUZ7r2Iy7ETwZ00v0PwaUJG&amp;_hsmi=87085302&amp;utm_content=87085302&amp;utm_source=hs_email&amp;hsCtaTracking=6fedf137-fd90-4f17-bfb4-d61f710ec7f8%7Cf2771843-6636-4969-9010-2d8d0389b89c" TargetMode="External"/><Relationship Id="rId285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25" Type="http://schemas.openxmlformats.org/officeDocument/2006/relationships/hyperlink" Target="https://resources.simonelectric.com/simon-catalogo-vehiculo-electrico?utm_campaign=SIC%20-%20Veh%C3%ADculo%20El%C3%A9ctrico&amp;utm_medium=email&amp;_hsenc=p2ANqtz-8IIJ4yZDHrBCH-9pEsChMNbOKHLg14vSUeyhAhofpnnr2rzFg9RnguUUtEz82z_EYBihu-&amp;_hsmi=87085363&amp;utm_content=87085363&amp;utm_source=hs_email&amp;hsCtaTracking=6fedf137-fd90-4f17-bfb4-d61f710ec7f8%7Cf2771843-6636-4969-9010-2d8d0389b89c" TargetMode="External"/><Relationship Id="rId2856" Type="http://schemas.openxmlformats.org/officeDocument/2006/relationships/hyperlink" Target="https://resources.simonelectric.com/simon-ebook-vehiculo-electrico" TargetMode="External"/><Relationship Id="rId1526" Type="http://schemas.openxmlformats.org/officeDocument/2006/relationships/hyperlink" Target="https://resources.simonelectric.com/simon-catalogo-vehiculo-electrico?utm_campaign=SIC%20-%20Veh%C3%ADculo%20El%C3%A9ctrico&amp;utm_medium=email&amp;_hsenc=p2ANqtz-_APmIxbHVB3jgGKXe8P2jiBkWo3fjcEz_b5LO2typ1u3PhN-Lp75W2Fp_Cn-D3dtEXplJQ&amp;_hsmi=87085302&amp;utm_content=87085302&amp;utm_source=hs_email&amp;hsCtaTracking=6fedf137-fd90-4f17-bfb4-d61f710ec7f8%7Cf2771843-6636-4969-9010-2d8d0389b89c" TargetMode="External"/><Relationship Id="rId2857" Type="http://schemas.openxmlformats.org/officeDocument/2006/relationships/hyperlink" Target="https://resources.simonelectric.com/simon-ebook-vehiculo-electrico-0?gclid=EAIaIQobChMIi9SB7qHH6AIVlTobCh1TFglKEAEYASAAEgL3hvD_BwE" TargetMode="External"/><Relationship Id="rId1527" Type="http://schemas.openxmlformats.org/officeDocument/2006/relationships/hyperlink" Target="https://resources.simonelectric.com/simon-catalogo-vehiculo-electrico?utm_campaign=SIC%20-%20Veh%C3%ADculo%20El%C3%A9ctrico&amp;utm_medium=email&amp;_hsenc=p2ANqtz--RVSrHEcLzMuJulvgliuVzrn2w9fRxauCCm2u6PBV1aixmqOEIL_gah30IdfPNCTmZ32-1&amp;_hsmi=87085302&amp;utm_content=87085302&amp;utm_source=hs_email&amp;hsCtaTracking=6fedf137-fd90-4f17-bfb4-d61f710ec7f8%7Cf2771843-6636-4969-9010-2d8d0389b89c" TargetMode="External"/><Relationship Id="rId2858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28" Type="http://schemas.openxmlformats.org/officeDocument/2006/relationships/hyperlink" Target="https://resources.simonelectric.com/simon-catalogo-vehiculo-electrico?utm_campaign=SIC%20-%20Veh%C3%ADculo%20El%C3%A9ctrico&amp;utm_medium=email&amp;_hsenc=p2ANqtz-_ZONXCFsePvoci9INOPmdKHvNbfgSJ1pbCnUzawUsQmTpTerH-hCDvs0Nn390PSxalQpue&amp;_hsmi=87085363&amp;utm_content=87085363&amp;utm_source=hs_email&amp;hsCtaTracking=6fedf137-fd90-4f17-bfb4-d61f710ec7f8%7Cf2771843-6636-4969-9010-2d8d0389b89c" TargetMode="External"/><Relationship Id="rId285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529" Type="http://schemas.openxmlformats.org/officeDocument/2006/relationships/hyperlink" Target="https://resources.simonelectric.com/simon-catalogo-vehiculo-electrico?utm_campaign=SIC%20-%20Veh%C3%ADculo%20El%C3%A9ctrico&amp;utm_medium=email&amp;_hsenc=p2ANqtz-8kV_vqXTIUueLk35CvlHldUri8EPkDjoRnYqSEYiTTxdO5Em135gctaIfeFj7gqaDILYHj&amp;_hsmi=87085302&amp;utm_content=87085302&amp;utm_source=hs_email&amp;hsCtaTracking=6fedf137-fd90-4f17-bfb4-d61f710ec7f8%7Cf2771843-6636-4969-9010-2d8d0389b89c" TargetMode="External"/><Relationship Id="rId939" Type="http://schemas.openxmlformats.org/officeDocument/2006/relationships/hyperlink" Target="https://resources.simonelectric.com/simon-material-formativo-vehiculo-electrico" TargetMode="External"/><Relationship Id="rId938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8Khuieeu0T1vnF09QwE0ljg6m8hWSi6u8dGIAsPi3f5dLqFWmsIX3Ifj7-wFbDosCZkqCVrEQesvRBZxKtlXdcBYJqAQ&amp;_hsmi=87865495" TargetMode="External"/><Relationship Id="rId93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932" Type="http://schemas.openxmlformats.org/officeDocument/2006/relationships/hyperlink" Target="https://resources.simonelectric.com/simon-catalogo-vehiculo-electrico?utm_campaign=SIC%20-%20Veh%C3%ADculo%20El%C3%A9ctrico&amp;utm_medium=email&amp;_hsenc=p2ANqtz-9nGYoxhJ06I98G4W5d-GZV2uhhxwead98mYxUVdCcJVhEaASZkuxRk7hB-PIe6E47EMdxqpY6Udq6sv4OxQjvp1MBy8Q&amp;_hsmi=87865495&amp;utm_source=hs_automation&amp;utm_content=87865495&amp;hsCtaTracking=6fedf137-fd90-4f17-bfb4-d61f710ec7f8%7Cf2771843-6636-4969-9010-2d8d0389b89c" TargetMode="External"/><Relationship Id="rId931" Type="http://schemas.openxmlformats.org/officeDocument/2006/relationships/hyperlink" Target="https://resources.simonelectric.com/simon-ebook-vehiculo-electrico-0?gclid=EAIaIQobChMI0oDo7a7D6QIVg9HVCh1PiAkiEAEYASAAEgKlUvD_BwE" TargetMode="External"/><Relationship Id="rId930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-ppryFPasEzikJmwd9Svf5lu296si7Q7Xy5wdEM60gplrlwI6cgrFrlVjh8xcHTre06NSmnPsZ64xfhEobKjAhW6KLmg&amp;_hsmi=87865495" TargetMode="External"/><Relationship Id="rId936" Type="http://schemas.openxmlformats.org/officeDocument/2006/relationships/hyperlink" Target="https://resources.simonelectric.com/simon-catalogo-vehiculo-electrico?utm_campaign=SIC%20-%20Veh%C3%ADculo%20El%C3%A9ctrico&amp;utm_medium=email&amp;_hsenc=p2ANqtz--ZriaXs6nNHq85LSHSXtjrsYdvw_dNuUnG_hlqiXCZtvz6FQKy2wic3szHL2q3isvgq7wtmjzwja7U6-SiX-0juryMvg&amp;_hsmi=87865495&amp;utm_source=hs_automation&amp;utm_content=87865495&amp;hsCtaTracking=6fedf137-fd90-4f17-bfb4-d61f710ec7f8%7Cf2771843-6636-4969-9010-2d8d0389b89c" TargetMode="External"/><Relationship Id="rId93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934" Type="http://schemas.openxmlformats.org/officeDocument/2006/relationships/hyperlink" Target="https://resources.simonelectric.com/simon-ebook-vehiculo-electrico" TargetMode="External"/><Relationship Id="rId933" Type="http://schemas.openxmlformats.org/officeDocument/2006/relationships/hyperlink" Target="https://resources.simonelectric.com/simon-catalogo-vehiculo-electrico?utm_campaign=SIC%20-%20Veh%C3%ADculo%20El%C3%A9ctrico&amp;utm_medium=email&amp;_hsenc=p2ANqtz-96ggvygKeDa8Ggxq475zp3R_UOpWkRNLoNfE9OyfBHOFTSAxEWI-TELp7J81l8zyYUrSm5N7wG_upEJAy4XRDIO6dsC3xW3tcLJgXfRvx1ImflEcQ&amp;_hsmi=87865495&amp;utm_source=hs_automation&amp;utm_content=87865495&amp;hsCtaTracking=6fedf137-fd90-4f17-bfb4-d61f710ec7f8%7Cf2771843-6636-4969-9010-2d8d0389b89c" TargetMode="External"/><Relationship Id="rId285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20" Type="http://schemas.openxmlformats.org/officeDocument/2006/relationships/hyperlink" Target="https://resources.simonelectric.com/simon-catalogo-vehiculo-electrico?utm_campaign=SIC%20-%20Veh%C3%ADculo%20El%C3%A9ctrico&amp;utm_medium=email&amp;_hsenc=p2ANqtz-_tRlzMFpmUmQhIDlZuklo86dR6rQ4kjI4SzZckUbUvkPlid2efPhEEQLvoyASeEyjHAFU4&amp;_hsmi=87085302&amp;utm_content=87085302&amp;utm_source=hs_email&amp;hsCtaTracking=6fedf137-fd90-4f17-bfb4-d61f710ec7f8%7Cf2771843-6636-4969-9010-2d8d0389b89c" TargetMode="External"/><Relationship Id="rId285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554" Type="http://schemas.openxmlformats.org/officeDocument/2006/relationships/hyperlink" Target="https://resources.simonelectric.com/simon-catalogo-vehiculo-electrico?utm_campaign=SIC%20-%20Veh%C3%ADculo%20El%C3%A9ctrico&amp;utm_medium=email&amp;_hsenc=p2ANqtz--2dDBFqLl8jZIwrobd6C6rCFq2rjreEH32m-NNjkNbL1fj2eGFuUXVpJIf-QRZNciDgnuf&amp;_hsmi=87085363&amp;utm_content=87085363&amp;utm_source=hs_email&amp;hsCtaTracking=6fedf137-fd90-4f17-bfb4-d61f710ec7f8%7Cf2771843-6636-4969-9010-2d8d0389b89c" TargetMode="External"/><Relationship Id="rId2885" Type="http://schemas.openxmlformats.org/officeDocument/2006/relationships/hyperlink" Target="https://resources.simonelectric.com/simon-catalogo-vehiculo-electrico?__hstc=83084745.1ca601ab40a9bbdf2320f0660d229681.1574092093608.1585566490301.1585569967648.67&amp;__hssc=83084745.5.1585569967648&amp;__hsfp=3026691183" TargetMode="External"/><Relationship Id="rId1555" Type="http://schemas.openxmlformats.org/officeDocument/2006/relationships/hyperlink" Target="https://resources.simonelectric.com/simon-catalogo-vehiculo-electrico?utm_campaign=SIC%20-%20Veh%C3%ADculo%20El%C3%A9ctrico&amp;utm_medium=email&amp;_hsenc=p2ANqtz-8waqPpUBbYgkXq15kYfWVWajQNYR4zyNgMAQsqE-2It-QxllJRT181srSgbd-6qcWiZUxQ&amp;_hsmi=87085363&amp;utm_content=87085363&amp;utm_source=hs_email&amp;hsCtaTracking=6fedf137-fd90-4f17-bfb4-d61f710ec7f8%7Cf2771843-6636-4969-9010-2d8d0389b89c" TargetMode="External"/><Relationship Id="rId2886" Type="http://schemas.openxmlformats.org/officeDocument/2006/relationships/hyperlink" Target="https://resources.simonelectric.com/simon-catalogo-vehiculo-electrico?__hstc=83084745.9c0d111f4333b1c98d318fd651112046.1580766775086.1580851529335.1585570406164.3&amp;__hssc=83084745.7.1585570406164&amp;__hsfp=285415251" TargetMode="External"/><Relationship Id="rId1556" Type="http://schemas.openxmlformats.org/officeDocument/2006/relationships/hyperlink" Target="https://resources.simonelectric.com/simon-catalogo-vehiculo-electrico?utm_campaign=SIC%20-%20Veh%C3%ADculo%20El%C3%A9ctrico&amp;utm_medium=email&amp;_hsenc=p2ANqtz-_Xy-Cx8-Sb2T5ycrdRATSxXurrpTDX4qBl_QQwYTZVLZQrOyjpVHYDHcMAmvy1w4z9wTdn&amp;_hsmi=87085363&amp;utm_content=87085363&amp;utm_source=hs_email&amp;hsCtaTracking=6fedf137-fd90-4f17-bfb4-d61f710ec7f8%7Cf2771843-6636-4969-9010-2d8d0389b89c" TargetMode="External"/><Relationship Id="rId288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557" Type="http://schemas.openxmlformats.org/officeDocument/2006/relationships/hyperlink" Target="https://resources.simonelectric.com/simon-catalogo-vehiculo-electrico?utm_campaign=SIC%20-%20Veh%C3%ADculo%20El%C3%A9ctrico&amp;utm_medium=email&amp;_hsmi=87085302&amp;_hsenc=p2ANqtz-8J8_FWiDUOmYj1VPZ9uFPxkmzQSZnZ7CR27Mgddi0PLEX0fgGEtXtMHDyVDQnaTxuCnjEH&amp;utm_content=87085302&amp;utm_source=hs_email" TargetMode="External"/><Relationship Id="rId2888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fqVFxaTUS6lt0OF8OkOl0d9g4iEony6vCrDfOAwGUlRXPSXCtdi818xTlIJDmiYA21KLv99V0iiP1FBUKpgpVYJrCmg&amp;_hsmi=85165037" TargetMode="External"/><Relationship Id="rId1558" Type="http://schemas.openxmlformats.org/officeDocument/2006/relationships/hyperlink" Target="https://resources.simonelectric.com/simon-catalogo-vehiculo-electrico?utm_campaign=SIC%20-%20Veh%C3%ADculo%20El%C3%A9ctrico&amp;utm_medium=email&amp;_hsenc=p2ANqtz-_KmYfkyMiQ6X8w8ygqre_Bq4MDhu_G9_4YuU_k2yBJSxY56cC9Ri6g9oDLReEkz63HG19a&amp;_hsmi=87085363&amp;utm_content=87085363&amp;utm_source=hs_email&amp;hsCtaTracking=6fedf137-fd90-4f17-bfb4-d61f710ec7f8%7Cf2771843-6636-4969-9010-2d8d0389b89c" TargetMode="External"/><Relationship Id="rId2889" Type="http://schemas.openxmlformats.org/officeDocument/2006/relationships/hyperlink" Target="https://resources.simonelectric.com/simon-catalogo-vehiculo-electrico?__hstc=83084745.0b534a29cee7d9c63006b7b77fc86ecf.1585561969278.1585562473600.1585562688023.4&amp;__hssc=83084745.6.1585562688023&amp;__hsfp=3026691183" TargetMode="External"/><Relationship Id="rId1559" Type="http://schemas.openxmlformats.org/officeDocument/2006/relationships/hyperlink" Target="https://resources.simonelectric.com/simon-catalogo-vehiculo-electrico?utm_campaign=SIC%20-%20Veh%C3%ADculo%20El%C3%A9ctrico&amp;utm_medium=email&amp;_hsenc=p2ANqtz-8e2ZhiSD1qz3OSYA3eeiqelP7HgUOlJVQpw8FSTqL9f9lmGwWXC0OIRpq44f76tYi1fjOa&amp;_hsmi=87085363&amp;utm_content=87085363&amp;utm_source=hs_email&amp;hsCtaTracking=6fedf137-fd90-4f17-bfb4-d61f710ec7f8%7Cf2771843-6636-4969-9010-2d8d0389b89c" TargetMode="External"/><Relationship Id="rId965" Type="http://schemas.openxmlformats.org/officeDocument/2006/relationships/hyperlink" Target="https://resources.simonelectric.com/simon-catalogo-vehiculo-electrico?utm_campaign=SIC%20-%20Veh%C3%ADculo%20El%C3%A9ctrico&amp;utm_medium=email&amp;_hsenc=p2ANqtz-8doaIi2nu_uug0j8qQUuBO4yNKof_fbHeXS8_gq2R_jmE6F7X5yUcO38DSN5I6bpfv6YbDtVR72RdHl4VOC9ZqJ-gjfTOiZPcDHEtzYxqHMzOw8M4&amp;_hsmi=87865495&amp;utm_source=hs_automation&amp;utm_content=87865495&amp;hsCtaTracking=6fedf137-fd90-4f17-bfb4-d61f710ec7f8%7Cf2771843-6636-4969-9010-2d8d0389b89c" TargetMode="External"/><Relationship Id="rId964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8znGh7qd_1wXzP2LVlbTley_PKGuRvqzmfJU5Whd_NvAHbt7s71__j1K7-XdZM9leYCPDFAjljOSlzSYZrNYFPGv6XZA&amp;_hsmi=87865495" TargetMode="External"/><Relationship Id="rId963" Type="http://schemas.openxmlformats.org/officeDocument/2006/relationships/hyperlink" Target="https://resources.simonelectric.com/simon-ebook-vehiculo-electrico" TargetMode="External"/><Relationship Id="rId962" Type="http://schemas.openxmlformats.org/officeDocument/2006/relationships/hyperlink" Target="https://resources.simonelectric.com/simon-catalogo-vehiculo-electrico?utm_campaign=SIC%20-%20Veh%C3%ADculo%20El%C3%A9ctrico&amp;utm_medium=email&amp;_hsenc=p2ANqtz-_oh8kkIxzTY-63wOu-lrLkPwqK0jcDz5Ns0ICUjxq83QgUYk8MaamLSiPBG0Z48-wdlrTvEPOdrvAUMXmvqWZGpylZcA&amp;_hsmi=87865495&amp;utm_source=hs_automation&amp;utm_content=87865495&amp;hsCtaTracking=6fedf137-fd90-4f17-bfb4-d61f710ec7f8%7Cf2771843-6636-4969-9010-2d8d0389b89c" TargetMode="External"/><Relationship Id="rId969" Type="http://schemas.openxmlformats.org/officeDocument/2006/relationships/hyperlink" Target="https://resources.simonelectric.com/simon-material-formativo-vehiculo-electrico" TargetMode="External"/><Relationship Id="rId968" Type="http://schemas.openxmlformats.org/officeDocument/2006/relationships/hyperlink" Target="https://resources.simonelectric.com/simon-catalogo-vehiculo-electrico?utm_campaign=SIC%20-%20Veh%C3%ADculo%20El%C3%A9ctrico&amp;utm_medium=email&amp;_hsenc=p2ANqtz--bsH3yXWR50f9mnlTqVBKmEHeNyzo-2m4-6HhKTG7A2GPfGGiaNdDOn8KfDzEutkMlFEL0qu40NLNBSOGR8rd_uCxsBA&amp;_hsmi=87865495&amp;utm_source=hs_automation&amp;utm_content=87865495&amp;hsCtaTracking=6fedf137-fd90-4f17-bfb4-d61f710ec7f8%7Cf2771843-6636-4969-9010-2d8d0389b89c" TargetMode="External"/><Relationship Id="rId967" Type="http://schemas.openxmlformats.org/officeDocument/2006/relationships/hyperlink" Target="https://resources.simonelectric.com/simon-catalogo-vehiculo-electrico?utm_campaign=SIC%20-%20Veh%C3%ADculo%20El%C3%A9ctrico&amp;utm_medium=email&amp;_hsenc=p2ANqtz-9EyBl0f-ydJ8egOiaRmxs7ZR5l5Jb1lTF4jqNgPW3rwrixSSBFI6rGFux8Xe0zkR3BZKhqgc-1TuTWI9sXZg5tIOCw0A&amp;_hsmi=87865495&amp;utm_source=hs_automation&amp;utm_content=87865495&amp;hsCtaTracking=6fedf137-fd90-4f17-bfb4-d61f710ec7f8%7Cf2771843-6636-4969-9010-2d8d0389b89c" TargetMode="External"/><Relationship Id="rId966" Type="http://schemas.openxmlformats.org/officeDocument/2006/relationships/hyperlink" Target="https://resources.simonelectric.com/simon-catalogo-vehiculo-electrico?utm_campaign=SIC%20-%20Veh%C3%ADculo%20El%C3%A9ctrico&amp;utm_medium=email&amp;_hsenc=p2ANqtz-9praHRT6ldutpT1sSrtpVeI-DYvucVPRYxE-OlVnyJPybjxzZhTzocALZoLVA9IVv14Q-lpJJan51FkrT8hBpJb1-d5Q&amp;_hsmi=87865495&amp;utm_source=hs_automation&amp;utm_content=87865495&amp;hsCtaTracking=6fedf137-fd90-4f17-bfb4-d61f710ec7f8%7Cf2771843-6636-4969-9010-2d8d0389b89c" TargetMode="External"/><Relationship Id="rId2880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961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-iJpJT5oWgybxEW-iRjmWCORkr8BTlqwtt1wqKm8zoX1TFoKxdWJDt6OTtotSEnntU7X7P3kiyAnCjZR53Oe-UVyGtbA&amp;_hsmi=87865495" TargetMode="External"/><Relationship Id="rId1550" Type="http://schemas.openxmlformats.org/officeDocument/2006/relationships/hyperlink" Target="https://resources.simonelectric.com/simon-catalogo-vehiculo-electrico?utm_campaign=SIC%20-%20Veh%C3%ADculo%20El%C3%A9ctrico&amp;utm_medium=email&amp;_hsenc=p2ANqtz--QQKtde7B8VG0jiEz4XYENfY3XOoL5cd39_lKS61VdgVOpHJ344K83G1gC61Ve7ARawCVt&amp;_hsmi=87085363&amp;utm_content=87085363&amp;utm_source=hs_email&amp;hsCtaTracking=6fedf137-fd90-4f17-bfb4-d61f710ec7f8%7Cf2771843-6636-4969-9010-2d8d0389b89c" TargetMode="External"/><Relationship Id="rId2881" Type="http://schemas.openxmlformats.org/officeDocument/2006/relationships/hyperlink" Target="https://resources.simonelectric.com/simon-ebook-vehiculo-electrico-ppc?utm_source=facebook&amp;utm_medium=social_ads&amp;utm_campaign=vehiculo_electrico&amp;fbclid=IwAR3NtzWmiG2kuZWGdpJG5ilT2-DFb6ZC-TV5qv__aYLD03jcfAflHQeXUJs" TargetMode="External"/><Relationship Id="rId960" Type="http://schemas.openxmlformats.org/officeDocument/2006/relationships/hyperlink" Target="https://resources.simonelectric.com/simon-catalogo-vehiculo-electrico?utm_campaign=SIC%20-%20Veh%C3%ADculo%20El%C3%A9ctrico&amp;utm_medium=email&amp;_hsenc=p2ANqtz-__noIigM0bmxJo0DKrnkPcGVg4Qh2vyFyL9LUYHDVI0930WPHXB2Frj5pL1iLS7kJJX4S1CwxvyoNYHTHvptU2ge2c9Q&amp;_hsmi=87865495&amp;utm_source=hs_automation&amp;utm_content=87865495&amp;hsCtaTracking=6fedf137-fd90-4f17-bfb4-d61f710ec7f8%7Cf2771843-6636-4969-9010-2d8d0389b89c" TargetMode="External"/><Relationship Id="rId1551" Type="http://schemas.openxmlformats.org/officeDocument/2006/relationships/hyperlink" Target="https://resources.simonelectric.com/simon-catalogo-vehiculo-electrico?utm_campaign=SIC%20-%20Veh%C3%ADculo%20El%C3%A9ctrico&amp;utm_medium=email&amp;_hsenc=p2ANqtz-8jLFOILd5soAeuC3YXgesB4keU-k4Plz2u1nQ6XYDmZEKL96JAsTxxIVjpIVnYgt8R5ZwM&amp;_hsmi=87085363&amp;utm_content=87085363&amp;utm_source=hs_email&amp;hsCtaTracking=6fedf137-fd90-4f17-bfb4-d61f710ec7f8%7Cf2771843-6636-4969-9010-2d8d0389b89c" TargetMode="External"/><Relationship Id="rId2882" Type="http://schemas.openxmlformats.org/officeDocument/2006/relationships/hyperlink" Target="https://resources.simonelectric.com/simon-ebook-vehiculo-electrico-ppc?utm_source=facebook&amp;utm_medium=social_ads&amp;utm_campaign=vehiculo_electrico&amp;fbclid=IwAR0EhlYMoo3zP138acvs66pZg5XwFQAMu58bem5SbkPFsnR4GhGdWbptEvs" TargetMode="External"/><Relationship Id="rId1552" Type="http://schemas.openxmlformats.org/officeDocument/2006/relationships/hyperlink" Target="https://resources.simonelectric.com/simon-catalogo-vehiculo-electrico?utm_campaign=SIC%20-%20Veh%C3%ADculo%20El%C3%A9ctrico&amp;utm_medium=email&amp;_hsenc=p2ANqtz--ej4ckugpFybt8_0nqF6ssaPi63r1_T9V40EhWk-HQgVysO_DkPqBJ7-WC9DtB4Es3SLYj&amp;_hsmi=87085363&amp;utm_content=87085363&amp;utm_source=hs_email&amp;hsCtaTracking=6fedf137-fd90-4f17-bfb4-d61f710ec7f8%7Cf2771843-6636-4969-9010-2d8d0389b89c" TargetMode="External"/><Relationship Id="rId2883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53" Type="http://schemas.openxmlformats.org/officeDocument/2006/relationships/hyperlink" Target="https://resources.simonelectric.com/simon-catalogo-vehiculo-electrico?utm_campaign=SIC%20-%20Veh%C3%ADculo%20El%C3%A9ctrico&amp;utm_medium=email&amp;_hsenc=p2ANqtz-8t5q0KoSWvtFXGFch9uvq9ralBx7RJogWFHofzOJKs_xrzmA4MJrq181ETjKW7g83WHB0h&amp;_hsmi=87085363&amp;utm_content=87085363&amp;utm_source=hs_email&amp;hsCtaTracking=6fedf137-fd90-4f17-bfb4-d61f710ec7f8%7Cf2771843-6636-4969-9010-2d8d0389b89c" TargetMode="External"/><Relationship Id="rId2884" Type="http://schemas.openxmlformats.org/officeDocument/2006/relationships/hyperlink" Target="https://resources.simonelectric.com/simon-ebook-vehiculo-electrico" TargetMode="External"/><Relationship Id="rId1543" Type="http://schemas.openxmlformats.org/officeDocument/2006/relationships/hyperlink" Target="https://resources.simonelectric.com/simon-catalogo-vehiculo-electrico?utm_campaign=SIC%20-%20Veh%C3%ADculo%20El%C3%A9ctrico&amp;utm_medium=email&amp;_hsenc=p2ANqtz-8tKyWT9V8Snc4Be6dz6Vi4d0oLiyLpQrZ7Lfs1E7tVrcEYODZWRd6xCfNrEipYvGIUJuiS&amp;_hsmi=87085363&amp;utm_content=87085363&amp;utm_source=hs_email&amp;hsCtaTracking=6fedf137-fd90-4f17-bfb4-d61f710ec7f8%7Cf2771843-6636-4969-9010-2d8d0389b89c" TargetMode="External"/><Relationship Id="rId2874" Type="http://schemas.openxmlformats.org/officeDocument/2006/relationships/hyperlink" Target="https://resources.simonelectric.com/simon-catalogo-vehiculo-electrico?__hstc=83084745.27840f659c4b1fa23ab115d4067d374a.1585643399882.1585643399882.1585643399882.1&amp;__hssc=83084745.1.1585643399883&amp;__hsfp=110587205" TargetMode="External"/><Relationship Id="rId1544" Type="http://schemas.openxmlformats.org/officeDocument/2006/relationships/hyperlink" Target="https://resources.simonelectric.com/simon-catalogo-vehiculo-electrico?utm_campaign=SIC%20-%20Veh%C3%ADculo%20El%C3%A9ctrico&amp;utm_medium=email&amp;_hsenc=p2ANqtz---EzzIZDSgcFDRuLtexyOU5i_eKnL8Fa-c7ukxEUobF3g5tNjOwPg1niZ_A__3O7yuG78H&amp;_hsmi=87085363&amp;utm_content=87085363&amp;utm_source=hs_email&amp;hsCtaTracking=6fedf137-fd90-4f17-bfb4-d61f710ec7f8%7Cf2771843-6636-4969-9010-2d8d0389b89c" TargetMode="External"/><Relationship Id="rId2875" Type="http://schemas.openxmlformats.org/officeDocument/2006/relationships/hyperlink" Target="https://resources.simonelectric.com/simon-ebook-vehiculo-electrico" TargetMode="External"/><Relationship Id="rId154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876" Type="http://schemas.openxmlformats.org/officeDocument/2006/relationships/hyperlink" Target="https://resources.simonelectric.com/simon-ebook-vehiculo-electrico?hsCtaTracking=7baf6bd9-69ee-43d3-acd5-7ab185abe9e0%7C96f86d1e-4782-4927-8e67-fc6e25bb696b" TargetMode="External"/><Relationship Id="rId1546" Type="http://schemas.openxmlformats.org/officeDocument/2006/relationships/hyperlink" Target="https://resources.simonelectric.com/simon-catalogo-vehiculo-electrico?utm_campaign=SIC%20-%20Veh%C3%ADculo%20El%C3%A9ctrico&amp;utm_medium=email&amp;_hsenc=p2ANqtz-8WLpXvszXEU4Tx1whVdjgBif-HoayEPyIxHDaNIh2Kv3aZppjsb-gZdVqrK73r9xpfF0P-&amp;_hsmi=87085302&amp;utm_content=87085302&amp;utm_source=hs_email&amp;hsCtaTracking=6fedf137-fd90-4f17-bfb4-d61f710ec7f8%7Cf2771843-6636-4969-9010-2d8d0389b89c" TargetMode="External"/><Relationship Id="rId2877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47" Type="http://schemas.openxmlformats.org/officeDocument/2006/relationships/hyperlink" Target="https://resources.simonelectric.com/simon-catalogo-vehiculo-electrico?utm_campaign=SIC%20-%20Veh%C3%ADculo%20El%C3%A9ctrico&amp;utm_medium=email&amp;_hsenc=p2ANqtz-945d66CWgmL2Rlgh-cJp9akQWqCyUNcvRqdNIy8XQRqzjinXqrweq4O8gHLmcr0NctoR7X&amp;_hsmi=87085302&amp;utm_content=87085302&amp;utm_source=hs_email&amp;hsCtaTracking=6fedf137-fd90-4f17-bfb4-d61f710ec7f8%7Cf2771843-6636-4969-9010-2d8d0389b89c" TargetMode="External"/><Relationship Id="rId2878" Type="http://schemas.openxmlformats.org/officeDocument/2006/relationships/hyperlink" Target="https://resources.simonelectric.com/simon-ebook-vehiculo-electrico-0?gclid=Cj0KCQjwsYb0BRCOARIsAHbLPhFvvyws7r4gHB2ovyQUHsmR4Dv2CJDjZYqypJay2zJP5hvHpnILTMYaAhiDEALw_wcB" TargetMode="External"/><Relationship Id="rId1548" Type="http://schemas.openxmlformats.org/officeDocument/2006/relationships/hyperlink" Target="https://resources.simonelectric.com/simon-catalogo-vehiculo-electrico?utm_campaign=SIC%20-%20Veh%C3%ADculo%20El%C3%A9ctrico&amp;utm_medium=email&amp;_hsenc=p2ANqtz-_OpHmtnz0pGPo_A72K4T4qu3kUAnwf7rY2q6Ris8AMa617Su69KVe1AMSDO86Xpkze0fHn&amp;_hsmi=87085363&amp;utm_content=87085363&amp;utm_source=hs_email&amp;hsCtaTracking=6fedf137-fd90-4f17-bfb4-d61f710ec7f8%7Cf2771843-6636-4969-9010-2d8d0389b89c" TargetMode="External"/><Relationship Id="rId287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49" Type="http://schemas.openxmlformats.org/officeDocument/2006/relationships/hyperlink" Target="https://resources.simonelectric.com/simon-catalogo-vehiculo-electrico?utm_campaign=SIC%20-%20Veh%C3%ADculo%20El%C3%A9ctrico&amp;utm_medium=email&amp;_hsenc=p2ANqtz--Z-uMMp5k02gJDGNjP1iAriA3JB4JPTol5fxF8-j-nSkyvZYGdWg1rdEjq8gPWRpvTD_E1&amp;_hsmi=87085363&amp;utm_content=87085363&amp;utm_source=hs_email&amp;hsCtaTracking=6fedf137-fd90-4f17-bfb4-d61f710ec7f8%7Cf2771843-6636-4969-9010-2d8d0389b89c" TargetMode="External"/><Relationship Id="rId95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954" Type="http://schemas.openxmlformats.org/officeDocument/2006/relationships/hyperlink" Target="https://resources.simonelectric.com/simon-catalogo-vehiculo-electrico?utm_campaign=SIC%20-%20Veh%C3%ADculo%20El%C3%A9ctrico&amp;utm_medium=email&amp;_hsenc=p2ANqtz-9erCcFBGgVDRsAYIzABeS84zx_RMhZIzfiCn0-2s9KmUrE0fg9WUgPNpdh8hPsUQZ-Ph00gYvubTUrpI0ica2Nq09aIA&amp;_hsmi=87865495&amp;utm_source=hs_automation&amp;utm_content=87865495&amp;hsCtaTracking=6fedf137-fd90-4f17-bfb4-d61f710ec7f8%7Cf2771843-6636-4969-9010-2d8d0389b89c" TargetMode="External"/><Relationship Id="rId953" Type="http://schemas.openxmlformats.org/officeDocument/2006/relationships/hyperlink" Target="https://resources.simonelectric.com/simon-ebook-vehiculo-electrico" TargetMode="External"/><Relationship Id="rId952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8VWDbmxeEEgX4f4AFyh3Ueh5D2Nq6E6DWlY0a4htmBMrhVi0ZBQaKArHbt82ds8LsFRjFiKCJmX_on5tnoqtdVD8zYDR_VphZqrPQoS-fVJNk5I8c&amp;_hsmi=87865495" TargetMode="External"/><Relationship Id="rId951" Type="http://schemas.openxmlformats.org/officeDocument/2006/relationships/hyperlink" Target="https://resources.simonelectric.com/simon-catalogo-vehiculo-electrico?utm_campaign=SIC%20-%20Veh%C3%ADculo%20El%C3%A9ctrico&amp;utm_medium=email&amp;_hsenc=p2ANqtz-9S6UMDSz8UYI1aMs6Op5bNyWBQMYgqjWoYMPos15iHOFhahZcwoMcpQaTSDellJ7XbT4F-Kb3gt7WlBvL65DeGT7HD_g&amp;_hsmi=87865495&amp;utm_source=hs_automation&amp;utm_content=87865495&amp;hsCtaTracking=6fedf137-fd90-4f17-bfb4-d61f710ec7f8%7Cf2771843-6636-4969-9010-2d8d0389b89c" TargetMode="External"/><Relationship Id="rId958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8htlPWz41LBnxwTnfcR6y3TKUlrY-uQqbRMeTOccrXFxquwfNwWRIS72RDVIj_IHwPgivrvuDKNomF_I49fDes2huyHobHqMDoSVqPp44nvuaCzqc&amp;_hsmi=87865495" TargetMode="External"/><Relationship Id="rId957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95qAvtl0SHSXq2zpB6YV1dH02XnouRRbO9ko5UwaflXhmzHZWSn0LqYzF892Mec0YICrkIewVfSIAl--MaE6CUqaNfqQ&amp;_hsmi=87865495" TargetMode="External"/><Relationship Id="rId956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_PdzjzIMzN9GmUqMJK4_TB9BR9HJyCTo0q09J6xX9ZNPuQHWTgE2iKsiRCKLO8bdEInznlwVxhI4fkPhsMwxjd-CNq3g&amp;_hsmi=87865495" TargetMode="External"/><Relationship Id="rId955" Type="http://schemas.openxmlformats.org/officeDocument/2006/relationships/hyperlink" Target="https://resources.simonelectric.com/simon-ebook-vehiculo-electrico" TargetMode="External"/><Relationship Id="rId950" Type="http://schemas.openxmlformats.org/officeDocument/2006/relationships/hyperlink" Target="https://resources.simonelectric.com/simon-material-formativo-vehiculo-electrico" TargetMode="External"/><Relationship Id="rId2870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-uv-7tNUSxRu-Pd8oula_YbUmvNdwqYwWDCdelvHkoYlETjl6OT1H680hy0wmq9uWYynGuYeUvTluKWlmdmeVt1om3zw&amp;_hsmi=71033675" TargetMode="External"/><Relationship Id="rId1540" Type="http://schemas.openxmlformats.org/officeDocument/2006/relationships/hyperlink" Target="https://resources.simonelectric.com/simon-catalogo-vehiculo-electrico?utm_campaign=SIC%20-%20Veh%C3%ADculo%20El%C3%A9ctrico&amp;utm_medium=email&amp;_hsenc=p2ANqtz-8bzPc8AYpeRYbGFCs2EL-C7-MBcCVIBK938TjHLJ-OtMqWJiHs3Sk5l-7pn1YS0GmxkSbH&amp;_hsmi=87085363&amp;utm_content=87085363&amp;utm_source=hs_email&amp;hsCtaTracking=6fedf137-fd90-4f17-bfb4-d61f710ec7f8%7Cf2771843-6636-4969-9010-2d8d0389b89c" TargetMode="External"/><Relationship Id="rId2871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541" Type="http://schemas.openxmlformats.org/officeDocument/2006/relationships/hyperlink" Target="https://resources.simonelectric.com/simon-catalogo-vehiculo-electrico?utm_campaign=SIC%20-%20Veh%C3%ADculo%20El%C3%A9ctrico&amp;utm_medium=email&amp;_hsenc=p2ANqtz--AB-AUJUPQNlnRdBhj1LuCFTIGec14spymLq21gdwStToSHzEzbhhkix6vIPcWhVo5DLZ2&amp;_hsmi=87085363&amp;utm_content=87085363&amp;utm_source=hs_email&amp;hsCtaTracking=6fedf137-fd90-4f17-bfb4-d61f710ec7f8%7Cf2771843-6636-4969-9010-2d8d0389b89c" TargetMode="External"/><Relationship Id="rId2872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542" Type="http://schemas.openxmlformats.org/officeDocument/2006/relationships/hyperlink" Target="https://resources.simonelectric.com/simon-catalogo-vehiculo-electrico?utm_campaign=SIC%20-%20Veh%C3%ADculo%20El%C3%A9ctrico&amp;utm_medium=email&amp;_hsenc=p2ANqtz-8vps8SSm6o84_Fq2oPF7LEhxdysXaO5dcS-9X3YFaAmzuR22DaQdjSrJSIEPbWFsH8mh3p&amp;_hsmi=87085363&amp;utm_content=87085363&amp;utm_source=hs_email&amp;hsCtaTracking=6fedf137-fd90-4f17-bfb4-d61f710ec7f8%7Cf2771843-6636-4969-9010-2d8d0389b89c" TargetMode="External"/><Relationship Id="rId2873" Type="http://schemas.openxmlformats.org/officeDocument/2006/relationships/hyperlink" Target="https://resources.simonelectric.com/simon-ebook-vehiculo-electrico?utm_campaign=SIC%20-%20Veh%C3%ADculo%20El%C3%A9ctrico&amp;utm_medium=email&amp;_hsenc=p2ANqtz--Lx11oiKa2GC2XaQL1Jb6sJvZCJ_hgVZNSH3K4B7tYoZsPSS7eAIaaE1Q_cmhUfRw-ovNVpWL8aRZMFs44rmtwfEwegw&amp;_hsmi=71033675&amp;utm_source=hs_automation&amp;utm_content=71033675&amp;hsCtaTracking=2e94ebfc-d414-4389-870c-d2f266a9420b%7C587ac4dc-a49a-4bdc-b449-e36f5d95395b" TargetMode="External"/><Relationship Id="rId2027" Type="http://schemas.openxmlformats.org/officeDocument/2006/relationships/hyperlink" Target="https://resources.simonelectric.com/simon-catalogo-vehiculo-electrico?utm_campaign=SIC%20-%20Veh%C3%ADculo%20El%C3%A9ctrico&amp;utm_medium=email&amp;_hsenc=p2ANqtz-8bHxdVc5QgGFZXshigMJ6dgJ_HfWXKmXnVrRLBSYmBoCa49y6SJFmjWyJXF3qN36_186Tj&amp;_hsmi=87085363&amp;utm_content=87085363&amp;utm_source=hs_email&amp;hsCtaTracking=6fedf137-fd90-4f17-bfb4-d61f710ec7f8%7Cf2771843-6636-4969-9010-2d8d0389b89c" TargetMode="External"/><Relationship Id="rId335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28" Type="http://schemas.openxmlformats.org/officeDocument/2006/relationships/hyperlink" Target="https://resources.simonelectric.com/simon-catalogo-vehiculo-electrico?utm_campaign=SIC%20-%20Veh%C3%ADculo%20El%C3%A9ctrico&amp;utm_medium=email&amp;_hsenc=p2ANqtz-9w3rDMBkGiIUL49R-o0A9wQCD9s8apIn2L7TVJ6bPHgYCpfkhpdVB28NXUus1EgMgi5aGm&amp;_hsmi=87085363&amp;utm_content=87085363&amp;utm_source=hs_email&amp;hsCtaTracking=6fedf137-fd90-4f17-bfb4-d61f710ec7f8%7Cf2771843-6636-4969-9010-2d8d0389b89c" TargetMode="External"/><Relationship Id="rId3358" Type="http://schemas.openxmlformats.org/officeDocument/2006/relationships/hyperlink" Target="https://resources.simonelectric.com/simon-catalogo-vehiculo-electrico?__hstc=83084745.ce2c7c4e49ef36767dafc6aa73bd8114.1583319759067.1583319759067.1583319759067.1&amp;__hssc=83084745.13.1583319759067&amp;__hsfp=381640519" TargetMode="External"/><Relationship Id="rId2029" Type="http://schemas.openxmlformats.org/officeDocument/2006/relationships/hyperlink" Target="https://resources.simonelectric.com/simon-catalogo-vehiculo-electrico?utm_campaign=SIC%20-%20Veh%C3%ADculo%20El%C3%A9ctrico&amp;utm_medium=email&amp;_hsenc=p2ANqtz-_-cFRuCYBg1_sDVud-d_jv032uU1Qh9gi9VScfT5Hj--xyvqOYz7r0nsFohgU_WjZPxADa&amp;_hsmi=87085363&amp;utm_content=87085363&amp;utm_source=hs_email&amp;hsCtaTracking=6fedf137-fd90-4f17-bfb4-d61f710ec7f8%7Cf2771843-6636-4969-9010-2d8d0389b89c" TargetMode="External"/><Relationship Id="rId107" Type="http://schemas.openxmlformats.org/officeDocument/2006/relationships/hyperlink" Target="https://resources.simonelectric.com/simon-ebook-vehiculo-electrico?utm_campaign=SIC%20-%20Veh%C3%ADculo%20El%C3%A9ctrico&amp;utm_medium=email&amp;_hsenc=p2ANqtz--xIc0Dnkny4BKWDGNHc9yX_b0RVOSrxedbmbQhxZtZcxanwPUcsEKu_JwNvddu5LCuFDJVup-5chGv4kx0ZlOe7urFEw&amp;_hsmi=71033675&amp;utm_content=71033675&amp;utm_source=hs_automation&amp;hsCtaTracking=2e94ebfc-d414-4389-870c-d2f266a9420b%7C587ac4dc-a49a-4bdc-b449-e36f5d95395b" TargetMode="External"/><Relationship Id="rId106" Type="http://schemas.openxmlformats.org/officeDocument/2006/relationships/hyperlink" Target="https://resources.simonelectric.com/simon-ebook-vehiculo-electrico?utm_campaign=SIC%20-%20Veh%C3%ADculo%20El%C3%A9ctrico&amp;utm_medium=email&amp;_hsenc=p2ANqtz-9YnL1dFGDKhup-Vgmbsz24Y4_wxJ-oztesYYsTHf6UzA2UZUDneIux0qc8emG-uG3m4ui05oGAw3mILgsToW9UmUejAA&amp;_hsmi=71033675&amp;utm_content=71033675&amp;utm_source=hs_automation&amp;hsCtaTracking=2e94ebfc-d414-4389-870c-d2f266a9420b%7C587ac4dc-a49a-4bdc-b449-e36f5d95395b" TargetMode="External"/><Relationship Id="rId105" Type="http://schemas.openxmlformats.org/officeDocument/2006/relationships/hyperlink" Target="https://resources.simonelectric.com/simon-ebook-vehiculo-electrico?utm_campaign=SIC%20-%20Veh%C3%ADculo%20El%C3%A9ctrico&amp;utm_medium=email&amp;_hsenc=p2ANqtz--bT5qCi8PvvSCHLA72eO2p7bqTOc-Qql0xlg8qAdlry6Qz-VjnVnzZJ1F_2OMa7uPJetfFr90QZrGb1MZhlWvos-bysg&amp;_hsmi=71033675&amp;utm_content=71033675&amp;utm_source=hs_automation&amp;hsCtaTracking=2e94ebfc-d414-4389-870c-d2f266a9420b%7C587ac4dc-a49a-4bdc-b449-e36f5d95395b" TargetMode="External"/><Relationship Id="rId104" Type="http://schemas.openxmlformats.org/officeDocument/2006/relationships/hyperlink" Target="https://resources.simonelectric.com/simon-ebook-vehiculo-electrico?utm_campaign=SIC%20-%20Veh%C3%ADculo%20El%C3%A9ctrico&amp;utm_medium=email&amp;_hsenc=p2ANqtz-8B1E6a75Jm6a5F0mb8aHxLj1bM1k9AAyV_1w5fvSAISV2tpBmtoe1aSZVknpmNpzPX_M-8vEQCATxXUU51tAtBFbMBaQ&amp;_hsmi=71033675&amp;utm_content=71033675&amp;utm_source=hs_automation&amp;hsCtaTracking=2e94ebfc-d414-4389-870c-d2f266a9420b%7C587ac4dc-a49a-4bdc-b449-e36f5d95395b" TargetMode="External"/><Relationship Id="rId109" Type="http://schemas.openxmlformats.org/officeDocument/2006/relationships/hyperlink" Target="https://resources.simonelectric.com/simon-ebook-vehiculo-electrico?utm_campaign=SIC%20-%20Veh%C3%ADculo%20El%C3%A9ctrico&amp;utm_medium=email&amp;_hsenc=p2ANqtz-9GHBYZqkM3xzZi9Y14-p9vIgKb9hYydUpAyMeEC8Tfw5Trhq4wQwPqXNjI6Snhxp5HjdN1YjLEJMo8rEED-JvMHPnw7Q&amp;_hsmi=71033675&amp;utm_content=71033675&amp;utm_source=hs_automation&amp;hsCtaTracking=2e94ebfc-d414-4389-870c-d2f266a9420b%7C587ac4dc-a49a-4bdc-b449-e36f5d95395b" TargetMode="External"/><Relationship Id="rId108" Type="http://schemas.openxmlformats.org/officeDocument/2006/relationships/hyperlink" Target="https://resources.simonelectric.com/simon-ebook-vehiculo-electrico?utm_campaign=SIC%20-%20Veh%C3%ADculo%20El%C3%A9ctrico&amp;utm_medium=email&amp;_hsmi=71033675&amp;_hsenc=p2ANqtz-_-_eOX1BzwuAXNh8Bf3PgtbWG1IFSokffALM85-7a0hJp7aipWAostV366BR6yI7A5yzrKPtutkClZ2XZeBpqzYvUOFg&amp;utm_content=71033675&amp;utm_source=hs_automation" TargetMode="External"/><Relationship Id="rId3351" Type="http://schemas.openxmlformats.org/officeDocument/2006/relationships/hyperlink" Target="https://resources.simonelectric.com/simon-ebook-vehiculo-electrico" TargetMode="External"/><Relationship Id="rId2020" Type="http://schemas.openxmlformats.org/officeDocument/2006/relationships/hyperlink" Target="https://resources.simonelectric.com/simon-catalogo-vehiculo-electrico?utm_campaign=SIC%20-%20Veh%C3%ADculo%20El%C3%A9ctrico&amp;utm_medium=email&amp;_hsenc=p2ANqtz-_hGsMHenpN0MHs4Ve8DRBLGFuaNqrJA1CykzWVTzK-OlhvsU_QpHR_13GRC4CQdyuFAXSm&amp;_hsmi=87085363&amp;utm_content=87085363&amp;utm_source=hs_email&amp;hsCtaTracking=6fedf137-fd90-4f17-bfb4-d61f710ec7f8%7Cf2771843-6636-4969-9010-2d8d0389b89c" TargetMode="External"/><Relationship Id="rId3350" Type="http://schemas.openxmlformats.org/officeDocument/2006/relationships/hyperlink" Target="https://resources.simonelectric.com/simon-catalogo-vehiculo-electrico?__hstc=83084745.c75031e34094d9d072247dbc67ce0d16.1583320175167.1583320175167.1583333488567.2&amp;__hssc=83084745.775558775560775600.1583333488567&amp;__hsfp=3731769533" TargetMode="External"/><Relationship Id="rId2021" Type="http://schemas.openxmlformats.org/officeDocument/2006/relationships/hyperlink" Target="https://resources.simonelectric.com/simon-catalogo-vehiculo-electrico?utm_campaign=SIC%20-%20Veh%C3%ADculo%20El%C3%A9ctrico&amp;utm_medium=email&amp;_hsenc=p2ANqtz-_3zu_ytGiA-zr5pSrbLE6877x-NVFMPjcchmUxHNeCk2dwIMF3C1CdEerloamNvcJwQQNu&amp;_hsmi=87085363&amp;utm_content=87085363&amp;utm_source=hs_email&amp;hsCtaTracking=6fedf137-fd90-4f17-bfb4-d61f710ec7f8%7Cf2771843-6636-4969-9010-2d8d0389b89c" TargetMode="External"/><Relationship Id="rId335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022" Type="http://schemas.openxmlformats.org/officeDocument/2006/relationships/hyperlink" Target="https://resources.simonelectric.com/simon-catalogo-vehiculo-electrico?utm_campaign=SIC%20-%20Veh%C3%ADculo%20El%C3%A9ctrico&amp;utm_medium=email&amp;_hsenc=p2ANqtz--AqpFamFlni8g2KSzQ-d-8bgBV85jJ5PrFYrjsp6Nr2Q4-ehdQnPr6dcbuB9nP9veT3c7E&amp;_hsmi=87085363&amp;utm_content=87085363&amp;utm_source=hs_email&amp;hsCtaTracking=6fedf137-fd90-4f17-bfb4-d61f710ec7f8%7Cf2771843-6636-4969-9010-2d8d0389b89c" TargetMode="External"/><Relationship Id="rId335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03" Type="http://schemas.openxmlformats.org/officeDocument/2006/relationships/hyperlink" Target="https://resources.simonelectric.com/simon-ebook-vehiculo-electrico?utm_campaign=SIC%20-%20Veh%C3%ADculo%20El%C3%A9ctrico&amp;utm_medium=email&amp;_hsmi=71033675&amp;_hsenc=p2ANqtz-8Kv5zmY8Kw84nVuUgE6IoT4bc-VVdUzebnaC-crzEiMAr1c0oOOSi3vFVrHmKklR6tFSzZ6RFWDz9vyYPvt9Ax7HDtHA&amp;utm_content=71033675&amp;utm_source=hs_automation" TargetMode="External"/><Relationship Id="rId2023" Type="http://schemas.openxmlformats.org/officeDocument/2006/relationships/hyperlink" Target="https://resources.simonelectric.com/simon-catalogo-vehiculo-electrico?utm_campaign=SIC%20-%20Veh%C3%ADculo%20El%C3%A9ctrico&amp;utm_medium=email&amp;_hsenc=p2ANqtz-8iB_ZTw8glza_PPjDFSnx1K_XDqn_36_bOfL_5ZlWK1AqCShWjcHl3d7dYY4LwinlCvb2h&amp;_hsmi=87085363&amp;utm_content=87085363&amp;utm_source=hs_email&amp;hsCtaTracking=6fedf137-fd90-4f17-bfb4-d61f710ec7f8%7Cf2771843-6636-4969-9010-2d8d0389b89c" TargetMode="External"/><Relationship Id="rId335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02" Type="http://schemas.openxmlformats.org/officeDocument/2006/relationships/hyperlink" Target="https://resources.simonelectric.com/simon-ebook-vehiculo-electrico?utm_campaign=SIC%20-%20Veh%C3%ADculo%20El%C3%A9ctrico&amp;utm_medium=email&amp;_hsmi=71033675&amp;_hsenc=p2ANqtz-9eR6NiQnkeRQTK0mVD9bkq5dsTXhzAFL1H7X7F9BuisIqa4Wk7qkHgzufTpZRVIEA8b6CXFosTtRQg3QliHuvgEZC7zgn_EywUjbIeUnQeTY2TEdc&amp;utm_content=71033675&amp;utm_source=hs_automation" TargetMode="External"/><Relationship Id="rId2024" Type="http://schemas.openxmlformats.org/officeDocument/2006/relationships/hyperlink" Target="https://resources.simonelectric.com/simon-catalogo-vehiculo-electrico?utm_campaign=SIC%20-%20Veh%C3%ADculo%20El%C3%A9ctrico&amp;utm_medium=email&amp;_hsmi=87085302&amp;_hsenc=p2ANqtz-9mlCSGsjcQwlXBChoAKD-Wv8MLGTKPct3V0_CbXN_SE15cO9MMBpVPWs1jREauYL4EQYze&amp;utm_content=87085302&amp;utm_source=hs_email" TargetMode="External"/><Relationship Id="rId335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01" Type="http://schemas.openxmlformats.org/officeDocument/2006/relationships/hyperlink" Target="https://resources.simonelectric.com/simon-ebook-vehiculo-electrico?utm_campaign=SIC%20-%20Veh%C3%ADculo%20El%C3%A9ctrico&amp;utm_medium=email&amp;_hsenc=p2ANqtz-_weZbP8FcEo1JH3Yyi9GrdAiedBrHKCTQI-BSCX9vWVZxiAvaJZIFxjZmZr_E0wH7r2g4Wrs405UkomPL-m3Hlg2RpJKUEfPH22yQ1tkpGXuXVoPU&amp;_hsmi=71033675&amp;utm_content=71033675&amp;utm_source=hs_automation&amp;hsCtaTracking=2e94ebfc-d414-4389-870c-d2f266a9420b%7C587ac4dc-a49a-4bdc-b449-e36f5d95395b" TargetMode="External"/><Relationship Id="rId2025" Type="http://schemas.openxmlformats.org/officeDocument/2006/relationships/hyperlink" Target="https://resources.simonelectric.com/simon-catalogo-vehiculo-electrico?utm_campaign=SIC%20-%20Veh%C3%ADculo%20El%C3%A9ctrico&amp;utm_medium=email&amp;_hsenc=p2ANqtz-94LhJqaE5yhwpJy4RGThmKlM8d14b3IbiPwrEN4FS3ZXqZMB00mXIhtcGcICwSrf3puhnV&amp;_hsmi=87085363&amp;utm_content=87085363&amp;utm_source=hs_email&amp;hsCtaTracking=6fedf137-fd90-4f17-bfb4-d61f710ec7f8%7Cf2771843-6636-4969-9010-2d8d0389b89c" TargetMode="External"/><Relationship Id="rId335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00" Type="http://schemas.openxmlformats.org/officeDocument/2006/relationships/hyperlink" Target="https://resources.simonelectric.com/simon-ebook-vehiculo-electrico?utm_campaign=SIC%20-%20Veh%C3%ADculo%20El%C3%A9ctrico&amp;utm_medium=email&amp;_hsenc=p2ANqtz-8-g7SYHnfEaZu20D11o6MbtcpBHlx2aebcraWOQw8C-NP--66brhmXJD8snqBCgwUSGCWFg0QGCczAOj4UVMYHca7lbg&amp;_hsmi=71033675&amp;utm_content=71033675&amp;utm_source=hs_automation&amp;hsCtaTracking=2e94ebfc-d414-4389-870c-d2f266a9420b%7C587ac4dc-a49a-4bdc-b449-e36f5d95395b" TargetMode="External"/><Relationship Id="rId2026" Type="http://schemas.openxmlformats.org/officeDocument/2006/relationships/hyperlink" Target="https://resources.simonelectric.com/simon-catalogo-vehiculo-electrico?utm_campaign=SIC%20-%20Veh%C3%ADculo%20El%C3%A9ctrico&amp;utm_medium=email&amp;_hsenc=p2ANqtz-_vnrzS20VKIsNYRjFI8q0yFQEF-q2OUExgczZL6iHV9LnXJyKxU_cn7ZfDk0Dz9GE-u5kz&amp;_hsmi=87085302&amp;utm_content=87085302&amp;utm_source=hs_email&amp;hsCtaTracking=6fedf137-fd90-4f17-bfb4-d61f710ec7f8%7Cf2771843-6636-4969-9010-2d8d0389b89c" TargetMode="External"/><Relationship Id="rId3356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016" Type="http://schemas.openxmlformats.org/officeDocument/2006/relationships/hyperlink" Target="https://resources.simonelectric.com/simon-catalogo-vehiculo-electrico?utm_campaign=SIC%20-%20Veh%C3%ADculo%20El%C3%A9ctrico&amp;utm_medium=email&amp;_hsenc=p2ANqtz-9KI8NZ5O2qXxyyCg7hdpKkvqP1_uoM1l5oDOrJ8VHXCikK4CLs6Z88ephR0xAOwemLFfg8&amp;_hsmi=87085363&amp;utm_content=87085363&amp;utm_source=hs_email&amp;hsCtaTracking=6fedf137-fd90-4f17-bfb4-d61f710ec7f8%7Cf2771843-6636-4969-9010-2d8d0389b89c" TargetMode="External"/><Relationship Id="rId334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17" Type="http://schemas.openxmlformats.org/officeDocument/2006/relationships/hyperlink" Target="https://resources.simonelectric.com/simon-catalogo-vehiculo-electrico?utm_campaign=SIC%20-%20Veh%C3%ADculo%20El%C3%A9ctrico&amp;utm_medium=email&amp;_hsenc=p2ANqtz-_otvDMBg4a6mUpIzjt7lrny5vmB-6mGk_MHgfQ4WCQvimdBQDQR0TxRoNL8WWz9r-2CAU3&amp;_hsmi=87085363&amp;utm_content=87085363&amp;utm_source=hs_email&amp;hsCtaTracking=6fedf137-fd90-4f17-bfb4-d61f710ec7f8%7Cf2771843-6636-4969-9010-2d8d0389b89c" TargetMode="External"/><Relationship Id="rId334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18" Type="http://schemas.openxmlformats.org/officeDocument/2006/relationships/hyperlink" Target="https://resources.simonelectric.com/simon-catalogo-vehiculo-electrico?utm_campaign=SIC%20-%20Veh%C3%ADculo%20El%C3%A9ctrico&amp;utm_medium=email&amp;_hsenc=p2ANqtz-8wypiXOCmnOlBT0gzOOYDMJhIDioY5hf8aLCLBRe3P6cJO-Z4nLDUQDiqM13hN6esoWBsK&amp;_hsmi=87085363&amp;utm_content=87085363&amp;utm_source=hs_email&amp;hsCtaTracking=6fedf137-fd90-4f17-bfb4-d61f710ec7f8%7Cf2771843-6636-4969-9010-2d8d0389b89c" TargetMode="External"/><Relationship Id="rId2019" Type="http://schemas.openxmlformats.org/officeDocument/2006/relationships/hyperlink" Target="https://resources.simonelectric.com/simon-catalogo-vehiculo-electrico?utm_campaign=SIC%20-%20Veh%C3%ADculo%20El%C3%A9ctrico&amp;utm_medium=email&amp;_hsenc=p2ANqtz-9EHtpGpdVhOTX0kIXuWA0hKBFGxg5V29KHo_QS8GUXh9r3jvhI5DRT-8SawAhZlCIfhxoa&amp;_hsmi=87085363&amp;utm_content=87085363&amp;utm_source=hs_email&amp;hsCtaTracking=6fedf137-fd90-4f17-bfb4-d61f710ec7f8%7Cf2771843-6636-4969-9010-2d8d0389b89c" TargetMode="External"/><Relationship Id="rId334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34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10" Type="http://schemas.openxmlformats.org/officeDocument/2006/relationships/hyperlink" Target="https://resources.simonelectric.com/simon-catalogo-vehiculo-electrico?utm_campaign=SIC%20-%20Veh%C3%ADculo%20El%C3%A9ctrico&amp;utm_medium=email&amp;_hsenc=p2ANqtz-8clkqcp6KBwrPPcq3HEYQ75dtFCID0kZaL3aD7CJlBO8bg5pVy9dk0Fe92306MbVW8y-Au&amp;_hsmi=87085363&amp;utm_content=87085363&amp;utm_source=hs_email&amp;hsCtaTracking=6fedf137-fd90-4f17-bfb4-d61f710ec7f8%7Cf2771843-6636-4969-9010-2d8d0389b89c" TargetMode="External"/><Relationship Id="rId3342" Type="http://schemas.openxmlformats.org/officeDocument/2006/relationships/hyperlink" Target="https://resources.simonelectric.com/simon-ebook-vehiculo-electrico" TargetMode="External"/><Relationship Id="rId2011" Type="http://schemas.openxmlformats.org/officeDocument/2006/relationships/hyperlink" Target="https://resources.simonelectric.com/simon-catalogo-vehiculo-electrico?utm_campaign=SIC%20-%20Veh%C3%ADculo%20El%C3%A9ctrico&amp;utm_medium=email&amp;_hsenc=p2ANqtz-9cvhInz_REYtiOgQZMc5WN0P-blKJkq4ht_UiZyzItxEeRiSqSqvcQeULUYLMKD9tD63Q2&amp;_hsmi=87085363&amp;utm_content=87085363&amp;utm_source=hs_email&amp;hsCtaTracking=6fedf137-fd90-4f17-bfb4-d61f710ec7f8%7Cf2771843-6636-4969-9010-2d8d0389b89c" TargetMode="External"/><Relationship Id="rId3341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2012" Type="http://schemas.openxmlformats.org/officeDocument/2006/relationships/hyperlink" Target="https://resources.simonelectric.com/simon-catalogo-vehiculo-electrico?utm_campaign=SIC%20-%20Veh%C3%ADculo%20El%C3%A9ctrico&amp;utm_medium=email&amp;_hsenc=p2ANqtz-9JLz8GlG_SgPh4puPk90laE_Uo9HkD5W6VqIPDWASNhxauFpDC2jrXSlg_UUhMA4Hzytob&amp;_hsmi=87085302&amp;utm_content=87085302&amp;utm_source=hs_email&amp;hsCtaTracking=6fedf137-fd90-4f17-bfb4-d61f710ec7f8%7Cf2771843-6636-4969-9010-2d8d0389b89c" TargetMode="External"/><Relationship Id="rId334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13" Type="http://schemas.openxmlformats.org/officeDocument/2006/relationships/hyperlink" Target="https://resources.simonelectric.com/simon-catalogo-vehiculo-electrico?utm_campaign=SIC%20-%20Veh%C3%ADculo%20El%C3%A9ctrico&amp;utm_medium=email&amp;_hsenc=p2ANqtz-_IvHlZQSUy-7dcNI_0h7LpL6Um0UJW8p5Wmwz4eSbNL6Ud0gYQBD91cCz3FZrpNhpMcBlN&amp;_hsmi=87085302&amp;utm_content=87085302&amp;utm_source=hs_email&amp;hsCtaTracking=6fedf137-fd90-4f17-bfb4-d61f710ec7f8%7Cf2771843-6636-4969-9010-2d8d0389b89c" TargetMode="External"/><Relationship Id="rId334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14" Type="http://schemas.openxmlformats.org/officeDocument/2006/relationships/hyperlink" Target="https://resources.simonelectric.com/simon-catalogo-vehiculo-electrico?utm_campaign=SIC%20-%20Veh%C3%ADculo%20El%C3%A9ctrico&amp;utm_medium=email&amp;_hsenc=p2ANqtz-_TCnAbzPzG7l24YXGvKAGoF_L1kTT1cG9AHWJIV3qIMECFkqQ2v5eVZJCGH0Gemtau2lYb&amp;_hsmi=87085363&amp;utm_content=87085363&amp;utm_source=hs_email&amp;hsCtaTracking=6fedf137-fd90-4f17-bfb4-d61f710ec7f8%7Cf2771843-6636-4969-9010-2d8d0389b89c" TargetMode="External"/><Relationship Id="rId334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15" Type="http://schemas.openxmlformats.org/officeDocument/2006/relationships/hyperlink" Target="https://resources.simonelectric.com/simon-catalogo-vehiculo-electrico?utm_campaign=SIC%20-%20Veh%C3%ADculo%20El%C3%A9ctrico&amp;utm_medium=email&amp;_hsenc=p2ANqtz-9W9I9_X2izxu-NwQFCVfELZPMO1TmgG32JOGbCdsc8s1RLVCKIERvl7BZjl1JZ0aRtJd6o&amp;_hsmi=87085302&amp;utm_content=87085302&amp;utm_source=hs_email&amp;hsCtaTracking=6fedf137-fd90-4f17-bfb4-d61f710ec7f8%7Cf2771843-6636-4969-9010-2d8d0389b89c" TargetMode="External"/><Relationship Id="rId334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49" Type="http://schemas.openxmlformats.org/officeDocument/2006/relationships/hyperlink" Target="https://resources.simonelectric.com/simon-catalogo-vehiculo-electrico?utm_campaign=SIC%20-%20Veh%C3%ADculo%20El%C3%A9ctrico&amp;utm_medium=email&amp;_hsenc=p2ANqtz--J4GSF2JYucNHoSWryG4hM54hTKjHcBTG5Bg84XfYiZ9w6x-Q7Im3Pm2dD64NXxSSg6dKM&amp;_hsmi=87085302&amp;utm_content=87085302&amp;utm_source=hs_email&amp;hsCtaTracking=6fedf137-fd90-4f17-bfb4-d61f710ec7f8%7Cf2771843-6636-4969-9010-2d8d0389b89c" TargetMode="External"/><Relationship Id="rId129" Type="http://schemas.openxmlformats.org/officeDocument/2006/relationships/hyperlink" Target="https://resources.simonelectric.com/simon-ebook-vehiculo-electrico?utm_campaign=SIC%20-%20Veh%C3%ADculo%20El%C3%A9ctrico&amp;utm_medium=email&amp;_hsmi=71033675&amp;_hsenc=p2ANqtz-_qO_Gfj6p0eeUJu7iwAhcP7jKPGqSWB9ISnB0MWlaDvHrQNCQm2VJ0YDeQ0jXzcl2zP02MRGhPe7_1W61V5bSHGb63gA&amp;utm_content=71033675&amp;utm_source=hs_automation" TargetMode="External"/><Relationship Id="rId128" Type="http://schemas.openxmlformats.org/officeDocument/2006/relationships/hyperlink" Target="https://resources.simonelectric.com/simon-catalogo-vehiculo-electrico?utm_campaign=SIC%20-%20Veh%C3%ADculo%20El%C3%A9ctrico&amp;utm_medium=email&amp;_hsmi=71034014&amp;_hsenc=p2ANqtz--0o_WIdhkx5Wfi6bxL5bcX-j7NSIppgSKNxn4fwwsADVsyTfCc8JIziMH-XGW_QD8kAqhH1AhPiiN8yvEW6-JabQn9mA&amp;utm_content=71034014&amp;utm_source=hs_automation" TargetMode="External"/><Relationship Id="rId127" Type="http://schemas.openxmlformats.org/officeDocument/2006/relationships/hyperlink" Target="https://resources.simonelectric.com/simon-ebook-vehiculo-electrico?utm_campaign=SIC%20-%20Veh%C3%ADculo%20El%C3%A9ctrico&amp;utm_medium=email&amp;_hsenc=p2ANqtz-__mMLvQWHMiQrC1gyzTnV1C-V9Rv29w7ZYQ1IDpiEqA2wAqlpFDDFom2qSZ5UeDuLxFtMsfVh_pztRzSd7GmS4o-YjXA&amp;_hsmi=71033675&amp;utm_content=71033675&amp;utm_source=hs_automation&amp;hsCtaTracking=2e94ebfc-d414-4389-870c-d2f266a9420b%7C587ac4dc-a49a-4bdc-b449-e36f5d95395b" TargetMode="External"/><Relationship Id="rId126" Type="http://schemas.openxmlformats.org/officeDocument/2006/relationships/hyperlink" Target="https://resources.simonelectric.com/simon-ebook-vehiculo-electrico?utm_campaign=SIC%20-%20Veh%C3%ADculo%20El%C3%A9ctrico&amp;utm_medium=email&amp;_hsenc=p2ANqtz-8ppoDtlQEGgkqQ3caUQOypCC0eZu8Dyg-xNPHVgBlxzaswv5gCJ_56yJDISp_PxFD-SM2awsgfJkYG9MfaLC_p2WGPiQ&amp;_hsmi=71033675&amp;utm_content=71033675&amp;utm_source=hs_automation&amp;hsCtaTracking=2e94ebfc-d414-4389-870c-d2f266a9420b%7C587ac4dc-a49a-4bdc-b449-e36f5d95395b" TargetMode="External"/><Relationship Id="rId337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40" Type="http://schemas.openxmlformats.org/officeDocument/2006/relationships/hyperlink" Target="https://resources.simonelectric.com/simon-catalogo-vehiculo-electrico?utm_campaign=SIC%20-%20Veh%C3%ADculo%20El%C3%A9ctrico&amp;utm_medium=email&amp;_hsenc=p2ANqtz--q1RPAdKZROT1nGx1Xu5UxDxXw1rOLMxTcWHGtK39CkELIqpQxkdZBoE7HFNCH1kQS9kTL&amp;_hsmi=87085363&amp;utm_content=87085363&amp;utm_source=hs_email&amp;hsCtaTracking=6fedf137-fd90-4f17-bfb4-d61f710ec7f8%7Cf2771843-6636-4969-9010-2d8d0389b89c" TargetMode="External"/><Relationship Id="rId337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1" Type="http://schemas.openxmlformats.org/officeDocument/2006/relationships/hyperlink" Target="https://resources.simonelectric.com/simon-ebook-vehiculo-electrico?utm_referrer=https%3A%2F%2Fwww.simonelectric.com%2Fblog%2Fvehiculo-electrico-instalar-punto-de-recarga-en-garaje-comunitario%3Futm_campaign%3DSIC%2520-%2520Veh%25C3%25ADculo%2520El%25C3%25A9ctrico%26utm_medium%3Demail%26_hsmi%3D71033828%26_hsenc%3Dp2ANqtz-8DYB_s2GLly-mc_jqZKiYR_as8e8XzAp9A_qiaDg_NN4yss248zxLkfg7zHkD0V6wXSsAb91_8zE8vph1lHzLUT8VQQQ%26utm_content%3D71033828%26utm_source%3Dhs_automation" TargetMode="External"/><Relationship Id="rId2041" Type="http://schemas.openxmlformats.org/officeDocument/2006/relationships/hyperlink" Target="https://resources.simonelectric.com/simon-catalogo-vehiculo-electrico?utm_campaign=SIC%20-%20Veh%C3%ADculo%20El%C3%A9ctrico&amp;utm_medium=email&amp;_hsenc=p2ANqtz-_WuBJhvTDSPfQTl9f3Suy7W7NTymERR9o2tZPFBZFRd78NbBl30f13a_7NjVeX17tFJDYg&amp;_hsmi=87085363&amp;utm_content=87085363&amp;utm_source=hs_email&amp;hsCtaTracking=6fedf137-fd90-4f17-bfb4-d61f710ec7f8%7Cf2771843-6636-4969-9010-2d8d0389b89c" TargetMode="External"/><Relationship Id="rId337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0" Type="http://schemas.openxmlformats.org/officeDocument/2006/relationships/hyperlink" Target="https://resources.simonelectric.com/simon-ebook-vehiculo-electrico?utm_campaign=SIC%20-%20Veh%C3%ADculo%20El%C3%A9ctrico&amp;utm_medium=email&amp;_hsmi=71033675&amp;_hsenc=p2ANqtz-_BbmpaP6a343SLXAMSh8P4H7MEGnzft5Anz9nEXLQUtQEUswt1ZWJ0qk2PucniqmTMHHVhlCnv2Qvn8x7NwZlO2VeBVA&amp;utm_content=71033675&amp;utm_source=hs_automation" TargetMode="External"/><Relationship Id="rId2042" Type="http://schemas.openxmlformats.org/officeDocument/2006/relationships/hyperlink" Target="https://resources.simonelectric.com/simon-catalogo-vehiculo-electrico?utm_campaign=SIC%20-%20Veh%C3%ADculo%20El%C3%A9ctrico&amp;utm_medium=email&amp;_hsenc=p2ANqtz-92QB0SPOk_7w9RVFB-Ktj3A1m5ENfzI8xta3SWOMfiIcnHdFpgvo9lsezscDTpFeb5ZIRJ&amp;_hsmi=87085363&amp;utm_content=87085363&amp;utm_source=hs_email&amp;hsCtaTracking=6fedf137-fd90-4f17-bfb4-d61f710ec7f8%7Cf2771843-6636-4969-9010-2d8d0389b89c" TargetMode="External"/><Relationship Id="rId337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43" Type="http://schemas.openxmlformats.org/officeDocument/2006/relationships/hyperlink" Target="https://resources.simonelectric.com/simon-catalogo-vehiculo-electrico?utm_campaign=SIC%20-%20Veh%C3%ADculo%20El%C3%A9ctrico&amp;utm_medium=email&amp;_hsenc=p2ANqtz-8aIXhV8Z3fTKTbZRD5QbxW8V3ALwu-tun6pvhd-DBs9u7aYX2O1yut6ouofZ6CZ1fmIAv9&amp;_hsmi=87085302&amp;utm_content=87085302&amp;utm_source=hs_email&amp;hsCtaTracking=6fedf137-fd90-4f17-bfb4-d61f710ec7f8%7Cf2771843-6636-4969-9010-2d8d0389b89c" TargetMode="External"/><Relationship Id="rId337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44" Type="http://schemas.openxmlformats.org/officeDocument/2006/relationships/hyperlink" Target="https://resources.simonelectric.com/simon-catalogo-vehiculo-electrico?utm_campaign=SIC%20-%20Veh%C3%ADculo%20El%C3%A9ctrico&amp;utm_medium=email&amp;_hsenc=p2ANqtz--jcheYiMtAN2UUmUesmBEbl_qGpNsmKffsK8sD0NxBq2VZ5EgE-_Mm0bh_ltSYM0SPiyIf&amp;_hsmi=87085363&amp;utm_content=87085363&amp;utm_source=hs_email&amp;hsCtaTracking=6fedf137-fd90-4f17-bfb4-d61f710ec7f8%7Cf2771843-6636-4969-9010-2d8d0389b89c" TargetMode="External"/><Relationship Id="rId337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5" Type="http://schemas.openxmlformats.org/officeDocument/2006/relationships/hyperlink" Target="https://resources.simonelectric.com/simon-ebook-vehiculo-electrico?utm_campaign=SIC%20-%20Veh%C3%ADculo%20El%C3%A9ctrico&amp;utm_medium=email&amp;_hsenc=p2ANqtz--oX0MnIhLQ_IlhTp4ESZuL5O0heg2sXB-kWt72PPOhV7fuMEE1Z54XEfs-KQxXMCok8Fn9NoqDurjn7BcNA6Elyag-mUMOp2v9z8eYUzFzMuFP4hg&amp;_hsmi=71033675&amp;utm_content=71033675&amp;utm_source=hs_automation&amp;hsCtaTracking=2e94ebfc-d414-4389-870c-d2f266a9420b%7C587ac4dc-a49a-4bdc-b449-e36f5d95395b" TargetMode="External"/><Relationship Id="rId2045" Type="http://schemas.openxmlformats.org/officeDocument/2006/relationships/hyperlink" Target="https://resources.simonelectric.com/simon-catalogo-vehiculo-electrico?utm_campaign=SIC%20-%20Veh%C3%ADculo%20El%C3%A9ctrico&amp;utm_medium=email&amp;_hsenc=p2ANqtz-8cLGUTu1y9Z86cdFCvksIIzxcP2MbPVe3ti5PfPi2LgdW-mJNqULNINmopaKjNhT-ww5n-&amp;_hsmi=87085302&amp;utm_content=87085302&amp;utm_source=hs_email&amp;hsCtaTracking=6fedf137-fd90-4f17-bfb4-d61f710ec7f8%7Cf2771843-6636-4969-9010-2d8d0389b89c" TargetMode="External"/><Relationship Id="rId337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24" Type="http://schemas.openxmlformats.org/officeDocument/2006/relationships/hyperlink" Target="https://resources.simonelectric.com/simon-ebook-vehiculo-electrico?utm_campaign=SIC%20-%20Veh%C3%ADculo%20El%C3%A9ctrico&amp;utm_medium=email&amp;_hsmi=71033675&amp;_hsenc=p2ANqtz-903TRQE5q6ou38Jj0AB5QaENrpDa1KIPh7r8W-GWLIlftY57bCZm1aHXXDP0eP7wDqVJMwI3VgWf2Dsck6aO1U6feKh9FJ0uAyVKBYQ-Qvpumu_wM&amp;utm_content=71033675&amp;utm_source=hs_automation" TargetMode="External"/><Relationship Id="rId2046" Type="http://schemas.openxmlformats.org/officeDocument/2006/relationships/hyperlink" Target="https://resources.simonelectric.com/simon-catalogo-vehiculo-electrico?utm_campaign=SIC%20-%20Veh%C3%ADculo%20El%C3%A9ctrico&amp;utm_medium=email&amp;_hsenc=p2ANqtz-9YC_l0u0MN4I49JM-gy28LbAiBN1o_BXvROJUju6zMoBDOeBo8Vxf0Yx8IIbLUlZtO9d1B&amp;_hsmi=87085363&amp;utm_content=87085363&amp;utm_source=hs_email&amp;hsCtaTracking=6fedf137-fd90-4f17-bfb4-d61f710ec7f8%7Cf2771843-6636-4969-9010-2d8d0389b89c" TargetMode="External"/><Relationship Id="rId337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3" Type="http://schemas.openxmlformats.org/officeDocument/2006/relationships/hyperlink" Target="https://resources.simonelectric.com/simon-ebook-vehiculo-electrico?utm_campaign=SIC%20-%20Veh%C3%ADculo%20El%C3%A9ctrico&amp;utm_medium=email&amp;_hsenc=p2ANqtz--FAygpjC0D3Py_kRksZlFrts2W_X_C02ibEY84yA1vknPY09dWymXyRs5UUlcGHxbtXhB04aO7wIb2U9IE96OSFvZOKQ&amp;_hsmi=71033675&amp;utm_content=71033675&amp;utm_source=hs_automation&amp;hsCtaTracking=2e94ebfc-d414-4389-870c-d2f266a9420b%7C587ac4dc-a49a-4bdc-b449-e36f5d95395b" TargetMode="External"/><Relationship Id="rId2047" Type="http://schemas.openxmlformats.org/officeDocument/2006/relationships/hyperlink" Target="https://resources.simonelectric.com/simon-catalogo-vehiculo-electrico?utm_campaign=SIC%20-%20Veh%C3%ADculo%20El%C3%A9ctrico&amp;utm_medium=email&amp;_hsenc=p2ANqtz-_ZoABrpqcb6qxiiRfr2-q0lmGuffQKRIw0-EqQN8dneUZtvTDTetWt1Y8aK06KDG8l1QqV&amp;_hsmi=87085363&amp;utm_content=87085363&amp;utm_source=hs_email&amp;hsCtaTracking=6fedf137-fd90-4f17-bfb4-d61f710ec7f8%7Cf2771843-6636-4969-9010-2d8d0389b89c" TargetMode="External"/><Relationship Id="rId337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22" Type="http://schemas.openxmlformats.org/officeDocument/2006/relationships/hyperlink" Target="https://resources.simonelectric.com/simon-ebook-vehiculo-electrico?utm_campaign=SIC%20-%20Veh%C3%ADculo%20El%C3%A9ctrico&amp;utm_medium=email&amp;_hsmi=71033675&amp;_hsenc=p2ANqtz-_tYbA-KTsUZPEJCtWwgx-2SSQHudQYJqDZwUeH4S0G9NqaAGJIfEdjPtv6B0WuoizdUfg6jgd5z1yEzKEPzWWTD_yWVC9zwcDbGnn_QUrniZw8wmM&amp;utm_content=71033675&amp;utm_source=hs_automation" TargetMode="External"/><Relationship Id="rId2048" Type="http://schemas.openxmlformats.org/officeDocument/2006/relationships/hyperlink" Target="https://resources.simonelectric.com/simon-catalogo-vehiculo-electrico?utm_campaign=SIC%20-%20Veh%C3%ADculo%20El%C3%A9ctrico&amp;utm_medium=email&amp;_hsenc=p2ANqtz-_7Aj0jpd8Rl9cybzU53qCneCrjANbV7sgdi9tGA9jf0DxuDg8ZMkLrnqh9nzSmDHcKOJuc&amp;_hsmi=87085363&amp;utm_content=87085363&amp;utm_source=hs_email&amp;hsCtaTracking=6fedf137-fd90-4f17-bfb4-d61f710ec7f8%7Cf2771843-6636-4969-9010-2d8d0389b89c" TargetMode="External"/><Relationship Id="rId337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38" Type="http://schemas.openxmlformats.org/officeDocument/2006/relationships/hyperlink" Target="https://resources.simonelectric.com/simon-catalogo-vehiculo-electrico?utm_campaign=SIC%20-%20Veh%C3%ADculo%20El%C3%A9ctrico&amp;utm_medium=email&amp;_hsenc=p2ANqtz-_xaRChdtvGcdabQmU5NjEU9tJZElqKqVw-NlUYwMqMITaEuxzaMqx0J7ce2Q-Y8wyRoz85&amp;_hsmi=87085363&amp;utm_content=87085363&amp;utm_source=hs_email&amp;hsCtaTracking=6fedf137-fd90-4f17-bfb4-d61f710ec7f8%7Cf2771843-6636-4969-9010-2d8d0389b89c" TargetMode="External"/><Relationship Id="rId2039" Type="http://schemas.openxmlformats.org/officeDocument/2006/relationships/hyperlink" Target="https://resources.simonelectric.com/simon-catalogo-vehiculo-electrico?utm_campaign=SIC%20-%20Veh%C3%ADculo%20El%C3%A9ctrico&amp;utm_medium=email&amp;_hsenc=p2ANqtz--4Jec6OosDn-xooDnb_oC19dSwxv21WAZPy0GO6TlzzsxbK9MhgrofauuZguUZSTOLk4jS&amp;_hsmi=87085363&amp;utm_content=87085363&amp;utm_source=hs_email&amp;hsCtaTracking=6fedf137-fd90-4f17-bfb4-d61f710ec7f8%7Cf2771843-6636-4969-9010-2d8d0389b89c" TargetMode="External"/><Relationship Id="rId3369" Type="http://schemas.openxmlformats.org/officeDocument/2006/relationships/hyperlink" Target="https://resources.simonelectric.com/simon-ebook-vehiculo-electrico?utm_referrer=https%3A%2F%2Fwww.simonelectric.com%2Fblog%2Fel-vehiculo-electrico-elementos-principales-y-funcionamiento" TargetMode="External"/><Relationship Id="rId118" Type="http://schemas.openxmlformats.org/officeDocument/2006/relationships/hyperlink" Target="https://resources.simonelectric.com/simon-ebook-vehiculo-electrico?utm_campaign=SIC%20-%20Veh%C3%ADculo%20El%C3%A9ctrico&amp;utm_medium=email&amp;_hsmi=71033675&amp;_hsenc=p2ANqtz-9C8U52YMIrOktXzP5hQFyLWj4uWLcLeVs7f3O6XoB0rUTtHzSwvBrNsI_i72_Pxob56Sdwnct70hq5OdQj_PjNN7Lb0Q&amp;utm_content=71033675&amp;utm_source=hs_automation" TargetMode="External"/><Relationship Id="rId117" Type="http://schemas.openxmlformats.org/officeDocument/2006/relationships/hyperlink" Target="https://resources.simonelectric.com/simon-ebook-vehiculo-electrico?utm_campaign=SIC%20-%20Veh%C3%ADculo%20El%C3%A9ctrico&amp;utm_medium=email&amp;_hsenc=p2ANqtz-9pU849HTliHTpUGpObA7AO3_1QCRskZ7X0dsru9AW_dJ0i7EJuSF_SqBgQ_UgTNeXecMorze85_zHeVme-xNt0-yNvixeMdKElXGJ7EpWDaaIr1lM&amp;_hsmi=71033675&amp;utm_content=71033675&amp;utm_source=hs_automation&amp;hsCtaTracking=2e94ebfc-d414-4389-870c-d2f266a9420b%7C587ac4dc-a49a-4bdc-b449-e36f5d95395b" TargetMode="External"/><Relationship Id="rId116" Type="http://schemas.openxmlformats.org/officeDocument/2006/relationships/hyperlink" Target="https://resources.simonelectric.com/simon-ebook-vehiculo-electrico?utm_campaign=SIC%20-%20Veh%C3%ADculo%20El%C3%A9ctrico&amp;utm_medium=email&amp;_hsenc=p2ANqtz-_vS0VfeWKN9MlCqamBcHrYKdjs_0uWmDprAxPFD-4iXajmx_6W_0eJ5jGSkD1lILtQy5VmhnpbgxLHkOKJQx89VGQ2Pzj0FLuNSHAwieXKh5XFxy0&amp;_hsmi=71033675&amp;utm_content=71033675&amp;utm_source=hs_automation&amp;hsCtaTracking=2e94ebfc-d414-4389-870c-d2f266a9420b%7C587ac4dc-a49a-4bdc-b449-e36f5d95395b" TargetMode="External"/><Relationship Id="rId115" Type="http://schemas.openxmlformats.org/officeDocument/2006/relationships/hyperlink" Target="https://resources.simonelectric.com/simon-ebook-vehiculo-electrico?utm_campaign=SIC%20-%20Veh%C3%ADculo%20El%C3%A9ctrico&amp;utm_medium=email&amp;_hsenc=p2ANqtz-8v_nq8kBt3GJhCQwyd08hYzm_ZGOTy_bp4f_CEYIDG-20qrye_luJd4vw1xLse5lPQQtEVTcEMg0poyLZ03eYKF1Z5sw&amp;_hsmi=71033675&amp;utm_content=71033675&amp;utm_source=hs_automation&amp;hsCtaTracking=2e94ebfc-d414-4389-870c-d2f266a9420b%7C587ac4dc-a49a-4bdc-b449-e36f5d95395b" TargetMode="External"/><Relationship Id="rId3360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119" Type="http://schemas.openxmlformats.org/officeDocument/2006/relationships/hyperlink" Target="https://resources.simonelectric.com/simon-ebook-vehiculo-electrico?utm_campaign=SIC%20-%20Veh%C3%ADculo%20El%C3%A9ctrico&amp;utm_medium=email&amp;_hsmi=71033675&amp;_hsenc=p2ANqtz-82zBLHVfnth_vT7t6Tf-C2XXvX2qB7_64t-gsxTvi162bajTO_8gvLk8mDor6cZ6B2w2gsrkorlseWs6TwOBoCSbj6nQ&amp;utm_content=71033675&amp;utm_source=hs_automation" TargetMode="External"/><Relationship Id="rId110" Type="http://schemas.openxmlformats.org/officeDocument/2006/relationships/hyperlink" Target="https://resources.simonelectric.com/simon-ebook-vehiculo-electrico?utm_campaign=SIC%20-%20Veh%C3%ADculo%20El%C3%A9ctrico&amp;utm_medium=email&amp;_hsmi=71033675&amp;_hsenc=p2ANqtz-8FnhuQ7jgMFBTlLCq2_EOo8Ninf08sDMvBi-6xa81OPR3Sfre2zY_X0xf2IyJjvQ4DgUtg0rQLyVOGCvy7wQX6NZN0ER7D_aNVWuhWqi86sB7WNqM&amp;utm_content=71033675&amp;utm_source=hs_automation" TargetMode="External"/><Relationship Id="rId2030" Type="http://schemas.openxmlformats.org/officeDocument/2006/relationships/hyperlink" Target="https://resources.simonelectric.com/simon-catalogo-vehiculo-electrico?utm_campaign=SIC%20-%20Veh%C3%ADculo%20El%C3%A9ctrico&amp;utm_medium=email&amp;_hsmi=87085302&amp;_hsenc=p2ANqtz-9z6G9sO8f-lis4kggAIo2YGjclrjLTaP8jTC6pUAItTyy3-bVXv1abE9tpEANxbrsYBqxO&amp;utm_content=87085302&amp;utm_source=hs_email" TargetMode="External"/><Relationship Id="rId336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031" Type="http://schemas.openxmlformats.org/officeDocument/2006/relationships/hyperlink" Target="https://resources.simonelectric.com/simon-catalogo-vehiculo-electrico?utm_campaign=SIC%20-%20Veh%C3%ADculo%20El%C3%A9ctrico&amp;utm_medium=email&amp;_hsenc=p2ANqtz-_x36tKJFaoDUzAz4V5-ByyKsRSvjGNVX-8hQQLH4RxDcV4W3Lquv-_Wr7V3d4RbT54Ni2T&amp;_hsmi=87085363&amp;utm_content=87085363&amp;utm_source=hs_email&amp;hsCtaTracking=6fedf137-fd90-4f17-bfb4-d61f710ec7f8%7Cf2771843-6636-4969-9010-2d8d0389b89c" TargetMode="External"/><Relationship Id="rId3361" Type="http://schemas.openxmlformats.org/officeDocument/2006/relationships/hyperlink" Target="https://resources.simonelectric.com/simon-catalogo-vehiculo-electrico?__hstc=83084745.9986e994004105b7617c5fb0bc38d2b8.1522925215301.1583310795712.1583317684436.53&amp;__hssc=83084745.6.1583317684436&amp;__hsfp=3361055166" TargetMode="External"/><Relationship Id="rId2032" Type="http://schemas.openxmlformats.org/officeDocument/2006/relationships/hyperlink" Target="https://resources.simonelectric.com/simon-catalogo-vehiculo-electrico?utm_campaign=SIC%20-%20Veh%C3%ADculo%20El%C3%A9ctrico&amp;utm_medium=email&amp;_hsenc=p2ANqtz-9GBZMv13EbSu_vGTEXXDrEy5TfrvhKX7KXrpgKwNTEvu21doSp4G364kJKBBkTMWfbWqt2&amp;_hsmi=87085363&amp;utm_content=87085363&amp;utm_source=hs_email&amp;hsCtaTracking=6fedf137-fd90-4f17-bfb4-d61f710ec7f8%7Cf2771843-6636-4969-9010-2d8d0389b89c" TargetMode="External"/><Relationship Id="rId3364" Type="http://schemas.openxmlformats.org/officeDocument/2006/relationships/hyperlink" Target="https://resources.simonelectric.com/simon-ebook-vehiculo-electrico" TargetMode="External"/><Relationship Id="rId2033" Type="http://schemas.openxmlformats.org/officeDocument/2006/relationships/hyperlink" Target="https://resources.simonelectric.com/simon-catalogo-vehiculo-electrico?utm_campaign=SIC%20-%20Veh%C3%ADculo%20El%C3%A9ctrico&amp;utm_medium=email&amp;_hsenc=p2ANqtz-9b8n5mqdVxqXiK-KpV3FWareemGhvBIr3KMXSc6F3t_BKCqBJgzk2F9B1sT5uXGaiyQFNi&amp;_hsmi=87085363&amp;utm_content=87085363&amp;utm_source=hs_email&amp;hsCtaTracking=6fedf137-fd90-4f17-bfb4-d61f710ec7f8%7Cf2771843-6636-4969-9010-2d8d0389b89c" TargetMode="External"/><Relationship Id="rId3363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14" Type="http://schemas.openxmlformats.org/officeDocument/2006/relationships/hyperlink" Target="https://resources.simonelectric.com/simon-ebook-vehiculo-electrico?utm_campaign=SIC%20-%20Veh%C3%ADculo%20El%C3%A9ctrico&amp;utm_medium=email&amp;_hsmi=71033675&amp;_hsenc=p2ANqtz-8aOVFtcoG1dEx4S6puS4_bhf6lHs8dWn3NXPZzTJ1op3HhwumLeJSgzyE_JrwXexxbjm96x4RnnXwW4Wp1IrXO_sQlGdvM9f0oHIz2eibOnrdQxhs&amp;utm_content=71033675&amp;utm_source=hs_automation" TargetMode="External"/><Relationship Id="rId2034" Type="http://schemas.openxmlformats.org/officeDocument/2006/relationships/hyperlink" Target="https://resources.simonelectric.com/simon-catalogo-vehiculo-electrico?utm_campaign=SIC%20-%20Veh%C3%ADculo%20El%C3%A9ctrico&amp;utm_medium=email&amp;_hsenc=p2ANqtz-9q2IlbPnLGCLhEB0JbCJGI25vF2_TUvhcqICggVxH6qDYc-1Y_dnuhR5DGnh_PEv1ZTFER&amp;_hsmi=87085363&amp;utm_content=87085363&amp;utm_source=hs_email&amp;hsCtaTracking=6fedf137-fd90-4f17-bfb4-d61f710ec7f8%7Cf2771843-6636-4969-9010-2d8d0389b89c" TargetMode="External"/><Relationship Id="rId336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3" Type="http://schemas.openxmlformats.org/officeDocument/2006/relationships/hyperlink" Target="https://resources.simonelectric.com/simon-ebook-vehiculo-electrico?utm_campaign=SIC%20-%20Veh%C3%ADculo%20El%C3%A9ctrico&amp;utm_medium=email&amp;_hsenc=p2ANqtz-8fnFo15BIzMsxwVN_N2_yxw3Ai3CrWBk2D0d_1YI58XnuNzrWBahR4oq5H07kW8W3DDCCF7oCtHcDR7Y9GTYtV5wWpZw&amp;_hsmi=71033675&amp;utm_content=71033675&amp;utm_source=hs_automation&amp;hsCtaTracking=2e94ebfc-d414-4389-870c-d2f266a9420b%7C587ac4dc-a49a-4bdc-b449-e36f5d95395b" TargetMode="External"/><Relationship Id="rId2035" Type="http://schemas.openxmlformats.org/officeDocument/2006/relationships/hyperlink" Target="https://resources.simonelectric.com/simon-catalogo-vehiculo-electrico?utm_campaign=SIC%20-%20Veh%C3%ADculo%20El%C3%A9ctrico&amp;utm_medium=email&amp;_hsenc=p2ANqtz--4d-zN1wFyIKOrgmp7wH_PN4GazKdlgKXkzUxFIh8-Tc4ICm8cIoV7dte4_SysXCcDMtKdWDdXWiLz-0jbHQSptZz0Ocy6-bAx6a-37AQgGmJ596c&amp;utm_source=hs_email&amp;utm_content=87085363&amp;hsCtaTracking=6fedf137-fd90-4f17-bfb4-d61f710ec7f8%7Cf2771843-6636-4969-9010-2d8d0389b89c" TargetMode="External"/><Relationship Id="rId336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2" Type="http://schemas.openxmlformats.org/officeDocument/2006/relationships/hyperlink" Target="https://resources.simonelectric.com/simon-ebook-vehiculo-electrico?utm_campaign=SIC%20-%20Veh%C3%ADculo%20El%C3%A9ctrico&amp;utm_medium=email&amp;_hsenc=p2ANqtz-9AUyC9w0RayESU6VHjrNqLq2OSIFeCMkFvfE7UgApg2id6SlOu3FwJDW1CBnoLMWVQBrrEd-bDJoXPWPZ_UgbY1gIorw&amp;_hsmi=71033675&amp;utm_content=71033675&amp;utm_source=hs_automation&amp;hsCtaTracking=2e94ebfc-d414-4389-870c-d2f266a9420b%7C587ac4dc-a49a-4bdc-b449-e36f5d95395b" TargetMode="External"/><Relationship Id="rId2036" Type="http://schemas.openxmlformats.org/officeDocument/2006/relationships/hyperlink" Target="https://resources.simonelectric.com/simon-catalogo-vehiculo-electrico?utm_campaign=SIC%20-%20Veh%C3%ADculo%20El%C3%A9ctrico&amp;utm_medium=email&amp;_hsenc=p2ANqtz--0YyHB01tdrPkQkSm4UdFVOzHoWMR1y1mRl_7k--1BAvFn8_cZ4uoFWx4A02oWFV6XmYiY&amp;_hsmi=87085363&amp;utm_content=87085363&amp;utm_source=hs_email&amp;hsCtaTracking=6fedf137-fd90-4f17-bfb4-d61f710ec7f8%7Cf2771843-6636-4969-9010-2d8d0389b89c" TargetMode="External"/><Relationship Id="rId336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11" Type="http://schemas.openxmlformats.org/officeDocument/2006/relationships/hyperlink" Target="https://resources.simonelectric.com/simon-ebook-vehiculo-electrico?utm_campaign=SIC%20-%20Veh%C3%ADculo%20El%C3%A9ctrico&amp;utm_medium=email&amp;_hsenc=p2ANqtz-_4Uz_Ch7gos8Vewt384XJ518GSvadd37j4oYzNmkVsy1lVpiXIE4g_gNJKbq2p-In9W7ln6WKzhU6XTIdersXTFxjZkA&amp;_hsmi=71033675&amp;utm_content=71033675&amp;utm_source=hs_automation&amp;hsCtaTracking=2e94ebfc-d414-4389-870c-d2f266a9420b%7C587ac4dc-a49a-4bdc-b449-e36f5d95395b" TargetMode="External"/><Relationship Id="rId2037" Type="http://schemas.openxmlformats.org/officeDocument/2006/relationships/hyperlink" Target="https://resources.simonelectric.com/simon-catalogo-vehiculo-electrico?utm_campaign=SIC%20-%20Veh%C3%ADculo%20El%C3%A9ctrico&amp;utm_medium=email&amp;_hsenc=p2ANqtz--Qx-5xIU-FnCx4k5D6PH-Y8itks62iTgHkXW_h6laGJK5HC6RmW2kX69QD_5a4RxdNUDof&amp;_hsmi=87085302&amp;utm_content=87085302&amp;utm_source=hs_email&amp;hsCtaTracking=6fedf137-fd90-4f17-bfb4-d61f710ec7f8%7Cf2771843-6636-4969-9010-2d8d0389b89c" TargetMode="External"/><Relationship Id="rId336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315" Type="http://schemas.openxmlformats.org/officeDocument/2006/relationships/hyperlink" Target="https://resources.simonelectric.com/simon-ebook-vehiculo-electrico-0?utm_campaign=SIC%20-%20Veh%C3%ADculo%20El%C3%A9ctrico&amp;utm_source=hs_automation&amp;utm_medium=email&amp;utm_content=77035422&amp;_hsenc=p2ANqtz-8t1feZHYsy0SIH_0dJnnUojTcY14Hs1aHilDeva3mXG70FfG6I1YLPZtcx9XvnJKuahG2gXzWHXNfLr5PAeqUcrDfL7SxRPFt9KHDFexVw-LjTHJI&amp;_hsmi=77035422" TargetMode="External"/><Relationship Id="rId331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317" Type="http://schemas.openxmlformats.org/officeDocument/2006/relationships/hyperlink" Target="https://resources.simonelectric.com/simon-ebook-vehiculo-electrico?utm_campaign=SIC%20-%20Veh%C3%ADculo%20El%C3%A9ctrico&amp;utm_medium=email&amp;_hsenc=p2ANqtz-_V7Exx-Wy24vr_w-ZBBPCx8apSNJH5YkG9_ln1-K44SBUEsTMuvWsjfdQwL2FjQ3XTU_tFlM2auSMRyb-2eH0As8NaDQ&amp;_hsmi=84202906&amp;utm_source=hs_automation&amp;utm_content=84202906&amp;hsCtaTracking=26d36c03-e482-4ae2-bb24-a3deafd20fb4%7C767cf64e-061e-4dd8-9e07-e6256dfa595c" TargetMode="External"/><Relationship Id="rId3316" Type="http://schemas.openxmlformats.org/officeDocument/2006/relationships/hyperlink" Target="https://resources.simonelectric.com/simon-ebook-vehiculo-electrico?utm_campaign=SIC%20-%20Veh%C3%ADculo%20El%C3%A9ctrico&amp;utm_medium=email&amp;_hsenc=p2ANqtz-8rEaOLdP-xe0DMUM-U5XMkA3Till3MpB3HO5BkRKCWPYuFaC1EARQ_BAd7wmnHWvcF-DrGY35VtUEwAMrD56Vzf7Yh3w&amp;_hsmi=84202906&amp;utm_source=hs_automation&amp;utm_content=84202906&amp;hsCtaTracking=26d36c03-e482-4ae2-bb24-a3deafd20fb4%7C767cf64e-061e-4dd8-9e07-e6256dfa595c" TargetMode="External"/><Relationship Id="rId3319" Type="http://schemas.openxmlformats.org/officeDocument/2006/relationships/hyperlink" Target="https://resources.simonelectric.com/simon-ebook-vehiculo-electrico?utm_campaign=SIC%20-%20Veh%C3%ADculo%20El%C3%A9ctrico&amp;utm_medium=email&amp;_hsenc=p2ANqtz-8WKkfZ49zpZwGzVmTxJh37CYggRp-uyTQohR1fGiEcbnzUZLyLaE3mi5Q1QZVf9E9lbnRfNBW5vgvEQ1Vr-UETzEjGtg&amp;_hsmi=84202906&amp;utm_source=hs_automation&amp;utm_content=84202906&amp;hsCtaTracking=26d36c03-e482-4ae2-bb24-a3deafd20fb4%7C767cf64e-061e-4dd8-9e07-e6256dfa595c" TargetMode="External"/><Relationship Id="rId3318" Type="http://schemas.openxmlformats.org/officeDocument/2006/relationships/hyperlink" Target="https://resources.simonelectric.com/simon-ebook-vehiculo-electrico" TargetMode="External"/><Relationship Id="rId3311" Type="http://schemas.openxmlformats.org/officeDocument/2006/relationships/hyperlink" Target="https://resources.simonelectric.com/simon-catalogo-vehiculo-electrico?__hstc=83084745.7124acae867336999ecc222eab784e14.1583414138031.1583414138031.1583414138031.1&amp;__hssc=83084745.1.1583414138031&amp;__hsfp=1183290012" TargetMode="External"/><Relationship Id="rId331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313" Type="http://schemas.openxmlformats.org/officeDocument/2006/relationships/hyperlink" Target="https://resources.simonelectric.com/simon-ebook-vehiculo-electrico?utm_campaign=SIC%20-%20Veh%C3%ADculo%20El%C3%A9ctrico&amp;utm_medium=email&amp;_hsenc=p2ANqtz-9juXi8-NTUQvXJGYbOfB4NLJO_x0o4f_0cHzCZnjaJUiCeAIqIcZuWQKPqEB1vCtFw-LWO5TFBr-oPbB7DMLpDpXyKfg&amp;_hsmi=84202906&amp;utm_source=hs_automation&amp;utm_content=84202906&amp;hsCtaTracking=26d36c03-e482-4ae2-bb24-a3deafd20fb4%7C767cf64e-061e-4dd8-9e07-e6256dfa595c" TargetMode="External"/><Relationship Id="rId331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304" Type="http://schemas.openxmlformats.org/officeDocument/2006/relationships/hyperlink" Target="https://resources.simonelectric.com/simon-ebook-vehiculo-electrico?utm_campaign=SIC%20-%20Veh%C3%ADculo%20El%C3%A9ctrico&amp;utm_medium=email&amp;_hsenc=p2ANqtz-8Tc6Ud0fe_RxMDjaUOEEuKrp3O89g4aAs5CkP9oWcE5gTm0gJ3eOwdw6pT_aNILqAttyoOtqxZd8Bwf89hRoXUQ7CG5w&amp;_hsmi=84202906&amp;utm_source=hs_automation&amp;utm_content=84202906&amp;hsCtaTracking=26d36c03-e482-4ae2-bb24-a3deafd20fb4%7C767cf64e-061e-4dd8-9e07-e6256dfa595c" TargetMode="External"/><Relationship Id="rId330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30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30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30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30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309" Type="http://schemas.openxmlformats.org/officeDocument/2006/relationships/hyperlink" Target="https://resources.simonelectric.com/simon-material-formativo-vehiculo-electrico" TargetMode="External"/><Relationship Id="rId3300" Type="http://schemas.openxmlformats.org/officeDocument/2006/relationships/hyperlink" Target="https://resources.simonelectric.com/simon-ebook-vehiculo-electrico-0?gclid=EAIaIQobChMIqdnox-yE6AIV2OIbCh0WcQg_EAEYASAAEgI8W_D_BwE" TargetMode="External"/><Relationship Id="rId3302" Type="http://schemas.openxmlformats.org/officeDocument/2006/relationships/hyperlink" Target="https://resources.simonelectric.com/simon-ebook-vehiculo-electrico?utm_campaign=SIC%20-%20Veh%C3%ADculo%20El%C3%A9ctrico&amp;utm_medium=email&amp;_hsenc=p2ANqtz-9oUVnPRJEn9TqYJa94BrSOEhv5e_YEMX4VNBWbBgH85pZf_Qc7kjor_Tx2bGDrI81fSi7RACLCl58nxMvZMy20KY_oSQ&amp;_hsmi=84202906&amp;utm_source=hs_automation&amp;utm_content=84202906&amp;hsCtaTracking=26d36c03-e482-4ae2-bb24-a3deafd20fb4%7C767cf64e-061e-4dd8-9e07-e6256dfa595c" TargetMode="External"/><Relationship Id="rId3301" Type="http://schemas.openxmlformats.org/officeDocument/2006/relationships/hyperlink" Target="https://resources.simonelectric.com/simon-ebook-vehiculo-electrico-tw?utm_source=twitter&amp;utm_medium=social_ads&amp;utm_campaign=vehiculo_electrico" TargetMode="External"/><Relationship Id="rId2005" Type="http://schemas.openxmlformats.org/officeDocument/2006/relationships/hyperlink" Target="https://resources.simonelectric.com/simon-catalogo-vehiculo-electrico?utm_campaign=SIC%20-%20Veh%C3%ADculo%20El%C3%A9ctrico&amp;utm_medium=email&amp;_hsenc=p2ANqtz-984Iu4bSyM-8u91_Wctea0-7fwSSiLnTu_GjyCteTFw8RKjfvWvvNXWvSuBKHf7xY_8RpE&amp;_hsmi=87085363&amp;utm_content=87085363&amp;utm_source=hs_email&amp;hsCtaTracking=6fedf137-fd90-4f17-bfb4-d61f710ec7f8%7Cf2771843-6636-4969-9010-2d8d0389b89c" TargetMode="External"/><Relationship Id="rId3337" Type="http://schemas.openxmlformats.org/officeDocument/2006/relationships/hyperlink" Target="https://resources.simonelectric.com/simon-ebook-vehiculo-electrico?utm_campaign=SIC%20-%20Veh%C3%ADculo%20El%C3%A9ctrico&amp;utm_medium=email&amp;_hsenc=p2ANqtz-_JCX4PtKNI_6i4ABIi325lOH5XFhVfJnFdCWL5fTHWHwguR3s-tNnopEaqezBKdKzEig0DK2c4-OQpXH9w-jGmg0zGhmlTwDn68-RwiZz4ESrz2tE&amp;_hsmi=84202906&amp;utm_source=hs_automation&amp;utm_content=84202906&amp;hsCtaTracking=26d36c03-e482-4ae2-bb24-a3deafd20fb4%7C767cf64e-061e-4dd8-9e07-e6256dfa595c" TargetMode="External"/><Relationship Id="rId2006" Type="http://schemas.openxmlformats.org/officeDocument/2006/relationships/hyperlink" Target="https://resources.simonelectric.com/simon-catalogo-vehiculo-electrico?utm_campaign=SIC%20-%20Veh%C3%ADculo%20El%C3%A9ctrico&amp;utm_medium=email&amp;_hsenc=p2ANqtz-9pH-h56n9ThxN23a4rJ9XcWvMNxRRG4dVB4NIgOb2Q0Rl0rn7bLV_PQYzqxUxZqjfUrH0e&amp;_hsmi=87085302&amp;utm_content=87085302&amp;utm_source=hs_email&amp;hsCtaTracking=6fedf137-fd90-4f17-bfb4-d61f710ec7f8%7Cf2771843-6636-4969-9010-2d8d0389b89c" TargetMode="External"/><Relationship Id="rId3336" Type="http://schemas.openxmlformats.org/officeDocument/2006/relationships/hyperlink" Target="https://resources.simonelectric.com/simon-ebook-vehiculo-electrico?utm_campaign=SIC%20-%20Veh%C3%ADculo%20El%C3%A9ctrico&amp;utm_medium=email&amp;_hsenc=p2ANqtz-8igWbou9G9esNHxILiC8LAQVuiLLP8RSbXeFfUO8exdw_mESLU91iRdcPQjUnhQRrSFCrZ05cy9Su8y8-HO3MG-GCSww&amp;_hsmi=84202906&amp;utm_source=hs_automation&amp;utm_content=84202906&amp;hsCtaTracking=26d36c03-e482-4ae2-bb24-a3deafd20fb4%7C767cf64e-061e-4dd8-9e07-e6256dfa595c" TargetMode="External"/><Relationship Id="rId2007" Type="http://schemas.openxmlformats.org/officeDocument/2006/relationships/hyperlink" Target="https://resources.simonelectric.com/simon-catalogo-vehiculo-electrico?utm_campaign=SIC%20-%20Veh%C3%ADculo%20El%C3%A9ctrico&amp;utm_medium=email&amp;_hsenc=p2ANqtz--VZPtVZ9Pumt51U1klDC1nAN1ereTkTh8u_EEwzCtitHBvh8KwLR9EeSGNitPIO8UHBG9A&amp;_hsmi=87085363&amp;utm_content=87085363&amp;utm_source=hs_email&amp;hsCtaTracking=6fedf137-fd90-4f17-bfb4-d61f710ec7f8%7Cf2771843-6636-4969-9010-2d8d0389b89c" TargetMode="External"/><Relationship Id="rId333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008" Type="http://schemas.openxmlformats.org/officeDocument/2006/relationships/hyperlink" Target="https://resources.simonelectric.com/simon-catalogo-vehiculo-electrico?utm_campaign=SIC%20-%20Veh%C3%ADculo%20El%C3%A9ctrico&amp;utm_medium=email&amp;_hsenc=p2ANqtz--RWu17MFAmP2UzzDhlzu0GJLqQ1IVnbNEIOt-J6gqX7-FeQPrWQJMUOmxo-nSq8WlMHksz&amp;_hsmi=87085363&amp;utm_content=87085363&amp;utm_source=hs_email&amp;hsCtaTracking=6fedf137-fd90-4f17-bfb4-d61f710ec7f8%7Cf2771843-6636-4969-9010-2d8d0389b89c" TargetMode="External"/><Relationship Id="rId3338" Type="http://schemas.openxmlformats.org/officeDocument/2006/relationships/hyperlink" Target="https://resources.simonelectric.com/simon-catalogo-vehiculo-electrico?__hstc=83084745.285a19b50934ad49e94b8bede82e82b1.1580128379549.1583237174106.1583392383238.10&amp;__hssc=83084745.5.1583392383238&amp;__hsfp=137485176" TargetMode="External"/><Relationship Id="rId2009" Type="http://schemas.openxmlformats.org/officeDocument/2006/relationships/hyperlink" Target="https://resources.simonelectric.com/simon-catalogo-vehiculo-electrico?utm_campaign=SIC%20-%20Veh%C3%ADculo%20El%C3%A9ctrico&amp;utm_medium=email&amp;_hsenc=p2ANqtz--7QlIeP7sDWA_0k6gqqod6ch4AUTtZuyCxLXjxZm9wGIyYZIowyGCY30QIJBpgeQgABWLL&amp;_hsmi=87085363&amp;utm_content=87085363&amp;utm_source=hs_email&amp;hsCtaTracking=6fedf137-fd90-4f17-bfb4-d61f710ec7f8%7Cf2771843-6636-4969-9010-2d8d0389b89c" TargetMode="External"/><Relationship Id="rId3331" Type="http://schemas.openxmlformats.org/officeDocument/2006/relationships/hyperlink" Target="https://resources.simonelectric.com/simon-ebook-vehiculo-electrico-0?utm_campaign=SIC%20-%20Veh%C3%ADculo%20El%C3%A9ctrico&amp;utm_source=hs_automation&amp;utm_medium=email&amp;utm_content=84202906&amp;_hsenc=p2ANqtz-_zwaIFSCAN_svY8i5fuM1d0ljHXlQ4Blp0Enn-tMHgzIqiW4K_5guscBoKYRyUPzOqIn-Sm88ffXCBHYIWZgBxzteURw&amp;_hsmi=84202906" TargetMode="External"/><Relationship Id="rId2000" Type="http://schemas.openxmlformats.org/officeDocument/2006/relationships/hyperlink" Target="https://resources.simonelectric.com/simon-catalogo-vehiculo-electrico?utm_campaign=SIC%20-%20Veh%C3%ADculo%20El%C3%A9ctrico&amp;utm_medium=email&amp;_hsenc=p2ANqtz-_PmNfMWfW-N-lNyHNgPxsmezXx1Yq66-JVbtySNZ_znYsg_nMBCQp6IepF6hZqrvxBvoTg&amp;_hsmi=87085302&amp;utm_content=87085302&amp;utm_source=hs_email&amp;hsCtaTracking=6fedf137-fd90-4f17-bfb4-d61f710ec7f8%7Cf2771843-6636-4969-9010-2d8d0389b89c" TargetMode="External"/><Relationship Id="rId3330" Type="http://schemas.openxmlformats.org/officeDocument/2006/relationships/hyperlink" Target="https://resources.simonelectric.com/simon-ebook-vehiculo-electrico?utm_campaign=SIC%20-%20Veh%C3%ADculo%20El%C3%A9ctrico&amp;utm_medium=email&amp;_hsenc=p2ANqtz--od_lDem9t3FCtDydZjpG_KcFyptAX-WgqGu9wL2HR8ebId94oaQxl3ENynGty63amKRIoLRrEmiA-FD_Q2BG1Z2Ib3fEaD9OxfZRk2H73QHzji8w&amp;_hsmi=84202906&amp;utm_source=hs_automation&amp;utm_content=84202906&amp;hsCtaTracking=26d36c03-e482-4ae2-bb24-a3deafd20fb4%7C767cf64e-061e-4dd8-9e07-e6256dfa595c" TargetMode="External"/><Relationship Id="rId2001" Type="http://schemas.openxmlformats.org/officeDocument/2006/relationships/hyperlink" Target="https://resources.simonelectric.com/simon-catalogo-vehiculo-electrico?utm_campaign=SIC%20-%20Veh%C3%ADculo%20El%C3%A9ctrico&amp;utm_medium=email&amp;_hsenc=p2ANqtz--kDJnMZJ6nsFEXf1VJ1R58VF9XeMZrKEDL9sOtnsh4GWFal1IFF9xKN3FcYhq2leEFWyPY&amp;_hsmi=87085363&amp;utm_content=87085363&amp;utm_source=hs_email&amp;hsCtaTracking=6fedf137-fd90-4f17-bfb4-d61f710ec7f8%7Cf2771843-6636-4969-9010-2d8d0389b89c" TargetMode="External"/><Relationship Id="rId3333" Type="http://schemas.openxmlformats.org/officeDocument/2006/relationships/hyperlink" Target="https://resources.simonelectric.com/simon-ebook-vehiculo-electrico?utm_campaign=SIC%20-%20Veh%C3%ADculo%20El%C3%A9ctrico&amp;utm_medium=email&amp;_hsenc=p2ANqtz-_-stcLD6KJ2FNEkDmD7K1wxp039V3yhFI6wiWhGWJqkxZCRzcv9DqZY_qNUVDgOX1_I9n6SO0UYHEakoldMM3zaSzlYw&amp;_hsmi=84202906&amp;utm_source=hs_automation&amp;utm_content=84202906&amp;hsCtaTracking=26d36c03-e482-4ae2-bb24-a3deafd20fb4%7C767cf64e-061e-4dd8-9e07-e6256dfa595c" TargetMode="External"/><Relationship Id="rId2002" Type="http://schemas.openxmlformats.org/officeDocument/2006/relationships/hyperlink" Target="https://resources.simonelectric.com/simon-catalogo-vehiculo-electrico?utm_campaign=SIC%20-%20Veh%C3%ADculo%20El%C3%A9ctrico&amp;utm_medium=email&amp;_hsenc=p2ANqtz-8EjnKiuiL0oCE6_0VX_8abvawg2pF-31038FihQBlAcidAEeRcrP4qYRy_T0oMUoa4JhB4&amp;_hsmi=87085363&amp;utm_content=87085363&amp;utm_source=hs_email&amp;hsCtaTracking=6fedf137-fd90-4f17-bfb4-d61f710ec7f8%7Cf2771843-6636-4969-9010-2d8d0389b89c" TargetMode="External"/><Relationship Id="rId3332" Type="http://schemas.openxmlformats.org/officeDocument/2006/relationships/hyperlink" Target="https://resources.simonelectric.com/simon-ebook-vehiculo-electrico?utm_campaign=SIC%20-%20Veh%C3%ADculo%20El%C3%A9ctrico&amp;utm_medium=email&amp;_hsenc=p2ANqtz-_85Srtts-COLYXp3lP7KTmLSO6cvSEVU8dLZNcXgCUd4NQWEJwTWYUO6l5Dv3wJzUZqYBCONnyPSI1e4REgDflfYI9OPTzqOnkxKXpJX5WY5CRdp4&amp;_hsmi=84202906&amp;utm_source=hs_automation&amp;utm_content=84202906&amp;hsCtaTracking=26d36c03-e482-4ae2-bb24-a3deafd20fb4%7C767cf64e-061e-4dd8-9e07-e6256dfa595c" TargetMode="External"/><Relationship Id="rId2003" Type="http://schemas.openxmlformats.org/officeDocument/2006/relationships/hyperlink" Target="https://resources.simonelectric.com/simon-catalogo-vehiculo-electrico?utm_campaign=SIC%20-%20Veh%C3%ADculo%20El%C3%A9ctrico&amp;utm_medium=email&amp;_hsmi=87085363&amp;_hsenc=p2ANqtz-93rd2LXJ8uXJpLA_TiytxXUzrsYWtc8nH9ZR--Nq437GD0uCWM0JApOshm_xVF7ShcL8Mr&amp;utm_content=87085363&amp;utm_source=hs_email" TargetMode="External"/><Relationship Id="rId3335" Type="http://schemas.openxmlformats.org/officeDocument/2006/relationships/hyperlink" Target="https://resources.simonelectric.com/simon-ebook-vehiculo-electrico?utm_campaign=SIC%20-%20Veh%C3%ADculo%20El%C3%A9ctrico&amp;utm_medium=email&amp;_hsenc=p2ANqtz-_xlVtu5I3mf1mgNcRHxlAYT2XKCxZ1p1_EXaRCubqWy3lpd-uRiOgM5R8uHZztxDs0cs9sIqrihNuT3bYdXBd7BSeTsxPDplwrtqzzXgEZqiC62YA&amp;_hsmi=84202906&amp;utm_source=hs_automation&amp;utm_content=84202906&amp;hsCtaTracking=26d36c03-e482-4ae2-bb24-a3deafd20fb4%7C767cf64e-061e-4dd8-9e07-e6256dfa595c" TargetMode="External"/><Relationship Id="rId2004" Type="http://schemas.openxmlformats.org/officeDocument/2006/relationships/hyperlink" Target="https://resources.simonelectric.com/simon-catalogo-vehiculo-electrico?utm_campaign=SIC%20-%20Veh%C3%ADculo%20El%C3%A9ctrico&amp;utm_medium=email&amp;_hsenc=p2ANqtz-8UDFegVAgrLtfbMrf_xok8XzcrRd55GWvxiBaPoNGL6lp7PezpVOvp_gDSxIjk8PUdbca1&amp;_hsmi=87085363&amp;utm_content=87085363&amp;utm_source=hs_email&amp;hsCtaTracking=6fedf137-fd90-4f17-bfb4-d61f710ec7f8%7Cf2771843-6636-4969-9010-2d8d0389b89c" TargetMode="External"/><Relationship Id="rId3334" Type="http://schemas.openxmlformats.org/officeDocument/2006/relationships/hyperlink" Target="https://resources.simonelectric.com/simon-ebook-vehiculo-electrico?utm_campaign=SIC%20-%20Veh%C3%ADculo%20El%C3%A9ctrico&amp;utm_medium=email&amp;_hsenc=p2ANqtz-_-stcLD6KJ2FNEkDmD7K1wxp039V3yhFI6wiWhGWJqkxZCRzcv9DqZY_qNUVDgOX1_I9n6SO0UYHEakoldMM3zaSzlYw&amp;_hsmi=84202906&amp;utm_source=hs_automation&amp;utm_content=84202906&amp;hsCtaTracking=26d36c03-e482-4ae2-bb24-a3deafd20fb4%7C767cf64e-061e-4dd8-9e07-e6256dfa595c" TargetMode="External"/><Relationship Id="rId3326" Type="http://schemas.openxmlformats.org/officeDocument/2006/relationships/hyperlink" Target="https://resources.simonelectric.com/simon-ebook-vehiculo-electrico-0?utm_campaign=SIC%20-%20Veh%C3%ADculo%20El%C3%A9ctrico&amp;utm_source=hs_automation&amp;utm_medium=email&amp;utm_content=84202906&amp;_hsenc=p2ANqtz-8HoEJcFXvW5ecYRkGzJrrQUbugz5mE1cY97XsnF0f8VDWdDUbrr0Q5KCTYP_bcMUu-kygSmbjwRpiWH4WVQq7lkm8cNw&amp;_hsmi=84202906" TargetMode="External"/><Relationship Id="rId3325" Type="http://schemas.openxmlformats.org/officeDocument/2006/relationships/hyperlink" Target="https://resources.simonelectric.com/simon-ebook-vehiculo-electrico?utm_campaign=SIC%20-%20Veh%C3%ADculo%20El%C3%A9ctrico&amp;utm_medium=email&amp;_hsenc=p2ANqtz-8Ujw4-4pYC2KgUNahQd6OSgL7ma4pkwhqaCPrv_WSDDOgeYXNRnMDDeklchnuRGzisCO-sPLQVV8PPM4kvTgPs_XSV7w&amp;_hsmi=84202906&amp;utm_source=hs_automation&amp;utm_content=84202906&amp;hsCtaTracking=26d36c03-e482-4ae2-bb24-a3deafd20fb4%7C767cf64e-061e-4dd8-9e07-e6256dfa595c" TargetMode="External"/><Relationship Id="rId3328" Type="http://schemas.openxmlformats.org/officeDocument/2006/relationships/hyperlink" Target="https://resources.simonelectric.com/simon-ebook-vehiculo-electrico?utm_campaign=SIC%20-%20Veh%C3%ADculo%20El%C3%A9ctrico&amp;utm_medium=email&amp;_hsenc=p2ANqtz--od_lDem9t3FCtDydZjpG_KcFyptAX-WgqGu9wL2HR8ebId94oaQxl3ENynGty63amKRIoLRrEmiA-FD_Q2BG1Z2Ib3fEaD9OxfZRk2H73QHzji8w&amp;_hsmi=84202906&amp;utm_source=hs_automation&amp;utm_content=84202906&amp;hsCtaTracking=26d36c03-e482-4ae2-bb24-a3deafd20fb4%7C767cf64e-061e-4dd8-9e07-e6256dfa595c" TargetMode="External"/><Relationship Id="rId332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329" Type="http://schemas.openxmlformats.org/officeDocument/2006/relationships/hyperlink" Target="https://resources.simonelectric.com/simon-ebook-vehiculo-electrico?utm_campaign=SIC%20-%20Veh%C3%ADculo%20El%C3%A9ctrico&amp;utm_medium=email&amp;_hsenc=p2ANqtz-9dJoM_gGQ6YAi3yZ-Ud3NYEjrTvb1N9mHYWLwXIc3dt5HncXJttFfIPtCAW1ojOhZzimDRr5RG7tEZqmcY4vFHIvy1Sg&amp;_hsmi=84202906&amp;utm_source=hs_automation&amp;utm_content=84202906&amp;hsCtaTracking=26d36c03-e482-4ae2-bb24-a3deafd20fb4%7C767cf64e-061e-4dd8-9e07-e6256dfa595c" TargetMode="External"/><Relationship Id="rId332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32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321" Type="http://schemas.openxmlformats.org/officeDocument/2006/relationships/hyperlink" Target="https://resources.simonelectric.com/simon-ebook-vehiculo-electrico?utm_campaign=SIC%20-%20Veh%C3%ADculo%20El%C3%A9ctrico&amp;utm_medium=email&amp;_hsenc=p2ANqtz-_i3rrdknzNq0DDfhrLAgMAM5MiEODuKmG3Dm9MxoP-ycGxGxuRmlFyLdLAuXunDeOvnyZPhElSJS8fDeQkiuUd351byQ&amp;_hsmi=84202906&amp;utm_source=hs_automation&amp;utm_content=84202906&amp;hsCtaTracking=26d36c03-e482-4ae2-bb24-a3deafd20fb4%7C767cf64e-061e-4dd8-9e07-e6256dfa595c" TargetMode="External"/><Relationship Id="rId3324" Type="http://schemas.openxmlformats.org/officeDocument/2006/relationships/hyperlink" Target="https://resources.simonelectric.com/simon-ebook-vehiculo-electrico?utm_campaign=SIC%20-%20Veh%C3%ADculo%20El%C3%A9ctrico&amp;utm_medium=email&amp;_hsenc=p2ANqtz--Xs0iGp2iueL7Mae_tNvzg0vmM3VXjUopesPFHbGfceZ-OgrMR5utLXFu75pm7OIrQvKl4OFoVRRrjL3lS4usFXs-oZ1FSy0KPo02YOy7a5sOrZw0&amp;_hsmi=84202906&amp;utm_source=hs_automation&amp;utm_content=84202906&amp;hsCtaTracking=26d36c03-e482-4ae2-bb24-a3deafd20fb4%7C767cf64e-061e-4dd8-9e07-e6256dfa595c" TargetMode="External"/><Relationship Id="rId332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90" Type="http://schemas.openxmlformats.org/officeDocument/2006/relationships/hyperlink" Target="https://resources.simonelectric.com/simon-catalogo-vehiculo-electrico?utm_campaign=SIC%20-%20Veh%C3%ADculo%20El%C3%A9ctrico&amp;utm_medium=email&amp;_hsenc=p2ANqtz-8C_6HHauyDJYIK3SaJJDVzXkwkbripmQPqJTyrsIOpxE5-TWAxGo0O9nWlsI9NG5maR5Aj&amp;_hsmi=87085363&amp;utm_content=87085363&amp;utm_source=hs_email&amp;hsCtaTracking=6fedf137-fd90-4f17-bfb4-d61f710ec7f8%7Cf2771843-6636-4969-9010-2d8d0389b89c" TargetMode="External"/><Relationship Id="rId2091" Type="http://schemas.openxmlformats.org/officeDocument/2006/relationships/hyperlink" Target="https://resources.simonelectric.com/simon-catalogo-vehiculo-electrico?utm_campaign=SIC%20-%20Veh%C3%ADculo%20El%C3%A9ctrico&amp;utm_medium=email&amp;_hsenc=p2ANqtz-8yiUslYirvLwyJd5UYtpTS6irVoGti4SSvEb4ZYOZSiFT2C9UjArvfse4A48_LkJGPN6bR&amp;_hsmi=87085363&amp;utm_content=87085363&amp;utm_source=hs_email&amp;hsCtaTracking=6fedf137-fd90-4f17-bfb4-d61f710ec7f8%7Cf2771843-6636-4969-9010-2d8d0389b89c" TargetMode="External"/><Relationship Id="rId2092" Type="http://schemas.openxmlformats.org/officeDocument/2006/relationships/hyperlink" Target="https://resources.simonelectric.com/simon-catalogo-vehiculo-electrico?utm_campaign=SIC%20-%20Veh%C3%ADculo%20El%C3%A9ctrico&amp;utm_medium=email&amp;_hsenc=p2ANqtz-_A_RaPi0msoTH7qCo8fKHWdAFoedUPmzvcsG8_1qpJQC-j9j6UGpDBe2fLAlrcZO8i0rlL&amp;_hsmi=87085363&amp;utm_content=87085363&amp;utm_source=hs_email&amp;hsCtaTracking=6fedf137-fd90-4f17-bfb4-d61f710ec7f8%7Cf2771843-6636-4969-9010-2d8d0389b89c" TargetMode="External"/><Relationship Id="rId2093" Type="http://schemas.openxmlformats.org/officeDocument/2006/relationships/hyperlink" Target="https://resources.simonelectric.com/simon-catalogo-vehiculo-electrico?utm_campaign=SIC%20-%20Veh%C3%ADculo%20El%C3%A9ctrico&amp;utm_medium=email&amp;_hsenc=p2ANqtz-_jsJKkubFoWVeDZEh5inmgu9GIARrvPkbiOxYQhf5NUW1E_YIQDB63L-nhGbbd4BBjDEDv&amp;_hsmi=87085302&amp;utm_content=87085302&amp;utm_source=hs_email&amp;hsCtaTracking=6fedf137-fd90-4f17-bfb4-d61f710ec7f8%7Cf2771843-6636-4969-9010-2d8d0389b89c" TargetMode="External"/><Relationship Id="rId2094" Type="http://schemas.openxmlformats.org/officeDocument/2006/relationships/hyperlink" Target="https://resources.simonelectric.com/simon-catalogo-vehiculo-electrico?utm_campaign=SIC%20-%20Veh%C3%ADculo%20El%C3%A9ctrico&amp;utm_medium=email&amp;_hsenc=p2ANqtz--zCwAcvrJg9rp69pCRqqGZSFMELulXUgXD0NH5ZQxI4AOFYwbyq1-iiLx1mtehVcJs3Hcr&amp;_hsmi=87085302&amp;utm_content=87085302&amp;utm_source=hs_email&amp;hsCtaTracking=6fedf137-fd90-4f17-bfb4-d61f710ec7f8%7Cf2771843-6636-4969-9010-2d8d0389b89c" TargetMode="External"/><Relationship Id="rId2095" Type="http://schemas.openxmlformats.org/officeDocument/2006/relationships/hyperlink" Target="https://resources.simonelectric.com/simon-catalogo-vehiculo-electrico?utm_campaign=SIC%20-%20Veh%C3%ADculo%20El%C3%A9ctrico&amp;utm_medium=email&amp;_hsenc=p2ANqtz--qgNgyZAv1mSMYiSWFyN7JpEY9EPUhviTcMtKfDk3wWzNRDO9aXy3haul0YlQs621bJtmQ&amp;_hsmi=87085363&amp;utm_content=87085363&amp;utm_source=hs_email&amp;hsCtaTracking=6fedf137-fd90-4f17-bfb4-d61f710ec7f8%7Cf2771843-6636-4969-9010-2d8d0389b89c" TargetMode="External"/><Relationship Id="rId2096" Type="http://schemas.openxmlformats.org/officeDocument/2006/relationships/hyperlink" Target="https://resources.simonelectric.com/simon-catalogo-vehiculo-electrico?utm_campaign=SIC%20-%20Veh%C3%ADculo%20El%C3%A9ctrico&amp;utm_medium=email&amp;_hsmi=87085302&amp;_hsenc=p2ANqtz--2A11xD0gJRjYdRxAv4YSmM5M7nn6oeXOHUSiPC4Rk_a_nBmj-LHDz04FDXBk0QDscGJHC&amp;utm_content=87085302&amp;utm_source=hs_email" TargetMode="External"/><Relationship Id="rId2097" Type="http://schemas.openxmlformats.org/officeDocument/2006/relationships/hyperlink" Target="https://resources.simonelectric.com/simon-catalogo-vehiculo-electrico?utm_campaign=SIC%20-%20Veh%C3%ADculo%20El%C3%A9ctrico&amp;utm_medium=email&amp;_hsenc=p2ANqtz--Jj0a_MRfUEVkcvNe0xSwv25QzXxtYh4l2Rh3aNWlLaGNeDQH6ry6uahyf789sLWdRIL21&amp;_hsmi=87085363&amp;utm_content=87085363&amp;utm_source=hs_email&amp;hsCtaTracking=6fedf137-fd90-4f17-bfb4-d61f710ec7f8%7Cf2771843-6636-4969-9010-2d8d0389b89c" TargetMode="External"/><Relationship Id="rId2098" Type="http://schemas.openxmlformats.org/officeDocument/2006/relationships/hyperlink" Target="https://resources.simonelectric.com/simon-catalogo-vehiculo-electrico?utm_campaign=SIC%20-%20Veh%C3%ADculo%20El%C3%A9ctrico&amp;utm_medium=email&amp;_hsenc=p2ANqtz-8lt_dwbonEGNgnWjVGIHljyV0cMYc98B0WLfsbpWDZhpitr8nGofBg8U0uW0AyLVKo3Zih&amp;_hsmi=87085363&amp;utm_content=87085363&amp;utm_source=hs_email&amp;hsCtaTracking=6fedf137-fd90-4f17-bfb4-d61f710ec7f8%7Cf2771843-6636-4969-9010-2d8d0389b89c" TargetMode="External"/><Relationship Id="rId2099" Type="http://schemas.openxmlformats.org/officeDocument/2006/relationships/hyperlink" Target="https://resources.simonelectric.com/simon-catalogo-vehiculo-electrico?utm_campaign=SIC%20-%20Veh%C3%ADculo%20El%C3%A9ctrico&amp;utm_medium=email&amp;_hsmi=87085302&amp;_hsenc=p2ANqtz-9TMSMsPCFafQb1Yoo4uxW3GCo7rt6dClzw1jOIIPN84Oa0hXL4U4WuE3qeMlywXc7NX5dj&amp;utm_content=87085302&amp;utm_source=hs_email" TargetMode="External"/><Relationship Id="rId3391" Type="http://schemas.openxmlformats.org/officeDocument/2006/relationships/hyperlink" Target="https://resources.simonelectric.com/simon-ebook-vehiculo-electrico?utm_referrer=https%3A%2F%2Fwww.simonelectric.com%2Fblog%2Fvehiculo-electrico-todo-lo-que-tienes-que-saber-de-movilidad-sostenible%3Futm_campaign%3DSIC%2520-%2520Blog%2520digest%26utm_source%3Dhs_email%26utm_medium%3Demail%26utm_content%3D84126495%26_hsenc%3Dp2ANqtz-_nxJ5qEnHw8Zc_XXXlIoD2wB2BfU1KVptiZ0AONSrCWisaUPNSM_mc_JbmkMglDQWiSDz9np2IE3_FUCpyqs2ALiUyHQ%26_hsmi%3D84126495" TargetMode="External"/><Relationship Id="rId2060" Type="http://schemas.openxmlformats.org/officeDocument/2006/relationships/hyperlink" Target="https://resources.simonelectric.com/simon-catalogo-vehiculo-electrico?utm_campaign=SIC%20-%20Veh%C3%ADculo%20El%C3%A9ctrico&amp;utm_medium=email&amp;_hsenc=p2ANqtz-__-qeKC3tLqddPXKr_dYj2aRFpse6UIvHqDCd8LzfPh_qoTd78J4jvCwrBxEefy_ZFotZo&amp;_hsmi=87085302&amp;utm_content=87085302&amp;utm_source=hs_email&amp;hsCtaTracking=6fedf137-fd90-4f17-bfb4-d61f710ec7f8%7Cf2771843-6636-4969-9010-2d8d0389b89c" TargetMode="External"/><Relationship Id="rId339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61" Type="http://schemas.openxmlformats.org/officeDocument/2006/relationships/hyperlink" Target="https://resources.simonelectric.com/simon-catalogo-vehiculo-electrico?utm_campaign=SIC%20-%20Veh%C3%ADculo%20El%C3%A9ctrico&amp;utm_medium=email&amp;_hsenc=p2ANqtz-_3e4j3xwdDhcE4svZnvOouhPHfTwDaJNxJaBxELb4qiQirUb8FmVZ6e77Uzc46WAu8JxPl&amp;_hsmi=87085363&amp;utm_content=87085363&amp;utm_source=hs_email&amp;hsCtaTracking=6fedf137-fd90-4f17-bfb4-d61f710ec7f8%7Cf2771843-6636-4969-9010-2d8d0389b89c" TargetMode="External"/><Relationship Id="rId339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62" Type="http://schemas.openxmlformats.org/officeDocument/2006/relationships/hyperlink" Target="https://resources.simonelectric.com/simon-catalogo-vehiculo-electrico?utm_campaign=SIC%20-%20Veh%C3%ADculo%20El%C3%A9ctrico&amp;utm_medium=email&amp;_hsmi=87085363&amp;_hsenc=p2ANqtz-_f_YLgNbr_44lUAm_HdaUJN5I07SF2L6HheOLcDwFJZfc02s3EVFSEFN0YAPrVKrfFcpEF&amp;utm_content=87085363&amp;utm_source=hs_email" TargetMode="External"/><Relationship Id="rId3392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063" Type="http://schemas.openxmlformats.org/officeDocument/2006/relationships/hyperlink" Target="https://resources.simonelectric.com/simon-catalogo-vehiculo-electrico?utm_campaign=SIC%20-%20Veh%C3%ADculo%20El%C3%A9ctrico&amp;utm_medium=email&amp;_hsenc=p2ANqtz-8nCc6TsRGOpEQd_Y5KTGYG6Dr32fNACHIkpHpYORhReTTlR98JKkN7O6AQdsMAxCKfcrTJ&amp;_hsmi=87085363&amp;utm_content=87085363&amp;utm_source=hs_email&amp;hsCtaTracking=6fedf137-fd90-4f17-bfb4-d61f710ec7f8%7Cf2771843-6636-4969-9010-2d8d0389b89c" TargetMode="External"/><Relationship Id="rId339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64" Type="http://schemas.openxmlformats.org/officeDocument/2006/relationships/hyperlink" Target="https://resources.simonelectric.com/simon-catalogo-vehiculo-electrico?utm_campaign=SIC%20-%20Veh%C3%ADculo%20El%C3%A9ctrico&amp;utm_medium=email&amp;_hsenc=p2ANqtz--yYiDzsI5aJnHoxTTe68zZeJirLCD4RXTiVE8NCbByllmQRz5ymqxL_cdQU2A2SslLgFEE&amp;_hsmi=87085363&amp;utm_content=87085363&amp;utm_source=hs_email&amp;hsCtaTracking=6fedf137-fd90-4f17-bfb4-d61f710ec7f8%7Cf2771843-6636-4969-9010-2d8d0389b89c" TargetMode="External"/><Relationship Id="rId339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65" Type="http://schemas.openxmlformats.org/officeDocument/2006/relationships/hyperlink" Target="https://resources.simonelectric.com/simon-catalogo-vehiculo-electrico?utm_campaign=SIC%20-%20Veh%C3%ADculo%20El%C3%A9ctrico&amp;utm_medium=email&amp;_hsenc=p2ANqtz-8WBpLz9wdfRUE515ZLTWaQoREXHfTMzjHVoR8uk221CpOWFpjd6_pWqMM5xmwqKBzBC0K3&amp;_hsmi=87085363&amp;utm_content=87085363&amp;utm_source=hs_email&amp;hsCtaTracking=6fedf137-fd90-4f17-bfb4-d61f710ec7f8%7Cf2771843-6636-4969-9010-2d8d0389b89c" TargetMode="External"/><Relationship Id="rId3397" Type="http://schemas.openxmlformats.org/officeDocument/2006/relationships/hyperlink" Target="https://resources.simonelectric.com/simon-material-formativo-vehiculo-electrico" TargetMode="External"/><Relationship Id="rId2066" Type="http://schemas.openxmlformats.org/officeDocument/2006/relationships/hyperlink" Target="https://resources.simonelectric.com/simon-catalogo-vehiculo-electrico?utm_campaign=SIC%20-%20Veh%C3%ADculo%20El%C3%A9ctrico&amp;utm_medium=email&amp;_hsmi=87085302&amp;_hsenc=p2ANqtz-9PpkLehm5H80Ux8N0VMjEC87IU0tgy4_hiphPYggTuM8p1mhrwXL12zSXv1Su3Acfo2fGK&amp;utm_content=87085302&amp;utm_source=hs_email" TargetMode="External"/><Relationship Id="rId339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67" Type="http://schemas.openxmlformats.org/officeDocument/2006/relationships/hyperlink" Target="https://resources.simonelectric.com/simon-catalogo-vehiculo-electrico?utm_campaign=SIC%20-%20Veh%C3%ADculo%20El%C3%A9ctrico&amp;utm_medium=email&amp;_hsenc=p2ANqtz-9dIBkSJrpKKrWXoRNgP33UEE_Wl730Lkwinuc4QbrG1A7wbk8nIhFfGjTQeZCHdRChJ7WN&amp;_hsmi=87085363&amp;utm_content=87085363&amp;utm_source=hs_email&amp;hsCtaTracking=6fedf137-fd90-4f17-bfb4-d61f710ec7f8%7Cf2771843-6636-4969-9010-2d8d0389b89c" TargetMode="External"/><Relationship Id="rId339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68" Type="http://schemas.openxmlformats.org/officeDocument/2006/relationships/hyperlink" Target="https://resources.simonelectric.com/simon-catalogo-vehiculo-electrico?utm_campaign=SIC%20-%20Veh%C3%ADculo%20El%C3%A9ctrico&amp;utm_medium=email&amp;_hsmi=87085302&amp;_hsenc=p2ANqtz-8gmeWz1QQHSZq4S7nY41vTq6T2Xu5NtCmi6gP7Igm-EIceWQgs2W25nKoK42sL1Q3VrSxr&amp;utm_content=87085302&amp;utm_source=hs_email" TargetMode="External"/><Relationship Id="rId339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69" Type="http://schemas.openxmlformats.org/officeDocument/2006/relationships/hyperlink" Target="https://resources.simonelectric.com/simon-catalogo-vehiculo-electrico?utm_campaign=SIC%20-%20Veh%C3%ADculo%20El%C3%A9ctrico&amp;utm_medium=email&amp;_hsenc=p2ANqtz-9Yw1ZDHSWgdL3nUW9gBaBFRP-FiSW2wLzwV_7je35sT3WiarmqpPwnPyo94a0mSgSb0Dpx&amp;_hsmi=87085363&amp;utm_content=87085363&amp;utm_source=hs_email&amp;hsCtaTracking=6fedf137-fd90-4f17-bfb4-d61f710ec7f8%7Cf2771843-6636-4969-9010-2d8d0389b89c" TargetMode="External"/><Relationship Id="rId338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50" Type="http://schemas.openxmlformats.org/officeDocument/2006/relationships/hyperlink" Target="https://resources.simonelectric.com/simon-catalogo-vehiculo-electrico?utm_campaign=SIC%20-%20Veh%C3%ADculo%20El%C3%A9ctrico&amp;utm_medium=email&amp;_hsenc=p2ANqtz--gXK1QMHtm3o2z5eExU4irpe1X44rjNK5VaROszVgllw_rOkfPUBRfsIIbtrjWPPbljyFP&amp;_hsmi=87085363&amp;utm_content=87085363&amp;utm_source=hs_email&amp;hsCtaTracking=6fedf137-fd90-4f17-bfb4-d61f710ec7f8%7Cf2771843-6636-4969-9010-2d8d0389b89c" TargetMode="External"/><Relationship Id="rId338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51" Type="http://schemas.openxmlformats.org/officeDocument/2006/relationships/hyperlink" Target="https://resources.simonelectric.com/simon-catalogo-vehiculo-electrico?utm_campaign=SIC%20-%20Veh%C3%ADculo%20El%C3%A9ctrico&amp;utm_medium=email&amp;_hsenc=p2ANqtz-_uO7Jn00bH_QLzOGKKXEWXROGfmSAMJlAXGgf2AN-2sCizwaf95N_mFGQDjnL51ZvaBHEI&amp;_hsmi=87085363&amp;utm_content=87085363&amp;utm_source=hs_email&amp;hsCtaTracking=6fedf137-fd90-4f17-bfb4-d61f710ec7f8%7Cf2771843-6636-4969-9010-2d8d0389b89c" TargetMode="External"/><Relationship Id="rId338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52" Type="http://schemas.openxmlformats.org/officeDocument/2006/relationships/hyperlink" Target="https://resources.simonelectric.com/simon-catalogo-vehiculo-electrico?utm_campaign=SIC%20-%20Veh%C3%ADculo%20El%C3%A9ctrico&amp;utm_medium=email&amp;_hsmi=87085363&amp;_hsenc=p2ANqtz--0TmAkCWrhvX_Tbwvm6nLy_5NpuD3JZYx_Z2UsQVRauO6PpHbeIYHl8ref4i19tbKDzXFP&amp;utm_content=87085363&amp;utm_source=hs_email" TargetMode="External"/><Relationship Id="rId338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53" Type="http://schemas.openxmlformats.org/officeDocument/2006/relationships/hyperlink" Target="https://resources.simonelectric.com/simon-catalogo-vehiculo-electrico?utm_campaign=SIC%20-%20Veh%C3%ADculo%20El%C3%A9ctrico&amp;utm_medium=email&amp;_hsenc=p2ANqtz-8jKfGPoAlUTHhQeKDQOxmboMTA6Gn1LsHj2rxlOLIo6C3QfHQqWCuEoGwvY50_5d5xHh5p&amp;_hsmi=87085302&amp;utm_content=87085302&amp;utm_source=hs_email&amp;hsCtaTracking=6fedf137-fd90-4f17-bfb4-d61f710ec7f8%7Cf2771843-6636-4969-9010-2d8d0389b89c" TargetMode="External"/><Relationship Id="rId338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54" Type="http://schemas.openxmlformats.org/officeDocument/2006/relationships/hyperlink" Target="https://resources.simonelectric.com/simon-catalogo-vehiculo-electrico?utm_campaign=SIC%20-%20Veh%C3%ADculo%20El%C3%A9ctrico&amp;utm_medium=email&amp;_hsenc=p2ANqtz-_qtANROWM4gUrsoKPBq8Tc7ZjBwhjrrHiO86SmS7atwI1BV0bAUT50MC9KqRWvct1oBLaz&amp;_hsmi=87085302&amp;utm_content=87085302&amp;utm_source=hs_email&amp;hsCtaTracking=6fedf137-fd90-4f17-bfb4-d61f710ec7f8%7Cf2771843-6636-4969-9010-2d8d0389b89c" TargetMode="External"/><Relationship Id="rId338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55" Type="http://schemas.openxmlformats.org/officeDocument/2006/relationships/hyperlink" Target="https://resources.simonelectric.com/simon-catalogo-vehiculo-electrico?utm_campaign=SIC%20-%20Veh%C3%ADculo%20El%C3%A9ctrico&amp;utm_medium=email&amp;_hsenc=p2ANqtz-81Ym5hhLgiqPBAC8-rZtVxF4sd5KDFVsNiU7svFFjddUbLkzyD-1dGY4OiU_rbU4NSPJQa&amp;_hsmi=87085363&amp;utm_content=87085363&amp;utm_source=hs_email&amp;hsCtaTracking=6fedf137-fd90-4f17-bfb4-d61f710ec7f8%7Cf2771843-6636-4969-9010-2d8d0389b89c" TargetMode="External"/><Relationship Id="rId338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56" Type="http://schemas.openxmlformats.org/officeDocument/2006/relationships/hyperlink" Target="https://resources.simonelectric.com/simon-catalogo-vehiculo-electrico?utm_campaign=SIC%20-%20Veh%C3%ADculo%20El%C3%A9ctrico&amp;utm_medium=email&amp;_hsmi=87085363&amp;_hsenc=p2ANqtz-_6fjP1Uo6m8gPsZVVosShQaMtBuUSuJaVVmI5I38UocJMH_nqo27KisM39z-hPx2H-K_l8&amp;utm_content=87085363&amp;utm_source=hs_email" TargetMode="External"/><Relationship Id="rId338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057" Type="http://schemas.openxmlformats.org/officeDocument/2006/relationships/hyperlink" Target="https://resources.simonelectric.com/simon-catalogo-vehiculo-electrico?utm_campaign=SIC%20-%20Veh%C3%ADculo%20El%C3%A9ctrico&amp;utm_medium=email&amp;_hsenc=p2ANqtz--jCvACPQZLZv_Ue_HQJCmCCJqKoIlDXsRZgqpvNVcpVwl1NW-a2s8qrRf2cV9wJmWmYHZe&amp;_hsmi=87085363&amp;utm_content=87085363&amp;utm_source=hs_email&amp;hsCtaTracking=6fedf137-fd90-4f17-bfb4-d61f710ec7f8%7Cf2771843-6636-4969-9010-2d8d0389b89c" TargetMode="External"/><Relationship Id="rId338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058" Type="http://schemas.openxmlformats.org/officeDocument/2006/relationships/hyperlink" Target="https://resources.simonelectric.com/simon-catalogo-vehiculo-electrico?utm_campaign=SIC%20-%20Veh%C3%ADculo%20El%C3%A9ctrico&amp;utm_medium=email&amp;_hsenc=p2ANqtz-_JkPtnk4y793p_VnkOe7BwyHKEz8iwectOqJDv4RxilKbiX03W4Jj01BNIjvFWrmxWj5oW&amp;_hsmi=87085363&amp;utm_content=87085363&amp;utm_source=hs_email&amp;hsCtaTracking=6fedf137-fd90-4f17-bfb4-d61f710ec7f8%7Cf2771843-6636-4969-9010-2d8d0389b89c" TargetMode="External"/><Relationship Id="rId2059" Type="http://schemas.openxmlformats.org/officeDocument/2006/relationships/hyperlink" Target="https://resources.simonelectric.com/simon-catalogo-vehiculo-electrico?utm_campaign=SIC%20-%20Veh%C3%ADculo%20El%C3%A9ctrico&amp;utm_medium=email&amp;_hsenc=p2ANqtz-8wT5p0u5VCugERqTJI0Gcm1v2j5ce9EW_SwTneOijvmJCBTxPAjJbwiGclMLct1z5N0cnQ&amp;_hsmi=87085363&amp;utm_content=87085363&amp;utm_source=hs_email&amp;hsCtaTracking=6fedf137-fd90-4f17-bfb4-d61f710ec7f8%7Cf2771843-6636-4969-9010-2d8d0389b89c" TargetMode="External"/><Relationship Id="rId3389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080" Type="http://schemas.openxmlformats.org/officeDocument/2006/relationships/hyperlink" Target="https://resources.simonelectric.com/simon-catalogo-vehiculo-electrico?utm_campaign=SIC%20-%20Veh%C3%ADculo%20El%C3%A9ctrico&amp;utm_medium=email&amp;_hsenc=p2ANqtz-8jy3MB_GBgPmlG41e2RfCmM2WkU9txXTUaBat-GgRrN00Lem0zY6oiYTzqj6iDLV_C0-cc&amp;_hsmi=87085363&amp;utm_content=87085363&amp;utm_source=hs_email&amp;hsCtaTracking=6fedf137-fd90-4f17-bfb4-d61f710ec7f8%7Cf2771843-6636-4969-9010-2d8d0389b89c" TargetMode="External"/><Relationship Id="rId2081" Type="http://schemas.openxmlformats.org/officeDocument/2006/relationships/hyperlink" Target="https://resources.simonelectric.com/simon-catalogo-vehiculo-electrico?utm_campaign=SIC%20-%20Veh%C3%ADculo%20El%C3%A9ctrico&amp;utm_medium=email&amp;_hsmi=87085363&amp;_hsenc=p2ANqtz--6W9GnVCUL1Uc1qruj17wC3VPEO4CyY2nUbqal5Hb_bLqzefI7uSMpDwvQn3dmlJ8V_rLn&amp;utm_content=87085363&amp;utm_source=hs_email" TargetMode="External"/><Relationship Id="rId2082" Type="http://schemas.openxmlformats.org/officeDocument/2006/relationships/hyperlink" Target="https://resources.simonelectric.com/simon-catalogo-vehiculo-electrico?utm_campaign=SIC%20-%20Veh%C3%ADculo%20El%C3%A9ctrico&amp;utm_medium=email&amp;_hsenc=p2ANqtz--R4_Zc4sdFNpZnhz5QofkJOd5rRiy7DsaiVoaAcY76SAgiu19ieM_Cn6xoPknJB64kfBVb&amp;_hsmi=87085302&amp;utm_content=87085302&amp;utm_source=hs_email&amp;hsCtaTracking=6fedf137-fd90-4f17-bfb4-d61f710ec7f8%7Cf2771843-6636-4969-9010-2d8d0389b89c" TargetMode="External"/><Relationship Id="rId2083" Type="http://schemas.openxmlformats.org/officeDocument/2006/relationships/hyperlink" Target="https://resources.simonelectric.com/simon-catalogo-vehiculo-electrico?utm_campaign=SIC%20-%20Veh%C3%ADculo%20El%C3%A9ctrico&amp;utm_medium=email&amp;_hsenc=p2ANqtz-_kFSsIeaj5OvvuDshJebqpE0t5AruxDX2b4ZS5bp9MKyW_UqB5_iJB5oiHiI3x36Nu_cFQ&amp;_hsmi=87085363&amp;utm_content=87085363&amp;utm_source=hs_email&amp;hsCtaTracking=6fedf137-fd90-4f17-bfb4-d61f710ec7f8%7Cf2771843-6636-4969-9010-2d8d0389b89c" TargetMode="External"/><Relationship Id="rId2084" Type="http://schemas.openxmlformats.org/officeDocument/2006/relationships/hyperlink" Target="https://resources.simonelectric.com/simon-catalogo-vehiculo-electrico?utm_campaign=SIC%20-%20Veh%C3%ADculo%20El%C3%A9ctrico&amp;utm_medium=email&amp;_hsenc=p2ANqtz-_edH9gFZH_sJUiVwtQJoTOEw6yZKHc6r3y1MJOyOMfl56Penx__Knn2yJIBW5N1GexEQP2&amp;_hsmi=87085302&amp;utm_content=87085302&amp;utm_source=hs_email&amp;hsCtaTracking=6fedf137-fd90-4f17-bfb4-d61f710ec7f8%7Cf2771843-6636-4969-9010-2d8d0389b89c" TargetMode="External"/><Relationship Id="rId2085" Type="http://schemas.openxmlformats.org/officeDocument/2006/relationships/hyperlink" Target="https://resources.simonelectric.com/simon-catalogo-vehiculo-electrico?utm_campaign=SIC%20-%20Veh%C3%ADculo%20El%C3%A9ctrico&amp;utm_medium=email&amp;_hsenc=p2ANqtz-9IkWwWya1C4cdUJtvaaLKYGd3npKDNWCdjPFUhOd-hZq3U_t2O3EMv--mkqBRKhhuJ5RYa&amp;_hsmi=87085363&amp;utm_content=87085363&amp;utm_source=hs_email&amp;hsCtaTracking=6fedf137-fd90-4f17-bfb4-d61f710ec7f8%7Cf2771843-6636-4969-9010-2d8d0389b89c" TargetMode="External"/><Relationship Id="rId2086" Type="http://schemas.openxmlformats.org/officeDocument/2006/relationships/hyperlink" Target="https://resources.simonelectric.com/simon-catalogo-vehiculo-electrico?utm_campaign=SIC%20-%20Veh%C3%ADculo%20El%C3%A9ctrico&amp;utm_medium=email&amp;_hsenc=p2ANqtz--tPc5qhlDGPhiAcvdppwV4NONJVxDfECU3vxCyDcmOj_JGbwyxtOec20ZXkwAaob_guP8_&amp;_hsmi=87085363&amp;utm_content=87085363&amp;utm_source=hs_email&amp;hsCtaTracking=6fedf137-fd90-4f17-bfb4-d61f710ec7f8%7Cf2771843-6636-4969-9010-2d8d0389b89c" TargetMode="External"/><Relationship Id="rId2087" Type="http://schemas.openxmlformats.org/officeDocument/2006/relationships/hyperlink" Target="https://resources.simonelectric.com/simon-catalogo-vehiculo-electrico?utm_campaign=SIC%20-%20Veh%C3%ADculo%20El%C3%A9ctrico&amp;utm_medium=email&amp;_hsenc=p2ANqtz--hzjMUguMoTfqmkm2syecRTobr8neJVuk5Bzg8geqnBe-vU0y7K4RWzXoz4avEjqhsRtAa&amp;_hsmi=87085363&amp;utm_content=87085363&amp;utm_source=hs_email&amp;hsCtaTracking=6fedf137-fd90-4f17-bfb4-d61f710ec7f8%7Cf2771843-6636-4969-9010-2d8d0389b89c" TargetMode="External"/><Relationship Id="rId2088" Type="http://schemas.openxmlformats.org/officeDocument/2006/relationships/hyperlink" Target="https://resources.simonelectric.com/simon-catalogo-vehiculo-electrico?utm_campaign=SIC%20-%20Veh%C3%ADculo%20El%C3%A9ctrico&amp;utm_medium=email&amp;_hsenc=p2ANqtz-_E1e6satDlH6NwII5neYEKMf1VRFT0P4zEus_kdIKkKf2oPDPus7pghGcrTqP_Po0bX8GY&amp;_hsmi=87085363&amp;utm_content=87085363&amp;utm_source=hs_email&amp;hsCtaTracking=6fedf137-fd90-4f17-bfb4-d61f710ec7f8%7Cf2771843-6636-4969-9010-2d8d0389b89c" TargetMode="External"/><Relationship Id="rId2089" Type="http://schemas.openxmlformats.org/officeDocument/2006/relationships/hyperlink" Target="https://resources.simonelectric.com/simon-catalogo-vehiculo-electrico?utm_campaign=SIC%20-%20Veh%C3%ADculo%20El%C3%A9ctrico&amp;utm_medium=email&amp;_hsenc=p2ANqtz-9LuTRLSr9XxC-URUVyTK75oM7hymhc6fURGCEqs3gr6eSG_l4jOz9N-TvWQudisX_M6zaY&amp;_hsmi=87085363&amp;utm_content=87085363&amp;utm_source=hs_email&amp;hsCtaTracking=6fedf137-fd90-4f17-bfb4-d61f710ec7f8%7Cf2771843-6636-4969-9010-2d8d0389b89c" TargetMode="External"/><Relationship Id="rId2070" Type="http://schemas.openxmlformats.org/officeDocument/2006/relationships/hyperlink" Target="https://resources.simonelectric.com/simon-catalogo-vehiculo-electrico?utm_campaign=SIC%20-%20Veh%C3%ADculo%20El%C3%A9ctrico&amp;utm_medium=email&amp;_hsenc=p2ANqtz-94BrxDdQ05ehyOffNTEFsHJJBfU0Y_JeuLL37rR0ZALZ8XmZXpEj6h8R-hx59wYicjss9F&amp;_hsmi=87085363&amp;utm_content=87085363&amp;utm_source=hs_email&amp;hsCtaTracking=6fedf137-fd90-4f17-bfb4-d61f710ec7f8%7Cf2771843-6636-4969-9010-2d8d0389b89c" TargetMode="External"/><Relationship Id="rId2071" Type="http://schemas.openxmlformats.org/officeDocument/2006/relationships/hyperlink" Target="https://resources.simonelectric.com/simon-catalogo-vehiculo-electrico?utm_campaign=SIC%20-%20Veh%C3%ADculo%20El%C3%A9ctrico&amp;utm_medium=email&amp;_hsenc=p2ANqtz--Oda4gZ9bFm7Ec3JKLpydUogrNnI8DUNjAOkAXWo7oD3O6xN9-u5e-ZBTLUEYdwdouIX6X&amp;_hsmi=87085363&amp;utm_content=87085363&amp;utm_source=hs_email&amp;hsCtaTracking=6fedf137-fd90-4f17-bfb4-d61f710ec7f8%7Cf2771843-6636-4969-9010-2d8d0389b89c" TargetMode="External"/><Relationship Id="rId2072" Type="http://schemas.openxmlformats.org/officeDocument/2006/relationships/hyperlink" Target="https://resources.simonelectric.com/simon-catalogo-vehiculo-electrico?utm_campaign=SIC%20-%20Veh%C3%ADculo%20El%C3%A9ctrico&amp;utm_medium=email&amp;_hsenc=p2ANqtz--X4s26_5b3I8EzuAJzg95MWSq1O09QVUwGgOolDVGocbc9Krsptb61E-azyVVjOE4IP-03&amp;_hsmi=87085363&amp;utm_content=87085363&amp;utm_source=hs_email&amp;hsCtaTracking=6fedf137-fd90-4f17-bfb4-d61f710ec7f8%7Cf2771843-6636-4969-9010-2d8d0389b89c" TargetMode="External"/><Relationship Id="rId2073" Type="http://schemas.openxmlformats.org/officeDocument/2006/relationships/hyperlink" Target="https://resources.simonelectric.com/simon-catalogo-vehiculo-electrico?utm_campaign=SIC%20-%20Veh%C3%ADculo%20El%C3%A9ctrico&amp;utm_medium=email&amp;_hsenc=p2ANqtz-8Q42jfStIU7R1_6NBhDahU1HgOY9QckAqUJgYgPiJnaJ0cY09BK-rtFwuATPFCRb6hOaAs&amp;_hsmi=87085363&amp;utm_content=87085363&amp;utm_source=hs_email&amp;hsCtaTracking=6fedf137-fd90-4f17-bfb4-d61f710ec7f8%7Cf2771843-6636-4969-9010-2d8d0389b89c" TargetMode="External"/><Relationship Id="rId2074" Type="http://schemas.openxmlformats.org/officeDocument/2006/relationships/hyperlink" Target="https://resources.simonelectric.com/simon-catalogo-vehiculo-electrico?utm_campaign=SIC%20-%20Veh%C3%ADculo%20El%C3%A9ctrico&amp;utm_medium=email&amp;_hsenc=p2ANqtz-94oT8aZdrNwvrgvcfxSaZrP_KaCsvmDEfkKlvK8TD54y_Cd0IuySHlkeRWiSiQXTBo0GnF&amp;_hsmi=87085363&amp;utm_content=87085363&amp;utm_source=hs_email&amp;hsCtaTracking=6fedf137-fd90-4f17-bfb4-d61f710ec7f8%7Cf2771843-6636-4969-9010-2d8d0389b89c" TargetMode="External"/><Relationship Id="rId2075" Type="http://schemas.openxmlformats.org/officeDocument/2006/relationships/hyperlink" Target="https://resources.simonelectric.com/simon-catalogo-vehiculo-electrico?utm_campaign=SIC%20-%20Veh%C3%ADculo%20El%C3%A9ctrico&amp;utm_medium=email&amp;_hsenc=p2ANqtz-8nFLzkC31-kv6rT7rnVwJHBpZnsN8sf6-qiJgUcLLgYLeFI0O-RXU6lgi2ZyD-2ikbR8g0&amp;_hsmi=87085363&amp;utm_content=87085363&amp;utm_source=hs_email&amp;hsCtaTracking=6fedf137-fd90-4f17-bfb4-d61f710ec7f8%7Cf2771843-6636-4969-9010-2d8d0389b89c" TargetMode="External"/><Relationship Id="rId2076" Type="http://schemas.openxmlformats.org/officeDocument/2006/relationships/hyperlink" Target="https://resources.simonelectric.com/simon-catalogo-vehiculo-electrico?utm_campaign=SIC%20-%20Veh%C3%ADculo%20El%C3%A9ctrico&amp;utm_medium=email&amp;_hsenc=p2ANqtz--JK1NtdpknHSLNTlBkbQXEtaF__W6mpHJqL5vS6ymtNPxpxzsDMVME8v2xEFH1m6Dc4B4c&amp;_hsmi=87085363&amp;utm_content=87085363&amp;utm_source=hs_email&amp;hsCtaTracking=6fedf137-fd90-4f17-bfb4-d61f710ec7f8%7Cf2771843-6636-4969-9010-2d8d0389b89c" TargetMode="External"/><Relationship Id="rId2077" Type="http://schemas.openxmlformats.org/officeDocument/2006/relationships/hyperlink" Target="https://resources.simonelectric.com/simon-catalogo-vehiculo-electrico?utm_campaign=SIC%20-%20Veh%C3%ADculo%20El%C3%A9ctrico&amp;utm_medium=email&amp;_hsenc=p2ANqtz-8lWVk1NRj1K3EMidtsW_yifQnY1iZHIa3xUDEGijN2Psn6s1Yc1rce1_gRJvXKsC92vbr0&amp;_hsmi=87085363&amp;utm_content=87085363&amp;utm_source=hs_email&amp;hsCtaTracking=6fedf137-fd90-4f17-bfb4-d61f710ec7f8%7Cf2771843-6636-4969-9010-2d8d0389b89c" TargetMode="External"/><Relationship Id="rId2078" Type="http://schemas.openxmlformats.org/officeDocument/2006/relationships/hyperlink" Target="https://resources.simonelectric.com/simon-catalogo-vehiculo-electrico?utm_campaign=SIC%20-%20Veh%C3%ADculo%20El%C3%A9ctrico&amp;utm_medium=email&amp;_hsenc=p2ANqtz-8ApYqAdRu26x27EHERs4JERcq7M5-Yitf0ECxzOnXdA9aawpsCz6HTeISLU4pXGPCAvkd1&amp;_hsmi=87085302&amp;utm_content=87085302&amp;utm_source=hs_email&amp;hsCtaTracking=6fedf137-fd90-4f17-bfb4-d61f710ec7f8%7Cf2771843-6636-4969-9010-2d8d0389b89c" TargetMode="External"/><Relationship Id="rId2079" Type="http://schemas.openxmlformats.org/officeDocument/2006/relationships/hyperlink" Target="https://resources.simonelectric.com/simon-catalogo-vehiculo-electrico?utm_campaign=SIC%20-%20Veh%C3%ADculo%20El%C3%A9ctrico&amp;utm_medium=email&amp;_hsenc=p2ANqtz-92oOJWrWEAIYyRKQG8PWqlv7MDzcGefrFJFI7dldXFAR-aBNxiRjfiGTnUyJqY54WDM5wY&amp;_hsmi=87085363&amp;utm_content=87085363&amp;utm_source=hs_email&amp;hsCtaTracking=6fedf137-fd90-4f17-bfb4-d61f710ec7f8%7Cf2771843-6636-4969-9010-2d8d0389b89c" TargetMode="External"/><Relationship Id="rId2940" Type="http://schemas.openxmlformats.org/officeDocument/2006/relationships/hyperlink" Target="https://resources.simonelectric.com/simon-ebook-vehiculo-electrico?utm_campaign=%23Simonentucasa&amp;utm_medium=email&amp;_hsenc=p2ANqtz-9-obMr_mbplKma0M2ldgt7WUZ1ou4fGJVTbPdLWG0seAU8AsdMmRxg86RcgPWGh2dAKJvY83jNW96GDd7R-e1p_hdn4Q&amp;_hsmi=85165037&amp;utm_source=hs_email&amp;utm_content=85165037&amp;hsCtaTracking=7e048f91-fedd-4131-939d-25771a4a2d12%7Cf6d6f061-2319-4b5b-89f8-8c89fca06239" TargetMode="External"/><Relationship Id="rId1610" Type="http://schemas.openxmlformats.org/officeDocument/2006/relationships/hyperlink" Target="https://resources.simonelectric.com/simon-catalogo-vehiculo-electrico?utm_campaign=SIC%20-%20Veh%C3%ADculo%20El%C3%A9ctrico&amp;utm_medium=email&amp;_hsenc=p2ANqtz--PTtExezCZ9MoSW4oOuz3qmnJ_fEozRQ0ftszUKC6oncR7nUK8udLjyQGVxRuOeiTCjniM&amp;_hsmi=87085363&amp;utm_content=87085363&amp;utm_source=hs_email&amp;hsCtaTracking=6fedf137-fd90-4f17-bfb4-d61f710ec7f8%7Cf2771843-6636-4969-9010-2d8d0389b89c" TargetMode="External"/><Relationship Id="rId2941" Type="http://schemas.openxmlformats.org/officeDocument/2006/relationships/hyperlink" Target="https://resources.simonelectric.com/simon-ebook-vehiculo-electrico?utm_campaign=%23Simonentucasa&amp;utm_medium=email&amp;_hsenc=p2ANqtz-8gCxKnEcLpAbWMoidq06jn119tA4ENPYp0Pi6f2-OQaBE_KR6H-i5g07BDvIdfF2yYhO045qfzwPywOyj-CVv7CraYUw&amp;_hsmi=85165037&amp;utm_source=hs_email&amp;utm_content=85165037&amp;hsCtaTracking=7e048f91-fedd-4131-939d-25771a4a2d12%7Cf6d6f061-2319-4b5b-89f8-8c89fca06239" TargetMode="External"/><Relationship Id="rId1611" Type="http://schemas.openxmlformats.org/officeDocument/2006/relationships/hyperlink" Target="https://resources.simonelectric.com/simon-catalogo-vehiculo-electrico?utm_campaign=SIC%20-%20Veh%C3%ADculo%20El%C3%A9ctrico&amp;utm_medium=email&amp;_hsenc=p2ANqtz--XYzlp0VFpp-_N0vAZHlbBHEVemEYyAlLtxXc6x1NH14ueCz7MybgVDIpbpsJzo1PJplTR&amp;_hsmi=87085363&amp;utm_content=87085363&amp;utm_source=hs_email&amp;hsCtaTracking=6fedf137-fd90-4f17-bfb4-d61f710ec7f8%7Cf2771843-6636-4969-9010-2d8d0389b89c" TargetMode="External"/><Relationship Id="rId2942" Type="http://schemas.openxmlformats.org/officeDocument/2006/relationships/hyperlink" Target="https://resources.simonelectric.com/simon-catalogo-vehiculo-electrico?__hstc=83084745.9ba2be5b0d36505b41daab79dffa7fea.1569597367881.1581320368321.1585158807808.10&amp;__hssc=83084745.2.1585158807808&amp;__hsfp=4233641954" TargetMode="External"/><Relationship Id="rId1612" Type="http://schemas.openxmlformats.org/officeDocument/2006/relationships/hyperlink" Target="https://resources.simonelectric.com/simon-catalogo-vehiculo-electrico?utm_campaign=SIC%20-%20Veh%C3%ADculo%20El%C3%A9ctrico&amp;utm_medium=email&amp;_hsenc=p2ANqtz-84Lbn-OF0b3Q2PNDIL_wqZyMk2B7xegfeNBYVjiL8zOdX37jBn_0FaHHm6UOlMUkCM7CQl&amp;_hsmi=87085363&amp;utm_content=87085363&amp;utm_source=hs_email&amp;hsCtaTracking=6fedf137-fd90-4f17-bfb4-d61f710ec7f8%7Cf2771843-6636-4969-9010-2d8d0389b89c" TargetMode="External"/><Relationship Id="rId2943" Type="http://schemas.openxmlformats.org/officeDocument/2006/relationships/hyperlink" Target="https://resources.simonelectric.com/simon-ebook-vehiculo-electrico?utm_campaign=%23Simonentucasa&amp;utm_medium=email&amp;_hsenc=p2ANqtz-8J-NulkQrLD76FwYb6pUNHaAXiBp7IzndkcZKbec-qIgpFC7gW5WLU2bfmNW0OX6KPNZCUcCAW_CYVbAJfN934PcLcsw&amp;_hsmi=85165037&amp;utm_source=hs_email&amp;utm_content=85165037&amp;hsCtaTracking=7e048f91-fedd-4131-939d-25771a4a2d12%7Cf6d6f061-2319-4b5b-89f8-8c89fca06239" TargetMode="External"/><Relationship Id="rId1613" Type="http://schemas.openxmlformats.org/officeDocument/2006/relationships/hyperlink" Target="https://resources.simonelectric.com/simon-catalogo-vehiculo-electrico?utm_campaign=SIC%20-%20Veh%C3%ADculo%20El%C3%A9ctrico&amp;utm_medium=email&amp;_hsenc=p2ANqtz-858hWemfRw5Y6h39qkz8nrSa2cJr2VBxFkTEUqcLMqSPHjzpODCgGo5CR9j29Vsw4_ajpQ&amp;_hsmi=87085363&amp;utm_content=87085363&amp;utm_source=hs_email&amp;hsCtaTracking=6fedf137-fd90-4f17-bfb4-d61f710ec7f8%7Cf2771843-6636-4969-9010-2d8d0389b89c" TargetMode="External"/><Relationship Id="rId2944" Type="http://schemas.openxmlformats.org/officeDocument/2006/relationships/hyperlink" Target="https://resources.simonelectric.com/simon-ebook-vehiculo-electrico?utm_campaign=%23Simonentucasa&amp;utm_medium=email&amp;_hsenc=p2ANqtz-9gI7NQ4RE4pQ_oEuHXMHf-DUDrRNHGlV1ALsNzgoBrJMWhWM2cX1TF099GqPsXt7PPN13wk911jNXi87VXhUgavMpEunDGDBXhtIVLmJsDD_SEcvs&amp;_hsmi=85165037&amp;utm_source=hs_email&amp;utm_content=85165037&amp;hsCtaTracking=7e048f91-fedd-4131-939d-25771a4a2d12%7Cf6d6f061-2319-4b5b-89f8-8c89fca06239" TargetMode="External"/><Relationship Id="rId1614" Type="http://schemas.openxmlformats.org/officeDocument/2006/relationships/hyperlink" Target="https://resources.simonelectric.com/simon-catalogo-vehiculo-electrico?utm_campaign=SIC%20-%20Veh%C3%ADculo%20El%C3%A9ctrico&amp;utm_medium=email&amp;_hsenc=p2ANqtz-9vGKXXeIIFij2WPtjIsB-fPwQVYbvl3dBI7GDXZchGxZRrrLhX_IuFQEdlIk1lfX9mooWA&amp;_hsmi=87085302&amp;utm_content=87085302&amp;utm_source=hs_email&amp;hsCtaTracking=6fedf137-fd90-4f17-bfb4-d61f710ec7f8%7Cf2771843-6636-4969-9010-2d8d0389b89c" TargetMode="External"/><Relationship Id="rId2945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87K2tLHLbZA5XgDDBJag2RAuWnkL2jkntqSQFr1A3GUaIqIuqRIe_6I8F7gXg8WxqS3V6u5IZjfy7tbMmNj2dPMkJssw&amp;_hsmi=85165037" TargetMode="External"/><Relationship Id="rId1615" Type="http://schemas.openxmlformats.org/officeDocument/2006/relationships/hyperlink" Target="https://resources.simonelectric.com/simon-catalogo-vehiculo-electrico?utm_campaign=SIC%20-%20Veh%C3%ADculo%20El%C3%A9ctrico&amp;utm_medium=email&amp;_hsenc=p2ANqtz-_Rd4mKPmIgOvvaIKQeiaOaGvSXCEkwXOJgaiBgptPIu9RxZbBfbWaVF9CUVmwTzjxFMAdV&amp;_hsmi=87085363&amp;utm_content=87085363&amp;utm_source=hs_email&amp;hsCtaTracking=6fedf137-fd90-4f17-bfb4-d61f710ec7f8%7Cf2771843-6636-4969-9010-2d8d0389b89c" TargetMode="External"/><Relationship Id="rId2946" Type="http://schemas.openxmlformats.org/officeDocument/2006/relationships/hyperlink" Target="https://resources.simonelectric.com/simon-ebook-vehiculo-electrico?utm_campaign=%23Simonentucasa&amp;utm_medium=email&amp;_hsenc=p2ANqtz-8D95RI0Qq5PK5yvgPVJrQj19CgpUzlqvEz_Fqgw4oXHqTbhGNL-W_fi1Z5HiBkFJW7q1ZZUH-GxzXpHhuEGbb2juKvUQ&amp;_hsmi=85165037&amp;utm_source=hs_email&amp;utm_content=85165037&amp;hsCtaTracking=7e048f91-fedd-4131-939d-25771a4a2d12%7Cf6d6f061-2319-4b5b-89f8-8c89fca06239" TargetMode="External"/><Relationship Id="rId1616" Type="http://schemas.openxmlformats.org/officeDocument/2006/relationships/hyperlink" Target="https://resources.simonelectric.com/simon-catalogo-vehiculo-electrico?utm_campaign=SIC%20-%20Veh%C3%ADculo%20El%C3%A9ctrico&amp;utm_medium=email&amp;_hsenc=p2ANqtz--QrjvRwkw5kC42zPLov3dkO7eZ21Je53vvDYpn5De_nrG_O42yESbHlnUZYMJ_IFa7V6W_&amp;_hsmi=87085302&amp;utm_content=87085302&amp;utm_source=hs_email&amp;hsCtaTracking=6fedf137-fd90-4f17-bfb4-d61f710ec7f8%7Cf2771843-6636-4969-9010-2d8d0389b89c" TargetMode="External"/><Relationship Id="rId2947" Type="http://schemas.openxmlformats.org/officeDocument/2006/relationships/hyperlink" Target="https://resources.simonelectric.com/simon-ebook-vehiculo-electrico?utm_campaign=%23Simonentucasa&amp;utm_medium=email&amp;_hsenc=p2ANqtz--hsI-a32fyQAfRNMZmzN7rd4Nse4X6SQ4pXHMCF9PJfSAbTSPunFAGEuS6QXf1mPCATlRxHtmUq51KPJ_9GNmAVZ29Ew&amp;_hsmi=85165037&amp;utm_source=hs_email&amp;utm_content=85165037&amp;hsCtaTracking=7e048f91-fedd-4131-939d-25771a4a2d12%7Cf6d6f061-2319-4b5b-89f8-8c89fca06239" TargetMode="External"/><Relationship Id="rId907" Type="http://schemas.openxmlformats.org/officeDocument/2006/relationships/hyperlink" Target="https://resources.simonelectric.com/simon-ebook-vehiculo-electrico" TargetMode="External"/><Relationship Id="rId1617" Type="http://schemas.openxmlformats.org/officeDocument/2006/relationships/hyperlink" Target="https://resources.simonelectric.com/simon-ebook-vehiculo-electrico-ppc?utm_source=facebook&amp;utm_medium=social_ads&amp;utm_campaign=vehiculo_electrico&amp;fbclid=IwAR2eMRFAhi1TDSrGROZ9Syvxn1NDLuq5cmFF57Ti6X5ESNZ5wnTlpqo2yh0" TargetMode="External"/><Relationship Id="rId2948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86o6RRUQ2btLMrhjLydmXQfGLsrO3P9zyf51ydJD1HAx-WufDR2gUZbsyG7jvg1HIhIE4hdBvgmiEDgf1IWokPCtXP177a27q-qw740ueMbbqtRcA&amp;_hsmi=85165037" TargetMode="External"/><Relationship Id="rId906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-9GbAKjrh9IBRuhywNRQqmTartvYxZd-n7x_r_ZnX7YhOGGeVtWvCfzlH-lxSC2vAks9mAY3oorT0Y6bXZ8k5WT_lAZzyI2BzcgjZnP-154Rl5_lk&amp;_hsmi=87865495" TargetMode="External"/><Relationship Id="rId1618" Type="http://schemas.openxmlformats.org/officeDocument/2006/relationships/hyperlink" Target="https://resources.simonelectric.com/simon-catalogo-vehiculo-electrico?utm_campaign=SIC%20-%20Veh%C3%ADculo%20El%C3%A9ctrico&amp;utm_medium=email&amp;_hsenc=p2ANqtz-8ba7bym8iOeTjdtC3ewyv9b8-pWmUKbLYHef0sqIA6XX2ijLJ5CZVgVkLTJobwyQKXMzhc&amp;_hsmi=87085302&amp;utm_content=87085302&amp;utm_source=hs_email&amp;hsCtaTracking=6fedf137-fd90-4f17-bfb4-d61f710ec7f8%7Cf2771843-6636-4969-9010-2d8d0389b89c" TargetMode="External"/><Relationship Id="rId2949" Type="http://schemas.openxmlformats.org/officeDocument/2006/relationships/hyperlink" Target="https://resources.simonelectric.com/simon-ebook-vehiculo-electrico?utm_campaign=%23Simonentucasa&amp;utm_medium=email&amp;_hsenc=p2ANqtz-96JoyF_6le6yXtMW4CqPai4DYNobM0PulyRdfJDABEmZx70eyTMNvtuSqQXfGcb77tIW5cOlafGINK9MCJlvuyJeJkkQ&amp;_hsmi=85165037&amp;utm_source=hs_email&amp;utm_content=85165037&amp;hsCtaTracking=7e048f91-fedd-4131-939d-25771a4a2d12%7Cf6d6f061-2319-4b5b-89f8-8c89fca06239" TargetMode="External"/><Relationship Id="rId905" Type="http://schemas.openxmlformats.org/officeDocument/2006/relationships/hyperlink" Target="https://resources.simonelectric.com/simon-catalogo-vehiculo-electrico?utm_campaign=SIC%20-%20Veh%C3%ADculo%20El%C3%A9ctrico&amp;utm_medium=email&amp;_hsenc=p2ANqtz--zzNIparTnCoLoPlzD1_-CheC1C0PGhLlLYxvcoOWM3D1BdFYA3rEAV54zpoecAI_12ZmycFLz-VGXnnqShw6WR0i4RA&amp;_hsmi=87865495&amp;utm_source=hs_automation&amp;utm_content=87865495&amp;hsCtaTracking=6fedf137-fd90-4f17-bfb4-d61f710ec7f8%7Cf2771843-6636-4969-9010-2d8d0389b89c" TargetMode="External"/><Relationship Id="rId1619" Type="http://schemas.openxmlformats.org/officeDocument/2006/relationships/hyperlink" Target="https://resources.simonelectric.com/simon-catalogo-vehiculo-electrico?utm_campaign=SIC%20-%20Veh%C3%ADculo%20El%C3%A9ctrico&amp;utm_medium=email&amp;_hsenc=p2ANqtz-9PBtgE9vmoY7lzuAyrQ8F0gAmcGcWx8a9U4kET-WNuASMCyqqR5-bhUUFTH1UbCu1X8E35&amp;_hsmi=87085363&amp;utm_content=87085363&amp;utm_source=hs_email&amp;hsCtaTracking=6fedf137-fd90-4f17-bfb4-d61f710ec7f8%7Cf2771843-6636-4969-9010-2d8d0389b89c" TargetMode="External"/><Relationship Id="rId904" Type="http://schemas.openxmlformats.org/officeDocument/2006/relationships/hyperlink" Target="https://resources.simonelectric.com/simon-ebook-vehiculo-electrico" TargetMode="External"/><Relationship Id="rId909" Type="http://schemas.openxmlformats.org/officeDocument/2006/relationships/hyperlink" Target="https://resources.simonelectric.com/simon-ebook-vehiculo-electrico" TargetMode="External"/><Relationship Id="rId908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9-2oGYkWa22s_sWcPQ5J8BiirySDrq65IbZmFA6CfXYCcDhcJMkQk3rVYNWLl7El4mDQHaLKuMHy-hVN5FRbU9A-8OMg&amp;_hsmi=87865495" TargetMode="External"/><Relationship Id="rId903" Type="http://schemas.openxmlformats.org/officeDocument/2006/relationships/hyperlink" Target="https://resources.simonelectric.com/simon-ebook-vehiculo-electrico" TargetMode="External"/><Relationship Id="rId902" Type="http://schemas.openxmlformats.org/officeDocument/2006/relationships/hyperlink" Target="https://resources.simonelectric.com/simon-ebook-vehiculo-electrico" TargetMode="External"/><Relationship Id="rId901" Type="http://schemas.openxmlformats.org/officeDocument/2006/relationships/hyperlink" Target="https://resources.simonelectric.com/simon-ebook-vehiculo-electrico" TargetMode="External"/><Relationship Id="rId900" Type="http://schemas.openxmlformats.org/officeDocument/2006/relationships/hyperlink" Target="https://resources.simonelectric.com/simon-material-formativo-vehiculo-electrico" TargetMode="External"/><Relationship Id="rId2930" Type="http://schemas.openxmlformats.org/officeDocument/2006/relationships/hyperlink" Target="https://resources.simonelectric.com/simon-catalogo-vehiculo-electrico?__hstc=83084745.1ca601ab40a9bbdf2320f0660d229681.1574092093608.1585133270723.1585218256636.62&amp;__hssc=83084745.10.1585218256636&amp;__hsfp=1737267644" TargetMode="External"/><Relationship Id="rId1600" Type="http://schemas.openxmlformats.org/officeDocument/2006/relationships/hyperlink" Target="https://resources.simonelectric.com/simon-catalogo-vehiculo-electrico?utm_campaign=SIC%20-%20Veh%C3%ADculo%20El%C3%A9ctrico&amp;utm_medium=email&amp;_hsenc=p2ANqtz-8b4oaE1b4NeNFaJ9pPSGJplnrNZAE0HPIji52egeFK48-YjUO6tC6eRA8Jw7qgsNSHUMzL&amp;_hsmi=87085363&amp;utm_content=87085363&amp;utm_source=hs_email&amp;hsCtaTracking=6fedf137-fd90-4f17-bfb4-d61f710ec7f8%7Cf2771843-6636-4969-9010-2d8d0389b89c" TargetMode="External"/><Relationship Id="rId2931" Type="http://schemas.openxmlformats.org/officeDocument/2006/relationships/hyperlink" Target="https://resources.simonelectric.com/simon-ebook-vehiculo-electrico" TargetMode="External"/><Relationship Id="rId1601" Type="http://schemas.openxmlformats.org/officeDocument/2006/relationships/hyperlink" Target="https://resources.simonelectric.com/simon-catalogo-vehiculo-electrico?utm_campaign=SIC%20-%20Veh%C3%ADculo%20El%C3%A9ctrico&amp;utm_medium=email&amp;_hsenc=p2ANqtz-8oj3Et0Up33IdiKbAEyzk2T76b2c3e5dlAO6TOJnO3mx4BbhXLze8gNK3DbsMwWgox1mlC&amp;_hsmi=87085363&amp;utm_content=87085363&amp;utm_source=hs_email&amp;hsCtaTracking=6fedf137-fd90-4f17-bfb4-d61f710ec7f8%7Cf2771843-6636-4969-9010-2d8d0389b89c" TargetMode="External"/><Relationship Id="rId2932" Type="http://schemas.openxmlformats.org/officeDocument/2006/relationships/hyperlink" Target="https://resources.simonelectric.com/simon-ebook-vehiculo-electrico?utm_campaign=SIC%20-%20Veh%C3%ADculo%20El%C3%A9ctrico&amp;utm_medium=email&amp;_hsenc=p2ANqtz-_UPPN6aPvUEj98vKwWSlmXa9lU0CjlHl73-nwCwRMaPqa6qmhJto3qgTE_Rl1GveWWRdzWdVCd7EcnVgScmASw1MvLoA&amp;_hsmi=71033675&amp;utm_source=hs_automation&amp;utm_content=71033675&amp;hsCtaTracking=2e94ebfc-d414-4389-870c-d2f266a9420b%7C587ac4dc-a49a-4bdc-b449-e36f5d95395b" TargetMode="External"/><Relationship Id="rId1602" Type="http://schemas.openxmlformats.org/officeDocument/2006/relationships/hyperlink" Target="https://resources.simonelectric.com/simon-catalogo-vehiculo-electrico?utm_campaign=SIC%20-%20Veh%C3%ADculo%20El%C3%A9ctrico&amp;utm_medium=email&amp;_hsenc=p2ANqtz-90dGi-oCZsU2cBXyTQhTA9eyk1etAzi6jInrVdG4thjSTunjo0Puu8xzBFLtxdSYfq1Dkb&amp;_hsmi=87085302&amp;utm_content=87085302&amp;utm_source=hs_email&amp;hsCtaTracking=6fedf137-fd90-4f17-bfb4-d61f710ec7f8%7Cf2771843-6636-4969-9010-2d8d0389b89c" TargetMode="External"/><Relationship Id="rId2933" Type="http://schemas.openxmlformats.org/officeDocument/2006/relationships/hyperlink" Target="https://resources.simonelectric.com/simon-ebook-vehiculo-electrico?utm_campaign=SIC%20-%20Veh%C3%ADculo%20El%C3%A9ctrico&amp;utm_medium=email&amp;_hsenc=p2ANqtz-_saG3Z4funjuMScojZiWol8AeQQOFVY-9GzDyZB0UAwfN3sH7PV9FJGdDG7Rgy87MZrJya15Sx2_egXtmOXOWx04TBaud219zXk2o9nWG0DsohaUk&amp;_hsmi=67858848&amp;utm_source=hs_automation&amp;utm_content=67858848&amp;hsCtaTracking=4ffb3aa1-677f-463b-8339-fc65a1da68db%7C5790d3b1-fbc3-4c32-a016-744222ad1cdc" TargetMode="External"/><Relationship Id="rId1603" Type="http://schemas.openxmlformats.org/officeDocument/2006/relationships/hyperlink" Target="https://resources.simonelectric.com/simon-catalogo-vehiculo-electrico?utm_campaign=SIC%20-%20Veh%C3%ADculo%20El%C3%A9ctrico&amp;utm_medium=email&amp;_hsenc=p2ANqtz-_XuAcJcpUABBEvxrRFGR93dkdVveMQzvj186t9i0PeJbqJkUIoiBJxWyh_BnqE0lQt5SlF&amp;_hsmi=87085302&amp;utm_content=87085302&amp;utm_source=hs_email&amp;hsCtaTracking=6fedf137-fd90-4f17-bfb4-d61f710ec7f8%7Cf2771843-6636-4969-9010-2d8d0389b89c" TargetMode="External"/><Relationship Id="rId2934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7GfoofDAUVRG-8nx2aXxQYP4ni96OHNgtVoqvRd9cSQCgeqCLtdwh0OVXcmjwxs8KOTayHG-D9EnO2D4uIap3q-k6sw&amp;_hsmi=85165037" TargetMode="External"/><Relationship Id="rId1604" Type="http://schemas.openxmlformats.org/officeDocument/2006/relationships/hyperlink" Target="https://resources.simonelectric.com/simon-catalogo-vehiculo-electrico?utm_campaign=SIC%20-%20Veh%C3%ADculo%20El%C3%A9ctrico&amp;utm_medium=email&amp;_hsenc=p2ANqtz-_jfLMJ6qlQyrDPYdFXoICYggUQyOYCZe0AdvrOrY4odJ0Ah2h2aOD5fmkyIqpxPIE-GitS&amp;_hsmi=87085302&amp;utm_content=87085302&amp;utm_source=hs_email&amp;hsCtaTracking=6fedf137-fd90-4f17-bfb4-d61f710ec7f8%7Cf2771843-6636-4969-9010-2d8d0389b89c" TargetMode="External"/><Relationship Id="rId2935" Type="http://schemas.openxmlformats.org/officeDocument/2006/relationships/hyperlink" Target="https://resources.simonelectric.com/simon-ebook-vehiculo-electrico?utm_campaign=%23Simonentucasa&amp;utm_medium=email&amp;_hsenc=p2ANqtz-8x1YyCmxJLrUJLVpJ8y07LSI1QLf8j-61g0vPRgl_wLVHFDWwEvQdB7vLgGYSvm7j6kINbYIbhB1jYcXQNZQv4-jkA7yQkOZmRTa5DXsOt2tnclWE&amp;_hsmi=85165037&amp;utm_source=hs_email&amp;utm_content=85165037&amp;hsCtaTracking=7e048f91-fedd-4131-939d-25771a4a2d12%7Cf6d6f061-2319-4b5b-89f8-8c89fca06239" TargetMode="External"/><Relationship Id="rId1605" Type="http://schemas.openxmlformats.org/officeDocument/2006/relationships/hyperlink" Target="https://resources.simonelectric.com/simon-catalogo-vehiculo-electrico?utm_campaign=SIC%20-%20Veh%C3%ADculo%20El%C3%A9ctrico&amp;utm_medium=email&amp;_hsenc=p2ANqtz--9926cUWvs71hyuT-YCB6DtNr08_XBrr46NAzJ8Nhm8pX9w5au_73U7_qY330dM-hddspu&amp;_hsmi=87085363&amp;utm_content=87085363&amp;utm_source=hs_email&amp;hsCtaTracking=6fedf137-fd90-4f17-bfb4-d61f710ec7f8%7Cf2771843-6636-4969-9010-2d8d0389b89c" TargetMode="External"/><Relationship Id="rId2936" Type="http://schemas.openxmlformats.org/officeDocument/2006/relationships/hyperlink" Target="https://resources.simonelectric.com/simon-ebook-vehiculo-electrico?utm_campaign=%23Simonentucasa&amp;utm_medium=email&amp;_hsenc=p2ANqtz-9OomW1pVfE0oCbq23S523XlCa2xPB2OA2PYlSJzPyITaeh1K40RPFPEv0-76DJqDyR9Y13AansYE1iC2PnxUA4-B_-Vg&amp;_hsmi=85165037&amp;utm_source=hs_email&amp;utm_content=85165037&amp;hsCtaTracking=7e048f91-fedd-4131-939d-25771a4a2d12%7Cf6d6f061-2319-4b5b-89f8-8c89fca06239" TargetMode="External"/><Relationship Id="rId1606" Type="http://schemas.openxmlformats.org/officeDocument/2006/relationships/hyperlink" Target="https://resources.simonelectric.com/simon-catalogo-vehiculo-electrico?utm_campaign=SIC%20-%20Veh%C3%ADculo%20El%C3%A9ctrico&amp;utm_medium=email&amp;_hsmi=87085363&amp;_hsenc=p2ANqtz--HFfO-LzVGtH5eWRB8pug6rcSJKHOLgSfDBqFP6JlobH9DGs6CSw-V1aVayV__gzaAQNpv&amp;utm_content=87085363&amp;utm_source=hs_email" TargetMode="External"/><Relationship Id="rId2937" Type="http://schemas.openxmlformats.org/officeDocument/2006/relationships/hyperlink" Target="https://resources.simonelectric.com/simon-ebook-vehiculo-electrico?utm_campaign=%23Simonentucasa&amp;utm_medium=email&amp;_hsenc=p2ANqtz-9hF7LJaM5z7rkmgeF5Yr8BcV89dCw5Bb-WXjgRfnKaFYia_WcWM4wpsRaS9784hhfFMwT4uiYbOzglBxoNV0KEOhtLk9vs3VogPTa15y7jvtxZq50&amp;_hsmi=85165037&amp;utm_source=hs_email&amp;utm_content=85165037&amp;hsCtaTracking=7e048f91-fedd-4131-939d-25771a4a2d12%7Cf6d6f061-2319-4b5b-89f8-8c89fca06239" TargetMode="External"/><Relationship Id="rId1607" Type="http://schemas.openxmlformats.org/officeDocument/2006/relationships/hyperlink" Target="https://resources.simonelectric.com/simon-catalogo-vehiculo-electrico?utm_campaign=SIC%20-%20Veh%C3%ADculo%20El%C3%A9ctrico&amp;utm_medium=email&amp;_hsenc=p2ANqtz-_ociPnsfobuSdNWupwBbelfKsQ6qzyTDI361YG-OBLHrp5rHVL5rCJYKqnIy-TB7dKMf5I&amp;_hsmi=87085363&amp;utm_content=87085363&amp;utm_source=hs_email&amp;hsCtaTracking=6fedf137-fd90-4f17-bfb4-d61f710ec7f8%7Cf2771843-6636-4969-9010-2d8d0389b89c" TargetMode="External"/><Relationship Id="rId2938" Type="http://schemas.openxmlformats.org/officeDocument/2006/relationships/hyperlink" Target="https://resources.simonelectric.com/simon-ebook-vehiculo-electrico-0?gclid=EAIaIQobChMItbeCod626AIV9sbjBx31-gk8EAEYASAAEgI2EvD_BwE" TargetMode="External"/><Relationship Id="rId1608" Type="http://schemas.openxmlformats.org/officeDocument/2006/relationships/hyperlink" Target="https://resources.simonelectric.com/simon-catalogo-vehiculo-electrico?utm_campaign=SIC%20-%20Veh%C3%ADculo%20El%C3%A9ctrico&amp;utm_medium=email&amp;_hsenc=p2ANqtz-9vZbR-w6gjQLagwENJ8OTxVjckkFGuwAF8uszaq9E9FCNpUp1aVll83ZrnvI5po9Vh2E8l&amp;_hsmi=87085302&amp;utm_content=87085302&amp;utm_source=hs_email&amp;hsCtaTracking=6fedf137-fd90-4f17-bfb4-d61f710ec7f8%7Cf2771843-6636-4969-9010-2d8d0389b89c" TargetMode="External"/><Relationship Id="rId2939" Type="http://schemas.openxmlformats.org/officeDocument/2006/relationships/hyperlink" Target="https://resources.simonelectric.com/simon-ebook-vehiculo-electrico?utm_campaign=%23Simonentucasa&amp;utm_medium=email&amp;_hsenc=p2ANqtz-_RRndW7yjTSUlVgK8Zv6YJ12IwdBkvqeMT0Pk0kz7E4qz6NOsUDr5rvNUtz59BU1jrvrCW-Aq1SkAdNTJh_fefUIdvsg&amp;_hsmi=85165037&amp;utm_source=hs_email&amp;utm_content=85165037&amp;hsCtaTracking=7e048f91-fedd-4131-939d-25771a4a2d12%7Cf6d6f061-2319-4b5b-89f8-8c89fca06239" TargetMode="External"/><Relationship Id="rId1609" Type="http://schemas.openxmlformats.org/officeDocument/2006/relationships/hyperlink" Target="https://resources.simonelectric.com/simon-catalogo-vehiculo-electrico?utm_campaign=SIC%20-%20Veh%C3%ADculo%20El%C3%A9ctrico&amp;utm_medium=email&amp;_hsenc=p2ANqtz-9rVAof5g96R5mHgrerkEbiMimLMjAQNWKLUeICS4NnGlKLvM_vv3h_Nzlpm90F2NDqVdQl&amp;_hsmi=87085302&amp;utm_content=87085302&amp;utm_source=hs_email&amp;hsCtaTracking=6fedf137-fd90-4f17-bfb4-d61f710ec7f8%7Cf2771843-6636-4969-9010-2d8d0389b89c" TargetMode="External"/><Relationship Id="rId1631" Type="http://schemas.openxmlformats.org/officeDocument/2006/relationships/hyperlink" Target="https://resources.simonelectric.com/simon-catalogo-vehiculo-electrico?utm_campaign=SIC%20-%20Veh%C3%ADculo%20El%C3%A9ctrico&amp;utm_medium=email&amp;_hsmi=87085302&amp;_hsenc=p2ANqtz-_NoVD08xjGhyX7wGTmPmCWmCH6FJ6qS9dRm1WMrYlWzBVtXfMDzPvdEYUccipA-Q8Qps3c&amp;utm_content=87085302&amp;utm_source=hs_email" TargetMode="External"/><Relationship Id="rId2962" Type="http://schemas.openxmlformats.org/officeDocument/2006/relationships/hyperlink" Target="https://resources.simonelectric.com/simon-ebook-vehiculo-electrico?utm_campaign=%23Simonentucasa&amp;utm_medium=email&amp;_hsenc=p2ANqtz-___o-eLxx2zdsHqNOqYDjIe_USMi3jtSEHTN9IiMx22Ni28JrtXTjF_J1JptLT2CKhVQw1ySYNmekHcj2Idwd3r3KXjg&amp;_hsmi=85165037&amp;utm_source=hs_email&amp;utm_content=85165037&amp;hsCtaTracking=7e048f91-fedd-4131-939d-25771a4a2d12%7Cf6d6f061-2319-4b5b-89f8-8c89fca06239" TargetMode="External"/><Relationship Id="rId1632" Type="http://schemas.openxmlformats.org/officeDocument/2006/relationships/hyperlink" Target="https://resources.simonelectric.com/simon-catalogo-vehiculo-electrico?utm_campaign=SIC%20-%20Veh%C3%ADculo%20El%C3%A9ctrico&amp;utm_medium=email&amp;_hsenc=p2ANqtz-8PUl6PRskVz3_FA9_GwEwAHvBwyQt3Q1AcyvLfohl0xhdnlH1Xq6vp1QWUcAuqC7V0jUkF&amp;_hsmi=87085363&amp;utm_content=87085363&amp;utm_source=hs_email&amp;hsCtaTracking=6fedf137-fd90-4f17-bfb4-d61f710ec7f8%7Cf2771843-6636-4969-9010-2d8d0389b89c" TargetMode="External"/><Relationship Id="rId2963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8u3Kqf4DYlE7MKwjN9De51xXt9s7hleze4WDXz_lPd_8QvYSNU8h7DX0_P6TQn-xeSpQB7dusMEPpJcNmWvA-7RfEOrg&amp;_hsmi=85165037" TargetMode="External"/><Relationship Id="rId1633" Type="http://schemas.openxmlformats.org/officeDocument/2006/relationships/hyperlink" Target="https://resources.simonelectric.com/simon-catalogo-vehiculo-electrico?utm_campaign=SIC%20-%20Veh%C3%ADculo%20El%C3%A9ctrico&amp;utm_medium=email&amp;_hsenc=p2ANqtz-9V5TqTzF76zLg4S25Z1PN_AElRJFyYjH9C1roZaapHMjGE16MDj2UeyDcASVkfT13UHkRG&amp;_hsmi=87085363&amp;utm_content=87085363&amp;utm_source=hs_email&amp;hsCtaTracking=6fedf137-fd90-4f17-bfb4-d61f710ec7f8%7Cf2771843-6636-4969-9010-2d8d0389b89c" TargetMode="External"/><Relationship Id="rId2964" Type="http://schemas.openxmlformats.org/officeDocument/2006/relationships/hyperlink" Target="https://resources.simonelectric.com/simon-ebook-vehiculo-electrico?utm_campaign=%23Simonentucasa&amp;utm_medium=email&amp;_hsenc=p2ANqtz-___o-eLxx2zdsHqNOqYDjIe_USMi3jtSEHTN9IiMx22Ni28JrtXTjF_J1JptLT2CKhVQw1ySYNmekHcj2Idwd3r3KXjg&amp;_hsmi=85165037&amp;utm_source=hs_email&amp;utm_content=85165037&amp;hsCtaTracking=7e048f91-fedd-4131-939d-25771a4a2d12%7Cf6d6f061-2319-4b5b-89f8-8c89fca06239" TargetMode="External"/><Relationship Id="rId1634" Type="http://schemas.openxmlformats.org/officeDocument/2006/relationships/hyperlink" Target="https://resources.simonelectric.com/simon-catalogo-vehiculo-electrico?utm_campaign=SIC%20-%20Veh%C3%ADculo%20El%C3%A9ctrico&amp;utm_medium=email&amp;_hsenc=p2ANqtz-9fbpxrrFu7WJfyeI3o85jGKV0oYzhBUmbi-jvPxDZz3sWP_8hk9W8CBIbEZR5DqEl_GqwL&amp;_hsmi=87085363&amp;utm_content=87085363&amp;utm_source=hs_email&amp;hsCtaTracking=6fedf137-fd90-4f17-bfb4-d61f710ec7f8%7Cf2771843-6636-4969-9010-2d8d0389b89c" TargetMode="External"/><Relationship Id="rId2965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8s0b_sD_qL_bXH5OUzZB-zv0sb285vBKXZFwL7f-AfzaPo1EACcRO71v4bYcTW_B4MtLQuK4TwuS6Kp80wqn3Oodz4lA&amp;_hsmi=85165037" TargetMode="External"/><Relationship Id="rId1635" Type="http://schemas.openxmlformats.org/officeDocument/2006/relationships/hyperlink" Target="https://resources.simonelectric.com/simon-catalogo-vehiculo-electrico?utm_campaign=SIC%20-%20Veh%C3%ADculo%20El%C3%A9ctrico&amp;utm_medium=email&amp;_hsenc=p2ANqtz-9I5lSkj9V9MjXP4S3bZ0MgbZQmuUk9IR-HrYfNZpu_21PVQObUN6Q4n6wKrWxwJ5eOEXr5&amp;_hsmi=87085363&amp;utm_content=87085363&amp;utm_source=hs_email&amp;hsCtaTracking=6fedf137-fd90-4f17-bfb4-d61f710ec7f8%7Cf2771843-6636-4969-9010-2d8d0389b89c" TargetMode="External"/><Relationship Id="rId2966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9OWIFlr-niXxVDRF_o7jyMc69VRud4IfZurLGc1S-plioluykJJ9e2Hy3jD_Alp1u6ZYzxCOUGiU14oWhHQJ4zvELXww&amp;_hsmi=85165037" TargetMode="External"/><Relationship Id="rId1636" Type="http://schemas.openxmlformats.org/officeDocument/2006/relationships/hyperlink" Target="https://resources.simonelectric.com/simon-catalogo-vehiculo-electrico?utm_campaign=SIC%20-%20Veh%C3%ADculo%20El%C3%A9ctrico&amp;utm_medium=email&amp;_hsenc=p2ANqtz-_-1ynjd-xMPxCgasOzMCnAtSm9pviCQO_7FeYlTrvY-TFhIR1aVA1gXceOAY9RxhOaT2Vk&amp;_hsmi=87085363&amp;utm_content=87085363&amp;utm_source=hs_email&amp;hsCtaTracking=6fedf137-fd90-4f17-bfb4-d61f710ec7f8%7Cf2771843-6636-4969-9010-2d8d0389b89c" TargetMode="External"/><Relationship Id="rId2967" Type="http://schemas.openxmlformats.org/officeDocument/2006/relationships/hyperlink" Target="https://resources.simonelectric.com/simon-ebook-vehiculo-electrico?utm_campaign=%23Simonentucasa&amp;utm_medium=email&amp;_hsenc=p2ANqtz--OAdhgE3UHZ1ajUDFRZgnpuST3MGvnVVGMbSSZBDz1XVACCBi4Scb6bed_lYYNJCeD0PbZRxzIut0nnE9T5Y8OBp3WVGvegcjPrtFFkLJ85JQd6YA&amp;_hsmi=85165037&amp;utm_source=hs_email&amp;utm_content=85165037&amp;hsCtaTracking=7e048f91-fedd-4131-939d-25771a4a2d12%7Cf6d6f061-2319-4b5b-89f8-8c89fca06239" TargetMode="External"/><Relationship Id="rId1637" Type="http://schemas.openxmlformats.org/officeDocument/2006/relationships/hyperlink" Target="https://resources.simonelectric.com/simon-catalogo-vehiculo-electrico?utm_campaign=SIC%20-%20Veh%C3%ADculo%20El%C3%A9ctrico&amp;utm_medium=email&amp;_hsenc=p2ANqtz-8ZT1v_Z5nZA3zZMpzQeDmbfpPmhkxnfQrhIg0bdwP41LYC_Qy5qqAf7SAIgJD8vPCmn7kf&amp;_hsmi=87085363&amp;utm_content=87085363&amp;utm_source=hs_email&amp;hsCtaTracking=6fedf137-fd90-4f17-bfb4-d61f710ec7f8%7Cf2771843-6636-4969-9010-2d8d0389b89c" TargetMode="External"/><Relationship Id="rId2968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FP9ZzCn7AI2ClV5eDxWmCYew-orShWVLE4r8SKfTjjrFyLEId3b4SHMqkKr6d9B-Mb53bBLkrmjueAjKBHaGccdgcbg&amp;_hsmi=85165037" TargetMode="External"/><Relationship Id="rId1638" Type="http://schemas.openxmlformats.org/officeDocument/2006/relationships/hyperlink" Target="https://resources.simonelectric.com/simon-catalogo-vehiculo-electrico?utm_campaign=SIC%20-%20Veh%C3%ADculo%20El%C3%A9ctrico&amp;utm_medium=email&amp;_hsenc=p2ANqtz-9s3ZgLzr2gECDWXCfReAWGFVr4211FHNINnq2qKtn724OlTJe3JaLwcdhOj0aEjEf8OC4q&amp;_hsmi=87085302&amp;utm_content=87085302&amp;utm_source=hs_email&amp;hsCtaTracking=6fedf137-fd90-4f17-bfb4-d61f710ec7f8%7Cf2771843-6636-4969-9010-2d8d0389b89c" TargetMode="External"/><Relationship Id="rId2969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jLmIIwtlUeGRbCjaXKUbg3rh1Rzv7ALQ4BCTkr_0EIpnU3_KS3DGUEtjqN0Ed3ov_6zT8-s2Er_x-8-okz0V9Ad8X0g&amp;_hsmi=85165037" TargetMode="External"/><Relationship Id="rId929" Type="http://schemas.openxmlformats.org/officeDocument/2006/relationships/hyperlink" Target="https://resources.simonelectric.com/simon-catalogo-vehiculo-electrico?utm_campaign=SIC%20-%20Veh%C3%ADculo%20El%C3%A9ctrico&amp;utm_medium=email&amp;_hsenc=p2ANqtz-_gh1vxy1rWr_eOiBnVBTPuEhpKWjcwKe2XCCS0rk2TT6h5o7fsRCkueuMbnROHa1lbgWEm&amp;_hsmi=87085302&amp;utm_content=87085302&amp;utm_source=hs_email&amp;hsCtaTracking=6fedf137-fd90-4f17-bfb4-d61f710ec7f8%7Cf2771843-6636-4969-9010-2d8d0389b89c" TargetMode="External"/><Relationship Id="rId1639" Type="http://schemas.openxmlformats.org/officeDocument/2006/relationships/hyperlink" Target="https://resources.simonelectric.com/simon-catalogo-vehiculo-electrico?utm_campaign=SIC%20-%20Veh%C3%ADculo%20El%C3%A9ctrico&amp;utm_medium=email&amp;_hsenc=p2ANqtz-8WE7ruMQxCJaB1I6NSweKWouoJWk-u6DY7AiQbRkFjZBwjX5PeN4wEWT5M5n7mWeG9uYjm&amp;_hsmi=87085363&amp;utm_content=87085363&amp;utm_source=hs_email&amp;hsCtaTracking=6fedf137-fd90-4f17-bfb4-d61f710ec7f8%7Cf2771843-6636-4969-9010-2d8d0389b89c" TargetMode="External"/><Relationship Id="rId928" Type="http://schemas.openxmlformats.org/officeDocument/2006/relationships/hyperlink" Target="https://resources.simonelectric.com/simon-ebook-vehiculo-electrico" TargetMode="External"/><Relationship Id="rId927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-fTDjOsJTQ97CKelKuU7s7lfV_Df6uxRAU90PraOd48KHTxr_6TIBxPlF8zFi82aj_dffrd_HRCZfR1Qghii9JTUN6mg&amp;_hsmi=71033675" TargetMode="External"/><Relationship Id="rId926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8TrLDrn3fP2W-yJmnjh5mEH1EI2QAwlPjazgClsDgwCdTXGTv4ce2qtGbuHmjgk5AcN21CVMG3zDfb7Z3l41-c_tXS5g&amp;_hsmi=71033675" TargetMode="External"/><Relationship Id="rId921" Type="http://schemas.openxmlformats.org/officeDocument/2006/relationships/hyperlink" Target="https://resources.simonelectric.com/simon-catalogo-vehiculo-electrico?utm_campaign=SIC%20-%20Veh%C3%ADculo%20El%C3%A9ctrico&amp;utm_medium=email&amp;_hsenc=p2ANqtz-9QZEdaKZH16xUhNBneTlXVfR3S1xXyjPlebH_6el2SxBUNmnRvqvDvInjheqH7_D3sxlnXoURMAyFRXdS2MSXcCjAi8w&amp;_hsmi=87865495&amp;utm_source=hs_automation&amp;utm_content=87865495&amp;hsCtaTracking=6fedf137-fd90-4f17-bfb4-d61f710ec7f8%7Cf2771843-6636-4969-9010-2d8d0389b89c" TargetMode="External"/><Relationship Id="rId920" Type="http://schemas.openxmlformats.org/officeDocument/2006/relationships/hyperlink" Target="https://resources.simonelectric.com/simon-ebook-vehiculo-electrico" TargetMode="External"/><Relationship Id="rId925" Type="http://schemas.openxmlformats.org/officeDocument/2006/relationships/hyperlink" Target="https://resources.simonelectric.com/simon-catalogo-vehiculo-electrico?utm_campaign=SIC%20-%20Veh%C3%ADculo%20El%C3%A9ctrico&amp;utm_medium=email&amp;_hsenc=p2ANqtz-9m2rZnaOiKEqgSzEmTbELV_LbWF5uRKFDKtcQdjlGWC6wcnqWpRsZAU_0bJDspKi4MLTGolmCbR285_tGzwJzoXICDIw&amp;_hsmi=87865495&amp;utm_source=hs_automation&amp;utm_content=87865495&amp;hsCtaTracking=6fedf137-fd90-4f17-bfb4-d61f710ec7f8%7Cf2771843-6636-4969-9010-2d8d0389b89c" TargetMode="External"/><Relationship Id="rId924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_PrCz_w5VYvvztWDr1Hp-6bsL--KQ5hGqmRgi4yH6J2ozbucN7tKbBl7d4tYm7xB_6wSQkQYWBjM2K8vU6TL182pB1qA&amp;_hsmi=71033675" TargetMode="External"/><Relationship Id="rId923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-gNK1uOY29-hj4phqYpr_FFoqpX9R3wZ9FnYE5p1L8THTeUU2iD2e_2r5htE-AQglJ9EyQX-JxHHp0Pqi5fYlMxDI-rw&amp;_hsmi=87865495" TargetMode="External"/><Relationship Id="rId922" Type="http://schemas.openxmlformats.org/officeDocument/2006/relationships/hyperlink" Target="https://resources.simonelectric.com/simon-material-formativo-vehiculo-electrico" TargetMode="External"/><Relationship Id="rId2960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ebDCA6nVPMpCvK5glEJWB0pXq429SRqM1ZshqrlEGQCIYxxQ6mJknN8wyvGEdnijSelKPlVeEFhrqargDwT9EXu8Vz4h0hzFdU84s3284h2bZm7A&amp;_hsmi=85165037" TargetMode="External"/><Relationship Id="rId1630" Type="http://schemas.openxmlformats.org/officeDocument/2006/relationships/hyperlink" Target="https://resources.simonelectric.com/simon-ebook-vehiculo-electrico?utm_campaign=SIC%20-%20Veh%C3%ADculo%20El%C3%A9ctrico&amp;utm_medium=email&amp;_hsenc=p2ANqtz--QC2UVWjrXrXh5j1EQaq6FWn6kzn9ZDzwZLhgZHKoQDXJlCguApmFVEiAoBn1fFQbnt55fkr0ijjjZpjIfh1tOVYKWaQ&amp;_hsmi=71033675&amp;utm_source=hs_automation&amp;utm_content=71033675&amp;hsCtaTracking=2e94ebfc-d414-4389-870c-d2f266a9420b%7C587ac4dc-a49a-4bdc-b449-e36f5d95395b" TargetMode="External"/><Relationship Id="rId2961" Type="http://schemas.openxmlformats.org/officeDocument/2006/relationships/hyperlink" Target="https://resources.simonelectric.com/simon-ebook-vehiculo-electrico?utm_campaign=%23Simonentucasa&amp;utm_medium=email&amp;_hsenc=p2ANqtz-_n73-EojNmDedDfLGspG_jDFiherlo4FtBGyzkYrTIjhcbUg7EykEuXYKcTJa7Dww0_beRjGe_tYO9Fk_1hMzvDBxly-Zmec8B4OyThyP5vNrXeeo&amp;_hsmi=85165037&amp;utm_source=hs_email&amp;utm_content=85165037&amp;hsCtaTracking=7e048f91-fedd-4131-939d-25771a4a2d12%7Cf6d6f061-2319-4b5b-89f8-8c89fca06239" TargetMode="External"/><Relationship Id="rId1620" Type="http://schemas.openxmlformats.org/officeDocument/2006/relationships/hyperlink" Target="https://resources.simonelectric.com/simon-catalogo-vehiculo-electrico?utm_campaign=SIC%20-%20Veh%C3%ADculo%20El%C3%A9ctrico&amp;utm_medium=email&amp;_hsenc=p2ANqtz--oNGlpTJPn0V2YdCMC_AJeLhRshwA1vtodP8aWE-D1TyqD2MyLGIQdKXDQY8vocOPdwwmf&amp;_hsmi=87085363&amp;utm_content=87085363&amp;utm_source=hs_email&amp;hsCtaTracking=6fedf137-fd90-4f17-bfb4-d61f710ec7f8%7Cf2771843-6636-4969-9010-2d8d0389b89c" TargetMode="External"/><Relationship Id="rId2951" Type="http://schemas.openxmlformats.org/officeDocument/2006/relationships/hyperlink" Target="https://resources.simonelectric.com/simon-ebook-vehiculo-electrico" TargetMode="External"/><Relationship Id="rId1621" Type="http://schemas.openxmlformats.org/officeDocument/2006/relationships/hyperlink" Target="https://resources.simonelectric.com/simon-catalogo-vehiculo-electrico?utm_campaign=SIC%20-%20Veh%C3%ADculo%20El%C3%A9ctrico&amp;utm_medium=email&amp;_hsenc=p2ANqtz-_60LMrP5SgVAUWyLJIsNsnC-xCF9Vr9yqLrEC6Te0XH8CJxNW0nJyauQ1TJ6ejRCdhiniXc4T6Tr5CLgt3HQW8eXqdNQ&amp;utm_source=hs_email&amp;utm_content=87085363&amp;hsCtaTracking=6fedf137-fd90-4f17-bfb4-d61f710ec7f8%7Cf2771843-6636-4969-9010-2d8d0389b89c" TargetMode="External"/><Relationship Id="rId2952" Type="http://schemas.openxmlformats.org/officeDocument/2006/relationships/hyperlink" Target="https://resources.simonelectric.com/simon-ebook-vehiculo-electrico?utm_campaign=%23Simonentucasa&amp;utm_medium=email&amp;_hsenc=p2ANqtz--z6EIkrQOtuwwvcXEcjOkpP9aLVUzVhmkg2ZeehXz72mDU9QV48CRX9GCzZo5ASLuqosKs_kTbcXzu5w148-iaxsJEWx3xlKSjWcEzFmC1Ye4BPsw&amp;_hsmi=85165037&amp;utm_source=hs_email&amp;utm_content=85165037&amp;hsCtaTracking=7e048f91-fedd-4131-939d-25771a4a2d12%7Cf6d6f061-2319-4b5b-89f8-8c89fca06239" TargetMode="External"/><Relationship Id="rId1622" Type="http://schemas.openxmlformats.org/officeDocument/2006/relationships/hyperlink" Target="https://resources.simonelectric.com/simon-catalogo-vehiculo-electrico?utm_campaign=SIC%20-%20Veh%C3%ADculo%20El%C3%A9ctrico&amp;utm_medium=email&amp;_hsenc=p2ANqtz--cRos6nigakW0dSG7KMuE3vupnHdmz70pjX0Cm9eDbWWsHMqmyWy6ch85AZ1oIqh86zFZ1&amp;_hsmi=87085363&amp;utm_content=87085363&amp;utm_source=hs_email&amp;hsCtaTracking=6fedf137-fd90-4f17-bfb4-d61f710ec7f8%7Cf2771843-6636-4969-9010-2d8d0389b89c" TargetMode="External"/><Relationship Id="rId2953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8J-NulkQrLD76FwYb6pUNHaAXiBp7IzndkcZKbec-qIgpFC7gW5WLU2bfmNW0OX6KPNZCUcCAW_CYVbAJfN934PcLcsw&amp;_hsmi=85165037" TargetMode="External"/><Relationship Id="rId1623" Type="http://schemas.openxmlformats.org/officeDocument/2006/relationships/hyperlink" Target="https://resources.simonelectric.com/simon-catalogo-vehiculo-electrico?utm_campaign=SIC%20-%20Veh%C3%ADculo%20El%C3%A9ctrico&amp;utm_medium=email&amp;_hsmi=87085363&amp;_hsenc=p2ANqtz-8-7zcXFWnnSYKDgQIwL4LCA4yFX0gbO2rfAQ89pFeoPP4MBpNXVxmNuvRnU7x_aDzHP9cY&amp;utm_content=87085363&amp;utm_source=hs_email" TargetMode="External"/><Relationship Id="rId2954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%3Futm_campaign%3DSIC%2520-%2520Blog%2520digest%26utm_source%3Dhs_email%26utm_medium%3Demail%26utm_content%3D81085386%26_hsenc%3Dp2ANqtz-8p7P0sc3s7KDDaQv-xrJxH7LXEgluHL20-Q6OrZZZKIHcxJ5hQbw8MUHO-iLW-Jdu7NE854UUggZaQdVEUAhtX5ejoVJvgpG_vdRJ_G-XuQWmK59U%26_hsmi%3D81085386" TargetMode="External"/><Relationship Id="rId1624" Type="http://schemas.openxmlformats.org/officeDocument/2006/relationships/hyperlink" Target="https://resources.simonelectric.com/simon-catalogo-vehiculo-electrico?utm_campaign=SIC%20-%20Veh%C3%ADculo%20El%C3%A9ctrico&amp;utm_medium=email&amp;_hsenc=p2ANqtz-_JZOUzYIWZQaxUg5Dcj3i6yyXIwFzzAWdn1HNTn8H-23VUWAVjcXld-zDWgA7zFY5Qw158&amp;_hsmi=87085363&amp;utm_content=87085363&amp;utm_source=hs_email&amp;hsCtaTracking=6fedf137-fd90-4f17-bfb4-d61f710ec7f8%7Cf2771843-6636-4969-9010-2d8d0389b89c" TargetMode="External"/><Relationship Id="rId2955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EH2vkl9JzSz1V0NgGICff1GpdEaBU9EvCqttn6pFB007-gfRwF4gN_x9s0m429ZUnC_JatRi7GB3zRuk2gG8ULCsZOg&amp;_hsmi=85165037" TargetMode="External"/><Relationship Id="rId1625" Type="http://schemas.openxmlformats.org/officeDocument/2006/relationships/hyperlink" Target="https://resources.simonelectric.com/simon-catalogo-vehiculo-electrico?utm_campaign=SIC%20-%20Veh%C3%ADculo%20El%C3%A9ctrico&amp;utm_medium=email&amp;_hsenc=p2ANqtz--76ezADRIkm2WLblm1Zikrw13pYqtNXTMdvzEHodarxR0VoXAIEL074DjnTBbWwap5pBF9&amp;_hsmi=87085302&amp;utm_content=87085302&amp;utm_source=hs_email&amp;hsCtaTracking=6fedf137-fd90-4f17-bfb4-d61f710ec7f8%7Cf2771843-6636-4969-9010-2d8d0389b89c" TargetMode="External"/><Relationship Id="rId2956" Type="http://schemas.openxmlformats.org/officeDocument/2006/relationships/hyperlink" Target="https://resources.simonelectric.com/simon-ebook-vehiculo-electrico" TargetMode="External"/><Relationship Id="rId1626" Type="http://schemas.openxmlformats.org/officeDocument/2006/relationships/hyperlink" Target="https://resources.simonelectric.com/simon-catalogo-vehiculo-electrico?utm_campaign=SIC%20-%20Veh%C3%ADculo%20El%C3%A9ctrico&amp;utm_medium=email&amp;_hsenc=p2ANqtz-8Zf67wGIIZY6sn6xHjdjcpLT-Vm3sgIvErfM3KHTZPIUNvbvntKs7P6P2MnTqSXEK8N41-&amp;_hsmi=87085363&amp;utm_content=87085363&amp;utm_source=hs_email&amp;hsCtaTracking=6fedf137-fd90-4f17-bfb4-d61f710ec7f8%7Cf2771843-6636-4969-9010-2d8d0389b89c" TargetMode="External"/><Relationship Id="rId295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627" Type="http://schemas.openxmlformats.org/officeDocument/2006/relationships/hyperlink" Target="https://resources.simonelectric.com/simon-catalogo-vehiculo-electrico?utm_campaign=SIC%20-%20Veh%C3%ADculo%20El%C3%A9ctrico&amp;utm_medium=email&amp;_hsenc=p2ANqtz-9TZMpeBQR5AtUYjQ09fx9MK2QpeaQP8TNZ8C3wXlg_JJgI1_sgY1mNwMo6dNGzAYDHYhb1Fnx4Yn8lcJyZG_VSgxLd2QyLYSPmoEjuYF-9FCAietc&amp;utm_source=hs_email&amp;utm_content=87085363&amp;hsCtaTracking=6fedf137-fd90-4f17-bfb4-d61f710ec7f8%7Cf2771843-6636-4969-9010-2d8d0389b89c" TargetMode="External"/><Relationship Id="rId2958" Type="http://schemas.openxmlformats.org/officeDocument/2006/relationships/hyperlink" Target="https://resources.simonelectric.com/simon-ebook-vehiculo-electrico?utm_campaign=%23Simonentucasa&amp;utm_medium=email&amp;_hsenc=p2ANqtz-86ijI2-dhU2xrzqTO8I38tqyO2zv3YK_JIHp0MhDhKO75dMZ9IQTnfHBSWZYDHCagoJPGX9nB8rl4sTeAFFuoRk-YH3A&amp;_hsmi=85165037&amp;utm_source=hs_email&amp;utm_content=85165037&amp;hsCtaTracking=7e048f91-fedd-4131-939d-25771a4a2d12%7Cf6d6f061-2319-4b5b-89f8-8c89fca06239" TargetMode="External"/><Relationship Id="rId918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9IvN6syAH8HBfZLfX5c9G8biti6dcRxpVcQbL29vw3SMG6sI4pWzE93La9icy7VAaBzEMbuxheDRHfsq34qSEw-dMKQw&amp;_hsmi=87865495" TargetMode="External"/><Relationship Id="rId1628" Type="http://schemas.openxmlformats.org/officeDocument/2006/relationships/hyperlink" Target="https://resources.simonelectric.com/simon-catalogo-vehiculo-electrico?utm_campaign=SIC%20-%20Veh%C3%ADculo%20El%C3%A9ctrico&amp;utm_medium=email&amp;_hsenc=p2ANqtz-9BLtGn5IJ69lQ-SUNXx9rXIBV40mmfYMrP2n_ofniCFcIL_wLKSvIGoRAgZQGtAW_MrP3Q&amp;_hsmi=87085363&amp;utm_content=87085363&amp;utm_source=hs_email&amp;hsCtaTracking=6fedf137-fd90-4f17-bfb4-d61f710ec7f8%7Cf2771843-6636-4969-9010-2d8d0389b89c" TargetMode="External"/><Relationship Id="rId2959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8a8rboNy128dpb8u-BuWk9c9q0wlenGSdg3Tvq380SbFqrthLg3IFJi8tiONXtbh2hZtzndtXsTENoMqBuS4KlM5v29g&amp;_hsmi=85165037" TargetMode="External"/><Relationship Id="rId917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_sOiMM-vL9OT2KdsF8s4B4Le5JXTTiSXRWAwfrVh05ADimvQnAYXM7B4XROUV059V8nSjtvbpKy1aR2pzeo1-SPi_PYQ&amp;_hsmi=87865495" TargetMode="External"/><Relationship Id="rId1629" Type="http://schemas.openxmlformats.org/officeDocument/2006/relationships/hyperlink" Target="https://resources.simonelectric.com/simon-catalogo-vehiculo-electrico?utm_campaign=SIC%20-%20Veh%C3%ADculo%20El%C3%A9ctrico&amp;utm_medium=email&amp;_hsenc=p2ANqtz-_M4_P4ld5a2I5VG-DUAYYss3L6gxYk4mMJlqsJEDEbb6h4w17nf-lrdkgcArpKle5r4T_8&amp;_hsmi=87085363&amp;utm_content=87085363&amp;utm_source=hs_email&amp;hsCtaTracking=6fedf137-fd90-4f17-bfb4-d61f710ec7f8%7Cf2771843-6636-4969-9010-2d8d0389b89c" TargetMode="External"/><Relationship Id="rId916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-P8R7JGTJhXdI1wF1VaT2GMoDQXeibLWGkXiq7KS75yowLtO3MQ-QQ0CXQRhZX2W33SRcdKo2bASMWEV1dkkz8IK8AUQ&amp;_hsmi=87865495" TargetMode="External"/><Relationship Id="rId915" Type="http://schemas.openxmlformats.org/officeDocument/2006/relationships/hyperlink" Target="https://resources.simonelectric.com/simon-catalogo-vehiculo-electrico?utm_campaign=SIC%20-%20Veh%C3%ADculo%20El%C3%A9ctrico&amp;utm_medium=email&amp;_hsenc=p2ANqtz-9Rh66owb8EQrmtbQI1zTVSjJ9YtcNKYI7eg39KSBZrtbraoZT0ubEeq0HN3RKBtusGwJ4LI5e1zDdHc4ES7ghPsWtagg&amp;_hsmi=87865495&amp;utm_source=hs_automation&amp;utm_content=87865495&amp;hsCtaTracking=6fedf137-fd90-4f17-bfb4-d61f710ec7f8%7Cf2771843-6636-4969-9010-2d8d0389b89c" TargetMode="External"/><Relationship Id="rId919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8E9IntHLI68pOh4Qr-ZOW3yLBZwBcc4_TjIftTFa-p9A7xLJBumXKRjDluGZQrgd0Z0AwhknFGW_YzazbJAkFZ0HjaTw&amp;_hsmi=87865495" TargetMode="External"/><Relationship Id="rId910" Type="http://schemas.openxmlformats.org/officeDocument/2006/relationships/hyperlink" Target="https://resources.simonelectric.com/simon-ebook-vehiculo-electrico" TargetMode="External"/><Relationship Id="rId914" Type="http://schemas.openxmlformats.org/officeDocument/2006/relationships/hyperlink" Target="https://resources.simonelectric.com/simon-catalogo-vehiculo-electrico?utm_campaign=SIC%20-%20Veh%C3%ADculo%20El%C3%A9ctrico&amp;utm_medium=email&amp;_hsenc=p2ANqtz-9KzN9OobMGxotFxK3blIBsVQq9rGZtTGGCCr6Id7jNsaXBKuX8ves-qnQe2lbXehIhayiHOX17bI8gk3S-fyi9-iztPA&amp;_hsmi=87865495&amp;utm_source=hs_automation&amp;utm_content=87865495&amp;hsCtaTracking=6fedf137-fd90-4f17-bfb4-d61f710ec7f8%7Cf2771843-6636-4969-9010-2d8d0389b89c" TargetMode="External"/><Relationship Id="rId913" Type="http://schemas.openxmlformats.org/officeDocument/2006/relationships/hyperlink" Target="https://resources.simonelectric.com/simon-catalogo-vehiculo-electrico?utm_campaign=SIC%20-%20Veh%C3%ADculo%20El%C3%A9ctrico&amp;utm_medium=email&amp;_hsenc=p2ANqtz-_UxRlzenk37W9DejqXoynaKrJcdALc8J4FdftyH_Pgtgod1H67eOygdnCbJPwWJncb40ro-IYq9cZq3BGF_tvr1t0_8A&amp;_hsmi=87865495&amp;utm_source=hs_automation&amp;utm_content=87865495&amp;hsCtaTracking=6fedf137-fd90-4f17-bfb4-d61f710ec7f8%7Cf2771843-6636-4969-9010-2d8d0389b89c" TargetMode="External"/><Relationship Id="rId912" Type="http://schemas.openxmlformats.org/officeDocument/2006/relationships/hyperlink" Target="https://resources.simonelectric.com/simon-catalogo-vehiculo-electrico?utm_campaign=SIC%20-%20Veh%C3%ADculo%20El%C3%A9ctrico&amp;utm_medium=email&amp;_hsenc=p2ANqtz-8P2QQZEi35YqQaxXDyGYuScI2Prwgpiqjc_yvFoWr0UFi8DiH4zjTCCuQ3OZ0X78OQEZzll6rmFOh7BpMeCry-2B1EGg&amp;_hsmi=87865495&amp;utm_source=hs_automation&amp;utm_content=87865495&amp;hsCtaTracking=6fedf137-fd90-4f17-bfb4-d61f710ec7f8%7Cf2771843-6636-4969-9010-2d8d0389b89c" TargetMode="External"/><Relationship Id="rId911" Type="http://schemas.openxmlformats.org/officeDocument/2006/relationships/hyperlink" Target="https://resources.simonelectric.com/simon-catalogo-vehiculo-electrico?utm_campaign=SIC%20-%20Veh%C3%ADculo%20El%C3%A9ctrico&amp;utm_medium=email&amp;_hsenc=p2ANqtz-_pZxxwnO2ilf6p64PjbbTASoeihFyxhzxF0BSe_HszNFnS5M4cklVM7Hn1eApKz7twQW4ce_5mPLgjgfd0e5GREOjx_rnBS0AFsfMoJU-Nmka86S8&amp;_hsmi=87865495&amp;utm_source=hs_automation&amp;utm_content=87865495&amp;hsCtaTracking=6fedf137-fd90-4f17-bfb4-d61f710ec7f8%7Cf2771843-6636-4969-9010-2d8d0389b89c" TargetMode="External"/><Relationship Id="rId2950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900" Type="http://schemas.openxmlformats.org/officeDocument/2006/relationships/hyperlink" Target="https://resources.simonelectric.com/simon-ebook-vehiculo-electrico" TargetMode="External"/><Relationship Id="rId2901" Type="http://schemas.openxmlformats.org/officeDocument/2006/relationships/hyperlink" Target="https://resources.simonelectric.com/simon-ebook-vehiculo-electrico?utm_campaign=%23Simonentucasa&amp;utm_medium=email&amp;_hsenc=p2ANqtz-8hq81Wx8nd5Xwym_DBUvVvO03xPoOJagPdo10XEvvKtpSH8dzRQXalA9Almhhk5ljdqOH0RfCT6GdxcjRNGOt6OQ7gHg&amp;_hsmi=85165037&amp;utm_source=hs_email&amp;utm_content=85165037&amp;hsCtaTracking=7e048f91-fedd-4131-939d-25771a4a2d12%7Cf6d6f061-2319-4b5b-89f8-8c89fca06239" TargetMode="External"/><Relationship Id="rId2902" Type="http://schemas.openxmlformats.org/officeDocument/2006/relationships/hyperlink" Target="https://resources.simonelectric.com/simon-ebook-vehiculo-electrico-0?gclid=Cj0KCQjwyPbzBRDsARIsAFh15JagDVjj0adwyXzPt3efAX0D3E6p29ak7vFsGYoljkCWFfG44klILBsaAsavEALw_wcB" TargetMode="External"/><Relationship Id="rId2903" Type="http://schemas.openxmlformats.org/officeDocument/2006/relationships/hyperlink" Target="https://resources.simonelectric.com/simon-catalogo-vehiculo-electrico?__hstc=83084745.70954421c32e2e8e280f8856bed0d7f4.1585205961198.1585219700462.1585335500176.3&amp;__hssc=83084745.6.1585335500176&amp;__hsfp=1526226040" TargetMode="External"/><Relationship Id="rId290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905" Type="http://schemas.openxmlformats.org/officeDocument/2006/relationships/hyperlink" Target="https://resources.simonelectric.com/simon-ebook-vehiculo-electrico?utm_campaign=SIC%20-%20Veh%C3%ADculo%20El%C3%A9ctrico&amp;utm_source=hs_automation&amp;utm_medium=email&amp;utm_content=71033675&amp;_hsenc=p2ANqtz-_irU_0CJbURlkQ-eE5GLuoyo8lr-loEREzospDswP0wKtMVMouMxK2JWxVwOEVmmYmFpTezF_DTHtHtqjh7nPc5iEjig&amp;_hsmi=71033675" TargetMode="External"/><Relationship Id="rId2906" Type="http://schemas.openxmlformats.org/officeDocument/2006/relationships/hyperlink" Target="https://resources.simonelectric.com/simon-ebook-vehiculo-electrico-0?gclid=Cj0KCQjwyPbzBRDsARIsAFh15JZcPpZC3C2QW8UO1ErGiPMOC3ZDMCWOsDlQdvxJZ3rOUis03-BIix0aAk1VEALw_wcB" TargetMode="External"/><Relationship Id="rId2907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8nnZkmE8D-f6nmRCdD9QcsyK4eQMqNOAX_LgBquZqL21jeRBzW5ycVMpta6WlG9i-8TAPf2EZW-DoAi_khao0CylxerQ&amp;_hsmi=71034014" TargetMode="External"/><Relationship Id="rId2908" Type="http://schemas.openxmlformats.org/officeDocument/2006/relationships/hyperlink" Target="https://resources.simonelectric.com/simon-ebook-vehiculo-electrico?utm_campaign=%23Simonentucasa&amp;utm_medium=email&amp;_hsenc=p2ANqtz-9BE9nzY6wb-cEQSaYUIy574BWwDvIIX8xaYLagR_OY5R0nFNUxJqqh0-Mv1Q52Pru3QWQdvLd8gOP4SvpcfghM-4tY6Q&amp;_hsmi=85165037&amp;utm_source=hs_email&amp;utm_content=85165037&amp;hsCtaTracking=7e048f91-fedd-4131-939d-25771a4a2d12%7Cf6d6f061-2319-4b5b-89f8-8c89fca06239" TargetMode="External"/><Relationship Id="rId2909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920" Type="http://schemas.openxmlformats.org/officeDocument/2006/relationships/hyperlink" Target="https://resources.simonelectric.com/simon-catalogo-vehiculo-electrico?__hstc=83084745.18795c0ed399f964e839a5e6a6082b13.1574415215746.1582549560361.1585246124095.5&amp;__hssc=83084745.5.1585246124095&amp;__hsfp=1099069634" TargetMode="External"/><Relationship Id="rId2921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IwiL0pJDXoalJgCCaM-RBsyqiCOr40zq6kvVVJR4MdHf_dxtFeOjCw91zzJIMtrjFXvZhDuMVFz7MXO6tIk9zBkJVJYtpr4Nus2M9aTkjjf67xGA&amp;_hsmi=85165037" TargetMode="External"/><Relationship Id="rId2922" Type="http://schemas.openxmlformats.org/officeDocument/2006/relationships/hyperlink" Target="https://resources.simonelectric.com/simon-catalogo-vehiculo-electrico" TargetMode="External"/><Relationship Id="rId2923" Type="http://schemas.openxmlformats.org/officeDocument/2006/relationships/hyperlink" Target="https://resources.simonelectric.com/simon-ebook-vehiculo-electrico" TargetMode="External"/><Relationship Id="rId2924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l_kG369G_CDRtSC2zQN8AKiLd7JuxNR9IpqH7UD1ILQkf1uKRGAgcFxZaeL6Ocde9aOljJOoBA5o51wQU34QCrsrFWnJyL9IChq214Zx-IBme--s&amp;_hsmi=85165037" TargetMode="External"/><Relationship Id="rId2925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w7ffpjZWLsrhR7xty5TgZbSrYo9djAtdkSRuP1x1O92ZVGFskPghU1a_DPRVHNrPFm0ZxXTUu_cRrWZA9VTvywREVuQ&amp;_hsmi=85165037" TargetMode="External"/><Relationship Id="rId2926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927" Type="http://schemas.openxmlformats.org/officeDocument/2006/relationships/hyperlink" Target="https://resources.simonelectric.com/simon-ebook-vehiculo-electrico?utm_campaign=%23Simonentucasa&amp;utm_medium=email&amp;_hsenc=p2ANqtz-88ePOqsJxp4aP48K_NI3BuLbW34DQAALNRug5rdPBAB3dd4jG-f3PsP1mUTXDWrTx1zpyHnMQzUvvtSa-7V6A1xgJwO0EXbsMjcZtoeBXsgtZS1vk&amp;_hsmi=85165037&amp;utm_source=hs_email&amp;utm_content=85165037&amp;hsCtaTracking=7e048f91-fedd-4131-939d-25771a4a2d12%7Cf6d6f061-2319-4b5b-89f8-8c89fca06239" TargetMode="External"/><Relationship Id="rId2928" Type="http://schemas.openxmlformats.org/officeDocument/2006/relationships/hyperlink" Target="https://resources.simonelectric.com/simon-catalogo-vehiculo-electrico?__hstc=83084745.70954421c32e2e8e280f8856bed0d7f4.1585205961198.1585205961198.1585219700462.2&amp;__hssc=83084745.15.1585219700462&amp;__hsfp=1526226040" TargetMode="External"/><Relationship Id="rId2929" Type="http://schemas.openxmlformats.org/officeDocument/2006/relationships/hyperlink" Target="https://resources.simonelectric.com/simon-ebook-vehiculo-electrico" TargetMode="External"/><Relationship Id="rId291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91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912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8a5Xgw9YkU2ssEalPp1li2B1IPdv7fnP9hjtmUzOB4LnhdgA0xvr0tvvst8oyDeSO_ZVObnvbWBFAPhLz_2LCF7oZAJA&amp;_hsmi=85165037" TargetMode="External"/><Relationship Id="rId2913" Type="http://schemas.openxmlformats.org/officeDocument/2006/relationships/hyperlink" Target="https://resources.simonelectric.com/simon-catalogo-vehiculo-electrico?__hstc=83084745.d7c3f92046fd4da64b72efdef614efda.1574356410970.1585210652313.1585294588833.6&amp;__hssc=83084745.1.1585294588833&amp;__hsfp=4173494726" TargetMode="External"/><Relationship Id="rId2914" Type="http://schemas.openxmlformats.org/officeDocument/2006/relationships/hyperlink" Target="https://resources.simonelectric.com/simon-ebook-vehiculo-electrico" TargetMode="External"/><Relationship Id="rId2915" Type="http://schemas.openxmlformats.org/officeDocument/2006/relationships/hyperlink" Target="https://resources.simonelectric.com/simon-catalogo-vehiculo-electrico" TargetMode="External"/><Relationship Id="rId2916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9SY-rOMYRFBlm0wm6KyHXwthFgyxtmzunSDyhD3Siz_HhM7msVu9P8BeqFpUxByjRh5L6kv3ItLYHWM8yU_hEW5HbEeSrtQVXzbVBT3CNMoo_BdrY&amp;_hsmi=85165037" TargetMode="External"/><Relationship Id="rId2917" Type="http://schemas.openxmlformats.org/officeDocument/2006/relationships/hyperlink" Target="https://resources.simonelectric.com/simon-ebook-vehiculo-electrico?utm_campaign=%23Simonentucasa&amp;utm_medium=email&amp;_hsenc=p2ANqtz-81gvZZoiWdmcQM8sGsJ8IWoMlNOQuRFU6dg6RNKLXjwCtxDMfkBowaXciQgPUpQEnnt2H4RFFMSIqJVEQgASezsKyTL-Dnz3Q3eXMMvPYFCZNXgGI&amp;_hsmi=85165037&amp;utm_source=hs_email&amp;utm_content=85165037&amp;hsCtaTracking=7e048f91-fedd-4131-939d-25771a4a2d12%7Cf6d6f061-2319-4b5b-89f8-8c89fca06239" TargetMode="External"/><Relationship Id="rId291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919" Type="http://schemas.openxmlformats.org/officeDocument/2006/relationships/hyperlink" Target="https://resources.simonelectric.com/simon-ebook-vehiculo-electrico?utm_campaign=%23Simonentucasa&amp;utm_medium=email&amp;_hsenc=p2ANqtz-9U-MjwjkDqZOZFl8vf9rgBgyHqZOkJctn04u9bIn5DkRxfb0kJI3NbJMLub4Ah3ZTGLsnQJQNUv-7PmVRyaeuNdeEKCw&amp;_hsmi=85165037&amp;utm_source=hs_email&amp;utm_content=85165037&amp;hsCtaTracking=7e048f91-fedd-4131-939d-25771a4a2d12%7Cf6d6f061-2319-4b5b-89f8-8c89fca06239" TargetMode="External"/><Relationship Id="rId1697" Type="http://schemas.openxmlformats.org/officeDocument/2006/relationships/hyperlink" Target="https://resources.simonelectric.com/simon-catalogo-vehiculo-electrico?utm_campaign=SIC%20-%20Veh%C3%ADculo%20El%C3%A9ctrico&amp;utm_medium=email&amp;_hsenc=p2ANqtz-9spv5L2Wc8Sz-4swysZW_d2FVI6TvfSE7M5S_yxaKwg-KcjLWeIj8ZKAYrEm7Zx7fRQvZE&amp;_hsmi=87085363&amp;utm_content=87085363&amp;utm_source=hs_email&amp;hsCtaTracking=6fedf137-fd90-4f17-bfb4-d61f710ec7f8%7Cf2771843-6636-4969-9010-2d8d0389b89c" TargetMode="External"/><Relationship Id="rId1698" Type="http://schemas.openxmlformats.org/officeDocument/2006/relationships/hyperlink" Target="https://resources.simonelectric.com/simon-catalogo-vehiculo-electrico?utm_campaign=SIC%20-%20Veh%C3%ADculo%20El%C3%A9ctrico&amp;utm_medium=email&amp;_hsenc=p2ANqtz--bvUh9qzaFmGEwm-3zHCId9kGwOOwziOaUIcEosD-2Emot-R3j_IzS0m3PblMjsnDUuuQx&amp;_hsmi=87085363&amp;utm_content=87085363&amp;utm_source=hs_email&amp;hsCtaTracking=6fedf137-fd90-4f17-bfb4-d61f710ec7f8%7Cf2771843-6636-4969-9010-2d8d0389b89c" TargetMode="External"/><Relationship Id="rId1699" Type="http://schemas.openxmlformats.org/officeDocument/2006/relationships/hyperlink" Target="https://resources.simonelectric.com/simon-catalogo-vehiculo-electrico?utm_campaign=SIC%20-%20Veh%C3%ADculo%20El%C3%A9ctrico&amp;utm_medium=email&amp;_hsenc=p2ANqtz--tF8-eZs3pIkFZgsRDv_BKUwHkcCXeGSkxgbEdaKACeETi6Ji8hHDHPjU8ndOacYUniskr&amp;_hsmi=87085363&amp;utm_content=87085363&amp;utm_source=hs_email&amp;hsCtaTracking=6fedf137-fd90-4f17-bfb4-d61f710ec7f8%7Cf2771843-6636-4969-9010-2d8d0389b89c" TargetMode="External"/><Relationship Id="rId866" Type="http://schemas.openxmlformats.org/officeDocument/2006/relationships/hyperlink" Target="https://resources.simonelectric.com/simon-ebook-vehiculo-electrico" TargetMode="External"/><Relationship Id="rId865" Type="http://schemas.openxmlformats.org/officeDocument/2006/relationships/hyperlink" Target="https://resources.simonelectric.com/simon-ebook-vehiculo-electrico" TargetMode="External"/><Relationship Id="rId864" Type="http://schemas.openxmlformats.org/officeDocument/2006/relationships/hyperlink" Target="https://resources.simonelectric.com/simon-ebook-vehiculo-electrico" TargetMode="External"/><Relationship Id="rId863" Type="http://schemas.openxmlformats.org/officeDocument/2006/relationships/hyperlink" Target="https://resources.simonelectric.com/simon-catalogo-vehiculo-electrico?utm_campaign=SIC%20-%20Veh%C3%ADculo%20El%C3%A9ctrico&amp;utm_medium=email&amp;_hsenc=p2ANqtz-9HEJTLImNim7Dg3cog0maFwYOj2YR0QEJ7QxKY5yOieFCPB6u2b_pVSFyql_Fv4Rz7woUnLMYYsJptTFJ-cLZTGjyvTw&amp;_hsmi=87865495&amp;utm_source=hs_automation&amp;utm_content=87865495&amp;hsCtaTracking=6fedf137-fd90-4f17-bfb4-d61f710ec7f8%7Cf2771843-6636-4969-9010-2d8d0389b89c" TargetMode="External"/><Relationship Id="rId869" Type="http://schemas.openxmlformats.org/officeDocument/2006/relationships/hyperlink" Target="https://resources.simonelectric.com/simon-ebook-vehiculo-electrico" TargetMode="External"/><Relationship Id="rId868" Type="http://schemas.openxmlformats.org/officeDocument/2006/relationships/hyperlink" Target="https://resources.simonelectric.com/simon-ebook-vehiculo-electrico" TargetMode="External"/><Relationship Id="rId867" Type="http://schemas.openxmlformats.org/officeDocument/2006/relationships/hyperlink" Target="https://resources.simonelectric.com/simon-catalogo-vehiculo-electrico?utm_campaign=SIC%20-%20Veh%C3%ADculo%20El%C3%A9ctrico&amp;utm_medium=email&amp;_hsenc=p2ANqtz-8BAfsA9QMXn1fm7RBvig6fjCi5MYt52SRnouMvbZD1AIVWr-c8gwJzykGs2xrJD5k2S0cr3dedLs4Rx0z9BSXlw6YzFw&amp;_hsmi=87865495&amp;utm_source=hs_automation&amp;utm_content=87865495&amp;hsCtaTracking=6fedf137-fd90-4f17-bfb4-d61f710ec7f8%7Cf2771843-6636-4969-9010-2d8d0389b89c" TargetMode="External"/><Relationship Id="rId1690" Type="http://schemas.openxmlformats.org/officeDocument/2006/relationships/hyperlink" Target="https://resources.simonelectric.com/simon-catalogo-vehiculo-electrico?utm_campaign=SIC%20-%20Veh%C3%ADculo%20El%C3%A9ctrico&amp;utm_medium=email&amp;_hsenc=p2ANqtz-_OGvfriLDMcxyg3ZifQsm930z1dSVcf5yKJ5Nl1oxaCP8Cjyo6oh6VnsujTOPOS7vyKlK0&amp;_hsmi=87085363&amp;utm_content=87085363&amp;utm_source=hs_email&amp;hsCtaTracking=6fedf137-fd90-4f17-bfb4-d61f710ec7f8%7Cf2771843-6636-4969-9010-2d8d0389b89c" TargetMode="External"/><Relationship Id="rId1691" Type="http://schemas.openxmlformats.org/officeDocument/2006/relationships/hyperlink" Target="https://resources.simonelectric.com/simon-catalogo-vehiculo-electrico?utm_campaign=SIC%20-%20Veh%C3%ADculo%20El%C3%A9ctrico&amp;utm_medium=email&amp;_hsenc=p2ANqtz-_pjND4d9jfF8o1jIAga5CwhCbBJJ2SNGSwZ75kBuN7SjY3S08b2bbHYMUxADQhbjswLpqV&amp;_hsmi=87085363&amp;utm_content=87085363&amp;utm_source=hs_email&amp;hsCtaTracking=6fedf137-fd90-4f17-bfb4-d61f710ec7f8%7Cf2771843-6636-4969-9010-2d8d0389b89c" TargetMode="External"/><Relationship Id="rId1692" Type="http://schemas.openxmlformats.org/officeDocument/2006/relationships/hyperlink" Target="https://resources.simonelectric.com/simon-catalogo-vehiculo-electrico?utm_campaign=SIC%20-%20Veh%C3%ADculo%20El%C3%A9ctrico&amp;utm_medium=email&amp;_hsenc=p2ANqtz-_KvTqXrfdIcKYGSg-l-LUBpd5XNV576zObZfkLcWvq2KJMKKJyjv0RuijO7hLqHUKyuUZP&amp;_hsmi=87085302&amp;utm_content=87085302&amp;utm_source=hs_email&amp;hsCtaTracking=6fedf137-fd90-4f17-bfb4-d61f710ec7f8%7Cf2771843-6636-4969-9010-2d8d0389b89c" TargetMode="External"/><Relationship Id="rId862" Type="http://schemas.openxmlformats.org/officeDocument/2006/relationships/hyperlink" Target="https://resources.simonelectric.com/simon-catalogo-vehiculo-electrico?utm_campaign=SIC%20-%20Veh%C3%ADculo%20El%C3%A9ctrico&amp;utm_medium=email&amp;_hsenc=p2ANqtz-_WrMuZai6qv9gSD5WCYUqLYIjfY20BMP2N2T94uTpuf-24HqYuGjckR_mI1gdVFDi7ehl-7dHnued0VUIO6VT1rWBmYg&amp;_hsmi=87865495&amp;utm_source=hs_automation&amp;utm_content=87865495&amp;hsCtaTracking=6fedf137-fd90-4f17-bfb4-d61f710ec7f8%7Cf2771843-6636-4969-9010-2d8d0389b89c" TargetMode="External"/><Relationship Id="rId1693" Type="http://schemas.openxmlformats.org/officeDocument/2006/relationships/hyperlink" Target="https://resources.simonelectric.com/simon-catalogo-vehiculo-electrico?utm_campaign=SIC%20-%20Veh%C3%ADculo%20El%C3%A9ctrico&amp;utm_medium=email&amp;_hsenc=p2ANqtz-_poFOlJlGZyDoS66xhkU4QxEJdj7voEUo7eIJ00ZCjAnNxcgzW05qclsoUaOx6E6mKdw9LaDuQZLLHFw6Cx1GrpvffDg&amp;utm_source=hs_email&amp;utm_content=87085363&amp;hsCtaTracking=6fedf137-fd90-4f17-bfb4-d61f710ec7f8%7Cf2771843-6636-4969-9010-2d8d0389b89c" TargetMode="External"/><Relationship Id="rId861" Type="http://schemas.openxmlformats.org/officeDocument/2006/relationships/hyperlink" Target="https://resources.simonelectric.com/simon-ebook-vehiculo-electrico" TargetMode="External"/><Relationship Id="rId1694" Type="http://schemas.openxmlformats.org/officeDocument/2006/relationships/hyperlink" Target="https://resources.simonelectric.com/simon-catalogo-vehiculo-electrico?utm_campaign=SIC%20-%20Veh%C3%ADculo%20El%C3%A9ctrico&amp;utm_medium=email&amp;_hsenc=p2ANqtz-8xfASw4m6oHzi__Xt2_Aeyi9rNdJHMLyD4oJgGyqFXJSg8luMjTz0No5vediLwkSlHdkhX&amp;_hsmi=87085363&amp;utm_content=87085363&amp;utm_source=hs_email&amp;hsCtaTracking=6fedf137-fd90-4f17-bfb4-d61f710ec7f8%7Cf2771843-6636-4969-9010-2d8d0389b89c" TargetMode="External"/><Relationship Id="rId86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695" Type="http://schemas.openxmlformats.org/officeDocument/2006/relationships/hyperlink" Target="https://resources.simonelectric.com/simon-catalogo-vehiculo-electrico?utm_campaign=SIC%20-%20Veh%C3%ADculo%20El%C3%A9ctrico&amp;utm_medium=email&amp;_hsenc=p2ANqtz-8T8TPXiTTR-SMIAXxeh0O6B987QdjLpsbBwCosZXhQwSKx2woA7_CTvJURYZn0zYhtoYHE&amp;_hsmi=87085363&amp;utm_content=87085363&amp;utm_source=hs_email&amp;hsCtaTracking=6fedf137-fd90-4f17-bfb4-d61f710ec7f8%7Cf2771843-6636-4969-9010-2d8d0389b89c" TargetMode="External"/><Relationship Id="rId1696" Type="http://schemas.openxmlformats.org/officeDocument/2006/relationships/hyperlink" Target="https://resources.simonelectric.com/simon-catalogo-vehiculo-electrico?utm_campaign=SIC%20-%20Veh%C3%ADculo%20El%C3%A9ctrico&amp;utm_medium=email&amp;_hsenc=p2ANqtz-9HQwc-igPbq9AJnCW5MkzYhBHovcO4NeztRLb-TFylrcyP36NvJ50zkXG81cnxNdyMdBC8&amp;_hsmi=87085302&amp;utm_content=87085302&amp;utm_source=hs_email&amp;hsCtaTracking=6fedf137-fd90-4f17-bfb4-d61f710ec7f8%7Cf2771843-6636-4969-9010-2d8d0389b89c" TargetMode="External"/><Relationship Id="rId1686" Type="http://schemas.openxmlformats.org/officeDocument/2006/relationships/hyperlink" Target="https://resources.simonelectric.com/simon-catalogo-vehiculo-electrico?utm_campaign=SIC%20-%20Veh%C3%ADculo%20El%C3%A9ctrico&amp;utm_medium=email&amp;_hsenc=p2ANqtz--yhP7koYQZ8TRxstyETLUCpFqjpicEMagusji551y6t9uzR7ebeHbExAVZXIzNOCwDUwLO&amp;_hsmi=87085363&amp;utm_content=87085363&amp;utm_source=hs_email&amp;hsCtaTracking=6fedf137-fd90-4f17-bfb4-d61f710ec7f8%7Cf2771843-6636-4969-9010-2d8d0389b89c" TargetMode="External"/><Relationship Id="rId1687" Type="http://schemas.openxmlformats.org/officeDocument/2006/relationships/hyperlink" Target="https://resources.simonelectric.com/simon-catalogo-vehiculo-electrico?utm_campaign=SIC%20-%20Veh%C3%ADculo%20El%C3%A9ctrico&amp;utm_medium=email&amp;_hsenc=p2ANqtz-9VfNtSqt_O7euy4cMo5RZ6eSkSISUnh_4sUHYTnMwXzP6s4zmV2dvN8PtN5ZMikOaw2Zc8&amp;_hsmi=87085363&amp;utm_content=87085363&amp;utm_source=hs_email&amp;hsCtaTracking=6fedf137-fd90-4f17-bfb4-d61f710ec7f8%7Cf2771843-6636-4969-9010-2d8d0389b89c" TargetMode="External"/><Relationship Id="rId1688" Type="http://schemas.openxmlformats.org/officeDocument/2006/relationships/hyperlink" Target="https://resources.simonelectric.com/simon-catalogo-vehiculo-electrico?utm_campaign=SIC%20-%20Veh%C3%ADculo%20El%C3%A9ctrico&amp;utm_medium=email&amp;_hsenc=p2ANqtz--sjQA18TJFQr7x23ikr6YadNSyvo1aVPvkURABwZScnzZYb3j7gy3BxkkNOSOgsV_bo0nZ&amp;_hsmi=87085363&amp;utm_content=87085363&amp;utm_source=hs_email&amp;hsCtaTracking=6fedf137-fd90-4f17-bfb4-d61f710ec7f8%7Cf2771843-6636-4969-9010-2d8d0389b89c" TargetMode="External"/><Relationship Id="rId1689" Type="http://schemas.openxmlformats.org/officeDocument/2006/relationships/hyperlink" Target="https://resources.simonelectric.com/simon-catalogo-vehiculo-electrico?utm_campaign=SIC%20-%20Veh%C3%ADculo%20El%C3%A9ctrico&amp;utm_medium=email&amp;_hsenc=p2ANqtz-84NQoiJYd7hoKXl0n3o46ex537S2aZckbdEj_SKgOQJL3YHjtJ9yvNk9knZa-gex6ed5Qv&amp;_hsmi=87085363&amp;utm_content=87085363&amp;utm_source=hs_email&amp;hsCtaTracking=6fedf137-fd90-4f17-bfb4-d61f710ec7f8%7Cf2771843-6636-4969-9010-2d8d0389b89c" TargetMode="External"/><Relationship Id="rId855" Type="http://schemas.openxmlformats.org/officeDocument/2006/relationships/hyperlink" Target="https://resources.simonelectric.com/simon-material-formativo-vehiculo-electrico" TargetMode="External"/><Relationship Id="rId854" Type="http://schemas.openxmlformats.org/officeDocument/2006/relationships/hyperlink" Target="https://resources.simonelectric.com/simon-catalogo-vehiculo-electrico?utm_campaign=SIC%20-%20Veh%C3%ADculo%20El%C3%A9ctrico&amp;utm_medium=email&amp;_hsenc=p2ANqtz-9ToLG_HhceDZwI1NE2ZNQdYBJWAMYvPbrY90t16BDWbNE5KOayXVck2xpUIAGsdvhWw87OoerL80-iZSlPudufrbKrI94yhlYLl0WiZ2wPl-OchhU&amp;_hsmi=87865495&amp;utm_source=hs_automation&amp;utm_content=87865495&amp;hsCtaTracking=6fedf137-fd90-4f17-bfb4-d61f710ec7f8%7Cf2771843-6636-4969-9010-2d8d0389b89c" TargetMode="External"/><Relationship Id="rId85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852" Type="http://schemas.openxmlformats.org/officeDocument/2006/relationships/hyperlink" Target="https://resources.simonelectric.com/simon-catalogo-vehiculo-electrico?utm_campaign=SIC%20-%20Veh%C3%ADculo%20El%C3%A9ctrico&amp;utm_medium=email&amp;_hsenc=p2ANqtz--njJMPRXxiAYOYogn1yx6ZH_p2CxV_tRhCl2K-XS6Eb-ma4nW0vZeQ7K4G1JD5xN45J8QxL9Rq1Q6s-IXKYem54UgfmQ&amp;_hsmi=87865495&amp;utm_source=hs_automation&amp;utm_content=87865495&amp;hsCtaTracking=6fedf137-fd90-4f17-bfb4-d61f710ec7f8%7Cf2771843-6636-4969-9010-2d8d0389b89c" TargetMode="External"/><Relationship Id="rId859" Type="http://schemas.openxmlformats.org/officeDocument/2006/relationships/hyperlink" Target="https://resources.simonelectric.com/simon-catalogo-vehiculo-electrico?utm_campaign=SIC%20-%20Veh%C3%ADculo%20El%C3%A9ctrico&amp;utm_medium=email&amp;_hsenc=p2ANqtz-_P9WgC8GOqZsq5qPJPsstZ17Ocz-p0Tj-GB4ut6zIhqynPWZ47Wg8SDfJpRI9ufSy3NljAVMGg_JwMYdVv6_ZGdjnS3w&amp;_hsmi=87865495&amp;utm_source=hs_automation&amp;utm_content=87865495&amp;hsCtaTracking=6fedf137-fd90-4f17-bfb4-d61f710ec7f8%7Cf2771843-6636-4969-9010-2d8d0389b89c" TargetMode="External"/><Relationship Id="rId858" Type="http://schemas.openxmlformats.org/officeDocument/2006/relationships/hyperlink" Target="https://resources.simonelectric.com/simon-ebook-vehiculo-electrico" TargetMode="External"/><Relationship Id="rId857" Type="http://schemas.openxmlformats.org/officeDocument/2006/relationships/hyperlink" Target="https://resources.simonelectric.com/simon-material-formativo-vehiculo-electrico" TargetMode="External"/><Relationship Id="rId856" Type="http://schemas.openxmlformats.org/officeDocument/2006/relationships/hyperlink" Target="https://resources.simonelectric.com/simon-catalogo-vehiculo-electrico?__hstc=83084745.4e7cdc37863b4d4082bb3cc5d22231a3.1590074701508.1590074701508.1590078260429.2&amp;__hssc=83084745.3.1590078260429&amp;__hsfp=792683365" TargetMode="External"/><Relationship Id="rId1680" Type="http://schemas.openxmlformats.org/officeDocument/2006/relationships/hyperlink" Target="https://resources.simonelectric.com/simon-catalogo-vehiculo-electrico?utm_campaign=SIC%20-%20Veh%C3%ADculo%20El%C3%A9ctrico&amp;utm_medium=email&amp;_hsenc=p2ANqtz--3hTNWIHtWJX4heCFVywULFhGMW-Y1T80aZxhxY8iF4AmjGzliIkSouJ1J9-K3qwG3GvQE&amp;_hsmi=87085363&amp;utm_content=87085363&amp;utm_source=hs_email&amp;hsCtaTracking=6fedf137-fd90-4f17-bfb4-d61f710ec7f8%7Cf2771843-6636-4969-9010-2d8d0389b89c" TargetMode="External"/><Relationship Id="rId1681" Type="http://schemas.openxmlformats.org/officeDocument/2006/relationships/hyperlink" Target="https://resources.simonelectric.com/simon-catalogo-vehiculo-electrico?utm_campaign=SIC%20-%20Veh%C3%ADculo%20El%C3%A9ctrico&amp;utm_medium=email&amp;_hsenc=p2ANqtz-_VE40o8K3wmubJdu9AujOA1O5-BtIbzdMGt6LKhTjaCs5JHHCyWB8Nt9oUIMVPPMArqsp5&amp;_hsmi=87085363&amp;utm_content=87085363&amp;utm_source=hs_email&amp;hsCtaTracking=6fedf137-fd90-4f17-bfb4-d61f710ec7f8%7Cf2771843-6636-4969-9010-2d8d0389b89c" TargetMode="External"/><Relationship Id="rId851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1682" Type="http://schemas.openxmlformats.org/officeDocument/2006/relationships/hyperlink" Target="https://resources.simonelectric.com/simon-catalogo-vehiculo-electrico?utm_campaign=SIC%20-%20Veh%C3%ADculo%20El%C3%A9ctrico&amp;utm_medium=email&amp;_hsenc=p2ANqtz--4sFyXaQOl25kotPq_T6_Z_eWDOVMpjAWeW_4c3vE9kiQNow4vwGjzYitvr1_2xcsOzhKO&amp;_hsmi=87085302&amp;utm_content=87085302&amp;utm_source=hs_email&amp;hsCtaTracking=6fedf137-fd90-4f17-bfb4-d61f710ec7f8%7Cf2771843-6636-4969-9010-2d8d0389b89c" TargetMode="External"/><Relationship Id="rId850" Type="http://schemas.openxmlformats.org/officeDocument/2006/relationships/hyperlink" Target="https://resources.simonelectric.com/simon-ebook-vehiculo-electrico?utm_referrer=https%3A%2F%2Fwww.simonelectric.com%2Fblog%2Fsoluciones-de-optimizacion-energetica-y-balanceo-de-cargas-vehiculo-electrico" TargetMode="External"/><Relationship Id="rId1683" Type="http://schemas.openxmlformats.org/officeDocument/2006/relationships/hyperlink" Target="https://resources.simonelectric.com/simon-catalogo-vehiculo-electrico?utm_campaign=SIC%20-%20Veh%C3%ADculo%20El%C3%A9ctrico&amp;utm_medium=email&amp;_hsenc=p2ANqtz-94ksiJ2VJl_BsgNMkOY5tSJ-qd5ltpJc2I469URs405pVZplf0qgurwesJGVgcDh0l9RPX&amp;_hsmi=87085363&amp;utm_content=87085363&amp;utm_source=hs_email&amp;hsCtaTracking=6fedf137-fd90-4f17-bfb4-d61f710ec7f8%7Cf2771843-6636-4969-9010-2d8d0389b89c" TargetMode="External"/><Relationship Id="rId1684" Type="http://schemas.openxmlformats.org/officeDocument/2006/relationships/hyperlink" Target="https://resources.simonelectric.com/simon-catalogo-vehiculo-electrico?utm_campaign=SIC%20-%20Veh%C3%ADculo%20El%C3%A9ctrico&amp;utm_medium=email&amp;_hsenc=p2ANqtz-83HCkXSFIyLnCTiYPkJMfdOv9ILu7gZUNgiuJmG0O3HNY4Rz65IFFFZ30RMxFBKO_NtxaK&amp;_hsmi=87085363&amp;utm_content=87085363&amp;utm_source=hs_email&amp;hsCtaTracking=6fedf137-fd90-4f17-bfb4-d61f710ec7f8%7Cf2771843-6636-4969-9010-2d8d0389b89c" TargetMode="External"/><Relationship Id="rId1685" Type="http://schemas.openxmlformats.org/officeDocument/2006/relationships/hyperlink" Target="https://resources.simonelectric.com/simon-catalogo-vehiculo-electrico?utm_campaign=SIC%20-%20Veh%C3%ADculo%20El%C3%A9ctrico&amp;utm_medium=email&amp;_hsenc=p2ANqtz--iRH5n5jm2nEz-FARcPfz6dhD78i_oHM4gZFLONP3J6LChhZXbLBuIkYelXw_Vdnn2yyOV&amp;_hsmi=87085363&amp;utm_content=87085363&amp;utm_source=hs_email&amp;hsCtaTracking=6fedf137-fd90-4f17-bfb4-d61f710ec7f8%7Cf2771843-6636-4969-9010-2d8d0389b89c" TargetMode="External"/><Relationship Id="rId341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1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1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1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1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41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1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888" Type="http://schemas.openxmlformats.org/officeDocument/2006/relationships/hyperlink" Target="https://resources.simonelectric.com/simon-ebook-vehiculo-electrico" TargetMode="External"/><Relationship Id="rId887" Type="http://schemas.openxmlformats.org/officeDocument/2006/relationships/hyperlink" Target="https://resources.simonelectric.com/simon-ebook-vehiculo-electrico" TargetMode="External"/><Relationship Id="rId886" Type="http://schemas.openxmlformats.org/officeDocument/2006/relationships/hyperlink" Target="https://resources.simonelectric.com/simon-ebook-vehiculo-electrico" TargetMode="External"/><Relationship Id="rId885" Type="http://schemas.openxmlformats.org/officeDocument/2006/relationships/hyperlink" Target="https://resources.simonelectric.com/simon-catalogo-vehiculo-electrico?utm_campaign=SIC%20-%20Veh%C3%ADculo%20El%C3%A9ctrico&amp;utm_medium=email&amp;_hsenc=p2ANqtz--0-BKmulZhgoG-2uG6_HCkBE9NsPq9zwd70NWj8_O0xKkt3-BrSFbNYlU3FNefScSqxnULGIx5dTSnSzUtBwv3CFIubQ&amp;_hsmi=87865495&amp;utm_source=hs_automation&amp;utm_content=87865495&amp;hsCtaTracking=6fedf137-fd90-4f17-bfb4-d61f710ec7f8%7Cf2771843-6636-4969-9010-2d8d0389b89c" TargetMode="External"/><Relationship Id="rId889" Type="http://schemas.openxmlformats.org/officeDocument/2006/relationships/hyperlink" Target="https://resources.simonelectric.com/simon-ebook-vehiculo-electrico" TargetMode="External"/><Relationship Id="rId880" Type="http://schemas.openxmlformats.org/officeDocument/2006/relationships/hyperlink" Target="https://resources.simonelectric.com/simon-ebook-vehiculo-electrico" TargetMode="External"/><Relationship Id="rId884" Type="http://schemas.openxmlformats.org/officeDocument/2006/relationships/hyperlink" Target="https://resources.simonelectric.com/simon-ebook-vehiculo-electrico" TargetMode="External"/><Relationship Id="rId341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883" Type="http://schemas.openxmlformats.org/officeDocument/2006/relationships/hyperlink" Target="https://resources.simonelectric.com/simon-ebook-vehiculo-electrico" TargetMode="External"/><Relationship Id="rId882" Type="http://schemas.openxmlformats.org/officeDocument/2006/relationships/hyperlink" Target="https://resources.simonelectric.com/simon-ebook-vehiculo-electrico" TargetMode="External"/><Relationship Id="rId341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881" Type="http://schemas.openxmlformats.org/officeDocument/2006/relationships/hyperlink" Target="https://resources.simonelectric.com/simon-ebook-vehiculo-electrico" TargetMode="External"/><Relationship Id="rId3411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403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340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0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0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340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0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0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0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877" Type="http://schemas.openxmlformats.org/officeDocument/2006/relationships/hyperlink" Target="https://resources.simonelectric.com/simon-ebook-vehiculo-electrico" TargetMode="External"/><Relationship Id="rId876" Type="http://schemas.openxmlformats.org/officeDocument/2006/relationships/hyperlink" Target="https://resources.simonelectric.com/simon-ebook-vehiculo-electrico" TargetMode="External"/><Relationship Id="rId875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874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8gN4Pogy21yRl7huqtr5Q2g_7scj26OV2RfwfrE3v0faBcD1yuHo8eoY12mO-yNtQOPP0z3VGRaBqIt5fG7I_6gbpcbLoysXVE-PUFsJTqZcD40xo&amp;_hsmi=87865495" TargetMode="External"/><Relationship Id="rId879" Type="http://schemas.openxmlformats.org/officeDocument/2006/relationships/hyperlink" Target="https://resources.simonelectric.com/simon-catalogo-vehiculo-electrico?utm_campaign=SIC%20-%20Veh%C3%ADculo%20El%C3%A9ctrico&amp;utm_medium=email&amp;_hsenc=p2ANqtz--KTjejc90DG3eijTF65LzPaa6Yxi5Xg_zUDG6TsPLNAamLMsCTvtSSBDXkKQp4Q1V7nukWd-yjrBwYVt2qiCLL0U7FEw&amp;_hsmi=87865495&amp;utm_source=hs_automation&amp;utm_content=87865495&amp;hsCtaTracking=6fedf137-fd90-4f17-bfb4-d61f710ec7f8%7Cf2771843-6636-4969-9010-2d8d0389b89c" TargetMode="External"/><Relationship Id="rId878" Type="http://schemas.openxmlformats.org/officeDocument/2006/relationships/hyperlink" Target="https://resources.simonelectric.com/simon-ebook-vehiculo-electrico" TargetMode="External"/><Relationship Id="rId873" Type="http://schemas.openxmlformats.org/officeDocument/2006/relationships/hyperlink" Target="https://resources.simonelectric.com/simon-ebook-vehiculo-electrico" TargetMode="External"/><Relationship Id="rId872" Type="http://schemas.openxmlformats.org/officeDocument/2006/relationships/hyperlink" Target="https://resources.simonelectric.com/simon-catalogo-vehiculo-electrico?utm_campaign=SIC%20-%20Veh%C3%ADculo%20El%C3%A9ctrico&amp;utm_medium=email&amp;_hsenc=p2ANqtz-9Zi6kri7GhaqM3pZr0pei0eQJLthucGcLj4DHWBtaA_WrIYmizsRjhUPE6C48uEQQrOYL5kHlVFZ7Ts6cfd-rz5mVTjg&amp;_hsmi=87865495&amp;utm_source=hs_automation&amp;utm_content=87865495&amp;hsCtaTracking=6fedf137-fd90-4f17-bfb4-d61f710ec7f8%7Cf2771843-6636-4969-9010-2d8d0389b89c" TargetMode="External"/><Relationship Id="rId871" Type="http://schemas.openxmlformats.org/officeDocument/2006/relationships/hyperlink" Target="https://resources.simonelectric.com/simon-ebook-vehiculo-electrico?utm_campaign=SIC%20-%20Veh%C3%ADculo%20El%C3%A9ctrico&amp;utm_medium=email&amp;_hsenc=p2ANqtz-9-lL-s--QESpzFU5btdeNAf7_uA_domfb29UICPrdCoZ_1NtcK_95H2xBDnCmTvZ4jny8grBV-s0FRGRpimX1-ojZLNg&amp;_hsmi=71033675&amp;utm_source=hs_automation&amp;utm_content=71033675&amp;hsCtaTracking=2e94ebfc-d414-4389-870c-d2f266a9420b%7C587ac4dc-a49a-4bdc-b449-e36f5d95395b" TargetMode="External"/><Relationship Id="rId340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870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8PZucVP2cTMz9XZb9jOgOFpWSCvjrUFEdNiQ6m_NmLRxaqO90bHlm1PUsMrCmZA8mqImqB5Ah8Kh6l9edpKv8wPfey0x7P_IQ_Sglt1B8Vw0dsios&amp;_hsmi=87865495" TargetMode="External"/><Relationship Id="rId3400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71034014&amp;_hsenc=p2ANqtz-9hNaBh4AjlFfgtJUYIfpCB58Wk1UJ3ve8Ha6GJ-6xFUUAh5gmLtuwbOsqxmRDmslRfUJigU6raJOIZh-18brJq_vSrMA&amp;_hsmi=71034014" TargetMode="External"/><Relationship Id="rId1653" Type="http://schemas.openxmlformats.org/officeDocument/2006/relationships/hyperlink" Target="https://resources.simonelectric.com/simon-catalogo-vehiculo-electrico?utm_campaign=SIC%20-%20Veh%C3%ADculo%20El%C3%A9ctrico&amp;utm_medium=email&amp;_hsenc=p2ANqtz-8BnByRUOJ4x4fdSpQlDtRzrxEpyu1FyI2auyBnn0BIVeC8iYYE9PV0ozQGgl1shrgsgDaM&amp;_hsmi=87085363&amp;utm_content=87085363&amp;utm_source=hs_email&amp;hsCtaTracking=6fedf137-fd90-4f17-bfb4-d61f710ec7f8%7Cf2771843-6636-4969-9010-2d8d0389b89c" TargetMode="External"/><Relationship Id="rId2984" Type="http://schemas.openxmlformats.org/officeDocument/2006/relationships/hyperlink" Target="https://resources.simonelectric.com/simon-ebook-vehiculo-electrico?utm_campaign=%23Simonentucasa&amp;utm_medium=email&amp;_hsenc=p2ANqtz-_3nN8_e33wtNkqXWEfGCE7nCTK1ggN-QteF_bLE8Qfx_htEWToesUYXL0N8SWVa-MHZN_a_F3z2GBgKfi2esapc-91hA&amp;_hsmi=85165037&amp;utm_source=hs_email&amp;utm_content=85165037&amp;hsCtaTracking=7e048f91-fedd-4131-939d-25771a4a2d12%7Cf6d6f061-2319-4b5b-89f8-8c89fca06239" TargetMode="External"/><Relationship Id="rId1654" Type="http://schemas.openxmlformats.org/officeDocument/2006/relationships/hyperlink" Target="https://resources.simonelectric.com/simon-catalogo-vehiculo-electrico?utm_campaign=SIC%20-%20Veh%C3%ADculo%20El%C3%A9ctrico&amp;utm_medium=email&amp;_hsenc=p2ANqtz-9ICyrQIV31qzszyJoG8Re9oZEAzH5fUoflTk7zcJoBo_N6mggy9RMRKObzciVX3LVhug2k&amp;_hsmi=87085363&amp;utm_content=87085363&amp;utm_source=hs_email&amp;hsCtaTracking=6fedf137-fd90-4f17-bfb4-d61f710ec7f8%7Cf2771843-6636-4969-9010-2d8d0389b89c" TargetMode="External"/><Relationship Id="rId2985" Type="http://schemas.openxmlformats.org/officeDocument/2006/relationships/hyperlink" Target="https://resources.simonelectric.com/simon-ebook-vehiculo-electrico?utm_campaign=%23Simonentucasa&amp;utm_medium=email&amp;_hsenc=p2ANqtz--ctqxTPnUCw_IL171VvtEGhZ58PsSAb1x_gCiTpRTwBtstWG4uISL7Aj4ykJECdj9ZTsUXSUVa53w2-CUcqnzPHmRfEQ&amp;_hsmi=85165037&amp;utm_source=hs_email&amp;utm_content=85165037&amp;hsCtaTracking=7e048f91-fedd-4131-939d-25771a4a2d12%7Cf6d6f061-2319-4b5b-89f8-8c89fca06239" TargetMode="External"/><Relationship Id="rId1655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2986" Type="http://schemas.openxmlformats.org/officeDocument/2006/relationships/hyperlink" Target="https://resources.simonelectric.com/simon-ebook-vehiculo-electrico?utm_campaign=%23Simonentucasa&amp;utm_medium=email&amp;_hsenc=p2ANqtz-8XtSzxOatMKm4mWF0_1Hh6Mf61urKTzPfXKSYNjqmLuuPd4aZkVRNUsj1meLXD41ZfuljFUZb3Wi2dRccCveHQ9YEoFEJ77mM-_YPGy8kj-xpk7C4&amp;_hsmi=85165037&amp;utm_source=hs_email&amp;utm_content=85165037&amp;hsCtaTracking=7e048f91-fedd-4131-939d-25771a4a2d12%7Cf6d6f061-2319-4b5b-89f8-8c89fca06239" TargetMode="External"/><Relationship Id="rId1656" Type="http://schemas.openxmlformats.org/officeDocument/2006/relationships/hyperlink" Target="https://resources.simonelectric.com/simon-catalogo-vehiculo-electrico?utm_campaign=SIC%20-%20Veh%C3%ADculo%20El%C3%A9ctrico&amp;utm_medium=email&amp;_hsenc=p2ANqtz-8-UODwb4SiDYvatPyWT6YocGmO-nvWSNWcJCnwySo7WDgd4Yir1rp_wImHT6vMXVCCxFr2&amp;_hsmi=87085363&amp;utm_content=87085363&amp;utm_source=hs_email&amp;hsCtaTracking=6fedf137-fd90-4f17-bfb4-d61f710ec7f8%7Cf2771843-6636-4969-9010-2d8d0389b89c" TargetMode="External"/><Relationship Id="rId298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657" Type="http://schemas.openxmlformats.org/officeDocument/2006/relationships/hyperlink" Target="https://resources.simonelectric.com/simon-catalogo-vehiculo-electrico?__hstc=83084745.a3a4201c505b56977679c63e8f9f9418.1588164584779.1588164584779.1588164584779.1&amp;__hssc=83084745.2.1588164584780&amp;__hsfp=3208746756" TargetMode="External"/><Relationship Id="rId2988" Type="http://schemas.openxmlformats.org/officeDocument/2006/relationships/hyperlink" Target="https://resources.simonelectric.com/simon-catalogo-vehiculo-electrico?__hstc=83084745.e5e79125e451170201f2a2df21f1523f.1584550229798.1584550229798.1585117957150.2&amp;__hssc=83084745.4.1585117957150&amp;__hsfp=3508412792" TargetMode="External"/><Relationship Id="rId1658" Type="http://schemas.openxmlformats.org/officeDocument/2006/relationships/hyperlink" Target="https://resources.simonelectric.com/simon-catalogo-vehiculo-electrico?utm_campaign=SIC%20-%20Veh%C3%ADculo%20El%C3%A9ctrico&amp;utm_medium=email&amp;_hsenc=p2ANqtz-9fhy_t1dtGR3td3tvbTk5zNManU2kw6QPV7jmOuDh7LrxTERQdTWck64BLkp2Bu90Hlfgs&amp;_hsmi=87085302&amp;utm_content=87085302&amp;utm_source=hs_email&amp;hsCtaTracking=6fedf137-fd90-4f17-bfb4-d61f710ec7f8%7Cf2771843-6636-4969-9010-2d8d0389b89c" TargetMode="External"/><Relationship Id="rId2989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_EKoGjUDDnPaAJpYKo2by1Bcs3Xra4HzSE7844yMC2T6E6abAgT4mKm8Z0y9ZXDZBi_mczSg4C5_UEwIhJvZyulOisPQ&amp;_hsmi=85165037" TargetMode="External"/><Relationship Id="rId1659" Type="http://schemas.openxmlformats.org/officeDocument/2006/relationships/hyperlink" Target="https://resources.simonelectric.com/simon-catalogo-vehiculo-electrico?utm_campaign=SIC%20-%20Veh%C3%ADculo%20El%C3%A9ctrico&amp;utm_medium=email&amp;_hsenc=p2ANqtz--vtdvQFdKA8oE4HhldSHIJCq2gS9S6vVyqtSYcphSOSRWvm9mZ0NjoN2h7xxPp_WWm6o03&amp;_hsmi=87085363&amp;utm_content=87085363&amp;utm_source=hs_email&amp;hsCtaTracking=6fedf137-fd90-4f17-bfb4-d61f710ec7f8%7Cf2771843-6636-4969-9010-2d8d0389b89c" TargetMode="External"/><Relationship Id="rId829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DlmKcn7Go6OAYO8i4RnOjnW7gTzsPQm-32YV9Rh6L1x8--zXuOnP-pTmIo9DynClPFgQi_DmNHHwBKL7cMwilckz_tjt_69vCgE28GOy6ckQSm_Q&amp;_hsmi=88328232" TargetMode="External"/><Relationship Id="rId828" Type="http://schemas.openxmlformats.org/officeDocument/2006/relationships/hyperlink" Target="https://resources.simonelectric.com/simon-material-formativo-vehiculo-electrico?utm_campaign=SIC%20-%20Veh%C3%ADculo%20El%C3%A9ctrico&amp;utm_medium=email&amp;_hsenc=p2ANqtz-9mdgaXiElZpsaXs823FhsR0kMUmwyE4WfpXOCMRLYycUVzbrUK6peKWxxRqdVkE2MEueki-RCfFef41xyRXGtPYFHGXw&amp;_hsmi=88328232&amp;utm_source=hs_email&amp;utm_content=88328407&amp;hsCtaTracking=f8a31ce8-daf1-4d69-a5d6-c3349f3aab91%7C75f9b9fd-a2b2-4ad4-9d4a-0dcb7c99194f" TargetMode="External"/><Relationship Id="rId827" Type="http://schemas.openxmlformats.org/officeDocument/2006/relationships/hyperlink" Target="https://resources.simonelectric.com/simon-material-formativo-vehiculo-electrico?utm_campaign=SIC%20-%20Veh%C3%ADculo%20El%C3%A9ctrico&amp;utm_medium=email&amp;_hsenc=p2ANqtz-9O20nxqwXIbdeeTg2eG343-DV84wyJ7VqDx8Xqlh3z3acXn8m63EJP3lDfKzkZT9KAebeAJZZtI4Pp3vrS2iJX6bGS3Q&amp;_hsmi=88328232&amp;utm_source=hs_email&amp;utm_content=88328407&amp;hsCtaTracking=f8a31ce8-daf1-4d69-a5d6-c3349f3aab91%7C75f9b9fd-a2b2-4ad4-9d4a-0dcb7c99194f" TargetMode="External"/><Relationship Id="rId822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hOjBJJDG85t6HKu_NTNKdSUuM8eC8h62PdeJ9p7KTK8HC8-FadMcgPooVhTAqwqAHPfZL3uxmCd_2SIonuFfZEikis1YwbdgXpQ_KLARAgxS8b2w&amp;_hsmi=88328232" TargetMode="External"/><Relationship Id="rId821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S8Do3XOFHJVDG7UM6YSXjz7KH2SUruoQuKoAdUkMf3tcaKkk7BZYjTiUQ3nEDparHeRyTIysgM2mI8rmijwPJqd94GA&amp;_hsmi=88328232" TargetMode="External"/><Relationship Id="rId820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-x0-MH9AXFJKaj58MttC8EP2hkbq0EnIr6mN6KBWb_izj2zRPmdVdQGvxRe5ayye7yd20sabVEZ48RRX6dbH8Hpw-03fQzZEMaevQVyfOXP-LcxM&amp;_hsmi=88328237" TargetMode="External"/><Relationship Id="rId826" Type="http://schemas.openxmlformats.org/officeDocument/2006/relationships/hyperlink" Target="https://resources.simonelectric.com/simon-material-formativo-vehiculo-electrico?utm_campaign=SIC%20-%20Veh%C3%ADculo%20El%C3%A9ctrico&amp;utm_medium=email&amp;_hsenc=p2ANqtz--Tgyl7chFvVm-NUB5VmQGYqLsFZa41JyhFsAw_wOTyy-Zk-5rrzGDL0qZQuzc3thtGEciaZtXC33d71MVaQ8U3VU7Mkw&amp;_hsmi=88328232&amp;utm_source=hs_email&amp;utm_content=88328407&amp;hsCtaTracking=f8a31ce8-daf1-4d69-a5d6-c3349f3aab91%7C75f9b9fd-a2b2-4ad4-9d4a-0dcb7c99194f" TargetMode="External"/><Relationship Id="rId825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9F79eZXIJaQaL5sDltVMwHCCI8uwOqDYFJW2VsrDgHRVO6XnIZvQzTWBRVArLEz5v90x5Ir4RrcdkQc7qm7CLFqfo64pBP_M5wWDwsVXOyHRZQxc&amp;_hsmi=88328232" TargetMode="External"/><Relationship Id="rId824" Type="http://schemas.openxmlformats.org/officeDocument/2006/relationships/hyperlink" Target="https://resources.simonelectric.com/simon-material-formativo-vehiculo-electrico?utm_campaign=SIC%20-%20Veh%C3%ADculo%20El%C3%A9ctrico&amp;utm_medium=email&amp;_hsenc=p2ANqtz-9E8X5gUKED_drq1S6V6nim1lOgkw4r8BQaZf7C35nfqg2AP110YkkRl9Rkz8x6XerX1Dfnt4dPH5tkV76HWFbCoZhZifXi6JJf7c2gaRaNYSne46Y&amp;_hsmi=88328232&amp;utm_source=hs_email&amp;utm_content=88328407&amp;hsCtaTracking=f8a31ce8-daf1-4d69-a5d6-c3349f3aab91%7C75f9b9fd-a2b2-4ad4-9d4a-0dcb7c99194f" TargetMode="External"/><Relationship Id="rId823" Type="http://schemas.openxmlformats.org/officeDocument/2006/relationships/hyperlink" Target="https://resources.simonelectric.com/simon-material-formativo-vehiculo-electrico?utm_campaign=SIC%20-%20Veh%C3%ADculo%20El%C3%A9ctrico&amp;utm_medium=email&amp;_hsenc=p2ANqtz--AkQ6-xQ3n3U_NcFX5L-fJpoeIvN2mvsls6thui_P8Ob-RlllPMgDLRk1QuQ4a_SQ5DP0QW4rQct1wdl8EgVY-q3TAMUKNZi1gxglySDkaprkyjb4&amp;_hsmi=88328232&amp;utm_source=hs_email&amp;utm_content=88328407&amp;hsCtaTracking=f8a31ce8-daf1-4d69-a5d6-c3349f3aab91%7C75f9b9fd-a2b2-4ad4-9d4a-0dcb7c99194f" TargetMode="External"/><Relationship Id="rId2980" Type="http://schemas.openxmlformats.org/officeDocument/2006/relationships/hyperlink" Target="https://resources.simonelectric.com/simon-ebook-vehiculo-electrico?utm_campaign=SIC%20-%20Veh%C3%ADculo%20El%C3%A9ctrico&amp;utm_medium=email&amp;_hsenc=p2ANqtz-803MLJMEcowgTvFJHmCXx1jcCBk36CNzNwuncylvtZGY6wR_QKWgXqFLA62hOKNWkV8KfxXPIJSExGcHLCMMJwiLtS7Q&amp;_hsmi=71033675&amp;utm_source=hs_automation&amp;utm_content=71033675&amp;hsCtaTracking=2e94ebfc-d414-4389-870c-d2f266a9420b%7C587ac4dc-a49a-4bdc-b449-e36f5d95395b" TargetMode="External"/><Relationship Id="rId1650" Type="http://schemas.openxmlformats.org/officeDocument/2006/relationships/hyperlink" Target="https://resources.simonelectric.com/simon-catalogo-vehiculo-electrico?utm_campaign=SIC%20-%20Veh%C3%ADculo%20El%C3%A9ctrico&amp;utm_medium=email&amp;_hsenc=p2ANqtz-9L8z2-gaxNDxgcKWkQwGa2RWudnoTR6OOHOMDFnpBoESSmjrBLNnC0l7gb-b4JAc3kzkDd&amp;_hsmi=87085363&amp;utm_content=87085363&amp;utm_source=hs_email&amp;hsCtaTracking=6fedf137-fd90-4f17-bfb4-d61f710ec7f8%7Cf2771843-6636-4969-9010-2d8d0389b89c" TargetMode="External"/><Relationship Id="rId2981" Type="http://schemas.openxmlformats.org/officeDocument/2006/relationships/hyperlink" Target="https://resources.simonelectric.com/simon-ebook-vehiculo-electrico?utm_campaign=%23Simonentucasa&amp;utm_medium=email&amp;_hsenc=p2ANqtz-9uPhgGAJuba7qaD_Xj10H_g7PqLoYpnIrR7rWPNzU_wQq2UCVszyLxqNC_xVvrHt2Q5B-MjXR-BwhgopZTves8dz3_QQ&amp;_hsmi=85165037&amp;utm_source=hs_email&amp;utm_content=85165037&amp;hsCtaTracking=7e048f91-fedd-4131-939d-25771a4a2d12%7Cf6d6f061-2319-4b5b-89f8-8c89fca06239" TargetMode="External"/><Relationship Id="rId1651" Type="http://schemas.openxmlformats.org/officeDocument/2006/relationships/hyperlink" Target="https://resources.simonelectric.com/simon-catalogo-vehiculo-electrico?utm_campaign=SIC%20-%20Veh%C3%ADculo%20El%C3%A9ctrico&amp;utm_medium=email&amp;_hsmi=87085363&amp;_hsenc=p2ANqtz--PA-xBLQGbVljJ0DWk6uDURZQqXfjJj8K_uCgkW71C55MgBgNNunv2bD25aVBf0qQHgK4q&amp;utm_content=87085363&amp;utm_source=hs_email" TargetMode="External"/><Relationship Id="rId2982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652" Type="http://schemas.openxmlformats.org/officeDocument/2006/relationships/hyperlink" Target="https://resources.simonelectric.com/simon-catalogo-vehiculo-electrico?utm_campaign=SIC%20-%20Veh%C3%ADculo%20El%C3%A9ctrico&amp;utm_medium=email&amp;_hsenc=p2ANqtz--0c27f0AW9lPjDjb0gjFEp7r6GAaHugLbDaK12azFI01VdjYliq4etKzBK19itOSNktM0Z&amp;_hsmi=87085363&amp;utm_content=87085363&amp;utm_source=hs_email&amp;hsCtaTracking=6fedf137-fd90-4f17-bfb4-d61f710ec7f8%7Cf2771843-6636-4969-9010-2d8d0389b89c" TargetMode="External"/><Relationship Id="rId2983" Type="http://schemas.openxmlformats.org/officeDocument/2006/relationships/hyperlink" Target="https://resources.simonelectric.com/simon-ebook-vehiculo-electrico?utm_campaign=%23Simonentucasa&amp;utm_medium=email&amp;_hsenc=p2ANqtz-8PzFwu2ebo1RDGKEWbtebPorXx4j_6XQ5HMDNOea3eq8kD9QAaL_Y4OR2qR4nYiL0UGLAg9Th5bTddkidA2t_JD7ftjw&amp;_hsmi=85165037&amp;utm_source=hs_email&amp;utm_content=85165037&amp;hsCtaTracking=7e048f91-fedd-4131-939d-25771a4a2d12%7Cf6d6f061-2319-4b5b-89f8-8c89fca06239" TargetMode="External"/><Relationship Id="rId1642" Type="http://schemas.openxmlformats.org/officeDocument/2006/relationships/hyperlink" Target="https://resources.simonelectric.com/simon-catalogo-vehiculo-electrico?utm_campaign=SIC%20-%20Veh%C3%ADculo%20El%C3%A9ctrico&amp;utm_medium=email&amp;_hsenc=p2ANqtz-_yuRLhyaZbcjcbluw6kTuFToo4ugJulNODa51gtjaY0WHhPJ5QCU9oZ9OO0zOtjbzFEK4Q&amp;_hsmi=87085363&amp;utm_content=87085363&amp;utm_source=hs_email&amp;hsCtaTracking=6fedf137-fd90-4f17-bfb4-d61f710ec7f8%7Cf2771843-6636-4969-9010-2d8d0389b89c" TargetMode="External"/><Relationship Id="rId2973" Type="http://schemas.openxmlformats.org/officeDocument/2006/relationships/hyperlink" Target="https://resources.simonelectric.com/simon-ebook-vehiculo-electrico?utm_campaign=%23Simonentucasa&amp;utm_medium=email&amp;_hsenc=p2ANqtz--o45sD2GkDG0wKwlAt9eqmu36V1fsDWbQxrE_JY7YAkqzkqK2vOo1h7eniW5J8GDQXre-1SnkQYbaAmXqjNkXwOAeaYQ&amp;_hsmi=85165037&amp;utm_source=hs_email&amp;utm_content=85165037&amp;hsCtaTracking=7e048f91-fedd-4131-939d-25771a4a2d12%7Cf6d6f061-2319-4b5b-89f8-8c89fca06239" TargetMode="External"/><Relationship Id="rId1643" Type="http://schemas.openxmlformats.org/officeDocument/2006/relationships/hyperlink" Target="https://resources.simonelectric.com/simon-catalogo-vehiculo-electrico?utm_campaign=SIC%20-%20Veh%C3%ADculo%20El%C3%A9ctrico&amp;utm_medium=email&amp;_hsenc=p2ANqtz-8CmoXUQm-XJEcsmpGVwjIJRXBnmDsB9_OUMeKbzyrQENePwlMtyqQBcsWyN1kqS_LSN2Ij&amp;_hsmi=87085363&amp;utm_content=87085363&amp;utm_source=hs_email&amp;hsCtaTracking=6fedf137-fd90-4f17-bfb4-d61f710ec7f8%7Cf2771843-6636-4969-9010-2d8d0389b89c" TargetMode="External"/><Relationship Id="rId2974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644" Type="http://schemas.openxmlformats.org/officeDocument/2006/relationships/hyperlink" Target="https://resources.simonelectric.com/simon-catalogo-vehiculo-electrico?utm_campaign=SIC%20-%20Veh%C3%ADculo%20El%C3%A9ctrico&amp;utm_medium=email&amp;_hsenc=p2ANqtz-9c-YeYlQvzbfl0ebJfFRPf4BzN2IHL6FQndVtHxVUYp0dfkl9OObz61ertiRV8Cq56Pmba&amp;_hsmi=87085363&amp;utm_content=87085363&amp;utm_source=hs_email&amp;hsCtaTracking=6fedf137-fd90-4f17-bfb4-d61f710ec7f8%7Cf2771843-6636-4969-9010-2d8d0389b89c" TargetMode="External"/><Relationship Id="rId2975" Type="http://schemas.openxmlformats.org/officeDocument/2006/relationships/hyperlink" Target="https://resources.simonelectric.com/simon-ebook-vehiculo-electrico?utm_campaign=%23Simonentucasa&amp;utm_medium=email&amp;_hsenc=p2ANqtz-_8OoIm3uuaV2Sx0Fyq2BM4jqmdq3iMsCNliXrZ1JNVz4w1njRtYibpNUW7zEwA72PunxX3H55yOb3FKjj1Qe_No5Uobg&amp;_hsmi=85165037&amp;utm_source=hs_email&amp;utm_content=85165037&amp;hsCtaTracking=7e048f91-fedd-4131-939d-25771a4a2d12%7Cf6d6f061-2319-4b5b-89f8-8c89fca06239" TargetMode="External"/><Relationship Id="rId1645" Type="http://schemas.openxmlformats.org/officeDocument/2006/relationships/hyperlink" Target="https://resources.simonelectric.com/simon-catalogo-vehiculo-electrico?utm_campaign=SIC%20-%20Veh%C3%ADculo%20El%C3%A9ctrico&amp;utm_medium=email&amp;_hsenc=p2ANqtz-8etvR5U0EdPy6ggIvFt7qJRBWZFSE7cTqeI9SMW2qYb9KmcWFkV1NV9D8ODevYYx2-idQp&amp;_hsmi=87085302&amp;utm_content=87085302&amp;utm_source=hs_email&amp;hsCtaTracking=6fedf137-fd90-4f17-bfb4-d61f710ec7f8%7Cf2771843-6636-4969-9010-2d8d0389b89c" TargetMode="External"/><Relationship Id="rId297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1646" Type="http://schemas.openxmlformats.org/officeDocument/2006/relationships/hyperlink" Target="https://resources.simonelectric.com/simon-catalogo-vehiculo-electrico?utm_campaign=SIC%20-%20Veh%C3%ADculo%20El%C3%A9ctrico&amp;utm_medium=email&amp;_hsenc=p2ANqtz-9CAlZht3xkAD7pGjGgPRDHkHdc-YnQReH7iHnxdCPIcuEgW_RtGc1kMdBQovfJCADuhE5p&amp;_hsmi=87085363&amp;utm_content=87085363&amp;utm_source=hs_email&amp;hsCtaTracking=6fedf137-fd90-4f17-bfb4-d61f710ec7f8%7Cf2771843-6636-4969-9010-2d8d0389b89c" TargetMode="External"/><Relationship Id="rId2977" Type="http://schemas.openxmlformats.org/officeDocument/2006/relationships/hyperlink" Target="https://resources.simonelectric.com/simon-ebook-vehiculo-electrico?utm_campaign=%23Simonentucasa&amp;utm_medium=email&amp;_hsenc=p2ANqtz--7GfoofDAUVRG-8nx2aXxQYP4ni96OHNgtVoqvRd9cSQCgeqCLtdwh0OVXcmjwxs8KOTayHG-D9EnO2D4uIap3q-k6sw&amp;_hsmi=85165037&amp;utm_source=hs_email&amp;utm_content=85165037&amp;hsCtaTracking=7e048f91-fedd-4131-939d-25771a4a2d12%7Cf6d6f061-2319-4b5b-89f8-8c89fca06239" TargetMode="External"/><Relationship Id="rId1647" Type="http://schemas.openxmlformats.org/officeDocument/2006/relationships/hyperlink" Target="https://resources.simonelectric.com/simon-catalogo-vehiculo-electrico?utm_campaign=SIC%20-%20Veh%C3%ADculo%20El%C3%A9ctrico&amp;utm_medium=email&amp;_hsenc=p2ANqtz-9-gnIxYrbJsm1TMpb4HUdmPCkhgdfQhDGL4VzYYRI2S3AKDSOx72S6bt2pph5_HRpe5pJ8&amp;_hsmi=87085363&amp;utm_content=87085363&amp;utm_source=hs_email&amp;hsCtaTracking=6fedf137-fd90-4f17-bfb4-d61f710ec7f8%7Cf2771843-6636-4969-9010-2d8d0389b89c" TargetMode="External"/><Relationship Id="rId2978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1648" Type="http://schemas.openxmlformats.org/officeDocument/2006/relationships/hyperlink" Target="https://resources.simonelectric.com/simon-catalogo-vehiculo-electrico?utm_campaign=SIC%20-%20Veh%C3%ADculo%20El%C3%A9ctrico&amp;utm_medium=email&amp;_hsenc=p2ANqtz-94cPHW8gb5uwOsZeEWZG66lzBEvkZ-u9ilfzpIpcGr8hdLd_zuOeNFcv6q8F3town4YXFm&amp;_hsmi=87085302&amp;utm_content=87085302&amp;utm_source=hs_email&amp;hsCtaTracking=6fedf137-fd90-4f17-bfb4-d61f710ec7f8%7Cf2771843-6636-4969-9010-2d8d0389b89c" TargetMode="External"/><Relationship Id="rId2979" Type="http://schemas.openxmlformats.org/officeDocument/2006/relationships/hyperlink" Target="https://resources.simonelectric.com/simon-ebook-vehiculo-electrico-0?gclid=EAIaIQobChMI5eS19Zu06AIV1m4bCh0SZgg7EAEYASAAEgIArfD_BwE" TargetMode="External"/><Relationship Id="rId1649" Type="http://schemas.openxmlformats.org/officeDocument/2006/relationships/hyperlink" Target="https://resources.simonelectric.com/simon-catalogo-vehiculo-electrico?utm_campaign=SIC%20-%20Veh%C3%ADculo%20El%C3%A9ctrico&amp;utm_medium=email&amp;_hsenc=p2ANqtz-_NpMH9krf_VQd9XQqjwp7sLHc2Cm5gzBz_a7YAcIyf63maS7nVm0VhUoYAzIU3miVrb-Vm&amp;_hsmi=87085363&amp;utm_content=87085363&amp;utm_source=hs_email&amp;hsCtaTracking=6fedf137-fd90-4f17-bfb4-d61f710ec7f8%7Cf2771843-6636-4969-9010-2d8d0389b89c" TargetMode="External"/><Relationship Id="rId819" Type="http://schemas.openxmlformats.org/officeDocument/2006/relationships/hyperlink" Target="https://resources.simonelectric.com/simon-material-formativo-vehiculo-electrico?utm_campaign=SIC%20-%20Veh%C3%ADculo%20El%C3%A9ctrico&amp;utm_medium=email&amp;_hsenc=p2ANqtz-8QP9EvU73quzTzMQ5y2Njl8veGZeZQs3hDfuSHJgfEYsUQU8_Mi78YH4hx-1ZJsxyLlYG4Pvgdo0f-FQ_fTjQuoYByIQ&amp;_hsmi=88328232&amp;utm_source=hs_email&amp;utm_content=88328407&amp;hsCtaTracking=f8a31ce8-daf1-4d69-a5d6-c3349f3aab91%7C75f9b9fd-a2b2-4ad4-9d4a-0dcb7c99194f" TargetMode="External"/><Relationship Id="rId818" Type="http://schemas.openxmlformats.org/officeDocument/2006/relationships/hyperlink" Target="https://resources.simonelectric.com/simon-material-formativo-vehiculo-electrico?utm_campaign=SIC%20-%20Veh%C3%ADculo%20El%C3%A9ctrico&amp;utm_medium=email&amp;_hsenc=p2ANqtz-_hYRbhM-0G7x57YY6gPNnvNU257zULDfRnjAztRUN1NblGFh1gptCYO25xKvyH2Nefw5G53F73KRuUtR_-CAfvYjChSA&amp;_hsmi=88328232&amp;utm_source=hs_email&amp;utm_content=88328407&amp;hsCtaTracking=f8a31ce8-daf1-4d69-a5d6-c3349f3aab91%7C75f9b9fd-a2b2-4ad4-9d4a-0dcb7c99194f" TargetMode="External"/><Relationship Id="rId817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8Fwq-JuaMZJTxWkAqpgnOvr6pzb9LAP9cUB3fbBzm_Un06tO6iDHkpW5XvSubEWwpNHTbgBGpue4YyEL4v_EynkLeWQ&amp;_hsmi=88328232" TargetMode="External"/><Relationship Id="rId816" Type="http://schemas.openxmlformats.org/officeDocument/2006/relationships/hyperlink" Target="https://resources.simonelectric.com/simon-material-formativo-vehiculo-electrico?utm_campaign=SIC%20-%20Veh%C3%ADculo%20El%C3%A9ctrico&amp;utm_medium=email&amp;_hsenc=p2ANqtz-9qQXXtSmHzkuVC58bqdxlf5GWxlkOmqbwHJYmtNIB9w0pb3LgHxM9WpjdmEgx87nXMkXdy_vrrcR_vZsxPjXbU7f58KVDLkrNhi62uR3MN3M24bCM&amp;_hsmi=88328232&amp;utm_source=hs_email&amp;utm_content=88328407&amp;hsCtaTracking=f8a31ce8-daf1-4d69-a5d6-c3349f3aab91%7C75f9b9fd-a2b2-4ad4-9d4a-0dcb7c99194f" TargetMode="External"/><Relationship Id="rId811" Type="http://schemas.openxmlformats.org/officeDocument/2006/relationships/hyperlink" Target="https://resources.simonelectric.com/simon-material-formativo-vehiculo-electrico?utm_campaign=SIC%20-%20Veh%C3%ADculo%20El%C3%A9ctrico&amp;utm_medium=email&amp;_hsenc=p2ANqtz--D_IRC_0EK-8czWyZo4S64Hx_S25WT_8JeoLrR-oby8Lgk3SyyZptNeyLxBK3vSIxu1qmlVBwE9xB9uRusbpug81kJeA&amp;_hsmi=88328232&amp;utm_source=hs_email&amp;utm_content=88328407&amp;hsCtaTracking=f8a31ce8-daf1-4d69-a5d6-c3349f3aab91%7C75f9b9fd-a2b2-4ad4-9d4a-0dcb7c99194f" TargetMode="External"/><Relationship Id="rId810" Type="http://schemas.openxmlformats.org/officeDocument/2006/relationships/hyperlink" Target="https://resources.simonelectric.com/simon-material-formativo-vehiculo-electrico?utm_campaign=SIC%20-%20Veh%C3%ADculo%20El%C3%A9ctrico&amp;utm_medium=email&amp;_hsenc=p2ANqtz--pp9fEDCUM4g7RURQ6GnqADRocWApjGfduOSpDUHyfVZUnj2R1WCJWTx_pq377sJ3vu0pnN41IlbVJZZF_QFf9Y8gyEw&amp;_hsmi=88328232&amp;utm_source=hs_email&amp;utm_content=88328407&amp;hsCtaTracking=f8a31ce8-daf1-4d69-a5d6-c3349f3aab91%7C75f9b9fd-a2b2-4ad4-9d4a-0dcb7c99194f" TargetMode="External"/><Relationship Id="rId815" Type="http://schemas.openxmlformats.org/officeDocument/2006/relationships/hyperlink" Target="https://resources.simonelectric.com/simon-material-formativo-vehiculo-electrico?utm_campaign=SIC%20-%20Veh%C3%ADculo%20El%C3%A9ctrico&amp;utm_medium=email&amp;_hsenc=p2ANqtz-9EhY919YGnZTuVBnguKtGQ_kd_nQvRQNagDPhqVan3uJ42v3_f-ARwGa7kwQ71vTnPEc1RrRoPRFdNGYW2YwTE4uN-eg&amp;_hsmi=88328232&amp;utm_source=hs_email&amp;utm_content=88328407&amp;hsCtaTracking=f8a31ce8-daf1-4d69-a5d6-c3349f3aab91%7C75f9b9fd-a2b2-4ad4-9d4a-0dcb7c99194f" TargetMode="External"/><Relationship Id="rId814" Type="http://schemas.openxmlformats.org/officeDocument/2006/relationships/hyperlink" Target="https://resources.simonelectric.com/simon-material-formativo-vehiculo-electrico?utm_campaign=SIC%20-%20Veh%C3%ADculo%20El%C3%A9ctrico&amp;utm_medium=email&amp;_hsenc=p2ANqtz--pp9fEDCUM4g7RURQ6GnqADRocWApjGfduOSpDUHyfVZUnj2R1WCJWTx_pq377sJ3vu0pnN41IlbVJZZF_QFf9Y8gyEw&amp;_hsmi=88328232&amp;utm_source=hs_email&amp;utm_content=88328407&amp;hsCtaTracking=f8a31ce8-daf1-4d69-a5d6-c3349f3aab91%7C75f9b9fd-a2b2-4ad4-9d4a-0dcb7c99194f" TargetMode="External"/><Relationship Id="rId813" Type="http://schemas.openxmlformats.org/officeDocument/2006/relationships/hyperlink" Target="https://resources.simonelectric.com/simon-material-formativo-vehiculo-electrico?utm_campaign=SIC%20-%20Veh%C3%ADculo%20El%C3%A9ctrico&amp;utm_medium=email&amp;_hsenc=p2ANqtz-_tIdknR2k9w53fwVX7C0OC9izZpM6MpUt1myyueenIkg7b2oGPXwn8iUuoOqXMU6v3DTX9s_mDKmYVYer4oqXH0WEj7g&amp;_hsmi=88328232&amp;utm_source=hs_email&amp;utm_content=88328407&amp;hsCtaTracking=f8a31ce8-daf1-4d69-a5d6-c3349f3aab91%7C75f9b9fd-a2b2-4ad4-9d4a-0dcb7c99194f" TargetMode="External"/><Relationship Id="rId812" Type="http://schemas.openxmlformats.org/officeDocument/2006/relationships/hyperlink" Target="https://resources.simonelectric.com/simon-material-formativo-vehiculo-electrico?utm_campaign=SIC%20-%20Veh%C3%ADculo%20El%C3%A9ctrico&amp;utm_medium=email&amp;_hsenc=p2ANqtz-87UKcrj0vMINAevyQ4vYlq28p_OpqHOLvjsg5iI0HA4lm9CbplZ6snNVuaH__xQ-wbTTJ7gH7q_ZKDTt5JWrQBUF6Ehw&amp;_hsmi=88328232&amp;utm_source=hs_email&amp;utm_content=88328407&amp;hsCtaTracking=f8a31ce8-daf1-4d69-a5d6-c3349f3aab91%7C75f9b9fd-a2b2-4ad4-9d4a-0dcb7c99194f" TargetMode="External"/><Relationship Id="rId2970" Type="http://schemas.openxmlformats.org/officeDocument/2006/relationships/hyperlink" Target="https://resources.simonelectric.com/simon-ebook-vehiculo-electrico?utm_campaign=%23Simonentucasa&amp;utm_medium=email&amp;_hsenc=p2ANqtz-8asjqlRQGDkybVk15ubhcef0nUApyPykLjtpRet4UNhk9RTIn4sVRcnjzF0pYjACoz3IXHVtMPsb5aYq9T6GpbC6jGCA&amp;_hsmi=85165037&amp;utm_source=hs_email&amp;utm_content=85165037&amp;hsCtaTracking=7e048f91-fedd-4131-939d-25771a4a2d12%7Cf6d6f061-2319-4b5b-89f8-8c89fca06239" TargetMode="External"/><Relationship Id="rId1640" Type="http://schemas.openxmlformats.org/officeDocument/2006/relationships/hyperlink" Target="https://resources.simonelectric.com/simon-catalogo-vehiculo-electrico?utm_campaign=SIC%20-%20Veh%C3%ADculo%20El%C3%A9ctrico&amp;utm_medium=email&amp;_hsenc=p2ANqtz-8gemTqDVi9Q3MgTJpoiN8l6wo9aZWkkcBm0SfDf8yxZRtBYXtsk61kbNLOPWTDW382_nPm&amp;_hsmi=87085363&amp;utm_content=87085363&amp;utm_source=hs_email&amp;hsCtaTracking=6fedf137-fd90-4f17-bfb4-d61f710ec7f8%7Cf2771843-6636-4969-9010-2d8d0389b89c" TargetMode="External"/><Relationship Id="rId2971" Type="http://schemas.openxmlformats.org/officeDocument/2006/relationships/hyperlink" Target="https://resources.simonelectric.com/simon-ebook-vehiculo-electrico?utm_campaign=%23Simonentucasa&amp;utm_medium=email&amp;_hsenc=p2ANqtz--FDsXoXSJdRiyaib6X9KowaubDiWPV-VAvG8TQnZtNcsWIjOYkRSLDepwfJ2Qm24xtwRrZP0n9B29nw2P-gWPkAJo9uQ&amp;_hsmi=85165037&amp;utm_source=hs_email&amp;utm_content=85165037&amp;hsCtaTracking=7e048f91-fedd-4131-939d-25771a4a2d12%7Cf6d6f061-2319-4b5b-89f8-8c89fca06239" TargetMode="External"/><Relationship Id="rId1641" Type="http://schemas.openxmlformats.org/officeDocument/2006/relationships/hyperlink" Target="https://resources.simonelectric.com/simon-catalogo-vehiculo-electrico?utm_campaign=SIC%20-%20Veh%C3%ADculo%20El%C3%A9ctrico&amp;utm_medium=email&amp;_hsenc=p2ANqtz-9BD1iMz4j4yHNJXU59ikam0_FoK6enV4z3p1kpyAx0MW4zb2u5zA59bhgmMZodp5_OfBI0&amp;_hsmi=87085363&amp;utm_content=87085363&amp;utm_source=hs_email&amp;hsCtaTracking=6fedf137-fd90-4f17-bfb4-d61f710ec7f8%7Cf2771843-6636-4969-9010-2d8d0389b89c" TargetMode="External"/><Relationship Id="rId2972" Type="http://schemas.openxmlformats.org/officeDocument/2006/relationships/hyperlink" Target="https://resources.simonelectric.com/simon-ebook-vehiculo-electrico?utm_campaign=%23Simonentucasa&amp;utm_medium=email&amp;_hsenc=p2ANqtz-8exDkmSUfzu8pAzrfeVvPtqYl1A0UtGeVhuCX1_xDoe2PpIA6GB017bbAkYu1wT_QFM2arf6P8aoiehh8Fx0HYnkTqqA&amp;_hsmi=85165037&amp;utm_source=hs_email&amp;utm_content=85165037&amp;hsCtaTracking=7e048f91-fedd-4131-939d-25771a4a2d12%7Cf6d6f061-2319-4b5b-89f8-8c89fca06239" TargetMode="External"/><Relationship Id="rId1675" Type="http://schemas.openxmlformats.org/officeDocument/2006/relationships/hyperlink" Target="https://resources.simonelectric.com/simon-catalogo-vehiculo-electrico?utm_campaign=SIC%20-%20Veh%C3%ADculo%20El%C3%A9ctrico&amp;utm_medium=email&amp;_hsmi=87085302&amp;_hsenc=p2ANqtz-8TY7f1EC4ud5UgdLHmA7ERhgLJx74mXh--EfrPyJ9CPOlUxBmui4C4HwOE0-Wa2cfhXITl&amp;utm_content=87085302&amp;utm_source=hs_email" TargetMode="External"/><Relationship Id="rId1676" Type="http://schemas.openxmlformats.org/officeDocument/2006/relationships/hyperlink" Target="https://resources.simonelectric.com/simon-catalogo-vehiculo-electrico?utm_campaign=SIC%20-%20Veh%C3%ADculo%20El%C3%A9ctrico&amp;utm_medium=email&amp;_hsenc=p2ANqtz--PeXEK0Egd0Cd6rwGoQ7kmFpiXM3F0NivtBAFMFau0GCNkUWhMvs_MFsTcD8wG5sT3_tK_&amp;_hsmi=87085363&amp;utm_content=87085363&amp;utm_source=hs_email&amp;hsCtaTracking=6fedf137-fd90-4f17-bfb4-d61f710ec7f8%7Cf2771843-6636-4969-9010-2d8d0389b89c" TargetMode="External"/><Relationship Id="rId1677" Type="http://schemas.openxmlformats.org/officeDocument/2006/relationships/hyperlink" Target="https://resources.simonelectric.com/simon-catalogo-vehiculo-electrico?utm_campaign=SIC%20-%20Veh%C3%ADculo%20El%C3%A9ctrico&amp;utm_medium=email&amp;_hsenc=p2ANqtz-_sgpk4fOaYanYXpygIi6bChYvXAWGIIgRspne0V2UYIY8lvCV_oIJs30TTPTDjtB1mCPk4&amp;_hsmi=87085302&amp;utm_content=87085302&amp;utm_source=hs_email&amp;hsCtaTracking=6fedf137-fd90-4f17-bfb4-d61f710ec7f8%7Cf2771843-6636-4969-9010-2d8d0389b89c" TargetMode="External"/><Relationship Id="rId1678" Type="http://schemas.openxmlformats.org/officeDocument/2006/relationships/hyperlink" Target="https://resources.simonelectric.com/simon-catalogo-vehiculo-electrico?utm_campaign=SIC%20-%20Veh%C3%ADculo%20El%C3%A9ctrico&amp;utm_medium=email&amp;_hsenc=p2ANqtz-83UQ2fJ9N6eot6FwwrQbCzUXveCX8cpKDeM6fT4tQLXkiKo7892XipX4K7RuDFnWbOP7dc&amp;_hsmi=87085363&amp;utm_content=87085363&amp;utm_source=hs_email&amp;hsCtaTracking=6fedf137-fd90-4f17-bfb4-d61f710ec7f8%7Cf2771843-6636-4969-9010-2d8d0389b89c" TargetMode="External"/><Relationship Id="rId1679" Type="http://schemas.openxmlformats.org/officeDocument/2006/relationships/hyperlink" Target="https://resources.simonelectric.com/simon-catalogo-vehiculo-electrico?utm_campaign=SIC%20-%20Veh%C3%ADculo%20El%C3%A9ctrico&amp;utm_medium=email&amp;_hsenc=p2ANqtz-82uYrhisCK2KOK40rqdkrRFjXtF-f0U26LIyXOunaIAZO_FiFrNHsbT2IdHfWIXAVQkbMo&amp;_hsmi=87085302&amp;utm_content=87085302&amp;utm_source=hs_email&amp;hsCtaTracking=6fedf137-fd90-4f17-bfb4-d61f710ec7f8%7Cf2771843-6636-4969-9010-2d8d0389b89c" TargetMode="External"/><Relationship Id="rId849" Type="http://schemas.openxmlformats.org/officeDocument/2006/relationships/hyperlink" Target="https://resources.simonelectric.com/simon-ebook-vehiculo-electrico-ppc?utm_source=facebook&amp;utm_medium=social_ads&amp;utm_campaign=vehiculo_electrico" TargetMode="External"/><Relationship Id="rId844" Type="http://schemas.openxmlformats.org/officeDocument/2006/relationships/hyperlink" Target="https://resources.simonelectric.com/simon-material-formativo-vehiculo-electrico?utm_campaign=SIC%20-%20Veh%C3%ADculo%20El%C3%A9ctrico&amp;utm_medium=email&amp;_hsenc=p2ANqtz-8dW87evrqDF5TjolMfcAsSYnMzuIcyPjgBhcYjcrXEI1UJ_Lw-dVlxuGWIuQ6HIv9Ud23Out_uq2bIWY9OJRsRdTl65Re5GMyJYNs6VaTEN0Xrtfc&amp;_hsmi=88328232&amp;utm_source=hs_email&amp;utm_content=88328407&amp;hsCtaTracking=f8a31ce8-daf1-4d69-a5d6-c3349f3aab91%7C75f9b9fd-a2b2-4ad4-9d4a-0dcb7c99194f" TargetMode="External"/><Relationship Id="rId843" Type="http://schemas.openxmlformats.org/officeDocument/2006/relationships/hyperlink" Target="https://resources.simonelectric.com/simon-material-formativo-vehiculo-electrico?utm_campaign=SIC%20-%20Veh%C3%ADculo%20El%C3%A9ctrico&amp;utm_medium=email&amp;_hsenc=p2ANqtz-_7gsK2oamD1hQ845eoZkdXbxBYBWbVnntqdq9_e6kvvdOh0rAWqnO1Yka4Gass4cI7u_pED9BAEEZYKaXfSZGQ9YgaoTEPzRgxxxcBA-moYCGemdo&amp;_hsmi=88328232&amp;utm_source=hs_email&amp;utm_content=88328407&amp;hsCtaTracking=f8a31ce8-daf1-4d69-a5d6-c3349f3aab91%7C75f9b9fd-a2b2-4ad4-9d4a-0dcb7c99194f" TargetMode="External"/><Relationship Id="rId842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qi-PwOThxfWllhDGgb53ehnVFrPiZR5p1TYY_RQe6t8NUGpU3tWRvliIpO9BBRuVr38rKcBGl7wc3O5-7dV5Lg_KrcQ&amp;_hsmi=88328232" TargetMode="External"/><Relationship Id="rId841" Type="http://schemas.openxmlformats.org/officeDocument/2006/relationships/hyperlink" Target="https://resources.simonelectric.com/simon-material-formativo-vehiculo-electrico?utm_campaign=SIC%20-%20Veh%C3%ADculo%20El%C3%A9ctrico&amp;utm_medium=email&amp;_hsenc=p2ANqtz-_Wh-XFXqOdhZxVK6Qq0lIQHNLrK2sMgH-f2mQ02mhtkxapGI3KEouQtepnNFHdeIaumTBMMkIlY9mVOg6l1pq8cezz3w&amp;_hsmi=88328232&amp;utm_source=hs_email&amp;utm_content=88328407&amp;hsCtaTracking=f8a31ce8-daf1-4d69-a5d6-c3349f3aab91%7C75f9b9fd-a2b2-4ad4-9d4a-0dcb7c99194f" TargetMode="External"/><Relationship Id="rId848" Type="http://schemas.openxmlformats.org/officeDocument/2006/relationships/hyperlink" Target="https://resources.simonelectric.com/simon-material-formativo-vehiculo-electrico?utm_campaign=SIC%20-%20Veh%C3%ADculo%20El%C3%A9ctrico&amp;utm_medium=email&amp;_hsenc=p2ANqtz-805SLY__DBrISI90ROvOJyOvY_AbHt0mysQUzqWbH_38ZijUK1x6lKK3fgfAyYrJ9TXX8CyFWIjlfh75PMEPFBvs7Y5Q&amp;_hsmi=88328232&amp;utm_source=hs_email&amp;utm_content=88328407&amp;hsCtaTracking=f8a31ce8-daf1-4d69-a5d6-c3349f3aab91%7C75f9b9fd-a2b2-4ad4-9d4a-0dcb7c99194f" TargetMode="External"/><Relationship Id="rId847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-PCDhFOlV6IECEEAEgZihVg43PU-IkXQxNusbYM0Da-7oLR8WVfD4hejwtue3tBtT82kZ8BxJlP2TpkojhAjghqCf3Qg&amp;_hsmi=88328232" TargetMode="External"/><Relationship Id="rId846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LoXz02KCKoyv1TH8-ylgCcIoSDv1pDUzbm30ocf78f_jI7P5RfFPqXm39B6Pt_K_4-JJvUpj0C82frsU1PkWgWKDCtQ&amp;_hsmi=88328232" TargetMode="External"/><Relationship Id="rId845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fan2FzR8SP2KGqnVBtQqkc95LkdJAbGW3yfvGIy1tLzjU6nZP09_adj6YNQ_WJ-RgYOaJEXkowemdo4YOUCA23VrXew&amp;_hsmi=88328232" TargetMode="External"/><Relationship Id="rId1670" Type="http://schemas.openxmlformats.org/officeDocument/2006/relationships/hyperlink" Target="https://resources.simonelectric.com/simon-catalogo-vehiculo-electrico?utm_campaign=SIC%20-%20Veh%C3%ADculo%20El%C3%A9ctrico&amp;utm_medium=email&amp;_hsenc=p2ANqtz-__qIJFLUhkyBq79_PoAAxF--T2rhZ21h2YDez-aDq9idiAMmn-ixvo6vNzBM2jXNelwkY4&amp;_hsmi=87085363&amp;utm_content=87085363&amp;utm_source=hs_email&amp;hsCtaTracking=6fedf137-fd90-4f17-bfb4-d61f710ec7f8%7Cf2771843-6636-4969-9010-2d8d0389b89c" TargetMode="External"/><Relationship Id="rId840" Type="http://schemas.openxmlformats.org/officeDocument/2006/relationships/hyperlink" Target="https://resources.simonelectric.com/simon-material-formativo-vehiculo-electrico?utm_campaign=SIC%20-%20Veh%C3%ADculo%20El%C3%A9ctrico&amp;utm_medium=email&amp;_hsenc=p2ANqtz-9SM2EiH6aA6XE1Mg39M0oFO9-iDszknMF9OLd6HWz3rec_FdZchJ6NGAIAgtIxZiCEqRcjGCmPIbTCZ77vEmi22Cdidg&amp;_hsmi=88328232&amp;utm_source=hs_email&amp;utm_content=88328407&amp;hsCtaTracking=f8a31ce8-daf1-4d69-a5d6-c3349f3aab91%7C75f9b9fd-a2b2-4ad4-9d4a-0dcb7c99194f" TargetMode="External"/><Relationship Id="rId1671" Type="http://schemas.openxmlformats.org/officeDocument/2006/relationships/hyperlink" Target="https://resources.simonelectric.com/simon-catalogo-vehiculo-electrico?utm_campaign=SIC%20-%20Veh%C3%ADculo%20El%C3%A9ctrico&amp;utm_medium=email&amp;_hsenc=p2ANqtz-_20fNxGLQFh2g13V5Qb1pEkxUPrSce-cD_iC37pnX54StJbrYdc9Bp8X0ks5gr8G_eXP7v&amp;_hsmi=87085363&amp;utm_content=87085363&amp;utm_source=hs_email&amp;hsCtaTracking=6fedf137-fd90-4f17-bfb4-d61f710ec7f8%7Cf2771843-6636-4969-9010-2d8d0389b89c" TargetMode="External"/><Relationship Id="rId1672" Type="http://schemas.openxmlformats.org/officeDocument/2006/relationships/hyperlink" Target="https://resources.simonelectric.com/simon-catalogo-vehiculo-electrico?utm_campaign=SIC%20-%20Veh%C3%ADculo%20El%C3%A9ctrico&amp;utm_medium=email&amp;_hsenc=p2ANqtz-_CDmXzBVIEvVLT4DC7PunPCAt1zndN1Dgs-y5nRFT5ohdOgjq9zaayH4kEJtErP5EjRbqI&amp;_hsmi=87085363&amp;utm_content=87085363&amp;utm_source=hs_email&amp;hsCtaTracking=6fedf137-fd90-4f17-bfb4-d61f710ec7f8%7Cf2771843-6636-4969-9010-2d8d0389b89c" TargetMode="External"/><Relationship Id="rId1673" Type="http://schemas.openxmlformats.org/officeDocument/2006/relationships/hyperlink" Target="https://resources.simonelectric.com/simon-catalogo-vehiculo-electrico?utm_campaign=SIC%20-%20Veh%C3%ADculo%20El%C3%A9ctrico&amp;utm_medium=email&amp;_hsenc=p2ANqtz-_4gcVbFDtkt9E2_RZvCPfeS10232NPnR774-2A1xRIE8jS-JjgkElK4jRvtp7p3F2VGBUN&amp;_hsmi=87085363&amp;utm_content=87085363&amp;utm_source=hs_email&amp;hsCtaTracking=6fedf137-fd90-4f17-bfb4-d61f710ec7f8%7Cf2771843-6636-4969-9010-2d8d0389b89c" TargetMode="External"/><Relationship Id="rId1674" Type="http://schemas.openxmlformats.org/officeDocument/2006/relationships/hyperlink" Target="https://resources.simonelectric.com/simon-catalogo-vehiculo-electrico?utm_campaign=SIC%20-%20Veh%C3%ADculo%20El%C3%A9ctrico&amp;utm_medium=email&amp;_hsenc=p2ANqtz-9h2rhpcSWVe5TyjpkSznGaRr9bbqdrDNBTXo5oQyca7PpAD_5J7QGArUAO-9KmcR3uVa4M&amp;_hsmi=87085363&amp;utm_content=87085363&amp;utm_source=hs_email&amp;hsCtaTracking=6fedf137-fd90-4f17-bfb4-d61f710ec7f8%7Cf2771843-6636-4969-9010-2d8d0389b89c" TargetMode="External"/><Relationship Id="rId1664" Type="http://schemas.openxmlformats.org/officeDocument/2006/relationships/hyperlink" Target="https://resources.simonelectric.com/simon-catalogo-vehiculo-electrico?utm_campaign=SIC%20-%20Veh%C3%ADculo%20El%C3%A9ctrico&amp;utm_medium=email&amp;_hsenc=p2ANqtz-8TkYhS6kd8Wkjr0qGsnpGXfK4oAmQ-jzkLxQdLnL0Bfbi5iH-9z0F2NL1bbl1Kzi_pHS6M&amp;_hsmi=87085363&amp;utm_content=87085363&amp;utm_source=hs_email&amp;hsCtaTracking=6fedf137-fd90-4f17-bfb4-d61f710ec7f8%7Cf2771843-6636-4969-9010-2d8d0389b89c" TargetMode="External"/><Relationship Id="rId2995" Type="http://schemas.openxmlformats.org/officeDocument/2006/relationships/hyperlink" Target="https://resources.simonelectric.com/simon-ebook-vehiculo-electrico?utm_campaign=%23Simonentucasa&amp;utm_medium=email&amp;_hsenc=p2ANqtz-9kCABdSCuomHdv_RXcWcuz7we6bwUIF6_xpwrfwGGEeUc2Avf1Rx48ugLONOImdhx0d1WtWbg6GUSmIOSaBO8ttIhzgA&amp;_hsmi=85165037&amp;utm_source=hs_email&amp;utm_content=85165037&amp;hsCtaTracking=7e048f91-fedd-4131-939d-25771a4a2d12%7Cf6d6f061-2319-4b5b-89f8-8c89fca06239" TargetMode="External"/><Relationship Id="rId1665" Type="http://schemas.openxmlformats.org/officeDocument/2006/relationships/hyperlink" Target="https://resources.simonelectric.com/simon-catalogo-vehiculo-electrico?utm_campaign=SIC%20-%20Veh%C3%ADculo%20El%C3%A9ctrico&amp;utm_medium=email&amp;_hsenc=p2ANqtz--7yqcCV_dvDTSAZfx6wEH8EWjgjPLfTBwFSyF89GGohKCh5EXt5LNfLKkUn_Plh-RR_A7O&amp;_hsmi=87085363&amp;utm_content=87085363&amp;utm_source=hs_email&amp;hsCtaTracking=6fedf137-fd90-4f17-bfb4-d61f710ec7f8%7Cf2771843-6636-4969-9010-2d8d0389b89c" TargetMode="External"/><Relationship Id="rId2996" Type="http://schemas.openxmlformats.org/officeDocument/2006/relationships/hyperlink" Target="https://resources.simonelectric.com/simon-ebook-vehiculo-electrico?utm_campaign=%23Simonentucasa&amp;utm_medium=email&amp;_hsenc=p2ANqtz--sR1wxGo4DX1q58c1pXriXOaCSVxubR1rt7nETFy91lw6571uDHkB34hq1vWCDlnEKNqmOmDdtEvS6YfujSVRHC0lrcQ&amp;_hsmi=85165037&amp;utm_source=hs_email&amp;utm_content=85165037&amp;hsCtaTracking=7e048f91-fedd-4131-939d-25771a4a2d12%7Cf6d6f061-2319-4b5b-89f8-8c89fca06239" TargetMode="External"/><Relationship Id="rId1666" Type="http://schemas.openxmlformats.org/officeDocument/2006/relationships/hyperlink" Target="https://resources.simonelectric.com/simon-catalogo-vehiculo-electrico?utm_campaign=SIC%20-%20Veh%C3%ADculo%20El%C3%A9ctrico&amp;utm_medium=email&amp;_hsenc=p2ANqtz-9ZbSHDbmqvQ5YSfC9cDcUOzHkwNukRPQKyWn8_hVOzpYKrXrqFhgtXPrxfn_CFWmM1PCEI&amp;_hsmi=87085302&amp;utm_content=87085302&amp;utm_source=hs_email&amp;hsCtaTracking=6fedf137-fd90-4f17-bfb4-d61f710ec7f8%7Cf2771843-6636-4969-9010-2d8d0389b89c" TargetMode="External"/><Relationship Id="rId2997" Type="http://schemas.openxmlformats.org/officeDocument/2006/relationships/hyperlink" Target="https://resources.simonelectric.com/simon-catalogo-vehiculo-electrico?__hstc=83084745.67fa2c75ef01ff5c1c17bdc5ac893007.1585055590326.1585055590326.1585055590326.1&amp;__hssc=83084745.2.1585055590326&amp;__hsfp=1737267644" TargetMode="External"/><Relationship Id="rId1667" Type="http://schemas.openxmlformats.org/officeDocument/2006/relationships/hyperlink" Target="https://resources.simonelectric.com/simon-catalogo-vehiculo-electrico?utm_campaign=SIC%20-%20Veh%C3%ADculo%20El%C3%A9ctrico&amp;utm_medium=email&amp;_hsenc=p2ANqtz-_QHn-XF4o6ni-WCYc_hba4_OTAPFxnw3kdZsPoTKhI7Hs6v4wXXeBM9IIqLEEXz0Zs4b88&amp;_hsmi=87085363&amp;utm_content=87085363&amp;utm_source=hs_email&amp;hsCtaTracking=6fedf137-fd90-4f17-bfb4-d61f710ec7f8%7Cf2771843-6636-4969-9010-2d8d0389b89c" TargetMode="External"/><Relationship Id="rId2998" Type="http://schemas.openxmlformats.org/officeDocument/2006/relationships/hyperlink" Target="https://resources.simonelectric.com/simon-ebook-vehiculo-electrico" TargetMode="External"/><Relationship Id="rId1668" Type="http://schemas.openxmlformats.org/officeDocument/2006/relationships/hyperlink" Target="https://resources.simonelectric.com/simon-catalogo-vehiculo-electrico?utm_campaign=SIC%20-%20Veh%C3%ADculo%20El%C3%A9ctrico&amp;utm_medium=email&amp;_hsenc=p2ANqtz--BuAx8fSINtzkipBeGgJ9l1_4dZXBOgHO3vvOi_0l7vaj43D-1d17z2zPCSSon9ykuXhLU&amp;_hsmi=87085363&amp;utm_content=87085363&amp;utm_source=hs_email&amp;hsCtaTracking=6fedf137-fd90-4f17-bfb4-d61f710ec7f8%7Cf2771843-6636-4969-9010-2d8d0389b89c" TargetMode="External"/><Relationship Id="rId2999" Type="http://schemas.openxmlformats.org/officeDocument/2006/relationships/hyperlink" Target="https://resources.simonelectric.com/simon-ebook-vehiculo-electrico?utm_campaign=%23Simonentucasa&amp;utm_medium=email&amp;_hsenc=p2ANqtz-8hyLeSXEy0xSUKTAN0fLmMZqIoeOJv-f1F30636sf3VRWOTLb0AxcyGYVtvYP4fOjpDtiqImFJjaLlwDgpHQMGEkP1KFKesxJk1DOILoxmbO6azL0&amp;_hsmi=85165037&amp;utm_source=hs_email&amp;utm_content=85165037&amp;hsCtaTracking=7e048f91-fedd-4131-939d-25771a4a2d12%7Cf6d6f061-2319-4b5b-89f8-8c89fca06239" TargetMode="External"/><Relationship Id="rId1669" Type="http://schemas.openxmlformats.org/officeDocument/2006/relationships/hyperlink" Target="https://resources.simonelectric.com/simon-catalogo-vehiculo-electrico?utm_campaign=SIC%20-%20Veh%C3%ADculo%20El%C3%A9ctrico&amp;utm_medium=email&amp;_hsenc=p2ANqtz-_L821dytZPnw6-qGQpF6xao6dZjoIoMpxag2CxhLHVZ83eDxIqOtO3g9ssw644-fwvUT0t&amp;_hsmi=87085302&amp;utm_content=87085302&amp;utm_source=hs_email&amp;hsCtaTracking=6fedf137-fd90-4f17-bfb4-d61f710ec7f8%7Cf2771843-6636-4969-9010-2d8d0389b89c" TargetMode="External"/><Relationship Id="rId839" Type="http://schemas.openxmlformats.org/officeDocument/2006/relationships/hyperlink" Target="https://resources.simonelectric.com/simon-material-formativo-vehiculo-electrico?utm_campaign=SIC%20-%20Veh%C3%ADculo%20El%C3%A9ctrico&amp;utm_medium=email&amp;_hsenc=p2ANqtz-9fhG1kLjfLlLeJdvsjFqFZLbf_iBFwIytrXKJJoNE5SfRdOgQCDP04UHCVEJhnbbtkVdca3_-3c5Oj0Jr4wK39ayKU2A&amp;_hsmi=88328232&amp;utm_source=hs_email&amp;utm_content=88328407&amp;hsCtaTracking=f8a31ce8-daf1-4d69-a5d6-c3349f3aab91%7C75f9b9fd-a2b2-4ad4-9d4a-0dcb7c99194f" TargetMode="External"/><Relationship Id="rId838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_zq_4wE-Pp7XbVkpK1RkIucr8LydzbDI1I6U723Edb6LbUQXGWyvD_t0OUgMIau6YSnxPZVsJxSCzRu1xnHsieyCtviw&amp;_hsmi=88328232" TargetMode="External"/><Relationship Id="rId833" Type="http://schemas.openxmlformats.org/officeDocument/2006/relationships/hyperlink" Target="https://resources.simonelectric.com/simon-material-formativo-vehiculo-electrico?utm_campaign=SIC%20-%20Veh%C3%ADculo%20El%C3%A9ctrico&amp;utm_medium=email&amp;_hsenc=p2ANqtz--rZTsysyG9P7Mqnqlyte0O8rPew8ig5LMnKcomPIs-ZFygZXEjQ7DcUrHuo2pE9U41eTpjkOOT642Cq_x09QfHmnrwuDebVy9zhxgm0gGuQBKwX58&amp;_hsmi=88328232&amp;utm_source=hs_email&amp;utm_content=88328407&amp;hsCtaTracking=f8a31ce8-daf1-4d69-a5d6-c3349f3aab91%7C75f9b9fd-a2b2-4ad4-9d4a-0dcb7c99194f" TargetMode="External"/><Relationship Id="rId832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ito7xm5Mk_tOgDQvrzsBOdTsyVOJiZKp1wVHlIzAlV5OLImCgjtG7wFcU_dQCfP0e9PpwNp0vFDKA0cE39VJ2DVtBMenB7BhCuig5T14K9jDauu0&amp;_hsmi=88328232" TargetMode="External"/><Relationship Id="rId831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6N9dSJSyM5I0O-kkCpYc-aWaTOP8EIthFYgnWPPe2t2bIbzKrnw1QwIuIQyZkiBcbKmWjJYtlsa_iiNE6ZL2kidAbeZSjE74jcfvElWbh5Z6gf0I&amp;_hsmi=88328232" TargetMode="External"/><Relationship Id="rId830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86j3yP0v6MQjqqrl_PWrpYDI-QsVqgi-bBHERUbwpPojNtMUXZksnlVeJSna2TMvpG-Oo70jgP3lHnRZ6J7FAkiA-BiA&amp;_hsmi=88328232" TargetMode="External"/><Relationship Id="rId837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-U6clnanFt4a0VAvbelKzC-pmOun320c-RRYulBQC-ILQJucfQx23taX0_wCDLhpF7wCP7-ZWVuzds8i-gx04B9_QbxkFmTAL1hETPQ4UopnD2cxw&amp;_hsmi=88328232" TargetMode="External"/><Relationship Id="rId836" Type="http://schemas.openxmlformats.org/officeDocument/2006/relationships/hyperlink" Target="https://resources.simonelectric.com/simon-material-formativo-vehiculo-electrico?utm_campaign=SIC%20-%20Veh%C3%ADculo%20El%C3%A9ctrico&amp;utm_medium=email&amp;_hsenc=p2ANqtz--4V5jdNHV7PWNFoWqw2KTznkxXt0LPtQNumfcgFRxhN0xR8KcXhiJwI7MXYaYPOW9zY9qD4rMpCR2phsKTvOszIga4r35sXHUeDFxbvp9YDyOlDeA&amp;_hsmi=88328232&amp;utm_source=hs_email&amp;utm_content=88328407&amp;hsCtaTracking=f8a31ce8-daf1-4d69-a5d6-c3349f3aab91%7C75f9b9fd-a2b2-4ad4-9d4a-0dcb7c99194f" TargetMode="External"/><Relationship Id="rId835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-Tfjw8HXIQrAc7QtCsquRnG_RkVin5OQV6pFPgsTS3AUYx49VKd7znGjdi65h8rckVNnBzbosicSq5CkRWOBnqqHesY87SM7SIOiOe3jJb6bNdK2k&amp;_hsmi=88328232" TargetMode="External"/><Relationship Id="rId834" Type="http://schemas.openxmlformats.org/officeDocument/2006/relationships/hyperlink" Target="https://resources.simonelectric.com/simon-material-formativo-vehiculo-electrico?utm_campaign=SIC%20-%20Veh%C3%ADculo%20El%C3%A9ctrico&amp;utm_source=hs_email&amp;utm_medium=email&amp;utm_content=88328407&amp;_hsenc=p2ANqtz-9xLOAOrkVerZ-kHlc-zoj_u_X2W79Kw1W6XmkrNDsYG1EblIcWdWZF6Vhf9vePihXXonw3kyF_XKy_bQCehcm0QYUFQSX1QRlJFtXlSU-aSsKF4BI&amp;_hsmi=88328232" TargetMode="External"/><Relationship Id="rId2990" Type="http://schemas.openxmlformats.org/officeDocument/2006/relationships/hyperlink" Target="https://resources.simonelectric.com/simon-ebook-vehiculo-electrico?utm_referrer=https%3A%2F%2Fwww.simonelectric.com%2Fblog%2Fitc-bt-52-soluciones-de-rearme-automatico-de-infraestructura-de-recarga" TargetMode="External"/><Relationship Id="rId1660" Type="http://schemas.openxmlformats.org/officeDocument/2006/relationships/hyperlink" Target="https://resources.simonelectric.com/simon-catalogo-vehiculo-electrico?utm_campaign=SIC%20-%20Veh%C3%ADculo%20El%C3%A9ctrico&amp;utm_medium=email&amp;_hsenc=p2ANqtz-9F2wJQ4IUpbECxHoJ3Pw4u2a_kRaORA3LHBVJpoILQizyHv63aOa928Wz2mOppxwxz9L5Y&amp;_hsmi=87085363&amp;utm_content=87085363&amp;utm_source=hs_email&amp;hsCtaTracking=6fedf137-fd90-4f17-bfb4-d61f710ec7f8%7Cf2771843-6636-4969-9010-2d8d0389b89c" TargetMode="External"/><Relationship Id="rId2991" Type="http://schemas.openxmlformats.org/officeDocument/2006/relationships/hyperlink" Target="https://resources.simonelectric.com/simon-ebook-vehiculo-electrico?utm_campaign=%23Simonentucasa&amp;utm_source=hs_email&amp;utm_medium=email&amp;utm_content=85165037&amp;_hsenc=p2ANqtz--WgiObx1ht67vGq3R8nS-J0z6hYZwtCUXaz26zrBmDDWzMTgH4kDoCiojVBt_6G4DbQEWrZZshh6T8vXMqonT_jQ0EUA&amp;_hsmi=85165037" TargetMode="External"/><Relationship Id="rId1661" Type="http://schemas.openxmlformats.org/officeDocument/2006/relationships/hyperlink" Target="https://resources.simonelectric.com/simon-catalogo-vehiculo-electrico?utm_campaign=SIC%20-%20Veh%C3%ADculo%20El%C3%A9ctrico&amp;utm_medium=email&amp;_hsenc=p2ANqtz-9x970nBK4L80wXM5LfBrMs9Iqwl6_CnTvps2H-deSi1nOpZroMQk2xy2cHhwsf6LDB-UdX&amp;_hsmi=87085302&amp;utm_content=87085302&amp;utm_source=hs_email&amp;hsCtaTracking=6fedf137-fd90-4f17-bfb4-d61f710ec7f8%7Cf2771843-6636-4969-9010-2d8d0389b89c" TargetMode="External"/><Relationship Id="rId2992" Type="http://schemas.openxmlformats.org/officeDocument/2006/relationships/hyperlink" Target="https://resources.simonelectric.com/simon-ebook-vehiculo-electrico?utm_campaign=%23Simonentucasa&amp;utm_medium=email&amp;_hsenc=p2ANqtz-_V5W8a3JXjdFvKKs6T_aRM6niJ5Z-2R4v1Ri30l3y-7yhLKxqIMrkZiKU_GfJ__WA9RE7eOOPFg2n2mUNXv_s6-a-TDA&amp;_hsmi=85165037&amp;utm_source=hs_email&amp;utm_content=85165037&amp;hsCtaTracking=7e048f91-fedd-4131-939d-25771a4a2d12%7Cf6d6f061-2319-4b5b-89f8-8c89fca06239" TargetMode="External"/><Relationship Id="rId1662" Type="http://schemas.openxmlformats.org/officeDocument/2006/relationships/hyperlink" Target="https://resources.simonelectric.com/simon-catalogo-vehiculo-electrico?utm_campaign=SIC%20-%20Veh%C3%ADculo%20El%C3%A9ctrico&amp;utm_medium=email&amp;_hsenc=p2ANqtz-9XJqOYgXkwlnhtztPna7kgtDTKWNROwH0edVx7nAmb1wtQKZuuadzCNS6qfmxiERFGLIwo&amp;_hsmi=87085363&amp;utm_content=87085363&amp;utm_source=hs_email&amp;hsCtaTracking=6fedf137-fd90-4f17-bfb4-d61f710ec7f8%7Cf2771843-6636-4969-9010-2d8d0389b89c" TargetMode="External"/><Relationship Id="rId2993" Type="http://schemas.openxmlformats.org/officeDocument/2006/relationships/hyperlink" Target="https://resources.simonelectric.com/simon-ebook-vehiculo-electrico?utm_campaign=%23Simonentucasa&amp;utm_medium=email&amp;_hsenc=p2ANqtz-_4bAHoUxsOEM_r0Jcek4r4j_IizW_m8LeYB3PdC09XtyCAeQVlAg0Zgnd9AJr1xrpIdaysJZYY7KLzTqhKA-OkLNbrnA&amp;_hsmi=85165037&amp;utm_source=hs_email&amp;utm_content=85165037&amp;hsCtaTracking=7e048f91-fedd-4131-939d-25771a4a2d12%7Cf6d6f061-2319-4b5b-89f8-8c89fca06239" TargetMode="External"/><Relationship Id="rId1663" Type="http://schemas.openxmlformats.org/officeDocument/2006/relationships/hyperlink" Target="https://resources.simonelectric.com/simon-catalogo-vehiculo-electrico?utm_campaign=SIC%20-%20Veh%C3%ADculo%20El%C3%A9ctrico&amp;utm_medium=email&amp;_hsenc=p2ANqtz--_hdSyBMMNqv9s_3YcIbwp9w_UZW6V3vGWjDzYuRD2GJmIhGPs7XcQfR3dslIyABPES6Rv&amp;_hsmi=87085363&amp;utm_content=87085363&amp;utm_source=hs_email&amp;hsCtaTracking=6fedf137-fd90-4f17-bfb4-d61f710ec7f8%7Cf2771843-6636-4969-9010-2d8d0389b89c" TargetMode="External"/><Relationship Id="rId2994" Type="http://schemas.openxmlformats.org/officeDocument/2006/relationships/hyperlink" Target="https://resources.simonelectric.com/simon-ebook-vehiculo-electrico?utm_campaign=%23Simonentucasa&amp;utm_medium=email&amp;_hsenc=p2ANqtz-_fztRMlPngRAvZbApEqx91gPtPNMlJEjeoQWYuosd1BMBY2VeF5iCSuTVcLi6wsb579pPqyAHEVwbBngecSf_jdT5Gpg&amp;_hsmi=85165037&amp;utm_source=hs_email&amp;utm_content=85165037&amp;hsCtaTracking=7e048f91-fedd-4131-939d-25771a4a2d12%7Cf6d6f061-2319-4b5b-89f8-8c89fca06239" TargetMode="External"/><Relationship Id="rId2148" Type="http://schemas.openxmlformats.org/officeDocument/2006/relationships/hyperlink" Target="https://resources.simonelectric.com/simon-catalogo-vehiculo-electrico?utm_campaign=SIC%20-%20Veh%C3%ADculo%20El%C3%A9ctrico&amp;utm_medium=email&amp;_hsenc=p2ANqtz--xun1qi3ALLihZrHYZzCyIeuha_NbeV98xFvRRjkWzL6hVxRwFxrKdie56skol9Xou_L1E&amp;_hsmi=87085363&amp;utm_content=87085363&amp;utm_source=hs_email&amp;hsCtaTracking=6fedf137-fd90-4f17-bfb4-d61f710ec7f8%7Cf2771843-6636-4969-9010-2d8d0389b89c" TargetMode="External"/><Relationship Id="rId2149" Type="http://schemas.openxmlformats.org/officeDocument/2006/relationships/hyperlink" Target="https://resources.simonelectric.com/simon-catalogo-vehiculo-electrico?utm_campaign=SIC%20-%20Veh%C3%ADculo%20El%C3%A9ctrico&amp;utm_medium=email&amp;_hsmi=87085363&amp;_hsenc=p2ANqtz--yIjmmBi5upPbGWFxlUlwZe89CIKvdHegPzJ9LJOZZPSn5pijfaea_SIDk9Q6qX59bbhtX&amp;utm_content=87085363&amp;utm_source=hs_email" TargetMode="External"/><Relationship Id="rId347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70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140" Type="http://schemas.openxmlformats.org/officeDocument/2006/relationships/hyperlink" Target="https://resources.simonelectric.com/simon-catalogo-vehiculo-electrico?utm_campaign=SIC%20-%20Veh%C3%ADculo%20El%C3%A9ctrico&amp;utm_medium=email&amp;_hsenc=p2ANqtz-9aXIRY0-wRqyIh7I3sAYKIQy6vexJQbfEuq4sVBIKY8arwsNQicJHK45bSjltprhH_k6Vo&amp;_hsmi=87085302&amp;utm_content=87085302&amp;utm_source=hs_email&amp;hsCtaTracking=6fedf137-fd90-4f17-bfb4-d61f710ec7f8%7Cf2771843-6636-4969-9010-2d8d0389b89c" TargetMode="External"/><Relationship Id="rId347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41" Type="http://schemas.openxmlformats.org/officeDocument/2006/relationships/hyperlink" Target="https://resources.simonelectric.com/simon-catalogo-vehiculo-electrico?utm_campaign=SIC%20-%20Veh%C3%ADculo%20El%C3%A9ctrico&amp;utm_medium=email&amp;_hsenc=p2ANqtz-8-vRdi1xGRmrIkqk1LwdBEJb6TjaZsStbq95K_o6rj1EOn6ZUnRpUz2KC3rY53dCxetQAN&amp;_hsmi=87085363&amp;utm_content=87085363&amp;utm_source=hs_email&amp;hsCtaTracking=6fedf137-fd90-4f17-bfb4-d61f710ec7f8%7Cf2771843-6636-4969-9010-2d8d0389b89c" TargetMode="External"/><Relationship Id="rId347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42" Type="http://schemas.openxmlformats.org/officeDocument/2006/relationships/hyperlink" Target="https://resources.simonelectric.com/simon-catalogo-vehiculo-electrico?utm_campaign=SIC%20-%20Veh%C3%ADculo%20El%C3%A9ctrico&amp;utm_medium=email&amp;_hsenc=p2ANqtz-9xLoOZbUj-wx9hOMB3GC4FLuOrY03EMiS25u4UhVJI8s6LcjOnlWRUhrRDeLCjgT0Ktrok&amp;_hsmi=87085363&amp;utm_content=87085363&amp;utm_source=hs_email&amp;hsCtaTracking=6fedf137-fd90-4f17-bfb4-d61f710ec7f8%7Cf2771843-6636-4969-9010-2d8d0389b89c" TargetMode="External"/><Relationship Id="rId347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43" Type="http://schemas.openxmlformats.org/officeDocument/2006/relationships/hyperlink" Target="https://resources.simonelectric.com/simon-catalogo-vehiculo-electrico?utm_campaign=SIC%20-%20Veh%C3%ADculo%20El%C3%A9ctrico&amp;utm_medium=email&amp;_hsenc=p2ANqtz--DUl6wVDw514Q77yQcygQO3KBotyi9yZjiWnkMa3c3-gVSMDntVqHoY78n9-I1gH7LCEWn&amp;_hsmi=87085363&amp;utm_content=87085363&amp;utm_source=hs_email&amp;hsCtaTracking=6fedf137-fd90-4f17-bfb4-d61f710ec7f8%7Cf2771843-6636-4969-9010-2d8d0389b89c" TargetMode="External"/><Relationship Id="rId347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44" Type="http://schemas.openxmlformats.org/officeDocument/2006/relationships/hyperlink" Target="https://resources.simonelectric.com/simon-catalogo-vehiculo-electrico?utm_campaign=SIC%20-%20Veh%C3%ADculo%20El%C3%A9ctrico&amp;utm_medium=email&amp;_hsenc=p2ANqtz-_eNSqH4d5p3jbqpuoSe3p4zzrgwLuGb_dRln4K-zaEvnS7qMu-u1xlZVnFGR8yM2zEWBaO&amp;_hsmi=87085363&amp;utm_content=87085363&amp;utm_source=hs_email&amp;hsCtaTracking=6fedf137-fd90-4f17-bfb4-d61f710ec7f8%7Cf2771843-6636-4969-9010-2d8d0389b89c" TargetMode="External"/><Relationship Id="rId347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45" Type="http://schemas.openxmlformats.org/officeDocument/2006/relationships/hyperlink" Target="https://resources.simonelectric.com/simon-catalogo-vehiculo-electrico?utm_campaign=SIC%20-%20Veh%C3%ADculo%20El%C3%A9ctrico&amp;utm_medium=email&amp;_hsenc=p2ANqtz-8bp0ttDGEteGmUL98vvX5_t0KNfYONPjlpewY1m14R7NhWnyFed3t8-RYqbwaxxYIpo60z&amp;_hsmi=87085302&amp;utm_content=87085302&amp;utm_source=hs_email&amp;hsCtaTracking=6fedf137-fd90-4f17-bfb4-d61f710ec7f8%7Cf2771843-6636-4969-9010-2d8d0389b89c" TargetMode="External"/><Relationship Id="rId3475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146" Type="http://schemas.openxmlformats.org/officeDocument/2006/relationships/hyperlink" Target="https://resources.simonelectric.com/simon-catalogo-vehiculo-electrico?utm_campaign=SIC%20-%20Veh%C3%ADculo%20El%C3%A9ctrico&amp;utm_medium=email&amp;_hsenc=p2ANqtz-8UCY0HQBzYcL5TG8GZRkhUxAephCYJNHEb2Bj59um7sY0b3WjQpv0QEFauut9qcGOPz--s&amp;_hsmi=87085302&amp;utm_content=87085302&amp;utm_source=hs_email&amp;hsCtaTracking=6fedf137-fd90-4f17-bfb4-d61f710ec7f8%7Cf2771843-6636-4969-9010-2d8d0389b89c" TargetMode="External"/><Relationship Id="rId347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147" Type="http://schemas.openxmlformats.org/officeDocument/2006/relationships/hyperlink" Target="https://resources.simonelectric.com/simon-catalogo-vehiculo-electrico?utm_campaign=SIC%20-%20Veh%C3%ADculo%20El%C3%A9ctrico&amp;utm_medium=email&amp;_hsenc=p2ANqtz-_WwK_3GbrLpfvy9uEvoJoowXcYZqZ5SSuTJdVQ-1D8tcy9yWvdUdUud6QWduz3TK2zkkC-&amp;_hsmi=87085363&amp;utm_content=87085363&amp;utm_source=hs_email&amp;hsCtaTracking=6fedf137-fd90-4f17-bfb4-d61f710ec7f8%7Cf2771843-6636-4969-9010-2d8d0389b89c" TargetMode="External"/><Relationship Id="rId347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37" Type="http://schemas.openxmlformats.org/officeDocument/2006/relationships/hyperlink" Target="https://resources.simonelectric.com/simon-catalogo-vehiculo-electrico?utm_campaign=SIC%20-%20Veh%C3%ADculo%20El%C3%A9ctrico&amp;utm_medium=email&amp;_hsenc=p2ANqtz-836aTTL1WuidNhwx5Jzx18QxoLYLcBOsjl8PlxpoglXxKeItSrwRfYdEFS3izct4mvTX3T&amp;_hsmi=87085302&amp;utm_content=87085302&amp;utm_source=hs_email&amp;hsCtaTracking=6fedf137-fd90-4f17-bfb4-d61f710ec7f8%7Cf2771843-6636-4969-9010-2d8d0389b89c" TargetMode="External"/><Relationship Id="rId346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38" Type="http://schemas.openxmlformats.org/officeDocument/2006/relationships/hyperlink" Target="https://resources.simonelectric.com/simon-catalogo-vehiculo-electrico?utm_campaign=SIC%20-%20Veh%C3%ADculo%20El%C3%A9ctrico&amp;utm_medium=email&amp;_hsenc=p2ANqtz-8zsu8r00aezbQlb5DRi4CClQBboBrIqca-QhLKOw-1b7kacq_u_blV5KNJ1DkvlVg8mS0w&amp;_hsmi=87085363&amp;utm_content=87085363&amp;utm_source=hs_email&amp;hsCtaTracking=6fedf137-fd90-4f17-bfb4-d61f710ec7f8%7Cf2771843-6636-4969-9010-2d8d0389b89c" TargetMode="External"/><Relationship Id="rId346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39" Type="http://schemas.openxmlformats.org/officeDocument/2006/relationships/hyperlink" Target="https://resources.simonelectric.com/simon-catalogo-vehiculo-electrico?utm_campaign=SIC%20-%20Veh%C3%ADculo%20El%C3%A9ctrico&amp;utm_medium=email&amp;_hsenc=p2ANqtz--A7kOm953cwHlQIP9dvZ8PKS-xxogt09s06x7Wai2YUqhKn9Rbv_jQJgcV_kEKQEgRGLot&amp;_hsmi=87085302&amp;utm_content=87085302&amp;utm_source=hs_email&amp;hsCtaTracking=6fedf137-fd90-4f17-bfb4-d61f710ec7f8%7Cf2771843-6636-4969-9010-2d8d0389b89c" TargetMode="External"/><Relationship Id="rId3461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130" Type="http://schemas.openxmlformats.org/officeDocument/2006/relationships/hyperlink" Target="https://resources.simonelectric.com/simon-catalogo-vehiculo-electrico?utm_campaign=SIC%20-%20Veh%C3%ADculo%20El%C3%A9ctrico&amp;utm_medium=email&amp;_hsenc=p2ANqtz-9GShb9AO92GT1gMSqeOI3SGtj_gZ5hskJy9V6BqQBaCEKjw6dRgSGob29IvXcRFEdzKk9X&amp;_hsmi=87085363&amp;utm_content=87085363&amp;utm_source=hs_email&amp;hsCtaTracking=6fedf137-fd90-4f17-bfb4-d61f710ec7f8%7Cf2771843-6636-4969-9010-2d8d0389b89c" TargetMode="External"/><Relationship Id="rId346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31" Type="http://schemas.openxmlformats.org/officeDocument/2006/relationships/hyperlink" Target="https://resources.simonelectric.com/simon-catalogo-vehiculo-electrico?utm_campaign=SIC%20-%20Veh%C3%ADculo%20El%C3%A9ctrico&amp;utm_medium=email&amp;_hsenc=p2ANqtz-8EmuxFIcRBHjZJjz65TOKqhqzRilkD-xWjFb2xOB6nQtX5IsKeT4QPVBSmtRihHcXvMF5T&amp;_hsmi=87085363&amp;utm_content=87085363&amp;utm_source=hs_email&amp;hsCtaTracking=6fedf137-fd90-4f17-bfb4-d61f710ec7f8%7Cf2771843-6636-4969-9010-2d8d0389b89c" TargetMode="External"/><Relationship Id="rId346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32" Type="http://schemas.openxmlformats.org/officeDocument/2006/relationships/hyperlink" Target="https://resources.simonelectric.com/simon-catalogo-vehiculo-electrico?utm_campaign=SIC%20-%20Veh%C3%ADculo%20El%C3%A9ctrico&amp;utm_medium=email&amp;_hsmi=87085363&amp;_hsenc=p2ANqtz-_odF2nzE983zgCxdbNouLYdbsAWpM_06pHtBRNMxPDKzvRKnBkSvWK4xYaput83IqUIZk1&amp;utm_content=87085363&amp;utm_source=hs_email" TargetMode="External"/><Relationship Id="rId346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33" Type="http://schemas.openxmlformats.org/officeDocument/2006/relationships/hyperlink" Target="https://resources.simonelectric.com/simon-catalogo-vehiculo-electrico?utm_campaign=SIC%20-%20Veh%C3%ADculo%20El%C3%A9ctrico&amp;utm_medium=email&amp;_hsenc=p2ANqtz-__BGVxkEhVaLw335S5H62PZuR55JtofHdDYucXgLi4faxDOjQ_aie_BlV6nhvJgcKHrWOJ&amp;_hsmi=87085363&amp;utm_content=87085363&amp;utm_source=hs_email&amp;hsCtaTracking=6fedf137-fd90-4f17-bfb4-d61f710ec7f8%7Cf2771843-6636-4969-9010-2d8d0389b89c" TargetMode="External"/><Relationship Id="rId346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34" Type="http://schemas.openxmlformats.org/officeDocument/2006/relationships/hyperlink" Target="https://resources.simonelectric.com/simon-catalogo-vehiculo-electrico?utm_campaign=SIC%20-%20Veh%C3%ADculo%20El%C3%A9ctrico&amp;utm_medium=email&amp;_hsenc=p2ANqtz-_LNqqLt3_6kr_7y-65i_qvUGhdyxKTJwFeRYjn9bs5MdAAvw6iqFcteKf79ea7PIReSwFN&amp;_hsmi=87085363&amp;utm_content=87085363&amp;utm_source=hs_email&amp;hsCtaTracking=6fedf137-fd90-4f17-bfb4-d61f710ec7f8%7Cf2771843-6636-4969-9010-2d8d0389b89c" TargetMode="External"/><Relationship Id="rId3464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135" Type="http://schemas.openxmlformats.org/officeDocument/2006/relationships/hyperlink" Target="https://resources.simonelectric.com/simon-catalogo-vehiculo-electrico?utm_campaign=SIC%20-%20Veh%C3%ADculo%20El%C3%A9ctrico&amp;utm_medium=email&amp;_hsenc=p2ANqtz-85L022d6V2CJPTWkTsVE6IwVcn2ZiElE23wbZVBYy3ioTKucU_TSmlKhyp9T8FUD8H4jzm&amp;_hsmi=87085363&amp;utm_content=87085363&amp;utm_source=hs_email&amp;hsCtaTracking=6fedf137-fd90-4f17-bfb4-d61f710ec7f8%7Cf2771843-6636-4969-9010-2d8d0389b89c" TargetMode="External"/><Relationship Id="rId346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36" Type="http://schemas.openxmlformats.org/officeDocument/2006/relationships/hyperlink" Target="https://resources.simonelectric.com/simon-catalogo-vehiculo-electrico?utm_campaign=SIC%20-%20Veh%C3%ADculo%20El%C3%A9ctrico&amp;utm_medium=email&amp;_hsenc=p2ANqtz-8VayCNbYkBXocyOkT8FFSP0mxMXzDYnjzxGQ5ck0GlDYkO5ZRvI3sI2jDlO9p46K0PVWmX&amp;_hsmi=87085363&amp;utm_content=87085363&amp;utm_source=hs_email&amp;hsCtaTracking=6fedf137-fd90-4f17-bfb4-d61f710ec7f8%7Cf2771843-6636-4969-9010-2d8d0389b89c" TargetMode="External"/><Relationship Id="rId346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9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60" Type="http://schemas.openxmlformats.org/officeDocument/2006/relationships/hyperlink" Target="https://resources.simonelectric.com/simon-catalogo-vehiculo-electrico?utm_campaign=SIC%20-%20Veh%C3%ADculo%20El%C3%A9ctrico&amp;utm_medium=email&amp;_hsenc=p2ANqtz-8F9OOJjv77I5Bi7Btk7K0v0P6xKZ7ZBk4eMfHogDaREmaeqhB2NMA56WiUNet_TzCcp7u5&amp;_hsmi=87085363&amp;utm_content=87085363&amp;utm_source=hs_email&amp;hsCtaTracking=6fedf137-fd90-4f17-bfb4-d61f710ec7f8%7Cf2771843-6636-4969-9010-2d8d0389b89c" TargetMode="External"/><Relationship Id="rId349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61" Type="http://schemas.openxmlformats.org/officeDocument/2006/relationships/hyperlink" Target="https://resources.simonelectric.com/simon-catalogo-vehiculo-electrico?utm_campaign=SIC%20-%20Veh%C3%ADculo%20El%C3%A9ctrico&amp;utm_medium=email&amp;_hsenc=p2ANqtz--YaM2-ba1Bixtlld22mFidzfnkuo3U5sB-fbt7eNV6WuQOIkVjeLLjF6rKFtgRLa3inL09&amp;_hsmi=87085363&amp;utm_content=87085363&amp;utm_source=hs_email&amp;hsCtaTracking=6fedf137-fd90-4f17-bfb4-d61f710ec7f8%7Cf2771843-6636-4969-9010-2d8d0389b89c" TargetMode="External"/><Relationship Id="rId3491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162" Type="http://schemas.openxmlformats.org/officeDocument/2006/relationships/hyperlink" Target="https://resources.simonelectric.com/simon-catalogo-vehiculo-electrico?utm_campaign=SIC%20-%20Veh%C3%ADculo%20El%C3%A9ctrico&amp;utm_medium=email&amp;_hsenc=p2ANqtz-9wyT0kDRfk_St9WdEI9Rx8S39tpiDkFlgteDQfW0XmUad9YhbYdPTFJPanH8kHOVR1XzOu&amp;_hsmi=87085363&amp;utm_content=87085363&amp;utm_source=hs_email&amp;hsCtaTracking=6fedf137-fd90-4f17-bfb4-d61f710ec7f8%7Cf2771843-6636-4969-9010-2d8d0389b89c" TargetMode="External"/><Relationship Id="rId349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63" Type="http://schemas.openxmlformats.org/officeDocument/2006/relationships/hyperlink" Target="https://resources.simonelectric.com/simon-catalogo-vehiculo-electrico?utm_campaign=SIC%20-%20Veh%C3%ADculo%20El%C3%A9ctrico&amp;utm_medium=email&amp;_hsenc=p2ANqtz-_jmkoSV0xvSF1QWkumhee_tSggkHnTsWeUoVKoC1IWZegevyv33gGe83nGI672zhHm588g&amp;_hsmi=87085302&amp;utm_content=87085302&amp;utm_source=hs_email&amp;hsCtaTracking=6fedf137-fd90-4f17-bfb4-d61f710ec7f8%7Cf2771843-6636-4969-9010-2d8d0389b89c" TargetMode="External"/><Relationship Id="rId349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64" Type="http://schemas.openxmlformats.org/officeDocument/2006/relationships/hyperlink" Target="https://resources.simonelectric.com/simon-catalogo-vehiculo-electrico?utm_campaign=SIC%20-%20Veh%C3%ADculo%20El%C3%A9ctrico&amp;utm_medium=email&amp;_hsenc=p2ANqtz--9jYYZhumz-0u1w8-xBPyYtUvx43k-Fyt0AvTFQPTf0RD8wIOoqszG_3ZfX6z9ts0hWNzf&amp;_hsmi=87085363&amp;utm_content=87085363&amp;utm_source=hs_email&amp;hsCtaTracking=6fedf137-fd90-4f17-bfb4-d61f710ec7f8%7Cf2771843-6636-4969-9010-2d8d0389b89c" TargetMode="External"/><Relationship Id="rId349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65" Type="http://schemas.openxmlformats.org/officeDocument/2006/relationships/hyperlink" Target="https://resources.simonelectric.com/simon-catalogo-vehiculo-electrico?utm_campaign=SIC%20-%20Veh%C3%ADculo%20El%C3%A9ctrico&amp;utm_medium=email&amp;_hsenc=p2ANqtz--P2VvLVa1JImR380IBpKtP8cufQmVjUda4hcr10gfIopfViT579vYfxbDTkc0Jg-PxM1FK&amp;_hsmi=87085363&amp;utm_content=87085363&amp;utm_source=hs_email&amp;hsCtaTracking=6fedf137-fd90-4f17-bfb4-d61f710ec7f8%7Cf2771843-6636-4969-9010-2d8d0389b89c" TargetMode="External"/><Relationship Id="rId349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66" Type="http://schemas.openxmlformats.org/officeDocument/2006/relationships/hyperlink" Target="https://resources.simonelectric.com/simon-catalogo-vehiculo-electrico?utm_campaign=SIC%20-%20Veh%C3%ADculo%20El%C3%A9ctrico&amp;utm_medium=email&amp;_hsenc=p2ANqtz-8WyiR1f0fVB02tE7ZMGoScFlcOzTruX6HZHgyg0D5_7JMOX470FycAKk351OIezc5-Oamu&amp;_hsmi=87085363&amp;utm_content=87085363&amp;utm_source=hs_email&amp;hsCtaTracking=6fedf137-fd90-4f17-bfb4-d61f710ec7f8%7Cf2771843-6636-4969-9010-2d8d0389b89c" TargetMode="External"/><Relationship Id="rId349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67" Type="http://schemas.openxmlformats.org/officeDocument/2006/relationships/hyperlink" Target="https://resources.simonelectric.com/simon-catalogo-vehiculo-electrico?utm_campaign=SIC%20-%20Veh%C3%ADculo%20El%C3%A9ctrico&amp;utm_medium=email&amp;_hsenc=p2ANqtz-8MRXFrZH_Zi4OMuTDpy92DOC2z-bD6X_IxhQu4M0ZvN0y1iG9vDE1uUrunGNqLFj_9Goqw&amp;_hsmi=87085363&amp;utm_content=87085363&amp;utm_source=hs_email&amp;hsCtaTracking=6fedf137-fd90-4f17-bfb4-d61f710ec7f8%7Cf2771843-6636-4969-9010-2d8d0389b89c" TargetMode="External"/><Relationship Id="rId349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68" Type="http://schemas.openxmlformats.org/officeDocument/2006/relationships/hyperlink" Target="https://resources.simonelectric.com/simon-catalogo-vehiculo-electrico?utm_campaign=SIC%20-%20Veh%C3%ADculo%20El%C3%A9ctrico&amp;utm_medium=email&amp;_hsenc=p2ANqtz-8AqUT13Fveh3Yp0M1jIJthEWs0_wX85FDDmDifm-pD86Rn8rZNHW8JDGEX2UkE-YZwWplq&amp;_hsmi=87085302&amp;utm_content=87085302&amp;utm_source=hs_email&amp;hsCtaTracking=6fedf137-fd90-4f17-bfb4-d61f710ec7f8%7Cf2771843-6636-4969-9010-2d8d0389b89c" TargetMode="External"/><Relationship Id="rId2169" Type="http://schemas.openxmlformats.org/officeDocument/2006/relationships/hyperlink" Target="https://resources.simonelectric.com/simon-catalogo-vehiculo-electrico?utm_campaign=SIC%20-%20Veh%C3%ADculo%20El%C3%A9ctrico&amp;utm_medium=email&amp;_hsenc=p2ANqtz-97UrlLUtQR3bsGEnEPg2Y7Be6c9iAp0v5N4fqJ1SF4ABQ7kp0P84XXhxarlvg1_oUwLfG1&amp;_hsmi=87085363&amp;utm_content=87085363&amp;utm_source=hs_email&amp;hsCtaTracking=6fedf137-fd90-4f17-bfb4-d61f710ec7f8%7Cf2771843-6636-4969-9010-2d8d0389b89c" TargetMode="External"/><Relationship Id="rId3499" Type="http://schemas.openxmlformats.org/officeDocument/2006/relationships/hyperlink" Target="https://resources.simonelectric.com/simon-catalogo-vehiculo-electrico?__hstc=83084745.b8f0213542ea9d68f4c0cb278cfb39e2.1565593962408.1565593962408.1583232797507.2&amp;__hssc=83084745.5.1583232797507&amp;__hsfp=3361055166" TargetMode="External"/><Relationship Id="rId2159" Type="http://schemas.openxmlformats.org/officeDocument/2006/relationships/hyperlink" Target="https://resources.simonelectric.com/simon-catalogo-vehiculo-electrico?utm_campaign=SIC%20-%20Veh%C3%ADculo%20El%C3%A9ctrico&amp;utm_medium=email&amp;_hsenc=p2ANqtz-_cLf7MSLAZVLSqatIL3e5ofh2f4aNU2QUmxXbC5ep2gxZdNJrYmi7nOzERfRhCPZN6lsbe&amp;_hsmi=87085363&amp;utm_content=87085363&amp;utm_source=hs_email&amp;hsCtaTracking=6fedf137-fd90-4f17-bfb4-d61f710ec7f8%7Cf2771843-6636-4969-9010-2d8d0389b89c" TargetMode="External"/><Relationship Id="rId348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50" Type="http://schemas.openxmlformats.org/officeDocument/2006/relationships/hyperlink" Target="https://resources.simonelectric.com/simon-catalogo-vehiculo-electrico?utm_campaign=SIC%20-%20Veh%C3%ADculo%20El%C3%A9ctrico&amp;utm_medium=email&amp;_hsenc=p2ANqtz-_wxlLiebXkbdW1bkHsWLthSUZPp3ydqsLD7ZxrBvRNk4GLJcXH1eX4bIo-w7zZ4MV7SFNdGQM3XJgyQxvx-s7BQWxODw&amp;_hsmi=87085363&amp;utm_source=hs_email&amp;utm_content=87085363&amp;hsCtaTracking=6fedf137-fd90-4f17-bfb4-d61f710ec7f8%7Cf2771843-6636-4969-9010-2d8d0389b89c" TargetMode="External"/><Relationship Id="rId348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51" Type="http://schemas.openxmlformats.org/officeDocument/2006/relationships/hyperlink" Target="https://resources.simonelectric.com/simon-catalogo-vehiculo-electrico?utm_campaign=SIC%20-%20Veh%C3%ADculo%20El%C3%A9ctrico&amp;utm_medium=email&amp;_hsenc=p2ANqtz-8d54dpuktZPbeTb6DLyT_uPiT12tBzGwoc1M4MTaIQOqNacoLqq3EPz5Nj8MgQVMwv6XP4&amp;_hsmi=87085363&amp;utm_content=87085363&amp;utm_source=hs_email&amp;hsCtaTracking=6fedf137-fd90-4f17-bfb4-d61f710ec7f8%7Cf2771843-6636-4969-9010-2d8d0389b89c" TargetMode="External"/><Relationship Id="rId348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52" Type="http://schemas.openxmlformats.org/officeDocument/2006/relationships/hyperlink" Target="https://resources.simonelectric.com/simon-catalogo-vehiculo-electrico?utm_campaign=SIC%20-%20Veh%C3%ADculo%20El%C3%A9ctrico&amp;utm_medium=email&amp;_hsenc=p2ANqtz--6U-GDOLETYEDr9DsJ0JhrJ53-4bjDrVOFhsNSwgxIeypuCl8WEttUUt4TkKRnNwOKif1h&amp;_hsmi=87085302&amp;utm_content=87085302&amp;utm_source=hs_email&amp;hsCtaTracking=6fedf137-fd90-4f17-bfb4-d61f710ec7f8%7Cf2771843-6636-4969-9010-2d8d0389b89c" TargetMode="External"/><Relationship Id="rId348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53" Type="http://schemas.openxmlformats.org/officeDocument/2006/relationships/hyperlink" Target="https://resources.simonelectric.com/simon-catalogo-vehiculo-electrico?utm_campaign=SIC%20-%20Veh%C3%ADculo%20El%C3%A9ctrico&amp;utm_medium=email&amp;_hsenc=p2ANqtz--Qs9Uc-IIXRIAJJNM5fLm8R29RF3xDgaBSJE6IVThSm18LosXLZzoVnE6jV-vrGZ8M6XFQ&amp;_hsmi=87085363&amp;utm_content=87085363&amp;utm_source=hs_email&amp;hsCtaTracking=6fedf137-fd90-4f17-bfb4-d61f710ec7f8%7Cf2771843-6636-4969-9010-2d8d0389b89c" TargetMode="External"/><Relationship Id="rId348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54" Type="http://schemas.openxmlformats.org/officeDocument/2006/relationships/hyperlink" Target="https://resources.simonelectric.com/simon-catalogo-vehiculo-electrico?utm_campaign=SIC%20-%20Veh%C3%ADculo%20El%C3%A9ctrico&amp;utm_medium=email&amp;_hsenc=p2ANqtz-_msCu2wcsTOa3RPRgPTrgVRtKnWPJ50EmiGjL6ZJgPNNJXSt34ad9V7-EIOdAF-P--GpUF&amp;_hsmi=87085363&amp;utm_content=87085363&amp;utm_source=hs_email&amp;hsCtaTracking=6fedf137-fd90-4f17-bfb4-d61f710ec7f8%7Cf2771843-6636-4969-9010-2d8d0389b89c" TargetMode="External"/><Relationship Id="rId348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55" Type="http://schemas.openxmlformats.org/officeDocument/2006/relationships/hyperlink" Target="https://resources.simonelectric.com/simon-catalogo-vehiculo-electrico?utm_campaign=SIC%20-%20Veh%C3%ADculo%20El%C3%A9ctrico&amp;utm_medium=email&amp;_hsmi=87085302&amp;_hsenc=p2ANqtz-8vl4RGefQWR18S2zdz7gwTRZHu4km2JawylCXm0OuBulNTE7cV_eEIPOFVJlgWW45ZxhVt&amp;utm_content=87085302&amp;utm_source=hs_email" TargetMode="External"/><Relationship Id="rId3487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156" Type="http://schemas.openxmlformats.org/officeDocument/2006/relationships/hyperlink" Target="https://resources.simonelectric.com/simon-catalogo-vehiculo-electrico?utm_campaign=SIC%20-%20Veh%C3%ADculo%20El%C3%A9ctrico&amp;utm_medium=email&amp;_hsenc=p2ANqtz-8K3hQOoRqZGibtfo8C55JenwnXCPiXtKQ_0bQ9cguhB6UVp7-j8rqXDSwMTMqbcI7M3aPi&amp;_hsmi=87085302&amp;utm_content=87085302&amp;utm_source=hs_email&amp;hsCtaTracking=6fedf137-fd90-4f17-bfb4-d61f710ec7f8%7Cf2771843-6636-4969-9010-2d8d0389b89c" TargetMode="External"/><Relationship Id="rId348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57" Type="http://schemas.openxmlformats.org/officeDocument/2006/relationships/hyperlink" Target="https://resources.simonelectric.com/simon-catalogo-vehiculo-electrico?utm_campaign=SIC%20-%20Veh%C3%ADculo%20El%C3%A9ctrico&amp;utm_medium=email&amp;_hsmi=87085363&amp;_hsenc=p2ANqtz-9Y7IXgy8Vm8CRb2b39m0wHh7LHcJNu-K5PK965WUw06b89l7S0cR_kHN92yuZskwacUYut&amp;utm_content=87085363&amp;utm_source=hs_email" TargetMode="External"/><Relationship Id="rId348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58" Type="http://schemas.openxmlformats.org/officeDocument/2006/relationships/hyperlink" Target="https://resources.simonelectric.com/simon-catalogo-vehiculo-electrico?utm_campaign=SIC%20-%20Veh%C3%ADculo%20El%C3%A9ctrico&amp;utm_medium=email&amp;_hsenc=p2ANqtz-8seT5oWIOkQxNc5LMG02REH8yCgCbzEHQfv6qe9DLxkP3Nqnx_w7A0znhc9NbAG_XPPQEs&amp;_hsmi=87085363&amp;utm_content=87085363&amp;utm_source=hs_email&amp;hsCtaTracking=6fedf137-fd90-4f17-bfb4-d61f710ec7f8%7Cf2771843-6636-4969-9010-2d8d0389b89c" TargetMode="External"/><Relationship Id="rId348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04" Type="http://schemas.openxmlformats.org/officeDocument/2006/relationships/hyperlink" Target="https://resources.simonelectric.com/simon-catalogo-vehiculo-electrico?utm_campaign=SIC%20-%20Veh%C3%ADculo%20El%C3%A9ctrico&amp;utm_medium=email&amp;_hsenc=p2ANqtz-8rdzkcuLcm6ctKEZIfKnBcz-vTJTsabMtAWhi5_IQ3_t6bGXBSEUk3o1hEKMmT_a-CJCp3&amp;_hsmi=87085363&amp;utm_content=87085363&amp;utm_source=hs_email&amp;hsCtaTracking=6fedf137-fd90-4f17-bfb4-d61f710ec7f8%7Cf2771843-6636-4969-9010-2d8d0389b89c" TargetMode="External"/><Relationship Id="rId343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05" Type="http://schemas.openxmlformats.org/officeDocument/2006/relationships/hyperlink" Target="https://resources.simonelectric.com/simon-catalogo-vehiculo-electrico?utm_campaign=SIC%20-%20Veh%C3%ADculo%20El%C3%A9ctrico&amp;utm_medium=email&amp;_hsenc=p2ANqtz-_yrPilczuFa2tITU4twgYaSG_uW-yqLKGSnRwmySndJ8JHI8Uj3l6fQszPfmZPgpXrefWw&amp;_hsmi=87085363&amp;utm_content=87085363&amp;utm_source=hs_email&amp;hsCtaTracking=6fedf137-fd90-4f17-bfb4-d61f710ec7f8%7Cf2771843-6636-4969-9010-2d8d0389b89c" TargetMode="External"/><Relationship Id="rId343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06" Type="http://schemas.openxmlformats.org/officeDocument/2006/relationships/hyperlink" Target="https://resources.simonelectric.com/simon-catalogo-vehiculo-electrico?utm_campaign=SIC%20-%20Veh%C3%ADculo%20El%C3%A9ctrico&amp;utm_medium=email&amp;_hsenc=p2ANqtz-8CZCGFTLxpGVGzzH1cBijhC28j6JwD0OJu_MVUrpFxuWRTLSEuSE64r-7DRCgOwTqBXdbo&amp;_hsmi=87085363&amp;utm_content=87085363&amp;utm_source=hs_email&amp;hsCtaTracking=6fedf137-fd90-4f17-bfb4-d61f710ec7f8%7Cf2771843-6636-4969-9010-2d8d0389b89c" TargetMode="External"/><Relationship Id="rId3438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107" Type="http://schemas.openxmlformats.org/officeDocument/2006/relationships/hyperlink" Target="https://resources.simonelectric.com/simon-catalogo-vehiculo-electrico?utm_campaign=SIC%20-%20Veh%C3%ADculo%20El%C3%A9ctrico&amp;utm_medium=email&amp;_hsmi=87085363&amp;_hsenc=p2ANqtz-8qcDIIC7HhlhToybxOHuW8ttLsMsyuColvjr8jaMAZ0wbQsfl_xzij9DMJj2fdmhkaPPtf&amp;utm_content=87085363&amp;utm_source=hs_email" TargetMode="External"/><Relationship Id="rId3437" Type="http://schemas.openxmlformats.org/officeDocument/2006/relationships/hyperlink" Target="https://resources.simonelectric.com/simon-ebook-vehiculo-electrico?hsCtaTracking=d79bdc0f-20ca-4fac-a6da-206243df8249%7Cd4de1798-eb74-43e7-a4eb-707b8dca8f55" TargetMode="External"/><Relationship Id="rId2108" Type="http://schemas.openxmlformats.org/officeDocument/2006/relationships/hyperlink" Target="https://resources.simonelectric.com/simon-catalogo-vehiculo-electrico?utm_campaign=SIC%20-%20Veh%C3%ADculo%20El%C3%A9ctrico&amp;utm_medium=email&amp;_hsenc=p2ANqtz-8pZohlBaKrYPeODOZbgk1Rh7YnXUApFFrarwBmYYtgerdKNW8B_wDvO4U6ot2eMMEsiYAw&amp;_hsmi=87085363&amp;utm_content=87085363&amp;utm_source=hs_email&amp;hsCtaTracking=6fedf137-fd90-4f17-bfb4-d61f710ec7f8%7Cf2771843-6636-4969-9010-2d8d0389b89c" TargetMode="External"/><Relationship Id="rId2109" Type="http://schemas.openxmlformats.org/officeDocument/2006/relationships/hyperlink" Target="https://resources.simonelectric.com/simon-catalogo-vehiculo-electrico?utm_campaign=SIC%20-%20Veh%C3%ADculo%20El%C3%A9ctrico&amp;utm_medium=email&amp;_hsenc=p2ANqtz-8sMbpzo1Pbuy4COLTB62xbv8V_MDY4s1RE_53sAJOlLSSIFx04k0JJz4ZmnVRDjDt0CB2D&amp;_hsmi=87085363&amp;utm_content=87085363&amp;utm_source=hs_email&amp;hsCtaTracking=6fedf137-fd90-4f17-bfb4-d61f710ec7f8%7Cf2771843-6636-4969-9010-2d8d0389b89c" TargetMode="External"/><Relationship Id="rId343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3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00" Type="http://schemas.openxmlformats.org/officeDocument/2006/relationships/hyperlink" Target="https://resources.simonelectric.com/simon-catalogo-vehiculo-electrico?utm_campaign=SIC%20-%20Veh%C3%ADculo%20El%C3%A9ctrico&amp;utm_medium=email&amp;_hsenc=p2ANqtz-92Ea1yOPUjrCesYVGZdQCumtsFokxnbwp_urNXWxBG0Vl7WY6cmgDat555bHVTaWb5dKQG&amp;_hsmi=87085363&amp;utm_content=87085363&amp;utm_source=hs_email&amp;hsCtaTracking=6fedf137-fd90-4f17-bfb4-d61f710ec7f8%7Cf2771843-6636-4969-9010-2d8d0389b89c" TargetMode="External"/><Relationship Id="rId3432" Type="http://schemas.openxmlformats.org/officeDocument/2006/relationships/hyperlink" Target="https://resources.simonelectric.com/simon-catalogo-vehiculo-electrico?__hstc=83084745.972a87fc288f8b0a1da4a7e774b350c6.1583240473413.1583240473413.1583240473413.1&amp;__hssc=83084745.6.1583240473414&amp;__hsfp=3512955578" TargetMode="External"/><Relationship Id="rId2101" Type="http://schemas.openxmlformats.org/officeDocument/2006/relationships/hyperlink" Target="https://resources.simonelectric.com/simon-catalogo-vehiculo-electrico?utm_campaign=SIC%20-%20Veh%C3%ADculo%20El%C3%A9ctrico&amp;utm_medium=email&amp;_hsenc=p2ANqtz-8OZK4x2B6s9HuT22gc1P5dEz0F-ak0WyVmU4ZfhyItTMeJafMUHD-x22sNYGS_9tLMFXXq&amp;_hsmi=87085363&amp;utm_content=87085363&amp;utm_source=hs_email&amp;hsCtaTracking=6fedf137-fd90-4f17-bfb4-d61f710ec7f8%7Cf2771843-6636-4969-9010-2d8d0389b89c" TargetMode="External"/><Relationship Id="rId343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02" Type="http://schemas.openxmlformats.org/officeDocument/2006/relationships/hyperlink" Target="https://resources.simonelectric.com/simon-catalogo-vehiculo-electrico?utm_campaign=SIC%20-%20Veh%C3%ADculo%20El%C3%A9ctrico&amp;utm_medium=email&amp;_hsenc=p2ANqtz-9FWOcRDJQqR7aGISnEHEie6Iinal28lNqAQVkaq5jkNhvBezqz3WRCrEpS3x5q9VkO_xEE&amp;_hsmi=87085363&amp;utm_content=87085363&amp;utm_source=hs_email&amp;hsCtaTracking=6fedf137-fd90-4f17-bfb4-d61f710ec7f8%7Cf2771843-6636-4969-9010-2d8d0389b89c" TargetMode="External"/><Relationship Id="rId343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03" Type="http://schemas.openxmlformats.org/officeDocument/2006/relationships/hyperlink" Target="https://resources.simonelectric.com/simon-catalogo-vehiculo-electrico?utm_campaign=SIC%20-%20Veh%C3%ADculo%20El%C3%A9ctrico&amp;utm_medium=email&amp;_hsenc=p2ANqtz-_lyyZlsC8GMwj_HIHHcw2U0B4WI-5KOen-V3Soca1_gPXrNp8QKtOXXRfUsMG0P2giYjkd&amp;_hsmi=87085302&amp;utm_content=87085302&amp;utm_source=hs_email&amp;hsCtaTracking=6fedf137-fd90-4f17-bfb4-d61f710ec7f8%7Cf2771843-6636-4969-9010-2d8d0389b89c" TargetMode="External"/><Relationship Id="rId343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2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2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2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2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2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2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899" Type="http://schemas.openxmlformats.org/officeDocument/2006/relationships/hyperlink" Target="https://resources.simonelectric.com/simon-ebook-vehiculo-electrico" TargetMode="External"/><Relationship Id="rId898" Type="http://schemas.openxmlformats.org/officeDocument/2006/relationships/hyperlink" Target="https://resources.simonelectric.com/simon-ebook-vehiculo-electrico" TargetMode="External"/><Relationship Id="rId897" Type="http://schemas.openxmlformats.org/officeDocument/2006/relationships/hyperlink" Target="https://resources.simonelectric.com/simon-catalogo-vehiculo-electrico?utm_campaign=SIC%20-%20Veh%C3%ADculo%20El%C3%A9ctrico&amp;utm_medium=email&amp;_hsenc=p2ANqtz-_6tniLs5aBP83CfYGShZOmdjHcW-kdONOeRb1gNn4N8N4DkY2fTLc3dss3OK3Fx9MgQCmjrmkj-CX3dh_6hL3RTtOlyiJQ--Wc48BQ4ln39-M8HWw&amp;_hsmi=87865495&amp;utm_source=hs_automation&amp;utm_content=87865495&amp;hsCtaTracking=6fedf137-fd90-4f17-bfb4-d61f710ec7f8%7Cf2771843-6636-4969-9010-2d8d0389b89c" TargetMode="External"/><Relationship Id="rId896" Type="http://schemas.openxmlformats.org/officeDocument/2006/relationships/hyperlink" Target="https://resources.simonelectric.com/simon-ebook-vehiculo-electrico" TargetMode="External"/><Relationship Id="rId891" Type="http://schemas.openxmlformats.org/officeDocument/2006/relationships/hyperlink" Target="https://resources.simonelectric.com/simon-catalogo-vehiculo-electrico" TargetMode="External"/><Relationship Id="rId890" Type="http://schemas.openxmlformats.org/officeDocument/2006/relationships/hyperlink" Target="https://resources.simonelectric.com/simon-catalogo-vehiculo-electrico?utm_campaign=SIC%20-%20Veh%C3%ADculo%20El%C3%A9ctrico&amp;utm_medium=email&amp;_hsenc=p2ANqtz-9KGDcAraODdoPwzzZAKY3Aj8lTRWWxEsYUGGoETmqEfXCTycaR5RxyZHjMAE5JscRCi723BfIxzzao5lBDqGAV9kA_iQ&amp;_hsmi=87865495&amp;utm_source=hs_automation&amp;utm_content=87865495&amp;hsCtaTracking=6fedf137-fd90-4f17-bfb4-d61f710ec7f8%7Cf2771843-6636-4969-9010-2d8d0389b89c" TargetMode="External"/><Relationship Id="rId895" Type="http://schemas.openxmlformats.org/officeDocument/2006/relationships/hyperlink" Target="https://resources.simonelectric.com/simon-catalogo-vehiculo-electrico?utm_campaign=SIC%20-%20Veh%C3%ADculo%20El%C3%A9ctrico&amp;utm_source=hs_automation&amp;utm_medium=email&amp;utm_content=87865495&amp;_hsenc=p2ANqtz-9j1O5oIerzH4RNDwUJPTEPd1Qw8n65vz_hy1yq9s4EpJVMJRMiF9HjTeZfJfwtpcpapynu-KYZNPoOk9ghakbg2rqOfg&amp;_hsmi=87865495" TargetMode="External"/><Relationship Id="rId3421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894" Type="http://schemas.openxmlformats.org/officeDocument/2006/relationships/hyperlink" Target="https://resources.simonelectric.com/simon-ebook-vehiculo-electrico" TargetMode="External"/><Relationship Id="rId3420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893" Type="http://schemas.openxmlformats.org/officeDocument/2006/relationships/hyperlink" Target="https://resources.simonelectric.com/simon-ebook-vehiculo-electrico" TargetMode="External"/><Relationship Id="rId342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892" Type="http://schemas.openxmlformats.org/officeDocument/2006/relationships/hyperlink" Target="https://resources.simonelectric.com/simon-catalogo-vehiculo-electrico?utm_campaign=SIC%20-%20Veh%C3%ADculo%20El%C3%A9ctrico&amp;utm_medium=email&amp;_hsenc=p2ANqtz--cl3ktxtOzzv683yfLFEHb3GxNDi1TVM0Qvg0ZMOoke_AB8E0IY4pVa_Hjb_48wv54krPr8rlPTWtHvoNBWZ_E0t3Ikg&amp;_hsmi=87865495&amp;utm_source=hs_automation&amp;utm_content=87865495&amp;hsCtaTracking=6fedf137-fd90-4f17-bfb4-d61f710ec7f8%7Cf2771843-6636-4969-9010-2d8d0389b89c" TargetMode="External"/><Relationship Id="rId342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26" Type="http://schemas.openxmlformats.org/officeDocument/2006/relationships/hyperlink" Target="https://resources.simonelectric.com/simon-catalogo-vehiculo-electrico?utm_campaign=SIC%20-%20Veh%C3%ADculo%20El%C3%A9ctrico&amp;utm_medium=email&amp;_hsenc=p2ANqtz-_Bm9-xR5MJs5UV3lGME4CnN7XDEhkP9LvFSrajix98Lw_PTitdungX_zd56NF-qFbONP64&amp;_hsmi=87085363&amp;utm_content=87085363&amp;utm_source=hs_email&amp;hsCtaTracking=6fedf137-fd90-4f17-bfb4-d61f710ec7f8%7Cf2771843-6636-4969-9010-2d8d0389b89c" TargetMode="External"/><Relationship Id="rId345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27" Type="http://schemas.openxmlformats.org/officeDocument/2006/relationships/hyperlink" Target="https://resources.simonelectric.com/simon-catalogo-vehiculo-electrico?utm_campaign=SIC%20-%20Veh%C3%ADculo%20El%C3%A9ctrico&amp;utm_medium=email&amp;_hsenc=p2ANqtz-8qm55fM09cU2rsYQ8alnsvLchC0MRdD4MJiivrCPSkyiychRDievSOFoCNeE7orJj7H4DI&amp;_hsmi=87085363&amp;utm_content=87085363&amp;utm_source=hs_email&amp;hsCtaTracking=6fedf137-fd90-4f17-bfb4-d61f710ec7f8%7Cf2771843-6636-4969-9010-2d8d0389b89c" TargetMode="External"/><Relationship Id="rId345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28" Type="http://schemas.openxmlformats.org/officeDocument/2006/relationships/hyperlink" Target="https://resources.simonelectric.com/simon-catalogo-vehiculo-electrico?utm_campaign=SIC%20-%20Veh%C3%ADculo%20El%C3%A9ctrico&amp;utm_medium=email&amp;_hsenc=p2ANqtz-9unt3c2Qax8FEcw4JrpVehDhhY0TDzmBo4NYNEvQ-dNfTWtcD5cZd3YNkWEyTI0sqi-9bJ&amp;_hsmi=87085363&amp;utm_content=87085363&amp;utm_source=hs_email&amp;hsCtaTracking=6fedf137-fd90-4f17-bfb4-d61f710ec7f8%7Cf2771843-6636-4969-9010-2d8d0389b89c" TargetMode="External"/><Relationship Id="rId2129" Type="http://schemas.openxmlformats.org/officeDocument/2006/relationships/hyperlink" Target="https://resources.simonelectric.com/simon-catalogo-vehiculo-electrico?utm_campaign=SIC%20-%20Veh%C3%ADculo%20El%C3%A9ctrico&amp;utm_medium=email&amp;_hsenc=p2ANqtz--ad8mUb6TIWUe2LPm0u-MDYcDiqObo7TtZ_AhVg3SeBp_GasTy53pGYqxzLIu6gEfb5Bkd&amp;_hsmi=87085302&amp;utm_content=87085302&amp;utm_source=hs_email&amp;hsCtaTracking=6fedf137-fd90-4f17-bfb4-d61f710ec7f8%7Cf2771843-6636-4969-9010-2d8d0389b89c" TargetMode="External"/><Relationship Id="rId345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345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20" Type="http://schemas.openxmlformats.org/officeDocument/2006/relationships/hyperlink" Target="https://resources.simonelectric.com/simon-catalogo-vehiculo-electrico?utm_campaign=SIC%20-%20Veh%C3%ADculo%20El%C3%A9ctrico&amp;utm_medium=email&amp;_hsmi=87085363&amp;_hsenc=p2ANqtz-85KK--Ei7ZCDPeAv6lpiQ88XgTvGT2sa5sUHF9WOJ3KjOiToS2GezBHEz9kw7da94b44TE&amp;utm_content=87085363&amp;utm_source=hs_email" TargetMode="External"/><Relationship Id="rId345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21" Type="http://schemas.openxmlformats.org/officeDocument/2006/relationships/hyperlink" Target="https://resources.simonelectric.com/simon-catalogo-vehiculo-electrico?utm_campaign=SIC%20-%20Veh%C3%ADculo%20El%C3%A9ctrico&amp;utm_medium=email&amp;_hsenc=p2ANqtz--u422MLsRZyEB7L4xk5hlicQU6TLZ8BlWI34Zfc89Rwe7T74kk7prXofSoieGjX9d4KGJY&amp;_hsmi=87085363&amp;utm_content=87085363&amp;utm_source=hs_email&amp;hsCtaTracking=6fedf137-fd90-4f17-bfb4-d61f710ec7f8%7Cf2771843-6636-4969-9010-2d8d0389b89c" TargetMode="External"/><Relationship Id="rId3451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122" Type="http://schemas.openxmlformats.org/officeDocument/2006/relationships/hyperlink" Target="https://resources.simonelectric.com/simon-catalogo-vehiculo-electrico?utm_campaign=SIC%20-%20Veh%C3%ADculo%20El%C3%A9ctrico&amp;utm_medium=email&amp;_hsenc=p2ANqtz--bGrRuBf-jCwYfWaVCkHX4kTJWGYqWTDsKx77bVAOvSAPurE_L7f0w2os4NzPSj_lgO1L8&amp;_hsmi=87085363&amp;utm_content=87085363&amp;utm_source=hs_email&amp;hsCtaTracking=6fedf137-fd90-4f17-bfb4-d61f710ec7f8%7Cf2771843-6636-4969-9010-2d8d0389b89c" TargetMode="External"/><Relationship Id="rId3454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23" Type="http://schemas.openxmlformats.org/officeDocument/2006/relationships/hyperlink" Target="https://resources.simonelectric.com/simon-catalogo-vehiculo-electrico?utm_campaign=SIC%20-%20Veh%C3%ADculo%20El%C3%A9ctrico&amp;utm_medium=email&amp;_hsenc=p2ANqtz-_eMxCghlnrIiaQL45QglfiTsyQdco3kqr8FgnGptvK_ag64yP84_hTtwWxl_rXgdzRY48o2D6gc4WsgnjkDr_uujHjWQ&amp;utm_source=hs_email&amp;utm_content=87085302&amp;hsCtaTracking=6fedf137-fd90-4f17-bfb4-d61f710ec7f8%7Cf2771843-6636-4969-9010-2d8d0389b89c" TargetMode="External"/><Relationship Id="rId345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24" Type="http://schemas.openxmlformats.org/officeDocument/2006/relationships/hyperlink" Target="https://resources.simonelectric.com/simon-catalogo-vehiculo-electrico?utm_campaign=SIC%20-%20Veh%C3%ADculo%20El%C3%A9ctrico&amp;utm_medium=email&amp;_hsenc=p2ANqtz--xafH6diU-2Ruvh5Nh8sePe3BSgh_DkduWEv1K9fHuLwMb1exxaSoC_vMi4lCf9B30KQVo&amp;_hsmi=87085363&amp;utm_content=87085363&amp;utm_source=hs_email&amp;hsCtaTracking=6fedf137-fd90-4f17-bfb4-d61f710ec7f8%7Cf2771843-6636-4969-9010-2d8d0389b89c" TargetMode="External"/><Relationship Id="rId3456" Type="http://schemas.openxmlformats.org/officeDocument/2006/relationships/hyperlink" Target="https://resources.simonelectric.com/simon-ebook-vehiculo-electrico?hsCtaTracking=4ffb3aa1-677f-463b-8339-fc65a1da68db%7C5790d3b1-fbc3-4c32-a016-744222ad1cdc" TargetMode="External"/><Relationship Id="rId2125" Type="http://schemas.openxmlformats.org/officeDocument/2006/relationships/hyperlink" Target="https://resources.simonelectric.com/simon-catalogo-vehiculo-electrico?utm_campaign=SIC%20-%20Veh%C3%ADculo%20El%C3%A9ctrico&amp;utm_medium=email&amp;_hsenc=p2ANqtz--8aBT1Lc9rOMZLCggIDgRLK3mc4kkC9TRR5x_gtGGJ7FQODtggaCnvML-60xABS0PZ17dY&amp;_hsmi=87085363&amp;utm_content=87085363&amp;utm_source=hs_email&amp;hsCtaTracking=6fedf137-fd90-4f17-bfb4-d61f710ec7f8%7Cf2771843-6636-4969-9010-2d8d0389b89c" TargetMode="External"/><Relationship Id="rId345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15" Type="http://schemas.openxmlformats.org/officeDocument/2006/relationships/hyperlink" Target="https://resources.simonelectric.com/simon-catalogo-vehiculo-electrico?utm_campaign=SIC%20-%20Veh%C3%ADculo%20El%C3%A9ctrico&amp;utm_medium=email&amp;_hsenc=p2ANqtz-_OazTHN2VWSCCHAfpxOw5Iw2cQJc1VhBI1-t2g8D7IeXqpx9l2VzrZHnvHQHSGJTlHf15O&amp;_hsmi=87085363&amp;utm_content=87085363&amp;utm_source=hs_email&amp;hsCtaTracking=6fedf137-fd90-4f17-bfb4-d61f710ec7f8%7Cf2771843-6636-4969-9010-2d8d0389b89c" TargetMode="External"/><Relationship Id="rId3447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16" Type="http://schemas.openxmlformats.org/officeDocument/2006/relationships/hyperlink" Target="https://resources.simonelectric.com/simon-catalogo-vehiculo-electrico?utm_campaign=SIC%20-%20Veh%C3%ADculo%20El%C3%A9ctrico&amp;utm_medium=email&amp;_hsenc=p2ANqtz-9G2YTE_CqjWYKpP8dtwdIDafAbmP4WIyna-UsWL9Gl0CIfoyiKoso83TKA1rvU26o4v4bB&amp;_hsmi=87085363&amp;utm_content=87085363&amp;utm_source=hs_email&amp;hsCtaTracking=6fedf137-fd90-4f17-bfb4-d61f710ec7f8%7Cf2771843-6636-4969-9010-2d8d0389b89c" TargetMode="External"/><Relationship Id="rId3446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17" Type="http://schemas.openxmlformats.org/officeDocument/2006/relationships/hyperlink" Target="https://resources.simonelectric.com/simon-catalogo-vehiculo-electrico?utm_campaign=SIC%20-%20Veh%C3%ADculo%20El%C3%A9ctrico&amp;utm_medium=email&amp;_hsenc=p2ANqtz-8N84JS-udB-tnAJKiOYI1mIhkE_LOQchq9PHDzzwVkKxNdiupks13rBLCK-Km9uFK50DVn&amp;_hsmi=87085363&amp;utm_content=87085363&amp;utm_source=hs_email&amp;hsCtaTracking=6fedf137-fd90-4f17-bfb4-d61f710ec7f8%7Cf2771843-6636-4969-9010-2d8d0389b89c" TargetMode="External"/><Relationship Id="rId3449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18" Type="http://schemas.openxmlformats.org/officeDocument/2006/relationships/hyperlink" Target="https://resources.simonelectric.com/simon-catalogo-vehiculo-electrico?utm_campaign=SIC%20-%20Veh%C3%ADculo%20El%C3%A9ctrico&amp;utm_medium=email&amp;_hsenc=p2ANqtz--rIUdD6NA_IrUEJ-tjiaFDFckyym8zNLOR1NS8Zt_bCLNqvVFjpRU8SlkvuAhq5UVZ-U30&amp;_hsmi=87085363&amp;utm_content=87085363&amp;utm_source=hs_email&amp;hsCtaTracking=6fedf137-fd90-4f17-bfb4-d61f710ec7f8%7Cf2771843-6636-4969-9010-2d8d0389b89c" TargetMode="External"/><Relationship Id="rId3448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19" Type="http://schemas.openxmlformats.org/officeDocument/2006/relationships/hyperlink" Target="https://resources.simonelectric.com/simon-catalogo-vehiculo-electrico?utm_campaign=SIC%20-%20Veh%C3%ADculo%20El%C3%A9ctrico&amp;utm_medium=email&amp;_hsenc=p2ANqtz-8iN40T0xzRXxQWWTk9poysItridAFdeBDI7_QCgmU9xmEYEl_oVx0YrbenH21FzPX7cTaH&amp;_hsmi=87085363&amp;utm_content=87085363&amp;utm_source=hs_email&amp;hsCtaTracking=6fedf137-fd90-4f17-bfb4-d61f710ec7f8%7Cf2771843-6636-4969-9010-2d8d0389b89c" TargetMode="External"/><Relationship Id="rId3441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10" Type="http://schemas.openxmlformats.org/officeDocument/2006/relationships/hyperlink" Target="https://resources.simonelectric.com/simon-catalogo-vehiculo-electrico?utm_campaign=SIC%20-%20Veh%C3%ADculo%20El%C3%A9ctrico&amp;utm_medium=email&amp;_hsenc=p2ANqtz--W7Syc6LgVqiemRN4szxDiuqhoa7kc3Wl4MhLnYWVo9zLTYE6MNnA2g2DnkoCvmX8wy-W2&amp;_hsmi=87085302&amp;utm_content=87085302&amp;utm_source=hs_email&amp;hsCtaTracking=6fedf137-fd90-4f17-bfb4-d61f710ec7f8%7Cf2771843-6636-4969-9010-2d8d0389b89c" TargetMode="External"/><Relationship Id="rId3440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11" Type="http://schemas.openxmlformats.org/officeDocument/2006/relationships/hyperlink" Target="https://resources.simonelectric.com/simon-catalogo-vehiculo-electrico?utm_campaign=SIC%20-%20Veh%C3%ADculo%20El%C3%A9ctrico&amp;utm_medium=email&amp;_hsenc=p2ANqtz-_3OFmw0UW0hdafstEJwQeKiQiN7SQh1fS0-zqqB5pjjEdsJfuv33gVH4LR2Dt1ZvQt4JI3&amp;_hsmi=87085302&amp;utm_content=87085302&amp;utm_source=hs_email&amp;hsCtaTracking=6fedf137-fd90-4f17-bfb4-d61f710ec7f8%7Cf2771843-6636-4969-9010-2d8d0389b89c" TargetMode="External"/><Relationship Id="rId3443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12" Type="http://schemas.openxmlformats.org/officeDocument/2006/relationships/hyperlink" Target="https://resources.simonelectric.com/simon-catalogo-vehiculo-electrico?utm_campaign=SIC%20-%20Veh%C3%ADculo%20El%C3%A9ctrico&amp;utm_medium=email&amp;_hsmi=87085363&amp;_hsenc=p2ANqtz--CXKyW5p97CiAf3qLXgbLvWOaX48xfEzPCH24nsBxx1_LJO-iNCYq2jO4YgnEI3ta-Tkww&amp;utm_content=87085363&amp;utm_source=hs_email" TargetMode="External"/><Relationship Id="rId3442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13" Type="http://schemas.openxmlformats.org/officeDocument/2006/relationships/hyperlink" Target="https://resources.simonelectric.com/simon-catalogo-vehiculo-electrico?utm_campaign=SIC%20-%20Veh%C3%ADculo%20El%C3%A9ctrico&amp;utm_medium=email&amp;_hsenc=p2ANqtz-9R7J0oWeJkWx6mogeSb1239TGZbRoHPva-Oiw1xwWO0TI_aKxlV6Jj-Gqtp49A4q0J0uz0&amp;_hsmi=87085363&amp;utm_content=87085363&amp;utm_source=hs_email&amp;hsCtaTracking=6fedf137-fd90-4f17-bfb4-d61f710ec7f8%7Cf2771843-6636-4969-9010-2d8d0389b89c" TargetMode="External"/><Relationship Id="rId3445" Type="http://schemas.openxmlformats.org/officeDocument/2006/relationships/hyperlink" Target="https://resources.simonelectric.com/simon-ebook-vehiculo-electrico?hsCtaTracking=2e94ebfc-d414-4389-870c-d2f266a9420b%7C587ac4dc-a49a-4bdc-b449-e36f5d95395b" TargetMode="External"/><Relationship Id="rId2114" Type="http://schemas.openxmlformats.org/officeDocument/2006/relationships/hyperlink" Target="https://resources.simonelectric.com/simon-catalogo-vehiculo-electrico?utm_campaign=SIC%20-%20Veh%C3%ADculo%20El%C3%A9ctrico&amp;utm_medium=email&amp;_hsenc=p2ANqtz-85sp3Wr_oIsBQBLVoSnXMEIP4ib_195MvGEHp98O_ZE3IKBCU4kEnK37Sm0reIhUUY1Z4J&amp;_hsmi=87085363&amp;utm_content=87085363&amp;utm_source=hs_email&amp;hsCtaTracking=6fedf137-fd90-4f17-bfb4-d61f710ec7f8%7Cf2771843-6636-4969-9010-2d8d0389b89c" TargetMode="External"/><Relationship Id="rId3444" Type="http://schemas.openxmlformats.org/officeDocument/2006/relationships/hyperlink" Target="https://resources.simonelectric.com/simon-ebook-vehiculo-electrico?hsCtaTracking=2e94ebfc-d414-4389-870c-d2f266a9420b%7C587ac4dc-a49a-4bdc-b449-e36f5d95395b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resources.simonelectric.com/simon-ebook-vehiculo-electrico-0" TargetMode="External"/><Relationship Id="rId42" Type="http://schemas.openxmlformats.org/officeDocument/2006/relationships/hyperlink" Target="https://resources.simonelectric.com/simon-ebook-vehiculo-electrico-tw" TargetMode="External"/><Relationship Id="rId41" Type="http://schemas.openxmlformats.org/officeDocument/2006/relationships/hyperlink" Target="https://resources.simonelectric.com/simon-ebook-vehiculo-electrico-ppc" TargetMode="External"/><Relationship Id="rId44" Type="http://schemas.openxmlformats.org/officeDocument/2006/relationships/hyperlink" Target="https://resources.simonelectric.com/simon-catalogo-vehiculo-electrico" TargetMode="External"/><Relationship Id="rId43" Type="http://schemas.openxmlformats.org/officeDocument/2006/relationships/hyperlink" Target="https://resources.simonelectric.com/simon-material-formativo-vehiculo-electrico" TargetMode="External"/><Relationship Id="rId46" Type="http://schemas.openxmlformats.org/officeDocument/2006/relationships/hyperlink" Target="https://resources.simonelectric.com/simon-ebook-vehiculo-electrico-0" TargetMode="External"/><Relationship Id="rId45" Type="http://schemas.openxmlformats.org/officeDocument/2006/relationships/hyperlink" Target="https://resources.simonelectric.com/simon-ebook-vehiculo-electrico" TargetMode="External"/><Relationship Id="rId48" Type="http://schemas.openxmlformats.org/officeDocument/2006/relationships/hyperlink" Target="https://resources.simonelectric.com/simon-ebook-vehiculo-electrico-tw" TargetMode="External"/><Relationship Id="rId47" Type="http://schemas.openxmlformats.org/officeDocument/2006/relationships/hyperlink" Target="https://resources.simonelectric.com/simon-ebook-vehiculo-electrico-ppc" TargetMode="External"/><Relationship Id="rId49" Type="http://schemas.openxmlformats.org/officeDocument/2006/relationships/hyperlink" Target="https://resources.simonelectric.com/simon-material-formativo-vehiculo-electrico" TargetMode="External"/><Relationship Id="rId31" Type="http://schemas.openxmlformats.org/officeDocument/2006/relationships/hyperlink" Target="https://resources.simonelectric.com/simon-catalogo-vehiculo-electrico" TargetMode="External"/><Relationship Id="rId30" Type="http://schemas.openxmlformats.org/officeDocument/2006/relationships/hyperlink" Target="https://resources.simonelectric.com/simon-ebook-vehiculo-electrico-tw" TargetMode="External"/><Relationship Id="rId33" Type="http://schemas.openxmlformats.org/officeDocument/2006/relationships/hyperlink" Target="https://resources.simonelectric.com/simon-ebook-vehiculo-electrico" TargetMode="External"/><Relationship Id="rId32" Type="http://schemas.openxmlformats.org/officeDocument/2006/relationships/hyperlink" Target="https://resources.simonelectric.com/simon-material-formativo-vehiculo-electrico" TargetMode="External"/><Relationship Id="rId35" Type="http://schemas.openxmlformats.org/officeDocument/2006/relationships/hyperlink" Target="https://resources.simonelectric.com/simon-ebook-vehiculo-electrico-ppc" TargetMode="External"/><Relationship Id="rId34" Type="http://schemas.openxmlformats.org/officeDocument/2006/relationships/hyperlink" Target="https://resources.simonelectric.com/simon-ebook-vehiculo-electrico-0" TargetMode="External"/><Relationship Id="rId37" Type="http://schemas.openxmlformats.org/officeDocument/2006/relationships/hyperlink" Target="https://resources.simonelectric.com/simon-material-formativo-vehiculo-electrico" TargetMode="External"/><Relationship Id="rId36" Type="http://schemas.openxmlformats.org/officeDocument/2006/relationships/hyperlink" Target="https://resources.simonelectric.com/simon-ebook-vehiculo-electrico-tw" TargetMode="External"/><Relationship Id="rId39" Type="http://schemas.openxmlformats.org/officeDocument/2006/relationships/hyperlink" Target="https://resources.simonelectric.com/simon-ebook-vehiculo-electrico" TargetMode="External"/><Relationship Id="rId38" Type="http://schemas.openxmlformats.org/officeDocument/2006/relationships/hyperlink" Target="https://resources.simonelectric.com/simon-catalogo-vehiculo-electrico" TargetMode="External"/><Relationship Id="rId20" Type="http://schemas.openxmlformats.org/officeDocument/2006/relationships/hyperlink" Target="https://resources.simonelectric.com/simon-catalogo-vehiculo-electrico" TargetMode="External"/><Relationship Id="rId22" Type="http://schemas.openxmlformats.org/officeDocument/2006/relationships/hyperlink" Target="https://resources.simonelectric.com/simon-catalogo-vehiculo-electrico" TargetMode="External"/><Relationship Id="rId21" Type="http://schemas.openxmlformats.org/officeDocument/2006/relationships/hyperlink" Target="https://resources.simonelectric.com/simon-ebook-vehiculo-electrico" TargetMode="External"/><Relationship Id="rId24" Type="http://schemas.openxmlformats.org/officeDocument/2006/relationships/hyperlink" Target="https://resources.simonelectric.com/simon-ebook-vehiculo-electrico" TargetMode="External"/><Relationship Id="rId23" Type="http://schemas.openxmlformats.org/officeDocument/2006/relationships/hyperlink" Target="https://resources.simonelectric.com/simon-ebook-vehiculo-electrico-0" TargetMode="External"/><Relationship Id="rId26" Type="http://schemas.openxmlformats.org/officeDocument/2006/relationships/hyperlink" Target="https://resources.simonelectric.com/simon-ebook-vehiculo-electrico-0" TargetMode="External"/><Relationship Id="rId25" Type="http://schemas.openxmlformats.org/officeDocument/2006/relationships/hyperlink" Target="https://resources.simonelectric.com/simon-ebook-vehiculo-electrico-ppc" TargetMode="External"/><Relationship Id="rId28" Type="http://schemas.openxmlformats.org/officeDocument/2006/relationships/hyperlink" Target="https://resources.simonelectric.com/simon-ebook-vehiculo-electrico-ppc" TargetMode="External"/><Relationship Id="rId27" Type="http://schemas.openxmlformats.org/officeDocument/2006/relationships/hyperlink" Target="https://resources.simonelectric.com/simon-ebook-vehiculo-electrico-tw" TargetMode="External"/><Relationship Id="rId29" Type="http://schemas.openxmlformats.org/officeDocument/2006/relationships/hyperlink" Target="https://resources.simonelectric.com/simon-material-formativo-vehiculo-electrico" TargetMode="External"/><Relationship Id="rId11" Type="http://schemas.openxmlformats.org/officeDocument/2006/relationships/hyperlink" Target="https://resources.simonelectric.com/simon-material-formativo-vehiculo-electrico" TargetMode="External"/><Relationship Id="rId10" Type="http://schemas.openxmlformats.org/officeDocument/2006/relationships/hyperlink" Target="https://resources.simonelectric.com/simon-ebook-vehiculo-electrico-ppc" TargetMode="External"/><Relationship Id="rId13" Type="http://schemas.openxmlformats.org/officeDocument/2006/relationships/hyperlink" Target="https://resources.simonelectric.com/simon-catalogo-vehiculo-electrico" TargetMode="External"/><Relationship Id="rId12" Type="http://schemas.openxmlformats.org/officeDocument/2006/relationships/hyperlink" Target="https://resources.simonelectric.com/simon-ebook-vehiculo-electrico-tw" TargetMode="External"/><Relationship Id="rId15" Type="http://schemas.openxmlformats.org/officeDocument/2006/relationships/hyperlink" Target="https://resources.simonelectric.com/simon-ebook-vehiculo-electrico" TargetMode="External"/><Relationship Id="rId14" Type="http://schemas.openxmlformats.org/officeDocument/2006/relationships/hyperlink" Target="https://resources.simonelectric.com/simon-material-formativo-vehiculo-electrico" TargetMode="External"/><Relationship Id="rId17" Type="http://schemas.openxmlformats.org/officeDocument/2006/relationships/hyperlink" Target="https://resources.simonelectric.com/simon-ebook-vehiculo-electrico-ppc" TargetMode="External"/><Relationship Id="rId16" Type="http://schemas.openxmlformats.org/officeDocument/2006/relationships/hyperlink" Target="https://resources.simonelectric.com/simon-ebook-vehiculo-electrico-0" TargetMode="External"/><Relationship Id="rId19" Type="http://schemas.openxmlformats.org/officeDocument/2006/relationships/hyperlink" Target="https://resources.simonelectric.com/simon-material-formativo-vehiculo-electrico" TargetMode="External"/><Relationship Id="rId18" Type="http://schemas.openxmlformats.org/officeDocument/2006/relationships/hyperlink" Target="https://resources.simonelectric.com/simon-ebook-vehiculo-electrico-tw" TargetMode="External"/><Relationship Id="rId50" Type="http://schemas.openxmlformats.org/officeDocument/2006/relationships/drawing" Target="../drawings/drawing3.xml"/><Relationship Id="rId1" Type="http://schemas.openxmlformats.org/officeDocument/2006/relationships/pivotTable" Target="../pivotTables/pivotTable2.xml"/><Relationship Id="rId2" Type="http://schemas.openxmlformats.org/officeDocument/2006/relationships/hyperlink" Target="https://resources.simonelectric.com/simon-catalogo-vehiculo-electrico" TargetMode="External"/><Relationship Id="rId3" Type="http://schemas.openxmlformats.org/officeDocument/2006/relationships/hyperlink" Target="https://resources.simonelectric.com/simon-ebook-vehiculo-electrico" TargetMode="External"/><Relationship Id="rId4" Type="http://schemas.openxmlformats.org/officeDocument/2006/relationships/hyperlink" Target="https://resources.simonelectric.com/simon-catalogo-vehiculo-electrico" TargetMode="External"/><Relationship Id="rId9" Type="http://schemas.openxmlformats.org/officeDocument/2006/relationships/hyperlink" Target="https://resources.simonelectric.com/simon-ebook-vehiculo-electrico-tw" TargetMode="External"/><Relationship Id="rId5" Type="http://schemas.openxmlformats.org/officeDocument/2006/relationships/hyperlink" Target="https://resources.simonelectric.com/simon-ebook-vehiculo-electrico-0" TargetMode="External"/><Relationship Id="rId6" Type="http://schemas.openxmlformats.org/officeDocument/2006/relationships/hyperlink" Target="https://resources.simonelectric.com/simon-ebook-vehiculo-electrico" TargetMode="External"/><Relationship Id="rId7" Type="http://schemas.openxmlformats.org/officeDocument/2006/relationships/hyperlink" Target="https://resources.simonelectric.com/simon-ebook-vehiculo-electrico-ppc" TargetMode="External"/><Relationship Id="rId8" Type="http://schemas.openxmlformats.org/officeDocument/2006/relationships/hyperlink" Target="https://resources.simonelectric.com/simon-ebook-vehiculo-electrico-0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61.57"/>
    <col customWidth="1" min="4" max="4" width="22.29"/>
    <col customWidth="1" min="5" max="5" width="99.43"/>
    <col customWidth="1" min="6" max="6" width="14.43"/>
  </cols>
  <sheetData>
    <row r="1" ht="15.7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ht="15.75" customHeight="1">
      <c r="A2" s="5" t="s">
        <v>5</v>
      </c>
      <c r="B2" s="5">
        <v>44012.0</v>
      </c>
      <c r="C2" s="6" t="s">
        <v>6</v>
      </c>
      <c r="D2" s="7">
        <f t="shared" ref="D2:D4069" si="1">IFERROR(FIND("?",C2),C2)</f>
        <v>67</v>
      </c>
      <c r="E2" s="8" t="str">
        <f t="shared" ref="E2:E4069" si="2">IFERROR(MID(C2,1,D2-1),C2)</f>
        <v>https://resources.simonelectric.com/simon-ebook-vehiculo-electrico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3" ht="15.75" customHeight="1">
      <c r="A3" s="5" t="s">
        <v>7</v>
      </c>
      <c r="B3" s="5">
        <v>44012.0</v>
      </c>
      <c r="C3" s="6" t="s">
        <v>8</v>
      </c>
      <c r="D3" s="9">
        <f t="shared" si="1"/>
        <v>67</v>
      </c>
      <c r="E3" s="8" t="str">
        <f t="shared" si="2"/>
        <v>https://resources.simonelectric.com/simon-ebook-vehiculo-electrico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</row>
    <row r="4" ht="15.75" customHeight="1">
      <c r="A4" s="5" t="s">
        <v>9</v>
      </c>
      <c r="B4" s="5">
        <v>44012.0</v>
      </c>
      <c r="C4" s="6" t="s">
        <v>10</v>
      </c>
      <c r="D4" s="7" t="str">
        <f t="shared" si="1"/>
        <v>https://resources.simonelectric.com/simon-catalogo-vehiculo-electrico</v>
      </c>
      <c r="E4" s="8" t="str">
        <f t="shared" si="2"/>
        <v>https://resources.simonelectric.com/simon-catalogo-vehiculo-electrico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</row>
    <row r="5" ht="15.75" customHeight="1">
      <c r="A5" s="5" t="s">
        <v>11</v>
      </c>
      <c r="B5" s="5">
        <v>44012.0</v>
      </c>
      <c r="C5" s="6" t="s">
        <v>12</v>
      </c>
      <c r="D5" s="9">
        <f t="shared" si="1"/>
        <v>67</v>
      </c>
      <c r="E5" s="8" t="str">
        <f t="shared" si="2"/>
        <v>https://resources.simonelectric.com/simon-ebook-vehiculo-electrico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</row>
    <row r="6" ht="15.75" customHeight="1">
      <c r="A6" s="5" t="s">
        <v>13</v>
      </c>
      <c r="B6" s="5">
        <v>44012.0</v>
      </c>
      <c r="C6" s="6" t="s">
        <v>14</v>
      </c>
      <c r="D6" s="9">
        <f t="shared" si="1"/>
        <v>80</v>
      </c>
      <c r="E6" s="8" t="str">
        <f t="shared" si="2"/>
        <v>https://resources.simonelectric.com/simon-material-formativo-vehiculo-electrico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</row>
    <row r="7" ht="15.75" customHeight="1">
      <c r="A7" s="5" t="s">
        <v>15</v>
      </c>
      <c r="B7" s="5">
        <v>44012.0</v>
      </c>
      <c r="C7" s="6" t="s">
        <v>10</v>
      </c>
      <c r="D7" s="7" t="str">
        <f t="shared" si="1"/>
        <v>https://resources.simonelectric.com/simon-catalogo-vehiculo-electrico</v>
      </c>
      <c r="E7" s="8" t="str">
        <f t="shared" si="2"/>
        <v>https://resources.simonelectric.com/simon-catalogo-vehiculo-electrico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</row>
    <row r="8" ht="15.75" customHeight="1">
      <c r="A8" s="5" t="s">
        <v>16</v>
      </c>
      <c r="B8" s="5">
        <v>44012.0</v>
      </c>
      <c r="C8" s="6" t="s">
        <v>10</v>
      </c>
      <c r="D8" s="7" t="str">
        <f t="shared" si="1"/>
        <v>https://resources.simonelectric.com/simon-catalogo-vehiculo-electrico</v>
      </c>
      <c r="E8" s="8" t="str">
        <f t="shared" si="2"/>
        <v>https://resources.simonelectric.com/simon-catalogo-vehiculo-electrico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</row>
    <row r="9" ht="15.75" customHeight="1">
      <c r="A9" s="5" t="s">
        <v>17</v>
      </c>
      <c r="B9" s="5">
        <v>44012.0</v>
      </c>
      <c r="C9" s="6" t="s">
        <v>10</v>
      </c>
      <c r="D9" s="7" t="str">
        <f t="shared" si="1"/>
        <v>https://resources.simonelectric.com/simon-catalogo-vehiculo-electrico</v>
      </c>
      <c r="E9" s="8" t="str">
        <f t="shared" si="2"/>
        <v>https://resources.simonelectric.com/simon-catalogo-vehiculo-electrico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</row>
    <row r="10" ht="15.75" customHeight="1">
      <c r="A10" s="5" t="s">
        <v>18</v>
      </c>
      <c r="B10" s="5">
        <v>44012.0</v>
      </c>
      <c r="C10" s="6" t="s">
        <v>19</v>
      </c>
      <c r="D10" s="9">
        <f t="shared" si="1"/>
        <v>67</v>
      </c>
      <c r="E10" s="8" t="str">
        <f t="shared" si="2"/>
        <v>https://resources.simonelectric.com/simon-ebook-vehiculo-electrico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</row>
    <row r="11" ht="15.75" customHeight="1">
      <c r="A11" s="5" t="s">
        <v>20</v>
      </c>
      <c r="B11" s="5">
        <v>44012.0</v>
      </c>
      <c r="C11" s="6" t="s">
        <v>21</v>
      </c>
      <c r="D11" s="9">
        <f t="shared" si="1"/>
        <v>70</v>
      </c>
      <c r="E11" s="8" t="str">
        <f t="shared" si="2"/>
        <v>https://resources.simonelectric.com/simon-catalogo-vehiculo-electrico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</row>
    <row r="12" ht="15.75" customHeight="1">
      <c r="A12" s="5" t="s">
        <v>20</v>
      </c>
      <c r="B12" s="5">
        <v>44012.0</v>
      </c>
      <c r="C12" s="6" t="s">
        <v>22</v>
      </c>
      <c r="D12" s="9">
        <f t="shared" si="1"/>
        <v>67</v>
      </c>
      <c r="E12" s="8" t="str">
        <f t="shared" si="2"/>
        <v>https://resources.simonelectric.com/simon-ebook-vehiculo-electrico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ht="15.75" customHeight="1">
      <c r="A13" s="5" t="s">
        <v>23</v>
      </c>
      <c r="B13" s="5">
        <v>44012.0</v>
      </c>
      <c r="C13" s="6" t="s">
        <v>10</v>
      </c>
      <c r="D13" s="7" t="str">
        <f t="shared" si="1"/>
        <v>https://resources.simonelectric.com/simon-catalogo-vehiculo-electrico</v>
      </c>
      <c r="E13" s="8" t="str">
        <f t="shared" si="2"/>
        <v>https://resources.simonelectric.com/simon-catalogo-vehiculo-electrico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ht="15.75" customHeight="1">
      <c r="A14" s="5" t="s">
        <v>24</v>
      </c>
      <c r="B14" s="5">
        <v>44012.0</v>
      </c>
      <c r="C14" s="6" t="s">
        <v>8</v>
      </c>
      <c r="D14" s="9">
        <f t="shared" si="1"/>
        <v>67</v>
      </c>
      <c r="E14" s="8" t="str">
        <f t="shared" si="2"/>
        <v>https://resources.simonelectric.com/simon-ebook-vehiculo-electrico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 ht="15.75" customHeight="1">
      <c r="A15" s="5" t="s">
        <v>25</v>
      </c>
      <c r="B15" s="5">
        <v>44011.0</v>
      </c>
      <c r="C15" s="6" t="s">
        <v>26</v>
      </c>
      <c r="D15" s="9">
        <f t="shared" si="1"/>
        <v>70</v>
      </c>
      <c r="E15" s="8" t="str">
        <f t="shared" si="2"/>
        <v>https://resources.simonelectric.com/simon-catalogo-vehiculo-electrico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</row>
    <row r="16" ht="15.75" customHeight="1">
      <c r="A16" s="5" t="s">
        <v>27</v>
      </c>
      <c r="B16" s="5">
        <v>44011.0</v>
      </c>
      <c r="C16" s="6" t="s">
        <v>28</v>
      </c>
      <c r="D16" s="7" t="str">
        <f t="shared" si="1"/>
        <v>https://resources.simonelectric.com/simon-ebook-vehiculo-electrico</v>
      </c>
      <c r="E16" s="8" t="str">
        <f t="shared" si="2"/>
        <v>https://resources.simonelectric.com/simon-ebook-vehiculo-electrico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</row>
    <row r="17" ht="15.75" customHeight="1">
      <c r="A17" s="5" t="s">
        <v>29</v>
      </c>
      <c r="B17" s="5">
        <v>44011.0</v>
      </c>
      <c r="C17" s="6" t="s">
        <v>8</v>
      </c>
      <c r="D17" s="9">
        <f t="shared" si="1"/>
        <v>67</v>
      </c>
      <c r="E17" s="8" t="str">
        <f t="shared" si="2"/>
        <v>https://resources.simonelectric.com/simon-ebook-vehiculo-electrico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</row>
    <row r="18" ht="15.75" customHeight="1">
      <c r="A18" s="5" t="s">
        <v>30</v>
      </c>
      <c r="B18" s="5">
        <v>44011.0</v>
      </c>
      <c r="C18" s="6" t="s">
        <v>31</v>
      </c>
      <c r="D18" s="9">
        <f t="shared" si="1"/>
        <v>67</v>
      </c>
      <c r="E18" s="8" t="str">
        <f t="shared" si="2"/>
        <v>https://resources.simonelectric.com/simon-ebook-vehiculo-electrico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</row>
    <row r="19" ht="15.75" customHeight="1">
      <c r="A19" s="5" t="s">
        <v>32</v>
      </c>
      <c r="B19" s="5">
        <v>44011.0</v>
      </c>
      <c r="C19" s="6" t="s">
        <v>33</v>
      </c>
      <c r="D19" s="9">
        <f t="shared" si="1"/>
        <v>67</v>
      </c>
      <c r="E19" s="8" t="str">
        <f t="shared" si="2"/>
        <v>https://resources.simonelectric.com/simon-ebook-vehiculo-electrico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</row>
    <row r="20" ht="15.75" customHeight="1">
      <c r="A20" s="5" t="s">
        <v>34</v>
      </c>
      <c r="B20" s="5">
        <v>44011.0</v>
      </c>
      <c r="C20" s="6" t="s">
        <v>35</v>
      </c>
      <c r="D20" s="9">
        <f t="shared" si="1"/>
        <v>67</v>
      </c>
      <c r="E20" s="8" t="str">
        <f t="shared" si="2"/>
        <v>https://resources.simonelectric.com/simon-ebook-vehiculo-electrico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</row>
    <row r="21" ht="15.75" customHeight="1">
      <c r="A21" s="5" t="s">
        <v>36</v>
      </c>
      <c r="B21" s="5">
        <v>44011.0</v>
      </c>
      <c r="C21" s="6" t="s">
        <v>37</v>
      </c>
      <c r="D21" s="9">
        <f t="shared" si="1"/>
        <v>67</v>
      </c>
      <c r="E21" s="8" t="str">
        <f t="shared" si="2"/>
        <v>https://resources.simonelectric.com/simon-ebook-vehiculo-electrico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</row>
    <row r="22" ht="15.75" customHeight="1">
      <c r="A22" s="5" t="s">
        <v>38</v>
      </c>
      <c r="B22" s="5">
        <v>44011.0</v>
      </c>
      <c r="C22" s="6" t="s">
        <v>39</v>
      </c>
      <c r="D22" s="9">
        <f t="shared" si="1"/>
        <v>71</v>
      </c>
      <c r="E22" s="8" t="str">
        <f t="shared" si="2"/>
        <v>https://resources.simonelectric.com/simon-ebook-vehiculo-electrico-ppc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</row>
    <row r="23" ht="15.75" customHeight="1">
      <c r="A23" s="5" t="s">
        <v>40</v>
      </c>
      <c r="B23" s="5">
        <v>44011.0</v>
      </c>
      <c r="C23" s="6" t="s">
        <v>41</v>
      </c>
      <c r="D23" s="9">
        <f t="shared" si="1"/>
        <v>67</v>
      </c>
      <c r="E23" s="8" t="str">
        <f t="shared" si="2"/>
        <v>https://resources.simonelectric.com/simon-ebook-vehiculo-electrico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 ht="15.75" customHeight="1">
      <c r="A24" s="5" t="s">
        <v>42</v>
      </c>
      <c r="B24" s="5">
        <v>44010.0</v>
      </c>
      <c r="C24" s="6" t="s">
        <v>10</v>
      </c>
      <c r="D24" s="7" t="str">
        <f t="shared" si="1"/>
        <v>https://resources.simonelectric.com/simon-catalogo-vehiculo-electrico</v>
      </c>
      <c r="E24" s="8" t="str">
        <f t="shared" si="2"/>
        <v>https://resources.simonelectric.com/simon-catalogo-vehiculo-electrico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</row>
    <row r="25" ht="15.75" customHeight="1">
      <c r="A25" s="5" t="s">
        <v>43</v>
      </c>
      <c r="B25" s="5">
        <v>44010.0</v>
      </c>
      <c r="C25" s="6" t="s">
        <v>44</v>
      </c>
      <c r="D25" s="9">
        <f t="shared" si="1"/>
        <v>70</v>
      </c>
      <c r="E25" s="8" t="str">
        <f t="shared" si="2"/>
        <v>https://resources.simonelectric.com/simon-catalogo-vehiculo-electrico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</row>
    <row r="26" ht="15.75" customHeight="1">
      <c r="A26" s="5" t="s">
        <v>42</v>
      </c>
      <c r="B26" s="5">
        <v>44010.0</v>
      </c>
      <c r="C26" s="6" t="s">
        <v>10</v>
      </c>
      <c r="D26" s="7" t="str">
        <f t="shared" si="1"/>
        <v>https://resources.simonelectric.com/simon-catalogo-vehiculo-electrico</v>
      </c>
      <c r="E26" s="8" t="str">
        <f t="shared" si="2"/>
        <v>https://resources.simonelectric.com/simon-catalogo-vehiculo-electrico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7" ht="15.75" customHeight="1">
      <c r="A27" s="5" t="s">
        <v>45</v>
      </c>
      <c r="B27" s="5">
        <v>44010.0</v>
      </c>
      <c r="C27" s="6" t="s">
        <v>46</v>
      </c>
      <c r="D27" s="9">
        <f t="shared" si="1"/>
        <v>70</v>
      </c>
      <c r="E27" s="8" t="str">
        <f t="shared" si="2"/>
        <v>https://resources.simonelectric.com/simon-catalogo-vehiculo-electrico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</row>
    <row r="28" ht="15.75" customHeight="1">
      <c r="A28" s="5" t="s">
        <v>47</v>
      </c>
      <c r="B28" s="5">
        <v>44010.0</v>
      </c>
      <c r="C28" s="6" t="s">
        <v>48</v>
      </c>
      <c r="D28" s="9">
        <f t="shared" si="1"/>
        <v>67</v>
      </c>
      <c r="E28" s="8" t="str">
        <f t="shared" si="2"/>
        <v>https://resources.simonelectric.com/simon-ebook-vehiculo-electrico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</row>
    <row r="29" ht="15.75" customHeight="1">
      <c r="A29" s="5" t="s">
        <v>49</v>
      </c>
      <c r="B29" s="5">
        <v>44010.0</v>
      </c>
      <c r="C29" s="6" t="s">
        <v>39</v>
      </c>
      <c r="D29" s="9">
        <f t="shared" si="1"/>
        <v>71</v>
      </c>
      <c r="E29" s="8" t="str">
        <f t="shared" si="2"/>
        <v>https://resources.simonelectric.com/simon-ebook-vehiculo-electrico-ppc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</row>
    <row r="30" ht="15.75" customHeight="1">
      <c r="A30" s="5" t="s">
        <v>50</v>
      </c>
      <c r="B30" s="5">
        <v>44009.0</v>
      </c>
      <c r="C30" s="6" t="s">
        <v>51</v>
      </c>
      <c r="D30" s="9">
        <f t="shared" si="1"/>
        <v>71</v>
      </c>
      <c r="E30" s="8" t="str">
        <f t="shared" si="2"/>
        <v>https://resources.simonelectric.com/simon-ebook-vehiculo-electrico-ppc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</row>
    <row r="31" ht="15.75" customHeight="1">
      <c r="A31" s="5" t="s">
        <v>52</v>
      </c>
      <c r="B31" s="5">
        <v>44009.0</v>
      </c>
      <c r="C31" s="6" t="s">
        <v>39</v>
      </c>
      <c r="D31" s="9">
        <f t="shared" si="1"/>
        <v>71</v>
      </c>
      <c r="E31" s="8" t="str">
        <f t="shared" si="2"/>
        <v>https://resources.simonelectric.com/simon-ebook-vehiculo-electrico-ppc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</row>
    <row r="32" ht="15.75" customHeight="1">
      <c r="A32" s="5" t="s">
        <v>18</v>
      </c>
      <c r="B32" s="5">
        <v>44009.0</v>
      </c>
      <c r="C32" s="6" t="s">
        <v>53</v>
      </c>
      <c r="D32" s="9">
        <f t="shared" si="1"/>
        <v>80</v>
      </c>
      <c r="E32" s="8" t="str">
        <f t="shared" si="2"/>
        <v>https://resources.simonelectric.com/simon-material-formativo-vehiculo-electrico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</row>
    <row r="33" ht="15.75" customHeight="1">
      <c r="A33" s="5" t="s">
        <v>54</v>
      </c>
      <c r="B33" s="5">
        <v>44009.0</v>
      </c>
      <c r="C33" s="6" t="s">
        <v>55</v>
      </c>
      <c r="D33" s="9">
        <f t="shared" si="1"/>
        <v>71</v>
      </c>
      <c r="E33" s="8" t="str">
        <f t="shared" si="2"/>
        <v>https://resources.simonelectric.com/simon-ebook-vehiculo-electrico-ppc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</row>
    <row r="34" ht="15.75" customHeight="1">
      <c r="A34" s="5" t="s">
        <v>56</v>
      </c>
      <c r="B34" s="5">
        <v>44009.0</v>
      </c>
      <c r="C34" s="6" t="s">
        <v>57</v>
      </c>
      <c r="D34" s="9">
        <f t="shared" si="1"/>
        <v>71</v>
      </c>
      <c r="E34" s="8" t="str">
        <f t="shared" si="2"/>
        <v>https://resources.simonelectric.com/simon-ebook-vehiculo-electrico-ppc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</row>
    <row r="35" ht="15.75" customHeight="1">
      <c r="A35" s="5" t="s">
        <v>58</v>
      </c>
      <c r="B35" s="5">
        <v>44009.0</v>
      </c>
      <c r="C35" s="6" t="s">
        <v>39</v>
      </c>
      <c r="D35" s="9">
        <f t="shared" si="1"/>
        <v>71</v>
      </c>
      <c r="E35" s="8" t="str">
        <f t="shared" si="2"/>
        <v>https://resources.simonelectric.com/simon-ebook-vehiculo-electrico-ppc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</row>
    <row r="36" ht="15.75" customHeight="1">
      <c r="A36" s="5" t="s">
        <v>59</v>
      </c>
      <c r="B36" s="5">
        <v>44008.0</v>
      </c>
      <c r="C36" s="6" t="s">
        <v>10</v>
      </c>
      <c r="D36" s="7" t="str">
        <f t="shared" si="1"/>
        <v>https://resources.simonelectric.com/simon-catalogo-vehiculo-electrico</v>
      </c>
      <c r="E36" s="8" t="str">
        <f t="shared" si="2"/>
        <v>https://resources.simonelectric.com/simon-catalogo-vehiculo-electrico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</row>
    <row r="37" ht="15.75" customHeight="1">
      <c r="A37" s="5" t="s">
        <v>60</v>
      </c>
      <c r="B37" s="5">
        <v>44008.0</v>
      </c>
      <c r="C37" s="6" t="s">
        <v>39</v>
      </c>
      <c r="D37" s="9">
        <f t="shared" si="1"/>
        <v>71</v>
      </c>
      <c r="E37" s="8" t="str">
        <f t="shared" si="2"/>
        <v>https://resources.simonelectric.com/simon-ebook-vehiculo-electrico-ppc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</row>
    <row r="38" ht="15.75" customHeight="1">
      <c r="A38" s="5" t="s">
        <v>61</v>
      </c>
      <c r="B38" s="5">
        <v>44008.0</v>
      </c>
      <c r="C38" s="6" t="s">
        <v>62</v>
      </c>
      <c r="D38" s="9">
        <f t="shared" si="1"/>
        <v>70</v>
      </c>
      <c r="E38" s="8" t="str">
        <f t="shared" si="2"/>
        <v>https://resources.simonelectric.com/simon-catalogo-vehiculo-electrico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</row>
    <row r="39" ht="15.75" customHeight="1">
      <c r="A39" s="5" t="s">
        <v>63</v>
      </c>
      <c r="B39" s="5">
        <v>44008.0</v>
      </c>
      <c r="C39" s="6" t="s">
        <v>64</v>
      </c>
      <c r="D39" s="9">
        <f t="shared" si="1"/>
        <v>70</v>
      </c>
      <c r="E39" s="8" t="str">
        <f t="shared" si="2"/>
        <v>https://resources.simonelectric.com/simon-catalogo-vehiculo-electrico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</row>
    <row r="40" ht="15.75" customHeight="1">
      <c r="A40" s="5" t="s">
        <v>65</v>
      </c>
      <c r="B40" s="5">
        <v>44008.0</v>
      </c>
      <c r="C40" s="6" t="s">
        <v>10</v>
      </c>
      <c r="D40" s="7" t="str">
        <f t="shared" si="1"/>
        <v>https://resources.simonelectric.com/simon-catalogo-vehiculo-electrico</v>
      </c>
      <c r="E40" s="8" t="str">
        <f t="shared" si="2"/>
        <v>https://resources.simonelectric.com/simon-catalogo-vehiculo-electrico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</row>
    <row r="41" ht="15.75" customHeight="1">
      <c r="A41" s="5" t="s">
        <v>66</v>
      </c>
      <c r="B41" s="5">
        <v>44008.0</v>
      </c>
      <c r="C41" s="6" t="s">
        <v>67</v>
      </c>
      <c r="D41" s="9">
        <f t="shared" si="1"/>
        <v>67</v>
      </c>
      <c r="E41" s="8" t="str">
        <f t="shared" si="2"/>
        <v>https://resources.simonelectric.com/simon-ebook-vehiculo-electrico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</row>
    <row r="42" ht="15.75" customHeight="1">
      <c r="A42" s="5" t="s">
        <v>68</v>
      </c>
      <c r="B42" s="5">
        <v>44008.0</v>
      </c>
      <c r="C42" s="6" t="s">
        <v>69</v>
      </c>
      <c r="D42" s="9">
        <f t="shared" si="1"/>
        <v>70</v>
      </c>
      <c r="E42" s="8" t="str">
        <f t="shared" si="2"/>
        <v>https://resources.simonelectric.com/simon-catalogo-vehiculo-electrico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</row>
    <row r="43" ht="15.75" customHeight="1">
      <c r="A43" s="5" t="s">
        <v>70</v>
      </c>
      <c r="B43" s="5">
        <v>44008.0</v>
      </c>
      <c r="C43" s="6" t="s">
        <v>71</v>
      </c>
      <c r="D43" s="9">
        <f t="shared" si="1"/>
        <v>67</v>
      </c>
      <c r="E43" s="8" t="str">
        <f t="shared" si="2"/>
        <v>https://resources.simonelectric.com/simon-ebook-vehiculo-electrico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</row>
    <row r="44" ht="15.75" customHeight="1">
      <c r="A44" s="5" t="s">
        <v>72</v>
      </c>
      <c r="B44" s="5">
        <v>44008.0</v>
      </c>
      <c r="C44" s="6" t="s">
        <v>10</v>
      </c>
      <c r="D44" s="7" t="str">
        <f t="shared" si="1"/>
        <v>https://resources.simonelectric.com/simon-catalogo-vehiculo-electrico</v>
      </c>
      <c r="E44" s="8" t="str">
        <f t="shared" si="2"/>
        <v>https://resources.simonelectric.com/simon-catalogo-vehiculo-electrico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</row>
    <row r="45" ht="15.75" customHeight="1">
      <c r="A45" s="5" t="s">
        <v>73</v>
      </c>
      <c r="B45" s="5">
        <v>44007.0</v>
      </c>
      <c r="C45" s="6" t="s">
        <v>39</v>
      </c>
      <c r="D45" s="9">
        <f t="shared" si="1"/>
        <v>71</v>
      </c>
      <c r="E45" s="8" t="str">
        <f t="shared" si="2"/>
        <v>https://resources.simonelectric.com/simon-ebook-vehiculo-electrico-ppc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</row>
    <row r="46" ht="15.75" customHeight="1">
      <c r="A46" s="5" t="s">
        <v>74</v>
      </c>
      <c r="B46" s="5">
        <v>44007.0</v>
      </c>
      <c r="C46" s="6" t="s">
        <v>75</v>
      </c>
      <c r="D46" s="9">
        <f t="shared" si="1"/>
        <v>67</v>
      </c>
      <c r="E46" s="8" t="str">
        <f t="shared" si="2"/>
        <v>https://resources.simonelectric.com/simon-ebook-vehiculo-electrico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</row>
    <row r="47" ht="15.75" customHeight="1">
      <c r="A47" s="5" t="s">
        <v>76</v>
      </c>
      <c r="B47" s="5">
        <v>44007.0</v>
      </c>
      <c r="C47" s="6" t="s">
        <v>8</v>
      </c>
      <c r="D47" s="9">
        <f t="shared" si="1"/>
        <v>67</v>
      </c>
      <c r="E47" s="8" t="str">
        <f t="shared" si="2"/>
        <v>https://resources.simonelectric.com/simon-ebook-vehiculo-electrico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</row>
    <row r="48" ht="15.75" customHeight="1">
      <c r="A48" s="5" t="s">
        <v>77</v>
      </c>
      <c r="B48" s="5">
        <v>44007.0</v>
      </c>
      <c r="C48" s="6" t="s">
        <v>10</v>
      </c>
      <c r="D48" s="7" t="str">
        <f t="shared" si="1"/>
        <v>https://resources.simonelectric.com/simon-catalogo-vehiculo-electrico</v>
      </c>
      <c r="E48" s="8" t="str">
        <f t="shared" si="2"/>
        <v>https://resources.simonelectric.com/simon-catalogo-vehiculo-electrico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</row>
    <row r="49" ht="15.75" customHeight="1">
      <c r="A49" s="5" t="s">
        <v>78</v>
      </c>
      <c r="B49" s="5">
        <v>44007.0</v>
      </c>
      <c r="C49" s="6" t="s">
        <v>79</v>
      </c>
      <c r="D49" s="7">
        <f t="shared" si="1"/>
        <v>67</v>
      </c>
      <c r="E49" s="8" t="str">
        <f t="shared" si="2"/>
        <v>https://resources.simonelectric.com/simon-ebook-vehiculo-electrico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</row>
    <row r="50" ht="15.75" customHeight="1">
      <c r="A50" s="5" t="s">
        <v>80</v>
      </c>
      <c r="B50" s="5">
        <v>44007.0</v>
      </c>
      <c r="C50" s="6" t="s">
        <v>75</v>
      </c>
      <c r="D50" s="9">
        <f t="shared" si="1"/>
        <v>67</v>
      </c>
      <c r="E50" s="8" t="str">
        <f t="shared" si="2"/>
        <v>https://resources.simonelectric.com/simon-ebook-vehiculo-electrico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</row>
    <row r="51" ht="15.75" customHeight="1">
      <c r="A51" s="5" t="s">
        <v>81</v>
      </c>
      <c r="B51" s="5">
        <v>44007.0</v>
      </c>
      <c r="C51" s="6" t="s">
        <v>75</v>
      </c>
      <c r="D51" s="9">
        <f t="shared" si="1"/>
        <v>67</v>
      </c>
      <c r="E51" s="8" t="str">
        <f t="shared" si="2"/>
        <v>https://resources.simonelectric.com/simon-ebook-vehiculo-electrico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</row>
    <row r="52" ht="15.75" customHeight="1">
      <c r="A52" s="5" t="s">
        <v>82</v>
      </c>
      <c r="B52" s="5">
        <v>44007.0</v>
      </c>
      <c r="C52" s="6" t="s">
        <v>83</v>
      </c>
      <c r="D52" s="9">
        <f t="shared" si="1"/>
        <v>67</v>
      </c>
      <c r="E52" s="8" t="str">
        <f t="shared" si="2"/>
        <v>https://resources.simonelectric.com/simon-ebook-vehiculo-electrico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</row>
    <row r="53" ht="15.75" customHeight="1">
      <c r="A53" s="5" t="s">
        <v>84</v>
      </c>
      <c r="B53" s="5">
        <v>44007.0</v>
      </c>
      <c r="C53" s="6" t="s">
        <v>39</v>
      </c>
      <c r="D53" s="9">
        <f t="shared" si="1"/>
        <v>71</v>
      </c>
      <c r="E53" s="8" t="str">
        <f t="shared" si="2"/>
        <v>https://resources.simonelectric.com/simon-ebook-vehiculo-electrico-ppc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</row>
    <row r="54" ht="15.75" customHeight="1">
      <c r="A54" s="5" t="s">
        <v>85</v>
      </c>
      <c r="B54" s="5">
        <v>44007.0</v>
      </c>
      <c r="C54" s="6" t="s">
        <v>86</v>
      </c>
      <c r="D54" s="9">
        <f t="shared" si="1"/>
        <v>67</v>
      </c>
      <c r="E54" s="8" t="str">
        <f t="shared" si="2"/>
        <v>https://resources.simonelectric.com/simon-ebook-vehiculo-electrico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</row>
    <row r="55" ht="15.75" customHeight="1">
      <c r="A55" s="5" t="s">
        <v>87</v>
      </c>
      <c r="B55" s="5">
        <v>44006.0</v>
      </c>
      <c r="C55" s="6" t="s">
        <v>8</v>
      </c>
      <c r="D55" s="9">
        <f t="shared" si="1"/>
        <v>67</v>
      </c>
      <c r="E55" s="8" t="str">
        <f t="shared" si="2"/>
        <v>https://resources.simonelectric.com/simon-ebook-vehiculo-electrico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</row>
    <row r="56" ht="15.75" customHeight="1">
      <c r="A56" s="5" t="s">
        <v>88</v>
      </c>
      <c r="B56" s="5">
        <v>44006.0</v>
      </c>
      <c r="C56" s="6" t="s">
        <v>89</v>
      </c>
      <c r="D56" s="9">
        <f t="shared" si="1"/>
        <v>80</v>
      </c>
      <c r="E56" s="8" t="str">
        <f t="shared" si="2"/>
        <v>https://resources.simonelectric.com/simon-material-formativo-vehiculo-electrico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</row>
    <row r="57" ht="15.75" customHeight="1">
      <c r="A57" s="5" t="s">
        <v>70</v>
      </c>
      <c r="B57" s="5">
        <v>44006.0</v>
      </c>
      <c r="C57" s="6" t="s">
        <v>90</v>
      </c>
      <c r="D57" s="9">
        <f t="shared" si="1"/>
        <v>80</v>
      </c>
      <c r="E57" s="8" t="str">
        <f t="shared" si="2"/>
        <v>https://resources.simonelectric.com/simon-material-formativo-vehiculo-electrico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</row>
    <row r="58" ht="15.75" customHeight="1">
      <c r="A58" s="5" t="s">
        <v>91</v>
      </c>
      <c r="B58" s="5">
        <v>44005.0</v>
      </c>
      <c r="C58" s="6" t="s">
        <v>92</v>
      </c>
      <c r="D58" s="9">
        <f t="shared" si="1"/>
        <v>80</v>
      </c>
      <c r="E58" s="8" t="str">
        <f t="shared" si="2"/>
        <v>https://resources.simonelectric.com/simon-material-formativo-vehiculo-electrico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</row>
    <row r="59" ht="15.75" customHeight="1">
      <c r="A59" s="5" t="s">
        <v>93</v>
      </c>
      <c r="B59" s="5">
        <v>44005.0</v>
      </c>
      <c r="C59" s="6" t="s">
        <v>6</v>
      </c>
      <c r="D59" s="9">
        <f t="shared" si="1"/>
        <v>67</v>
      </c>
      <c r="E59" s="8" t="str">
        <f t="shared" si="2"/>
        <v>https://resources.simonelectric.com/simon-ebook-vehiculo-electrico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</row>
    <row r="60" ht="15.75" customHeight="1">
      <c r="A60" s="5" t="s">
        <v>94</v>
      </c>
      <c r="B60" s="5">
        <v>44005.0</v>
      </c>
      <c r="C60" s="6" t="s">
        <v>95</v>
      </c>
      <c r="D60" s="9">
        <f t="shared" si="1"/>
        <v>70</v>
      </c>
      <c r="E60" s="8" t="str">
        <f t="shared" si="2"/>
        <v>https://resources.simonelectric.com/simon-catalogo-vehiculo-electrico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</row>
    <row r="61" ht="15.75" customHeight="1">
      <c r="A61" s="5" t="s">
        <v>96</v>
      </c>
      <c r="B61" s="5">
        <v>44005.0</v>
      </c>
      <c r="C61" s="6" t="s">
        <v>97</v>
      </c>
      <c r="D61" s="9">
        <f t="shared" si="1"/>
        <v>67</v>
      </c>
      <c r="E61" s="8" t="str">
        <f t="shared" si="2"/>
        <v>https://resources.simonelectric.com/simon-ebook-vehiculo-electrico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</row>
    <row r="62" ht="15.75" customHeight="1">
      <c r="A62" s="5" t="s">
        <v>98</v>
      </c>
      <c r="B62" s="5">
        <v>44005.0</v>
      </c>
      <c r="C62" s="6" t="s">
        <v>39</v>
      </c>
      <c r="D62" s="9">
        <f t="shared" si="1"/>
        <v>71</v>
      </c>
      <c r="E62" s="8" t="str">
        <f t="shared" si="2"/>
        <v>https://resources.simonelectric.com/simon-ebook-vehiculo-electrico-ppc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</row>
    <row r="63" ht="15.75" customHeight="1">
      <c r="A63" s="5" t="s">
        <v>99</v>
      </c>
      <c r="B63" s="5">
        <v>44005.0</v>
      </c>
      <c r="C63" s="6" t="s">
        <v>10</v>
      </c>
      <c r="D63" s="7" t="str">
        <f t="shared" si="1"/>
        <v>https://resources.simonelectric.com/simon-catalogo-vehiculo-electrico</v>
      </c>
      <c r="E63" s="8" t="str">
        <f t="shared" si="2"/>
        <v>https://resources.simonelectric.com/simon-catalogo-vehiculo-electrico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</row>
    <row r="64" ht="15.75" customHeight="1">
      <c r="A64" s="5" t="s">
        <v>100</v>
      </c>
      <c r="B64" s="5">
        <v>44005.0</v>
      </c>
      <c r="C64" s="6" t="s">
        <v>10</v>
      </c>
      <c r="D64" s="7" t="str">
        <f t="shared" si="1"/>
        <v>https://resources.simonelectric.com/simon-catalogo-vehiculo-electrico</v>
      </c>
      <c r="E64" s="8" t="str">
        <f t="shared" si="2"/>
        <v>https://resources.simonelectric.com/simon-catalogo-vehiculo-electrico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</row>
    <row r="65" ht="15.75" customHeight="1">
      <c r="A65" s="5" t="s">
        <v>101</v>
      </c>
      <c r="B65" s="5">
        <v>44005.0</v>
      </c>
      <c r="C65" s="6" t="s">
        <v>39</v>
      </c>
      <c r="D65" s="9">
        <f t="shared" si="1"/>
        <v>71</v>
      </c>
      <c r="E65" s="8" t="str">
        <f t="shared" si="2"/>
        <v>https://resources.simonelectric.com/simon-ebook-vehiculo-electrico-ppc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</row>
    <row r="66" ht="15.75" customHeight="1">
      <c r="A66" s="5" t="s">
        <v>102</v>
      </c>
      <c r="B66" s="5">
        <v>44005.0</v>
      </c>
      <c r="C66" s="6" t="s">
        <v>28</v>
      </c>
      <c r="D66" s="7" t="str">
        <f t="shared" si="1"/>
        <v>https://resources.simonelectric.com/simon-ebook-vehiculo-electrico</v>
      </c>
      <c r="E66" s="8" t="str">
        <f t="shared" si="2"/>
        <v>https://resources.simonelectric.com/simon-ebook-vehiculo-electrico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</row>
    <row r="67" ht="15.75" customHeight="1">
      <c r="A67" s="5" t="s">
        <v>103</v>
      </c>
      <c r="B67" s="5">
        <v>44005.0</v>
      </c>
      <c r="C67" s="6" t="s">
        <v>28</v>
      </c>
      <c r="D67" s="7" t="str">
        <f t="shared" si="1"/>
        <v>https://resources.simonelectric.com/simon-ebook-vehiculo-electrico</v>
      </c>
      <c r="E67" s="8" t="str">
        <f t="shared" si="2"/>
        <v>https://resources.simonelectric.com/simon-ebook-vehiculo-electrico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</row>
    <row r="68" ht="15.75" customHeight="1">
      <c r="A68" s="5" t="s">
        <v>104</v>
      </c>
      <c r="B68" s="5">
        <v>44005.0</v>
      </c>
      <c r="C68" s="6" t="s">
        <v>105</v>
      </c>
      <c r="D68" s="9">
        <f t="shared" si="1"/>
        <v>67</v>
      </c>
      <c r="E68" s="8" t="str">
        <f t="shared" si="2"/>
        <v>https://resources.simonelectric.com/simon-ebook-vehiculo-electrico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</row>
    <row r="69" ht="15.75" customHeight="1">
      <c r="A69" s="5" t="s">
        <v>106</v>
      </c>
      <c r="B69" s="5">
        <v>44005.0</v>
      </c>
      <c r="C69" s="6" t="s">
        <v>107</v>
      </c>
      <c r="D69" s="9">
        <f t="shared" si="1"/>
        <v>67</v>
      </c>
      <c r="E69" s="8" t="str">
        <f t="shared" si="2"/>
        <v>https://resources.simonelectric.com/simon-ebook-vehiculo-electrico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</row>
    <row r="70" ht="15.75" customHeight="1">
      <c r="A70" s="5" t="s">
        <v>108</v>
      </c>
      <c r="B70" s="5">
        <v>44005.0</v>
      </c>
      <c r="C70" s="6" t="s">
        <v>31</v>
      </c>
      <c r="D70" s="9">
        <f t="shared" si="1"/>
        <v>67</v>
      </c>
      <c r="E70" s="8" t="str">
        <f t="shared" si="2"/>
        <v>https://resources.simonelectric.com/simon-ebook-vehiculo-electrico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</row>
    <row r="71" ht="15.75" customHeight="1">
      <c r="A71" s="5" t="s">
        <v>109</v>
      </c>
      <c r="B71" s="5">
        <v>44005.0</v>
      </c>
      <c r="C71" s="6" t="s">
        <v>110</v>
      </c>
      <c r="D71" s="9">
        <f t="shared" si="1"/>
        <v>67</v>
      </c>
      <c r="E71" s="8" t="str">
        <f t="shared" si="2"/>
        <v>https://resources.simonelectric.com/simon-ebook-vehiculo-electrico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</row>
    <row r="72" ht="15.75" customHeight="1">
      <c r="A72" s="5" t="s">
        <v>111</v>
      </c>
      <c r="B72" s="5">
        <v>44005.0</v>
      </c>
      <c r="C72" s="6" t="s">
        <v>112</v>
      </c>
      <c r="D72" s="9">
        <f t="shared" si="1"/>
        <v>67</v>
      </c>
      <c r="E72" s="8" t="str">
        <f t="shared" si="2"/>
        <v>https://resources.simonelectric.com/simon-ebook-vehiculo-electrico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</row>
    <row r="73" ht="15.75" customHeight="1">
      <c r="A73" s="5" t="s">
        <v>113</v>
      </c>
      <c r="B73" s="5">
        <v>44005.0</v>
      </c>
      <c r="C73" s="6" t="s">
        <v>39</v>
      </c>
      <c r="D73" s="9">
        <f t="shared" si="1"/>
        <v>71</v>
      </c>
      <c r="E73" s="8" t="str">
        <f t="shared" si="2"/>
        <v>https://resources.simonelectric.com/simon-ebook-vehiculo-electrico-ppc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</row>
    <row r="74" ht="15.75" customHeight="1">
      <c r="A74" s="5" t="s">
        <v>114</v>
      </c>
      <c r="B74" s="5">
        <v>44005.0</v>
      </c>
      <c r="C74" s="6" t="s">
        <v>6</v>
      </c>
      <c r="D74" s="9">
        <f t="shared" si="1"/>
        <v>67</v>
      </c>
      <c r="E74" s="8" t="str">
        <f t="shared" si="2"/>
        <v>https://resources.simonelectric.com/simon-ebook-vehiculo-electrico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 ht="15.75" customHeight="1">
      <c r="A75" s="5" t="s">
        <v>115</v>
      </c>
      <c r="B75" s="5">
        <v>44005.0</v>
      </c>
      <c r="C75" s="6" t="s">
        <v>116</v>
      </c>
      <c r="D75" s="9">
        <f t="shared" si="1"/>
        <v>67</v>
      </c>
      <c r="E75" s="8" t="str">
        <f t="shared" si="2"/>
        <v>https://resources.simonelectric.com/simon-ebook-vehiculo-electrico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</row>
    <row r="76" ht="15.75" customHeight="1">
      <c r="A76" s="5" t="s">
        <v>117</v>
      </c>
      <c r="B76" s="5">
        <v>44004.0</v>
      </c>
      <c r="C76" s="6" t="s">
        <v>118</v>
      </c>
      <c r="D76" s="9">
        <f t="shared" si="1"/>
        <v>80</v>
      </c>
      <c r="E76" s="8" t="str">
        <f t="shared" si="2"/>
        <v>https://resources.simonelectric.com/simon-material-formativo-vehiculo-electrico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ht="15.75" customHeight="1">
      <c r="A77" s="5" t="s">
        <v>119</v>
      </c>
      <c r="B77" s="5">
        <v>44004.0</v>
      </c>
      <c r="C77" s="6" t="s">
        <v>120</v>
      </c>
      <c r="D77" s="9">
        <f t="shared" si="1"/>
        <v>70</v>
      </c>
      <c r="E77" s="8" t="str">
        <f t="shared" si="2"/>
        <v>https://resources.simonelectric.com/simon-catalogo-vehiculo-electrico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ht="15.75" customHeight="1">
      <c r="A78" s="5" t="s">
        <v>121</v>
      </c>
      <c r="B78" s="5">
        <v>44004.0</v>
      </c>
      <c r="C78" s="6" t="s">
        <v>122</v>
      </c>
      <c r="D78" s="9">
        <f t="shared" si="1"/>
        <v>67</v>
      </c>
      <c r="E78" s="8" t="str">
        <f t="shared" si="2"/>
        <v>https://resources.simonelectric.com/simon-ebook-vehiculo-electrico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</row>
    <row r="79" ht="15.75" customHeight="1">
      <c r="A79" s="5" t="s">
        <v>123</v>
      </c>
      <c r="B79" s="5">
        <v>44004.0</v>
      </c>
      <c r="C79" s="6" t="s">
        <v>10</v>
      </c>
      <c r="D79" s="7" t="str">
        <f t="shared" si="1"/>
        <v>https://resources.simonelectric.com/simon-catalogo-vehiculo-electrico</v>
      </c>
      <c r="E79" s="8" t="str">
        <f t="shared" si="2"/>
        <v>https://resources.simonelectric.com/simon-catalogo-vehiculo-electrico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</row>
    <row r="80" ht="15.75" customHeight="1">
      <c r="A80" s="5" t="s">
        <v>124</v>
      </c>
      <c r="B80" s="5">
        <v>44004.0</v>
      </c>
      <c r="C80" s="6" t="s">
        <v>125</v>
      </c>
      <c r="D80" s="9">
        <f t="shared" si="1"/>
        <v>67</v>
      </c>
      <c r="E80" s="8" t="str">
        <f t="shared" si="2"/>
        <v>https://resources.simonelectric.com/simon-ebook-vehiculo-electrico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</row>
    <row r="81" ht="15.75" customHeight="1">
      <c r="A81" s="5" t="s">
        <v>126</v>
      </c>
      <c r="B81" s="5">
        <v>44004.0</v>
      </c>
      <c r="C81" s="6" t="s">
        <v>31</v>
      </c>
      <c r="D81" s="9">
        <f t="shared" si="1"/>
        <v>67</v>
      </c>
      <c r="E81" s="8" t="str">
        <f t="shared" si="2"/>
        <v>https://resources.simonelectric.com/simon-ebook-vehiculo-electrico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</row>
    <row r="82" ht="15.75" customHeight="1">
      <c r="A82" s="5" t="s">
        <v>127</v>
      </c>
      <c r="B82" s="5">
        <v>44004.0</v>
      </c>
      <c r="C82" s="6" t="s">
        <v>128</v>
      </c>
      <c r="D82" s="9">
        <f t="shared" si="1"/>
        <v>67</v>
      </c>
      <c r="E82" s="8" t="str">
        <f t="shared" si="2"/>
        <v>https://resources.simonelectric.com/simon-ebook-vehiculo-electrico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  <row r="83" ht="15.75" customHeight="1">
      <c r="A83" s="5" t="s">
        <v>82</v>
      </c>
      <c r="B83" s="5">
        <v>44004.0</v>
      </c>
      <c r="C83" s="6" t="s">
        <v>129</v>
      </c>
      <c r="D83" s="9">
        <f t="shared" si="1"/>
        <v>80</v>
      </c>
      <c r="E83" s="8" t="str">
        <f t="shared" si="2"/>
        <v>https://resources.simonelectric.com/simon-material-formativo-vehiculo-electrico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</row>
    <row r="84" ht="15.75" customHeight="1">
      <c r="A84" s="5" t="s">
        <v>130</v>
      </c>
      <c r="B84" s="5">
        <v>44004.0</v>
      </c>
      <c r="C84" s="6" t="s">
        <v>39</v>
      </c>
      <c r="D84" s="9">
        <f t="shared" si="1"/>
        <v>71</v>
      </c>
      <c r="E84" s="8" t="str">
        <f t="shared" si="2"/>
        <v>https://resources.simonelectric.com/simon-ebook-vehiculo-electrico-ppc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</row>
    <row r="85" ht="15.75" customHeight="1">
      <c r="A85" s="5" t="s">
        <v>131</v>
      </c>
      <c r="B85" s="5">
        <v>44004.0</v>
      </c>
      <c r="C85" s="6" t="s">
        <v>132</v>
      </c>
      <c r="D85" s="9">
        <f t="shared" si="1"/>
        <v>70</v>
      </c>
      <c r="E85" s="8" t="str">
        <f t="shared" si="2"/>
        <v>https://resources.simonelectric.com/simon-catalogo-vehiculo-electrico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</row>
    <row r="86" ht="15.75" customHeight="1">
      <c r="A86" s="5" t="s">
        <v>133</v>
      </c>
      <c r="B86" s="5">
        <v>44004.0</v>
      </c>
      <c r="C86" s="6" t="s">
        <v>134</v>
      </c>
      <c r="D86" s="9">
        <f t="shared" si="1"/>
        <v>67</v>
      </c>
      <c r="E86" s="8" t="str">
        <f t="shared" si="2"/>
        <v>https://resources.simonelectric.com/simon-ebook-vehiculo-electrico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</row>
    <row r="87" ht="15.75" customHeight="1">
      <c r="A87" s="5" t="s">
        <v>135</v>
      </c>
      <c r="B87" s="5">
        <v>44004.0</v>
      </c>
      <c r="C87" s="6" t="s">
        <v>136</v>
      </c>
      <c r="D87" s="9">
        <f t="shared" si="1"/>
        <v>67</v>
      </c>
      <c r="E87" s="8" t="str">
        <f t="shared" si="2"/>
        <v>https://resources.simonelectric.com/simon-ebook-vehiculo-electrico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</row>
    <row r="88" ht="15.75" customHeight="1">
      <c r="A88" s="5" t="s">
        <v>137</v>
      </c>
      <c r="B88" s="5">
        <v>44004.0</v>
      </c>
      <c r="C88" s="6" t="s">
        <v>138</v>
      </c>
      <c r="D88" s="9">
        <f t="shared" si="1"/>
        <v>67</v>
      </c>
      <c r="E88" s="8" t="str">
        <f t="shared" si="2"/>
        <v>https://resources.simonelectric.com/simon-ebook-vehiculo-electrico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</row>
    <row r="89" ht="15.75" customHeight="1">
      <c r="A89" s="5" t="s">
        <v>139</v>
      </c>
      <c r="B89" s="5">
        <v>44004.0</v>
      </c>
      <c r="C89" s="6" t="s">
        <v>10</v>
      </c>
      <c r="D89" s="7" t="str">
        <f t="shared" si="1"/>
        <v>https://resources.simonelectric.com/simon-catalogo-vehiculo-electrico</v>
      </c>
      <c r="E89" s="8" t="str">
        <f t="shared" si="2"/>
        <v>https://resources.simonelectric.com/simon-catalogo-vehiculo-electrico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</row>
    <row r="90" ht="15.75" customHeight="1">
      <c r="A90" s="5" t="s">
        <v>140</v>
      </c>
      <c r="B90" s="5">
        <v>44004.0</v>
      </c>
      <c r="C90" s="6" t="s">
        <v>10</v>
      </c>
      <c r="D90" s="7" t="str">
        <f t="shared" si="1"/>
        <v>https://resources.simonelectric.com/simon-catalogo-vehiculo-electrico</v>
      </c>
      <c r="E90" s="8" t="str">
        <f t="shared" si="2"/>
        <v>https://resources.simonelectric.com/simon-catalogo-vehiculo-electrico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</row>
    <row r="91" ht="15.75" customHeight="1">
      <c r="A91" s="5" t="s">
        <v>141</v>
      </c>
      <c r="B91" s="5">
        <v>44004.0</v>
      </c>
      <c r="C91" s="6" t="s">
        <v>142</v>
      </c>
      <c r="D91" s="9">
        <f t="shared" si="1"/>
        <v>67</v>
      </c>
      <c r="E91" s="8" t="str">
        <f t="shared" si="2"/>
        <v>https://resources.simonelectric.com/simon-ebook-vehiculo-electrico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</row>
    <row r="92" ht="15.75" customHeight="1">
      <c r="A92" s="5" t="s">
        <v>143</v>
      </c>
      <c r="B92" s="5">
        <v>44004.0</v>
      </c>
      <c r="C92" s="6" t="s">
        <v>144</v>
      </c>
      <c r="D92" s="9">
        <f t="shared" si="1"/>
        <v>67</v>
      </c>
      <c r="E92" s="8" t="str">
        <f t="shared" si="2"/>
        <v>https://resources.simonelectric.com/simon-ebook-vehiculo-electrico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</row>
    <row r="93" ht="15.75" customHeight="1">
      <c r="A93" s="5" t="s">
        <v>145</v>
      </c>
      <c r="B93" s="5">
        <v>44004.0</v>
      </c>
      <c r="C93" s="6" t="s">
        <v>146</v>
      </c>
      <c r="D93" s="9">
        <f t="shared" si="1"/>
        <v>67</v>
      </c>
      <c r="E93" s="8" t="str">
        <f t="shared" si="2"/>
        <v>https://resources.simonelectric.com/simon-ebook-vehiculo-electrico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</row>
    <row r="94" ht="15.75" customHeight="1">
      <c r="A94" s="5" t="s">
        <v>147</v>
      </c>
      <c r="B94" s="5">
        <v>44004.0</v>
      </c>
      <c r="C94" s="6" t="s">
        <v>148</v>
      </c>
      <c r="D94" s="9">
        <f t="shared" si="1"/>
        <v>67</v>
      </c>
      <c r="E94" s="8" t="str">
        <f t="shared" si="2"/>
        <v>https://resources.simonelectric.com/simon-ebook-vehiculo-electrico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</row>
    <row r="95" ht="15.75" customHeight="1">
      <c r="A95" s="5" t="s">
        <v>149</v>
      </c>
      <c r="B95" s="5">
        <v>44004.0</v>
      </c>
      <c r="C95" s="6" t="s">
        <v>150</v>
      </c>
      <c r="D95" s="9">
        <f t="shared" si="1"/>
        <v>80</v>
      </c>
      <c r="E95" s="8" t="str">
        <f t="shared" si="2"/>
        <v>https://resources.simonelectric.com/simon-material-formativo-vehiculo-electrico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</row>
    <row r="96" ht="15.75" customHeight="1">
      <c r="A96" s="5" t="s">
        <v>151</v>
      </c>
      <c r="B96" s="5">
        <v>44004.0</v>
      </c>
      <c r="C96" s="6" t="s">
        <v>152</v>
      </c>
      <c r="D96" s="9">
        <f t="shared" si="1"/>
        <v>67</v>
      </c>
      <c r="E96" s="8" t="str">
        <f t="shared" si="2"/>
        <v>https://resources.simonelectric.com/simon-ebook-vehiculo-electrico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</row>
    <row r="97" ht="15.75" customHeight="1">
      <c r="A97" s="5" t="s">
        <v>153</v>
      </c>
      <c r="B97" s="5">
        <v>44004.0</v>
      </c>
      <c r="C97" s="6" t="s">
        <v>154</v>
      </c>
      <c r="D97" s="9">
        <f t="shared" si="1"/>
        <v>67</v>
      </c>
      <c r="E97" s="8" t="str">
        <f t="shared" si="2"/>
        <v>https://resources.simonelectric.com/simon-ebook-vehiculo-electrico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</row>
    <row r="98" ht="15.75" customHeight="1">
      <c r="A98" s="5" t="s">
        <v>155</v>
      </c>
      <c r="B98" s="5">
        <v>44004.0</v>
      </c>
      <c r="C98" s="6" t="s">
        <v>156</v>
      </c>
      <c r="D98" s="9">
        <f t="shared" si="1"/>
        <v>67</v>
      </c>
      <c r="E98" s="8" t="str">
        <f t="shared" si="2"/>
        <v>https://resources.simonelectric.com/simon-ebook-vehiculo-electrico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</row>
    <row r="99" ht="15.75" customHeight="1">
      <c r="A99" s="5" t="s">
        <v>157</v>
      </c>
      <c r="B99" s="5">
        <v>44004.0</v>
      </c>
      <c r="C99" s="6" t="s">
        <v>158</v>
      </c>
      <c r="D99" s="9">
        <f t="shared" si="1"/>
        <v>67</v>
      </c>
      <c r="E99" s="8" t="str">
        <f t="shared" si="2"/>
        <v>https://resources.simonelectric.com/simon-ebook-vehiculo-electrico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</row>
    <row r="100" ht="15.75" customHeight="1">
      <c r="A100" s="5" t="s">
        <v>159</v>
      </c>
      <c r="B100" s="5">
        <v>44004.0</v>
      </c>
      <c r="C100" s="6" t="s">
        <v>160</v>
      </c>
      <c r="D100" s="9">
        <f t="shared" si="1"/>
        <v>67</v>
      </c>
      <c r="E100" s="8" t="str">
        <f t="shared" si="2"/>
        <v>https://resources.simonelectric.com/simon-ebook-vehiculo-electrico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</row>
    <row r="101" ht="15.75" customHeight="1">
      <c r="A101" s="5" t="s">
        <v>161</v>
      </c>
      <c r="B101" s="5">
        <v>44004.0</v>
      </c>
      <c r="C101" s="6" t="s">
        <v>162</v>
      </c>
      <c r="D101" s="9">
        <f t="shared" si="1"/>
        <v>67</v>
      </c>
      <c r="E101" s="8" t="str">
        <f t="shared" si="2"/>
        <v>https://resources.simonelectric.com/simon-ebook-vehiculo-electrico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</row>
    <row r="102" ht="15.75" customHeight="1">
      <c r="A102" s="5" t="s">
        <v>163</v>
      </c>
      <c r="B102" s="5">
        <v>44004.0</v>
      </c>
      <c r="C102" s="6" t="s">
        <v>164</v>
      </c>
      <c r="D102" s="9">
        <f t="shared" si="1"/>
        <v>67</v>
      </c>
      <c r="E102" s="8" t="str">
        <f t="shared" si="2"/>
        <v>https://resources.simonelectric.com/simon-ebook-vehiculo-electrico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</row>
    <row r="103" ht="15.75" customHeight="1">
      <c r="A103" s="5" t="s">
        <v>165</v>
      </c>
      <c r="B103" s="5">
        <v>44004.0</v>
      </c>
      <c r="C103" s="6" t="s">
        <v>166</v>
      </c>
      <c r="D103" s="9">
        <f t="shared" si="1"/>
        <v>67</v>
      </c>
      <c r="E103" s="8" t="str">
        <f t="shared" si="2"/>
        <v>https://resources.simonelectric.com/simon-ebook-vehiculo-electrico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</row>
    <row r="104" ht="15.75" customHeight="1">
      <c r="A104" s="5" t="s">
        <v>167</v>
      </c>
      <c r="B104" s="5">
        <v>44004.0</v>
      </c>
      <c r="C104" s="6" t="s">
        <v>168</v>
      </c>
      <c r="D104" s="9">
        <f t="shared" si="1"/>
        <v>67</v>
      </c>
      <c r="E104" s="8" t="str">
        <f t="shared" si="2"/>
        <v>https://resources.simonelectric.com/simon-ebook-vehiculo-electrico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</row>
    <row r="105" ht="15.75" customHeight="1">
      <c r="A105" s="5" t="s">
        <v>169</v>
      </c>
      <c r="B105" s="5">
        <v>44004.0</v>
      </c>
      <c r="C105" s="6" t="s">
        <v>170</v>
      </c>
      <c r="D105" s="9">
        <f t="shared" si="1"/>
        <v>67</v>
      </c>
      <c r="E105" s="8" t="str">
        <f t="shared" si="2"/>
        <v>https://resources.simonelectric.com/simon-ebook-vehiculo-electrico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</row>
    <row r="106" ht="15.75" customHeight="1">
      <c r="A106" s="5" t="s">
        <v>171</v>
      </c>
      <c r="B106" s="5">
        <v>44004.0</v>
      </c>
      <c r="C106" s="6" t="s">
        <v>172</v>
      </c>
      <c r="D106" s="9">
        <f t="shared" si="1"/>
        <v>67</v>
      </c>
      <c r="E106" s="8" t="str">
        <f t="shared" si="2"/>
        <v>https://resources.simonelectric.com/simon-ebook-vehiculo-electrico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</row>
    <row r="107" ht="15.75" customHeight="1">
      <c r="A107" s="5" t="s">
        <v>34</v>
      </c>
      <c r="B107" s="5">
        <v>44004.0</v>
      </c>
      <c r="C107" s="6" t="s">
        <v>173</v>
      </c>
      <c r="D107" s="9">
        <f t="shared" si="1"/>
        <v>67</v>
      </c>
      <c r="E107" s="8" t="str">
        <f t="shared" si="2"/>
        <v>https://resources.simonelectric.com/simon-ebook-vehiculo-electrico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</row>
    <row r="108" ht="15.75" customHeight="1">
      <c r="A108" s="5" t="s">
        <v>174</v>
      </c>
      <c r="B108" s="5">
        <v>44004.0</v>
      </c>
      <c r="C108" s="6" t="s">
        <v>175</v>
      </c>
      <c r="D108" s="9">
        <f t="shared" si="1"/>
        <v>67</v>
      </c>
      <c r="E108" s="8" t="str">
        <f t="shared" si="2"/>
        <v>https://resources.simonelectric.com/simon-ebook-vehiculo-electrico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</row>
    <row r="109" ht="15.75" customHeight="1">
      <c r="A109" s="5" t="s">
        <v>176</v>
      </c>
      <c r="B109" s="5">
        <v>44004.0</v>
      </c>
      <c r="C109" s="6" t="s">
        <v>177</v>
      </c>
      <c r="D109" s="9">
        <f t="shared" si="1"/>
        <v>67</v>
      </c>
      <c r="E109" s="8" t="str">
        <f t="shared" si="2"/>
        <v>https://resources.simonelectric.com/simon-ebook-vehiculo-electrico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</row>
    <row r="110" ht="15.75" customHeight="1">
      <c r="A110" s="5" t="s">
        <v>178</v>
      </c>
      <c r="B110" s="5">
        <v>44004.0</v>
      </c>
      <c r="C110" s="6" t="s">
        <v>179</v>
      </c>
      <c r="D110" s="9">
        <f t="shared" si="1"/>
        <v>67</v>
      </c>
      <c r="E110" s="8" t="str">
        <f t="shared" si="2"/>
        <v>https://resources.simonelectric.com/simon-ebook-vehiculo-electrico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</row>
    <row r="111" ht="15.75" customHeight="1">
      <c r="A111" s="5" t="s">
        <v>180</v>
      </c>
      <c r="B111" s="5">
        <v>44004.0</v>
      </c>
      <c r="C111" s="6" t="s">
        <v>181</v>
      </c>
      <c r="D111" s="9">
        <f t="shared" si="1"/>
        <v>67</v>
      </c>
      <c r="E111" s="8" t="str">
        <f t="shared" si="2"/>
        <v>https://resources.simonelectric.com/simon-ebook-vehiculo-electrico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</row>
    <row r="112" ht="15.75" customHeight="1">
      <c r="A112" s="5" t="s">
        <v>182</v>
      </c>
      <c r="B112" s="5">
        <v>44004.0</v>
      </c>
      <c r="C112" s="6" t="s">
        <v>183</v>
      </c>
      <c r="D112" s="9">
        <f t="shared" si="1"/>
        <v>67</v>
      </c>
      <c r="E112" s="8" t="str">
        <f t="shared" si="2"/>
        <v>https://resources.simonelectric.com/simon-ebook-vehiculo-electrico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</row>
    <row r="113" ht="15.75" customHeight="1">
      <c r="A113" s="5" t="s">
        <v>184</v>
      </c>
      <c r="B113" s="5">
        <v>44004.0</v>
      </c>
      <c r="C113" s="6" t="s">
        <v>185</v>
      </c>
      <c r="D113" s="9">
        <f t="shared" si="1"/>
        <v>67</v>
      </c>
      <c r="E113" s="8" t="str">
        <f t="shared" si="2"/>
        <v>https://resources.simonelectric.com/simon-ebook-vehiculo-electrico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</row>
    <row r="114" ht="15.75" customHeight="1">
      <c r="A114" s="5" t="s">
        <v>186</v>
      </c>
      <c r="B114" s="5">
        <v>44004.0</v>
      </c>
      <c r="C114" s="6" t="s">
        <v>187</v>
      </c>
      <c r="D114" s="9">
        <f t="shared" si="1"/>
        <v>67</v>
      </c>
      <c r="E114" s="8" t="str">
        <f t="shared" si="2"/>
        <v>https://resources.simonelectric.com/simon-ebook-vehiculo-electrico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</row>
    <row r="115" ht="15.75" customHeight="1">
      <c r="A115" s="5" t="s">
        <v>188</v>
      </c>
      <c r="B115" s="5">
        <v>44004.0</v>
      </c>
      <c r="C115" s="6" t="s">
        <v>189</v>
      </c>
      <c r="D115" s="9">
        <f t="shared" si="1"/>
        <v>67</v>
      </c>
      <c r="E115" s="8" t="str">
        <f t="shared" si="2"/>
        <v>https://resources.simonelectric.com/simon-ebook-vehiculo-electrico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</row>
    <row r="116" ht="15.75" customHeight="1">
      <c r="A116" s="5" t="s">
        <v>190</v>
      </c>
      <c r="B116" s="5">
        <v>44004.0</v>
      </c>
      <c r="C116" s="6" t="s">
        <v>191</v>
      </c>
      <c r="D116" s="9">
        <f t="shared" si="1"/>
        <v>67</v>
      </c>
      <c r="E116" s="8" t="str">
        <f t="shared" si="2"/>
        <v>https://resources.simonelectric.com/simon-ebook-vehiculo-electrico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</row>
    <row r="117" ht="15.75" customHeight="1">
      <c r="A117" s="5" t="s">
        <v>192</v>
      </c>
      <c r="B117" s="5">
        <v>44004.0</v>
      </c>
      <c r="C117" s="6" t="s">
        <v>193</v>
      </c>
      <c r="D117" s="9">
        <f t="shared" si="1"/>
        <v>67</v>
      </c>
      <c r="E117" s="8" t="str">
        <f t="shared" si="2"/>
        <v>https://resources.simonelectric.com/simon-ebook-vehiculo-electrico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</row>
    <row r="118" ht="15.75" customHeight="1">
      <c r="A118" s="5" t="s">
        <v>194</v>
      </c>
      <c r="B118" s="5">
        <v>44004.0</v>
      </c>
      <c r="C118" s="6" t="s">
        <v>195</v>
      </c>
      <c r="D118" s="9">
        <f t="shared" si="1"/>
        <v>67</v>
      </c>
      <c r="E118" s="8" t="str">
        <f t="shared" si="2"/>
        <v>https://resources.simonelectric.com/simon-ebook-vehiculo-electrico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</row>
    <row r="119" ht="15.75" customHeight="1">
      <c r="A119" s="5" t="s">
        <v>196</v>
      </c>
      <c r="B119" s="5">
        <v>44004.0</v>
      </c>
      <c r="C119" s="6" t="s">
        <v>197</v>
      </c>
      <c r="D119" s="9">
        <f t="shared" si="1"/>
        <v>67</v>
      </c>
      <c r="E119" s="8" t="str">
        <f t="shared" si="2"/>
        <v>https://resources.simonelectric.com/simon-ebook-vehiculo-electrico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</row>
    <row r="120" ht="15.75" customHeight="1">
      <c r="A120" s="5" t="s">
        <v>198</v>
      </c>
      <c r="B120" s="5">
        <v>44004.0</v>
      </c>
      <c r="C120" s="6" t="s">
        <v>199</v>
      </c>
      <c r="D120" s="9">
        <f t="shared" si="1"/>
        <v>67</v>
      </c>
      <c r="E120" s="8" t="str">
        <f t="shared" si="2"/>
        <v>https://resources.simonelectric.com/simon-ebook-vehiculo-electrico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ht="15.75" customHeight="1">
      <c r="A121" s="5" t="s">
        <v>200</v>
      </c>
      <c r="B121" s="5">
        <v>44004.0</v>
      </c>
      <c r="C121" s="6" t="s">
        <v>201</v>
      </c>
      <c r="D121" s="9">
        <f t="shared" si="1"/>
        <v>67</v>
      </c>
      <c r="E121" s="8" t="str">
        <f t="shared" si="2"/>
        <v>https://resources.simonelectric.com/simon-ebook-vehiculo-electrico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 ht="15.75" customHeight="1">
      <c r="A122" s="5" t="s">
        <v>202</v>
      </c>
      <c r="B122" s="5">
        <v>44004.0</v>
      </c>
      <c r="C122" s="6" t="s">
        <v>203</v>
      </c>
      <c r="D122" s="9">
        <f t="shared" si="1"/>
        <v>67</v>
      </c>
      <c r="E122" s="8" t="str">
        <f t="shared" si="2"/>
        <v>https://resources.simonelectric.com/simon-ebook-vehiculo-electrico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ht="15.75" customHeight="1">
      <c r="A123" s="5" t="s">
        <v>204</v>
      </c>
      <c r="B123" s="5">
        <v>44004.0</v>
      </c>
      <c r="C123" s="6" t="s">
        <v>205</v>
      </c>
      <c r="D123" s="7">
        <f t="shared" si="1"/>
        <v>67</v>
      </c>
      <c r="E123" s="8" t="str">
        <f t="shared" si="2"/>
        <v>https://resources.simonelectric.com/simon-ebook-vehiculo-electrico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</row>
    <row r="124" ht="15.75" customHeight="1">
      <c r="A124" s="5" t="s">
        <v>206</v>
      </c>
      <c r="B124" s="5">
        <v>44004.0</v>
      </c>
      <c r="C124" s="6" t="s">
        <v>207</v>
      </c>
      <c r="D124" s="7">
        <f t="shared" si="1"/>
        <v>67</v>
      </c>
      <c r="E124" s="8" t="str">
        <f t="shared" si="2"/>
        <v>https://resources.simonelectric.com/simon-ebook-vehiculo-electrico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 ht="15.75" customHeight="1">
      <c r="A125" s="5" t="s">
        <v>208</v>
      </c>
      <c r="B125" s="5">
        <v>44004.0</v>
      </c>
      <c r="C125" s="6" t="s">
        <v>209</v>
      </c>
      <c r="D125" s="9">
        <f t="shared" si="1"/>
        <v>67</v>
      </c>
      <c r="E125" s="8" t="str">
        <f t="shared" si="2"/>
        <v>https://resources.simonelectric.com/simon-ebook-vehiculo-electrico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ht="15.75" customHeight="1">
      <c r="A126" s="5" t="s">
        <v>210</v>
      </c>
      <c r="B126" s="5">
        <v>44004.0</v>
      </c>
      <c r="C126" s="6" t="s">
        <v>211</v>
      </c>
      <c r="D126" s="7">
        <f t="shared" si="1"/>
        <v>67</v>
      </c>
      <c r="E126" s="8" t="str">
        <f t="shared" si="2"/>
        <v>https://resources.simonelectric.com/simon-ebook-vehiculo-electrico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ht="15.75" customHeight="1">
      <c r="A127" s="5" t="s">
        <v>212</v>
      </c>
      <c r="B127" s="5">
        <v>44004.0</v>
      </c>
      <c r="C127" s="6" t="s">
        <v>213</v>
      </c>
      <c r="D127" s="9">
        <f t="shared" si="1"/>
        <v>67</v>
      </c>
      <c r="E127" s="8" t="str">
        <f t="shared" si="2"/>
        <v>https://resources.simonelectric.com/simon-ebook-vehiculo-electrico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ht="15.75" customHeight="1">
      <c r="A128" s="5" t="s">
        <v>214</v>
      </c>
      <c r="B128" s="5">
        <v>44004.0</v>
      </c>
      <c r="C128" s="6" t="s">
        <v>215</v>
      </c>
      <c r="D128" s="9">
        <f t="shared" si="1"/>
        <v>67</v>
      </c>
      <c r="E128" s="8" t="str">
        <f t="shared" si="2"/>
        <v>https://resources.simonelectric.com/simon-ebook-vehiculo-electrico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ht="15.75" customHeight="1">
      <c r="A129" s="5" t="s">
        <v>216</v>
      </c>
      <c r="B129" s="5">
        <v>44004.0</v>
      </c>
      <c r="C129" s="6" t="s">
        <v>217</v>
      </c>
      <c r="D129" s="7">
        <f t="shared" si="1"/>
        <v>70</v>
      </c>
      <c r="E129" s="8" t="str">
        <f t="shared" si="2"/>
        <v>https://resources.simonelectric.com/simon-catalogo-vehiculo-electrico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ht="15.75" customHeight="1">
      <c r="A130" s="5" t="s">
        <v>218</v>
      </c>
      <c r="B130" s="5">
        <v>44004.0</v>
      </c>
      <c r="C130" s="6" t="s">
        <v>219</v>
      </c>
      <c r="D130" s="9">
        <f t="shared" si="1"/>
        <v>67</v>
      </c>
      <c r="E130" s="8" t="str">
        <f t="shared" si="2"/>
        <v>https://resources.simonelectric.com/simon-ebook-vehiculo-electrico</v>
      </c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ht="15.75" customHeight="1">
      <c r="A131" s="5" t="s">
        <v>220</v>
      </c>
      <c r="B131" s="5">
        <v>44004.0</v>
      </c>
      <c r="C131" s="6" t="s">
        <v>221</v>
      </c>
      <c r="D131" s="9">
        <f t="shared" si="1"/>
        <v>67</v>
      </c>
      <c r="E131" s="8" t="str">
        <f t="shared" si="2"/>
        <v>https://resources.simonelectric.com/simon-ebook-vehiculo-electrico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ht="15.75" customHeight="1">
      <c r="A132" s="5" t="s">
        <v>222</v>
      </c>
      <c r="B132" s="5">
        <v>44003.0</v>
      </c>
      <c r="C132" s="6" t="s">
        <v>223</v>
      </c>
      <c r="D132" s="7">
        <f t="shared" si="1"/>
        <v>69</v>
      </c>
      <c r="E132" s="8" t="str">
        <f t="shared" si="2"/>
        <v>https://resources.simonelectric.com/simon-ebook-vehiculo-electrico-0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ht="15.75" customHeight="1">
      <c r="A133" s="5" t="s">
        <v>224</v>
      </c>
      <c r="B133" s="5">
        <v>44003.0</v>
      </c>
      <c r="C133" s="6" t="s">
        <v>8</v>
      </c>
      <c r="D133" s="9">
        <f t="shared" si="1"/>
        <v>67</v>
      </c>
      <c r="E133" s="8" t="str">
        <f t="shared" si="2"/>
        <v>https://resources.simonelectric.com/simon-ebook-vehiculo-electrico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ht="15.75" customHeight="1">
      <c r="A134" s="5" t="s">
        <v>225</v>
      </c>
      <c r="B134" s="5">
        <v>44003.0</v>
      </c>
      <c r="C134" s="6" t="s">
        <v>226</v>
      </c>
      <c r="D134" s="9">
        <f t="shared" si="1"/>
        <v>80</v>
      </c>
      <c r="E134" s="8" t="str">
        <f t="shared" si="2"/>
        <v>https://resources.simonelectric.com/simon-material-formativo-vehiculo-electrico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ht="15.75" customHeight="1">
      <c r="A135" s="5" t="s">
        <v>225</v>
      </c>
      <c r="B135" s="5">
        <v>44003.0</v>
      </c>
      <c r="C135" s="6" t="s">
        <v>227</v>
      </c>
      <c r="D135" s="9">
        <f t="shared" si="1"/>
        <v>80</v>
      </c>
      <c r="E135" s="8" t="str">
        <f t="shared" si="2"/>
        <v>https://resources.simonelectric.com/simon-material-formativo-vehiculo-electrico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ht="15.75" customHeight="1">
      <c r="A136" s="5" t="s">
        <v>228</v>
      </c>
      <c r="B136" s="5">
        <v>44003.0</v>
      </c>
      <c r="C136" s="6" t="s">
        <v>229</v>
      </c>
      <c r="D136" s="7">
        <f t="shared" si="1"/>
        <v>80</v>
      </c>
      <c r="E136" s="8" t="str">
        <f t="shared" si="2"/>
        <v>https://resources.simonelectric.com/simon-material-formativo-vehiculo-electrico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ht="15.75" customHeight="1">
      <c r="A137" s="5" t="s">
        <v>230</v>
      </c>
      <c r="B137" s="5">
        <v>44003.0</v>
      </c>
      <c r="C137" s="6" t="s">
        <v>231</v>
      </c>
      <c r="D137" s="9">
        <f t="shared" si="1"/>
        <v>67</v>
      </c>
      <c r="E137" s="8" t="str">
        <f t="shared" si="2"/>
        <v>https://resources.simonelectric.com/simon-ebook-vehiculo-electrico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ht="15.75" customHeight="1">
      <c r="A138" s="5" t="s">
        <v>232</v>
      </c>
      <c r="B138" s="5">
        <v>44003.0</v>
      </c>
      <c r="C138" s="6" t="s">
        <v>8</v>
      </c>
      <c r="D138" s="7">
        <f t="shared" si="1"/>
        <v>67</v>
      </c>
      <c r="E138" s="8" t="str">
        <f t="shared" si="2"/>
        <v>https://resources.simonelectric.com/simon-ebook-vehiculo-electrico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ht="15.75" customHeight="1">
      <c r="A139" s="5" t="s">
        <v>233</v>
      </c>
      <c r="B139" s="5">
        <v>44003.0</v>
      </c>
      <c r="C139" s="6" t="s">
        <v>234</v>
      </c>
      <c r="D139" s="9">
        <f t="shared" si="1"/>
        <v>80</v>
      </c>
      <c r="E139" s="8" t="str">
        <f t="shared" si="2"/>
        <v>https://resources.simonelectric.com/simon-material-formativo-vehiculo-electrico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ht="15.75" customHeight="1">
      <c r="A140" s="5" t="s">
        <v>66</v>
      </c>
      <c r="B140" s="5">
        <v>44003.0</v>
      </c>
      <c r="C140" s="6" t="s">
        <v>235</v>
      </c>
      <c r="D140" s="9">
        <f t="shared" si="1"/>
        <v>80</v>
      </c>
      <c r="E140" s="8" t="str">
        <f t="shared" si="2"/>
        <v>https://resources.simonelectric.com/simon-material-formativo-vehiculo-electrico</v>
      </c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ht="15.75" customHeight="1">
      <c r="A141" s="5" t="s">
        <v>236</v>
      </c>
      <c r="B141" s="5">
        <v>44003.0</v>
      </c>
      <c r="C141" s="6" t="s">
        <v>8</v>
      </c>
      <c r="D141" s="7">
        <f t="shared" si="1"/>
        <v>67</v>
      </c>
      <c r="E141" s="8" t="str">
        <f t="shared" si="2"/>
        <v>https://resources.simonelectric.com/simon-ebook-vehiculo-electrico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ht="15.75" customHeight="1">
      <c r="A142" s="5" t="s">
        <v>237</v>
      </c>
      <c r="B142" s="5">
        <v>44002.0</v>
      </c>
      <c r="C142" s="6" t="s">
        <v>10</v>
      </c>
      <c r="D142" s="7" t="str">
        <f t="shared" si="1"/>
        <v>https://resources.simonelectric.com/simon-catalogo-vehiculo-electrico</v>
      </c>
      <c r="E142" s="8" t="str">
        <f t="shared" si="2"/>
        <v>https://resources.simonelectric.com/simon-catalogo-vehiculo-electrico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ht="15.75" customHeight="1">
      <c r="A143" s="5" t="s">
        <v>238</v>
      </c>
      <c r="B143" s="5">
        <v>44002.0</v>
      </c>
      <c r="C143" s="6" t="s">
        <v>239</v>
      </c>
      <c r="D143" s="9">
        <f t="shared" si="1"/>
        <v>69</v>
      </c>
      <c r="E143" s="8" t="str">
        <f t="shared" si="2"/>
        <v>https://resources.simonelectric.com/simon-ebook-vehiculo-electrico-0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ht="15.75" customHeight="1">
      <c r="A144" s="5" t="s">
        <v>240</v>
      </c>
      <c r="B144" s="5">
        <v>44002.0</v>
      </c>
      <c r="C144" s="6" t="s">
        <v>241</v>
      </c>
      <c r="D144" s="7">
        <f t="shared" si="1"/>
        <v>80</v>
      </c>
      <c r="E144" s="8" t="str">
        <f t="shared" si="2"/>
        <v>https://resources.simonelectric.com/simon-material-formativo-vehiculo-electrico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ht="15.75" customHeight="1">
      <c r="A145" s="5" t="s">
        <v>242</v>
      </c>
      <c r="B145" s="5">
        <v>44002.0</v>
      </c>
      <c r="C145" s="6" t="s">
        <v>243</v>
      </c>
      <c r="D145" s="9">
        <f t="shared" si="1"/>
        <v>80</v>
      </c>
      <c r="E145" s="8" t="str">
        <f t="shared" si="2"/>
        <v>https://resources.simonelectric.com/simon-material-formativo-vehiculo-electrico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ht="15.75" customHeight="1">
      <c r="A146" s="5" t="s">
        <v>244</v>
      </c>
      <c r="B146" s="5">
        <v>44002.0</v>
      </c>
      <c r="C146" s="6" t="s">
        <v>10</v>
      </c>
      <c r="D146" s="7" t="str">
        <f t="shared" si="1"/>
        <v>https://resources.simonelectric.com/simon-catalogo-vehiculo-electrico</v>
      </c>
      <c r="E146" s="8" t="str">
        <f t="shared" si="2"/>
        <v>https://resources.simonelectric.com/simon-catalogo-vehiculo-electrico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ht="15.75" customHeight="1">
      <c r="A147" s="5" t="s">
        <v>245</v>
      </c>
      <c r="B147" s="5">
        <v>44002.0</v>
      </c>
      <c r="C147" s="6" t="s">
        <v>8</v>
      </c>
      <c r="D147" s="9">
        <f t="shared" si="1"/>
        <v>67</v>
      </c>
      <c r="E147" s="8" t="str">
        <f t="shared" si="2"/>
        <v>https://resources.simonelectric.com/simon-ebook-vehiculo-electrico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ht="15.75" customHeight="1">
      <c r="A148" s="5" t="s">
        <v>245</v>
      </c>
      <c r="B148" s="5">
        <v>44002.0</v>
      </c>
      <c r="C148" s="6" t="s">
        <v>10</v>
      </c>
      <c r="D148" s="7" t="str">
        <f t="shared" si="1"/>
        <v>https://resources.simonelectric.com/simon-catalogo-vehiculo-electrico</v>
      </c>
      <c r="E148" s="8" t="str">
        <f t="shared" si="2"/>
        <v>https://resources.simonelectric.com/simon-catalogo-vehiculo-electrico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ht="15.75" customHeight="1">
      <c r="A149" s="5" t="s">
        <v>85</v>
      </c>
      <c r="B149" s="5">
        <v>44002.0</v>
      </c>
      <c r="C149" s="6" t="s">
        <v>246</v>
      </c>
      <c r="D149" s="9">
        <f t="shared" si="1"/>
        <v>80</v>
      </c>
      <c r="E149" s="8" t="str">
        <f t="shared" si="2"/>
        <v>https://resources.simonelectric.com/simon-material-formativo-vehiculo-electrico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ht="15.75" customHeight="1">
      <c r="A150" s="5" t="s">
        <v>247</v>
      </c>
      <c r="B150" s="5">
        <v>44002.0</v>
      </c>
      <c r="C150" s="6" t="s">
        <v>248</v>
      </c>
      <c r="D150" s="7">
        <f t="shared" si="1"/>
        <v>80</v>
      </c>
      <c r="E150" s="8" t="str">
        <f t="shared" si="2"/>
        <v>https://resources.simonelectric.com/simon-material-formativo-vehiculo-electrico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ht="15.75" customHeight="1">
      <c r="A151" s="5" t="s">
        <v>96</v>
      </c>
      <c r="B151" s="5">
        <v>44002.0</v>
      </c>
      <c r="C151" s="6" t="s">
        <v>249</v>
      </c>
      <c r="D151" s="9">
        <f t="shared" si="1"/>
        <v>80</v>
      </c>
      <c r="E151" s="8" t="str">
        <f t="shared" si="2"/>
        <v>https://resources.simonelectric.com/simon-material-formativo-vehiculo-electrico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ht="15.75" customHeight="1">
      <c r="A152" s="5" t="s">
        <v>250</v>
      </c>
      <c r="B152" s="5">
        <v>44001.0</v>
      </c>
      <c r="C152" s="6" t="s">
        <v>231</v>
      </c>
      <c r="D152" s="9">
        <f t="shared" si="1"/>
        <v>67</v>
      </c>
      <c r="E152" s="8" t="str">
        <f t="shared" si="2"/>
        <v>https://resources.simonelectric.com/simon-ebook-vehiculo-electrico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ht="15.75" customHeight="1">
      <c r="A153" s="5" t="s">
        <v>251</v>
      </c>
      <c r="B153" s="5">
        <v>44001.0</v>
      </c>
      <c r="C153" s="6" t="s">
        <v>252</v>
      </c>
      <c r="D153" s="9">
        <f t="shared" si="1"/>
        <v>69</v>
      </c>
      <c r="E153" s="8" t="str">
        <f t="shared" si="2"/>
        <v>https://resources.simonelectric.com/simon-ebook-vehiculo-electrico-0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ht="15.75" customHeight="1">
      <c r="A154" s="5" t="s">
        <v>253</v>
      </c>
      <c r="B154" s="5">
        <v>44001.0</v>
      </c>
      <c r="C154" s="6" t="s">
        <v>254</v>
      </c>
      <c r="D154" s="9">
        <f t="shared" si="1"/>
        <v>71</v>
      </c>
      <c r="E154" s="8" t="str">
        <f t="shared" si="2"/>
        <v>https://resources.simonelectric.com/simon-ebook-vehiculo-electrico-ppc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ht="15.75" customHeight="1">
      <c r="A155" s="5" t="s">
        <v>115</v>
      </c>
      <c r="B155" s="5">
        <v>44001.0</v>
      </c>
      <c r="C155" s="6" t="s">
        <v>255</v>
      </c>
      <c r="D155" s="7">
        <f t="shared" si="1"/>
        <v>80</v>
      </c>
      <c r="E155" s="8" t="str">
        <f t="shared" si="2"/>
        <v>https://resources.simonelectric.com/simon-material-formativo-vehiculo-electrico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ht="15.75" customHeight="1">
      <c r="A156" s="5" t="s">
        <v>256</v>
      </c>
      <c r="B156" s="5">
        <v>44001.0</v>
      </c>
      <c r="C156" s="6" t="s">
        <v>257</v>
      </c>
      <c r="D156" s="9">
        <f t="shared" si="1"/>
        <v>70</v>
      </c>
      <c r="E156" s="8" t="str">
        <f t="shared" si="2"/>
        <v>https://resources.simonelectric.com/simon-catalogo-vehiculo-electrico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ht="15.75" customHeight="1">
      <c r="A157" s="5" t="s">
        <v>258</v>
      </c>
      <c r="B157" s="5">
        <v>44001.0</v>
      </c>
      <c r="C157" s="6" t="s">
        <v>6</v>
      </c>
      <c r="D157" s="9">
        <f t="shared" si="1"/>
        <v>67</v>
      </c>
      <c r="E157" s="8" t="str">
        <f t="shared" si="2"/>
        <v>https://resources.simonelectric.com/simon-ebook-vehiculo-electrico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ht="15.75" customHeight="1">
      <c r="A158" s="5" t="s">
        <v>259</v>
      </c>
      <c r="B158" s="5">
        <v>44001.0</v>
      </c>
      <c r="C158" s="6" t="s">
        <v>8</v>
      </c>
      <c r="D158" s="9">
        <f t="shared" si="1"/>
        <v>67</v>
      </c>
      <c r="E158" s="8" t="str">
        <f t="shared" si="2"/>
        <v>https://resources.simonelectric.com/simon-ebook-vehiculo-electrico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ht="15.75" customHeight="1">
      <c r="A159" s="5" t="s">
        <v>260</v>
      </c>
      <c r="B159" s="5">
        <v>44001.0</v>
      </c>
      <c r="C159" s="6" t="s">
        <v>31</v>
      </c>
      <c r="D159" s="9">
        <f t="shared" si="1"/>
        <v>67</v>
      </c>
      <c r="E159" s="8" t="str">
        <f t="shared" si="2"/>
        <v>https://resources.simonelectric.com/simon-ebook-vehiculo-electrico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ht="15.75" customHeight="1">
      <c r="A160" s="5" t="s">
        <v>261</v>
      </c>
      <c r="B160" s="5">
        <v>44001.0</v>
      </c>
      <c r="C160" s="6" t="s">
        <v>262</v>
      </c>
      <c r="D160" s="9">
        <f t="shared" si="1"/>
        <v>80</v>
      </c>
      <c r="E160" s="8" t="str">
        <f t="shared" si="2"/>
        <v>https://resources.simonelectric.com/simon-material-formativo-vehiculo-electrico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ht="15.75" customHeight="1">
      <c r="A161" s="5" t="s">
        <v>263</v>
      </c>
      <c r="B161" s="5">
        <v>44001.0</v>
      </c>
      <c r="C161" s="6" t="s">
        <v>264</v>
      </c>
      <c r="D161" s="9">
        <f t="shared" si="1"/>
        <v>80</v>
      </c>
      <c r="E161" s="8" t="str">
        <f t="shared" si="2"/>
        <v>https://resources.simonelectric.com/simon-material-formativo-vehiculo-electrico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ht="15.75" customHeight="1">
      <c r="A162" s="5" t="s">
        <v>161</v>
      </c>
      <c r="B162" s="5">
        <v>44001.0</v>
      </c>
      <c r="C162" s="6" t="s">
        <v>265</v>
      </c>
      <c r="D162" s="9">
        <f t="shared" si="1"/>
        <v>80</v>
      </c>
      <c r="E162" s="8" t="str">
        <f t="shared" si="2"/>
        <v>https://resources.simonelectric.com/simon-material-formativo-vehiculo-electrico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ht="15.75" customHeight="1">
      <c r="A163" s="5" t="s">
        <v>266</v>
      </c>
      <c r="B163" s="5">
        <v>44001.0</v>
      </c>
      <c r="C163" s="6" t="s">
        <v>10</v>
      </c>
      <c r="D163" s="7" t="str">
        <f t="shared" si="1"/>
        <v>https://resources.simonelectric.com/simon-catalogo-vehiculo-electrico</v>
      </c>
      <c r="E163" s="8" t="str">
        <f t="shared" si="2"/>
        <v>https://resources.simonelectric.com/simon-catalogo-vehiculo-electrico</v>
      </c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ht="15.75" customHeight="1">
      <c r="A164" s="5" t="s">
        <v>267</v>
      </c>
      <c r="B164" s="5">
        <v>44001.0</v>
      </c>
      <c r="C164" s="6" t="s">
        <v>268</v>
      </c>
      <c r="D164" s="9">
        <f t="shared" si="1"/>
        <v>80</v>
      </c>
      <c r="E164" s="8" t="str">
        <f t="shared" si="2"/>
        <v>https://resources.simonelectric.com/simon-material-formativo-vehiculo-electrico</v>
      </c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ht="15.75" customHeight="1">
      <c r="A165" s="5" t="s">
        <v>269</v>
      </c>
      <c r="B165" s="5">
        <v>44001.0</v>
      </c>
      <c r="C165" s="6" t="s">
        <v>39</v>
      </c>
      <c r="D165" s="9">
        <f t="shared" si="1"/>
        <v>71</v>
      </c>
      <c r="E165" s="8" t="str">
        <f t="shared" si="2"/>
        <v>https://resources.simonelectric.com/simon-ebook-vehiculo-electrico-ppc</v>
      </c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ht="15.75" customHeight="1">
      <c r="A166" s="5" t="s">
        <v>270</v>
      </c>
      <c r="B166" s="5">
        <v>44001.0</v>
      </c>
      <c r="C166" s="6" t="s">
        <v>271</v>
      </c>
      <c r="D166" s="9">
        <f t="shared" si="1"/>
        <v>70</v>
      </c>
      <c r="E166" s="8" t="str">
        <f t="shared" si="2"/>
        <v>https://resources.simonelectric.com/simon-catalogo-vehiculo-electrico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ht="15.75" customHeight="1">
      <c r="A167" s="5" t="s">
        <v>272</v>
      </c>
      <c r="B167" s="5">
        <v>44001.0</v>
      </c>
      <c r="C167" s="6" t="s">
        <v>273</v>
      </c>
      <c r="D167" s="9">
        <f t="shared" si="1"/>
        <v>70</v>
      </c>
      <c r="E167" s="8" t="str">
        <f t="shared" si="2"/>
        <v>https://resources.simonelectric.com/simon-catalogo-vehiculo-electrico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ht="15.75" customHeight="1">
      <c r="A168" s="5" t="s">
        <v>274</v>
      </c>
      <c r="B168" s="5">
        <v>44001.0</v>
      </c>
      <c r="C168" s="6" t="s">
        <v>10</v>
      </c>
      <c r="D168" s="7" t="str">
        <f t="shared" si="1"/>
        <v>https://resources.simonelectric.com/simon-catalogo-vehiculo-electrico</v>
      </c>
      <c r="E168" s="8" t="str">
        <f t="shared" si="2"/>
        <v>https://resources.simonelectric.com/simon-catalogo-vehiculo-electrico</v>
      </c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ht="15.75" customHeight="1">
      <c r="A169" s="5" t="s">
        <v>275</v>
      </c>
      <c r="B169" s="5">
        <v>44001.0</v>
      </c>
      <c r="C169" s="6" t="s">
        <v>276</v>
      </c>
      <c r="D169" s="9">
        <f t="shared" si="1"/>
        <v>80</v>
      </c>
      <c r="E169" s="8" t="str">
        <f t="shared" si="2"/>
        <v>https://resources.simonelectric.com/simon-material-formativo-vehiculo-electrico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ht="15.75" customHeight="1">
      <c r="A170" s="5" t="s">
        <v>277</v>
      </c>
      <c r="B170" s="5">
        <v>44001.0</v>
      </c>
      <c r="C170" s="6" t="s">
        <v>10</v>
      </c>
      <c r="D170" s="7" t="str">
        <f t="shared" si="1"/>
        <v>https://resources.simonelectric.com/simon-catalogo-vehiculo-electrico</v>
      </c>
      <c r="E170" s="8" t="str">
        <f t="shared" si="2"/>
        <v>https://resources.simonelectric.com/simon-catalogo-vehiculo-electrico</v>
      </c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ht="15.75" customHeight="1">
      <c r="A171" s="5" t="s">
        <v>277</v>
      </c>
      <c r="B171" s="5">
        <v>44001.0</v>
      </c>
      <c r="C171" s="6" t="s">
        <v>8</v>
      </c>
      <c r="D171" s="9">
        <f t="shared" si="1"/>
        <v>67</v>
      </c>
      <c r="E171" s="8" t="str">
        <f t="shared" si="2"/>
        <v>https://resources.simonelectric.com/simon-ebook-vehiculo-electrico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ht="15.75" customHeight="1">
      <c r="A172" s="5" t="s">
        <v>278</v>
      </c>
      <c r="B172" s="5">
        <v>44001.0</v>
      </c>
      <c r="C172" s="6" t="s">
        <v>279</v>
      </c>
      <c r="D172" s="9">
        <f t="shared" si="1"/>
        <v>80</v>
      </c>
      <c r="E172" s="8" t="str">
        <f t="shared" si="2"/>
        <v>https://resources.simonelectric.com/simon-material-formativo-vehiculo-electrico</v>
      </c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ht="15.75" customHeight="1">
      <c r="A173" s="5" t="s">
        <v>280</v>
      </c>
      <c r="B173" s="5">
        <v>44001.0</v>
      </c>
      <c r="C173" s="6" t="s">
        <v>281</v>
      </c>
      <c r="D173" s="9">
        <f t="shared" si="1"/>
        <v>80</v>
      </c>
      <c r="E173" s="8" t="str">
        <f t="shared" si="2"/>
        <v>https://resources.simonelectric.com/simon-material-formativo-vehiculo-electrico</v>
      </c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ht="15.75" customHeight="1">
      <c r="A174" s="5" t="s">
        <v>282</v>
      </c>
      <c r="B174" s="5">
        <v>44001.0</v>
      </c>
      <c r="C174" s="6" t="s">
        <v>283</v>
      </c>
      <c r="D174" s="9">
        <f t="shared" si="1"/>
        <v>80</v>
      </c>
      <c r="E174" s="8" t="str">
        <f t="shared" si="2"/>
        <v>https://resources.simonelectric.com/simon-material-formativo-vehiculo-electrico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ht="15.75" customHeight="1">
      <c r="A175" s="5" t="s">
        <v>284</v>
      </c>
      <c r="B175" s="5">
        <v>44001.0</v>
      </c>
      <c r="C175" s="6" t="s">
        <v>285</v>
      </c>
      <c r="D175" s="9">
        <f t="shared" si="1"/>
        <v>70</v>
      </c>
      <c r="E175" s="8" t="str">
        <f t="shared" si="2"/>
        <v>https://resources.simonelectric.com/simon-catalogo-vehiculo-electrico</v>
      </c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ht="15.75" customHeight="1">
      <c r="A176" s="5" t="s">
        <v>198</v>
      </c>
      <c r="B176" s="5">
        <v>44001.0</v>
      </c>
      <c r="C176" s="6" t="s">
        <v>286</v>
      </c>
      <c r="D176" s="9">
        <f t="shared" si="1"/>
        <v>80</v>
      </c>
      <c r="E176" s="8" t="str">
        <f t="shared" si="2"/>
        <v>https://resources.simonelectric.com/simon-material-formativo-vehiculo-electrico</v>
      </c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ht="15.75" customHeight="1">
      <c r="A177" s="5" t="s">
        <v>287</v>
      </c>
      <c r="B177" s="5">
        <v>44001.0</v>
      </c>
      <c r="C177" s="6" t="s">
        <v>8</v>
      </c>
      <c r="D177" s="9">
        <f t="shared" si="1"/>
        <v>67</v>
      </c>
      <c r="E177" s="8" t="str">
        <f t="shared" si="2"/>
        <v>https://resources.simonelectric.com/simon-ebook-vehiculo-electrico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ht="15.75" customHeight="1">
      <c r="A178" s="5" t="s">
        <v>288</v>
      </c>
      <c r="B178" s="5">
        <v>44001.0</v>
      </c>
      <c r="C178" s="6" t="s">
        <v>289</v>
      </c>
      <c r="D178" s="9">
        <f t="shared" si="1"/>
        <v>80</v>
      </c>
      <c r="E178" s="8" t="str">
        <f t="shared" si="2"/>
        <v>https://resources.simonelectric.com/simon-material-formativo-vehiculo-electrico</v>
      </c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ht="15.75" customHeight="1">
      <c r="A179" s="5" t="s">
        <v>74</v>
      </c>
      <c r="B179" s="5">
        <v>44001.0</v>
      </c>
      <c r="C179" s="6" t="s">
        <v>290</v>
      </c>
      <c r="D179" s="9">
        <f t="shared" si="1"/>
        <v>80</v>
      </c>
      <c r="E179" s="8" t="str">
        <f t="shared" si="2"/>
        <v>https://resources.simonelectric.com/simon-material-formativo-vehiculo-electrico</v>
      </c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ht="15.75" customHeight="1">
      <c r="A180" s="5" t="s">
        <v>287</v>
      </c>
      <c r="B180" s="5">
        <v>44001.0</v>
      </c>
      <c r="C180" s="6" t="s">
        <v>291</v>
      </c>
      <c r="D180" s="9">
        <f t="shared" si="1"/>
        <v>80</v>
      </c>
      <c r="E180" s="8" t="str">
        <f t="shared" si="2"/>
        <v>https://resources.simonelectric.com/simon-material-formativo-vehiculo-electrico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ht="15.75" customHeight="1">
      <c r="A181" s="5" t="s">
        <v>292</v>
      </c>
      <c r="B181" s="5">
        <v>44001.0</v>
      </c>
      <c r="C181" s="6" t="s">
        <v>293</v>
      </c>
      <c r="D181" s="9">
        <f t="shared" si="1"/>
        <v>80</v>
      </c>
      <c r="E181" s="8" t="str">
        <f t="shared" si="2"/>
        <v>https://resources.simonelectric.com/simon-material-formativo-vehiculo-electrico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ht="15.75" customHeight="1">
      <c r="A182" s="5" t="s">
        <v>294</v>
      </c>
      <c r="B182" s="5">
        <v>44001.0</v>
      </c>
      <c r="C182" s="6" t="s">
        <v>295</v>
      </c>
      <c r="D182" s="9">
        <f t="shared" si="1"/>
        <v>70</v>
      </c>
      <c r="E182" s="8" t="str">
        <f t="shared" si="2"/>
        <v>https://resources.simonelectric.com/simon-catalogo-vehiculo-electrico</v>
      </c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ht="15.75" customHeight="1">
      <c r="A183" s="5" t="s">
        <v>296</v>
      </c>
      <c r="B183" s="5">
        <v>44001.0</v>
      </c>
      <c r="C183" s="6" t="s">
        <v>297</v>
      </c>
      <c r="D183" s="9">
        <f t="shared" si="1"/>
        <v>80</v>
      </c>
      <c r="E183" s="8" t="str">
        <f t="shared" si="2"/>
        <v>https://resources.simonelectric.com/simon-material-formativo-vehiculo-electrico</v>
      </c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ht="15.75" customHeight="1">
      <c r="A184" s="5" t="s">
        <v>298</v>
      </c>
      <c r="B184" s="5">
        <v>44001.0</v>
      </c>
      <c r="C184" s="6" t="s">
        <v>299</v>
      </c>
      <c r="D184" s="7" t="str">
        <f t="shared" si="1"/>
        <v>https://resources.simonelectric.com/simon-material-formativo-vehiculo-electrico</v>
      </c>
      <c r="E184" s="8" t="str">
        <f t="shared" si="2"/>
        <v>https://resources.simonelectric.com/simon-material-formativo-vehiculo-electrico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ht="15.75" customHeight="1">
      <c r="A185" s="5" t="s">
        <v>300</v>
      </c>
      <c r="B185" s="5">
        <v>44001.0</v>
      </c>
      <c r="C185" s="6" t="s">
        <v>39</v>
      </c>
      <c r="D185" s="9">
        <f t="shared" si="1"/>
        <v>71</v>
      </c>
      <c r="E185" s="8" t="str">
        <f t="shared" si="2"/>
        <v>https://resources.simonelectric.com/simon-ebook-vehiculo-electrico-ppc</v>
      </c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ht="15.75" customHeight="1">
      <c r="A186" s="5" t="s">
        <v>301</v>
      </c>
      <c r="B186" s="5">
        <v>44001.0</v>
      </c>
      <c r="C186" s="6" t="s">
        <v>302</v>
      </c>
      <c r="D186" s="9">
        <f t="shared" si="1"/>
        <v>80</v>
      </c>
      <c r="E186" s="8" t="str">
        <f t="shared" si="2"/>
        <v>https://resources.simonelectric.com/simon-material-formativo-vehiculo-electrico</v>
      </c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ht="15.75" customHeight="1">
      <c r="A187" s="5" t="s">
        <v>109</v>
      </c>
      <c r="B187" s="5">
        <v>44001.0</v>
      </c>
      <c r="C187" s="6" t="s">
        <v>303</v>
      </c>
      <c r="D187" s="9">
        <f t="shared" si="1"/>
        <v>80</v>
      </c>
      <c r="E187" s="8" t="str">
        <f t="shared" si="2"/>
        <v>https://resources.simonelectric.com/simon-material-formativo-vehiculo-electrico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ht="15.75" customHeight="1">
      <c r="A188" s="5" t="s">
        <v>147</v>
      </c>
      <c r="B188" s="5">
        <v>44001.0</v>
      </c>
      <c r="C188" s="6" t="s">
        <v>304</v>
      </c>
      <c r="D188" s="9">
        <f t="shared" si="1"/>
        <v>80</v>
      </c>
      <c r="E188" s="8" t="str">
        <f t="shared" si="2"/>
        <v>https://resources.simonelectric.com/simon-material-formativo-vehiculo-electrico</v>
      </c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ht="15.75" customHeight="1">
      <c r="A189" s="5" t="s">
        <v>141</v>
      </c>
      <c r="B189" s="5">
        <v>44001.0</v>
      </c>
      <c r="C189" s="6" t="s">
        <v>305</v>
      </c>
      <c r="D189" s="9">
        <f t="shared" si="1"/>
        <v>80</v>
      </c>
      <c r="E189" s="8" t="str">
        <f t="shared" si="2"/>
        <v>https://resources.simonelectric.com/simon-material-formativo-vehiculo-electrico</v>
      </c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ht="15.75" customHeight="1">
      <c r="A190" s="5" t="s">
        <v>306</v>
      </c>
      <c r="B190" s="5">
        <v>44001.0</v>
      </c>
      <c r="C190" s="6" t="s">
        <v>307</v>
      </c>
      <c r="D190" s="9">
        <f t="shared" si="1"/>
        <v>80</v>
      </c>
      <c r="E190" s="8" t="str">
        <f t="shared" si="2"/>
        <v>https://resources.simonelectric.com/simon-material-formativo-vehiculo-electrico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ht="15.75" customHeight="1">
      <c r="A191" s="5" t="s">
        <v>308</v>
      </c>
      <c r="B191" s="5">
        <v>44001.0</v>
      </c>
      <c r="C191" s="6" t="s">
        <v>309</v>
      </c>
      <c r="D191" s="9">
        <f t="shared" si="1"/>
        <v>80</v>
      </c>
      <c r="E191" s="8" t="str">
        <f t="shared" si="2"/>
        <v>https://resources.simonelectric.com/simon-material-formativo-vehiculo-electrico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ht="15.75" customHeight="1">
      <c r="A192" s="5" t="s">
        <v>310</v>
      </c>
      <c r="B192" s="5">
        <v>44001.0</v>
      </c>
      <c r="C192" s="6" t="s">
        <v>311</v>
      </c>
      <c r="D192" s="9">
        <f t="shared" si="1"/>
        <v>70</v>
      </c>
      <c r="E192" s="8" t="str">
        <f t="shared" si="2"/>
        <v>https://resources.simonelectric.com/simon-catalogo-vehiculo-electrico</v>
      </c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ht="15.75" customHeight="1">
      <c r="A193" s="5" t="s">
        <v>194</v>
      </c>
      <c r="B193" s="5">
        <v>44001.0</v>
      </c>
      <c r="C193" s="6" t="s">
        <v>312</v>
      </c>
      <c r="D193" s="9">
        <f t="shared" si="1"/>
        <v>80</v>
      </c>
      <c r="E193" s="8" t="str">
        <f t="shared" si="2"/>
        <v>https://resources.simonelectric.com/simon-material-formativo-vehiculo-electrico</v>
      </c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ht="15.75" customHeight="1">
      <c r="A194" s="5" t="s">
        <v>176</v>
      </c>
      <c r="B194" s="5">
        <v>44001.0</v>
      </c>
      <c r="C194" s="6" t="s">
        <v>313</v>
      </c>
      <c r="D194" s="9">
        <f t="shared" si="1"/>
        <v>80</v>
      </c>
      <c r="E194" s="8" t="str">
        <f t="shared" si="2"/>
        <v>https://resources.simonelectric.com/simon-material-formativo-vehiculo-electrico</v>
      </c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ht="15.75" customHeight="1">
      <c r="A195" s="5" t="s">
        <v>314</v>
      </c>
      <c r="B195" s="5">
        <v>44001.0</v>
      </c>
      <c r="C195" s="6" t="s">
        <v>315</v>
      </c>
      <c r="D195" s="9">
        <f t="shared" si="1"/>
        <v>80</v>
      </c>
      <c r="E195" s="8" t="str">
        <f t="shared" si="2"/>
        <v>https://resources.simonelectric.com/simon-material-formativo-vehiculo-electrico</v>
      </c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ht="15.75" customHeight="1">
      <c r="A196" s="5" t="s">
        <v>80</v>
      </c>
      <c r="B196" s="5">
        <v>44001.0</v>
      </c>
      <c r="C196" s="6" t="s">
        <v>316</v>
      </c>
      <c r="D196" s="7">
        <f t="shared" si="1"/>
        <v>80</v>
      </c>
      <c r="E196" s="8" t="str">
        <f t="shared" si="2"/>
        <v>https://resources.simonelectric.com/simon-material-formativo-vehiculo-electrico</v>
      </c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ht="15.75" customHeight="1">
      <c r="A197" s="5" t="s">
        <v>300</v>
      </c>
      <c r="B197" s="5">
        <v>44001.0</v>
      </c>
      <c r="C197" s="6" t="s">
        <v>39</v>
      </c>
      <c r="D197" s="9">
        <f t="shared" si="1"/>
        <v>71</v>
      </c>
      <c r="E197" s="8" t="str">
        <f t="shared" si="2"/>
        <v>https://resources.simonelectric.com/simon-ebook-vehiculo-electrico-ppc</v>
      </c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ht="15.75" customHeight="1">
      <c r="A198" s="5" t="s">
        <v>317</v>
      </c>
      <c r="B198" s="5">
        <v>44001.0</v>
      </c>
      <c r="C198" s="6" t="s">
        <v>318</v>
      </c>
      <c r="D198" s="9">
        <f t="shared" si="1"/>
        <v>80</v>
      </c>
      <c r="E198" s="8" t="str">
        <f t="shared" si="2"/>
        <v>https://resources.simonelectric.com/simon-material-formativo-vehiculo-electrico</v>
      </c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ht="15.75" customHeight="1">
      <c r="A199" s="5" t="s">
        <v>192</v>
      </c>
      <c r="B199" s="5">
        <v>44001.0</v>
      </c>
      <c r="C199" s="6" t="s">
        <v>319</v>
      </c>
      <c r="D199" s="9">
        <f t="shared" si="1"/>
        <v>80</v>
      </c>
      <c r="E199" s="8" t="str">
        <f t="shared" si="2"/>
        <v>https://resources.simonelectric.com/simon-material-formativo-vehiculo-electrico</v>
      </c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ht="15.75" customHeight="1">
      <c r="A200" s="5" t="s">
        <v>81</v>
      </c>
      <c r="B200" s="5">
        <v>44001.0</v>
      </c>
      <c r="C200" s="6" t="s">
        <v>320</v>
      </c>
      <c r="D200" s="9">
        <f t="shared" si="1"/>
        <v>80</v>
      </c>
      <c r="E200" s="8" t="str">
        <f t="shared" si="2"/>
        <v>https://resources.simonelectric.com/simon-material-formativo-vehiculo-electrico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ht="15.75" customHeight="1">
      <c r="A201" s="5" t="s">
        <v>135</v>
      </c>
      <c r="B201" s="5">
        <v>44001.0</v>
      </c>
      <c r="C201" s="6" t="s">
        <v>321</v>
      </c>
      <c r="D201" s="9">
        <f t="shared" si="1"/>
        <v>80</v>
      </c>
      <c r="E201" s="8" t="str">
        <f t="shared" si="2"/>
        <v>https://resources.simonelectric.com/simon-material-formativo-vehiculo-electrico</v>
      </c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ht="15.75" customHeight="1">
      <c r="A202" s="5" t="s">
        <v>127</v>
      </c>
      <c r="B202" s="5">
        <v>44001.0</v>
      </c>
      <c r="C202" s="6" t="s">
        <v>322</v>
      </c>
      <c r="D202" s="9">
        <f t="shared" si="1"/>
        <v>80</v>
      </c>
      <c r="E202" s="8" t="str">
        <f t="shared" si="2"/>
        <v>https://resources.simonelectric.com/simon-material-formativo-vehiculo-electrico</v>
      </c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ht="15.75" customHeight="1">
      <c r="A203" s="5" t="s">
        <v>323</v>
      </c>
      <c r="B203" s="5">
        <v>44001.0</v>
      </c>
      <c r="C203" s="6" t="s">
        <v>324</v>
      </c>
      <c r="D203" s="9">
        <f t="shared" si="1"/>
        <v>80</v>
      </c>
      <c r="E203" s="8" t="str">
        <f t="shared" si="2"/>
        <v>https://resources.simonelectric.com/simon-material-formativo-vehiculo-electrico</v>
      </c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ht="15.75" customHeight="1">
      <c r="A204" s="5" t="s">
        <v>325</v>
      </c>
      <c r="B204" s="5">
        <v>44001.0</v>
      </c>
      <c r="C204" s="6" t="s">
        <v>326</v>
      </c>
      <c r="D204" s="9">
        <f t="shared" si="1"/>
        <v>70</v>
      </c>
      <c r="E204" s="8" t="str">
        <f t="shared" si="2"/>
        <v>https://resources.simonelectric.com/simon-catalogo-vehiculo-electrico</v>
      </c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ht="15.75" customHeight="1">
      <c r="A205" s="5" t="s">
        <v>327</v>
      </c>
      <c r="B205" s="5">
        <v>44001.0</v>
      </c>
      <c r="C205" s="6" t="s">
        <v>328</v>
      </c>
      <c r="D205" s="9">
        <f t="shared" si="1"/>
        <v>70</v>
      </c>
      <c r="E205" s="8" t="str">
        <f t="shared" si="2"/>
        <v>https://resources.simonelectric.com/simon-catalogo-vehiculo-electrico</v>
      </c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ht="15.75" customHeight="1">
      <c r="A206" s="5" t="s">
        <v>329</v>
      </c>
      <c r="B206" s="5">
        <v>44001.0</v>
      </c>
      <c r="C206" s="6" t="s">
        <v>330</v>
      </c>
      <c r="D206" s="9">
        <f t="shared" si="1"/>
        <v>70</v>
      </c>
      <c r="E206" s="8" t="str">
        <f t="shared" si="2"/>
        <v>https://resources.simonelectric.com/simon-catalogo-vehiculo-electrico</v>
      </c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ht="15.75" customHeight="1">
      <c r="A207" s="5" t="s">
        <v>186</v>
      </c>
      <c r="B207" s="5">
        <v>44001.0</v>
      </c>
      <c r="C207" s="6" t="s">
        <v>331</v>
      </c>
      <c r="D207" s="9">
        <f t="shared" si="1"/>
        <v>80</v>
      </c>
      <c r="E207" s="8" t="str">
        <f t="shared" si="2"/>
        <v>https://resources.simonelectric.com/simon-material-formativo-vehiculo-electrico</v>
      </c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ht="15.75" customHeight="1">
      <c r="A208" s="5" t="s">
        <v>332</v>
      </c>
      <c r="B208" s="5">
        <v>44001.0</v>
      </c>
      <c r="C208" s="6" t="s">
        <v>333</v>
      </c>
      <c r="D208" s="9">
        <f t="shared" si="1"/>
        <v>70</v>
      </c>
      <c r="E208" s="8" t="str">
        <f t="shared" si="2"/>
        <v>https://resources.simonelectric.com/simon-catalogo-vehiculo-electrico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ht="15.75" customHeight="1">
      <c r="A209" s="5" t="s">
        <v>334</v>
      </c>
      <c r="B209" s="5">
        <v>44001.0</v>
      </c>
      <c r="C209" s="6" t="s">
        <v>335</v>
      </c>
      <c r="D209" s="9">
        <f t="shared" si="1"/>
        <v>70</v>
      </c>
      <c r="E209" s="8" t="str">
        <f t="shared" si="2"/>
        <v>https://resources.simonelectric.com/simon-catalogo-vehiculo-electrico</v>
      </c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ht="15.75" customHeight="1">
      <c r="A210" s="5" t="s">
        <v>336</v>
      </c>
      <c r="B210" s="5">
        <v>44001.0</v>
      </c>
      <c r="C210" s="6" t="s">
        <v>337</v>
      </c>
      <c r="D210" s="9">
        <f t="shared" si="1"/>
        <v>70</v>
      </c>
      <c r="E210" s="8" t="str">
        <f t="shared" si="2"/>
        <v>https://resources.simonelectric.com/simon-catalogo-vehiculo-electrico</v>
      </c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ht="15.75" customHeight="1">
      <c r="A211" s="5" t="s">
        <v>338</v>
      </c>
      <c r="B211" s="5">
        <v>44001.0</v>
      </c>
      <c r="C211" s="6" t="s">
        <v>339</v>
      </c>
      <c r="D211" s="9">
        <f t="shared" si="1"/>
        <v>80</v>
      </c>
      <c r="E211" s="8" t="str">
        <f t="shared" si="2"/>
        <v>https://resources.simonelectric.com/simon-material-formativo-vehiculo-electrico</v>
      </c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ht="15.75" customHeight="1">
      <c r="A212" s="5" t="s">
        <v>165</v>
      </c>
      <c r="B212" s="5">
        <v>44001.0</v>
      </c>
      <c r="C212" s="6" t="s">
        <v>340</v>
      </c>
      <c r="D212" s="9">
        <f t="shared" si="1"/>
        <v>80</v>
      </c>
      <c r="E212" s="8" t="str">
        <f t="shared" si="2"/>
        <v>https://resources.simonelectric.com/simon-material-formativo-vehiculo-electrico</v>
      </c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ht="15.75" customHeight="1">
      <c r="A213" s="5" t="s">
        <v>208</v>
      </c>
      <c r="B213" s="5">
        <v>44001.0</v>
      </c>
      <c r="C213" s="6" t="s">
        <v>341</v>
      </c>
      <c r="D213" s="9">
        <f t="shared" si="1"/>
        <v>80</v>
      </c>
      <c r="E213" s="8" t="str">
        <f t="shared" si="2"/>
        <v>https://resources.simonelectric.com/simon-material-formativo-vehiculo-electrico</v>
      </c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ht="15.75" customHeight="1">
      <c r="A214" s="5" t="s">
        <v>218</v>
      </c>
      <c r="B214" s="5">
        <v>44001.0</v>
      </c>
      <c r="C214" s="6" t="s">
        <v>342</v>
      </c>
      <c r="D214" s="9">
        <f t="shared" si="1"/>
        <v>80</v>
      </c>
      <c r="E214" s="8" t="str">
        <f t="shared" si="2"/>
        <v>https://resources.simonelectric.com/simon-material-formativo-vehiculo-electrico</v>
      </c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ht="15.75" customHeight="1">
      <c r="A215" s="5" t="s">
        <v>343</v>
      </c>
      <c r="B215" s="5">
        <v>44000.0</v>
      </c>
      <c r="C215" s="6" t="s">
        <v>344</v>
      </c>
      <c r="D215" s="9">
        <f t="shared" si="1"/>
        <v>80</v>
      </c>
      <c r="E215" s="8" t="str">
        <f t="shared" si="2"/>
        <v>https://resources.simonelectric.com/simon-material-formativo-vehiculo-electrico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ht="15.75" customHeight="1">
      <c r="A216" s="5" t="s">
        <v>182</v>
      </c>
      <c r="B216" s="5">
        <v>44000.0</v>
      </c>
      <c r="C216" s="6" t="s">
        <v>345</v>
      </c>
      <c r="D216" s="9">
        <f t="shared" si="1"/>
        <v>80</v>
      </c>
      <c r="E216" s="8" t="str">
        <f t="shared" si="2"/>
        <v>https://resources.simonelectric.com/simon-material-formativo-vehiculo-electrico</v>
      </c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ht="15.75" customHeight="1">
      <c r="A217" s="5" t="s">
        <v>288</v>
      </c>
      <c r="B217" s="5">
        <v>44000.0</v>
      </c>
      <c r="C217" s="6" t="s">
        <v>346</v>
      </c>
      <c r="D217" s="9">
        <f t="shared" si="1"/>
        <v>80</v>
      </c>
      <c r="E217" s="8" t="str">
        <f t="shared" si="2"/>
        <v>https://resources.simonelectric.com/simon-material-formativo-vehiculo-electrico</v>
      </c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ht="15.75" customHeight="1">
      <c r="A218" s="5" t="s">
        <v>163</v>
      </c>
      <c r="B218" s="5">
        <v>44000.0</v>
      </c>
      <c r="C218" s="6" t="s">
        <v>347</v>
      </c>
      <c r="D218" s="9">
        <f t="shared" si="1"/>
        <v>80</v>
      </c>
      <c r="E218" s="8" t="str">
        <f t="shared" si="2"/>
        <v>https://resources.simonelectric.com/simon-material-formativo-vehiculo-electrico</v>
      </c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ht="15.75" customHeight="1">
      <c r="A219" s="5" t="s">
        <v>348</v>
      </c>
      <c r="B219" s="5">
        <v>44000.0</v>
      </c>
      <c r="C219" s="6" t="s">
        <v>349</v>
      </c>
      <c r="D219" s="9">
        <f t="shared" si="1"/>
        <v>80</v>
      </c>
      <c r="E219" s="8" t="str">
        <f t="shared" si="2"/>
        <v>https://resources.simonelectric.com/simon-material-formativo-vehiculo-electrico</v>
      </c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ht="15.75" customHeight="1">
      <c r="A220" s="5" t="s">
        <v>350</v>
      </c>
      <c r="B220" s="5">
        <v>44000.0</v>
      </c>
      <c r="C220" s="6" t="s">
        <v>351</v>
      </c>
      <c r="D220" s="9">
        <f t="shared" si="1"/>
        <v>80</v>
      </c>
      <c r="E220" s="8" t="str">
        <f t="shared" si="2"/>
        <v>https://resources.simonelectric.com/simon-material-formativo-vehiculo-electrico</v>
      </c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ht="15.75" customHeight="1">
      <c r="A221" s="5" t="s">
        <v>352</v>
      </c>
      <c r="B221" s="5">
        <v>44000.0</v>
      </c>
      <c r="C221" s="6" t="s">
        <v>353</v>
      </c>
      <c r="D221" s="9">
        <f t="shared" si="1"/>
        <v>80</v>
      </c>
      <c r="E221" s="8" t="str">
        <f t="shared" si="2"/>
        <v>https://resources.simonelectric.com/simon-material-formativo-vehiculo-electrico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ht="15.75" customHeight="1">
      <c r="A222" s="5" t="s">
        <v>151</v>
      </c>
      <c r="B222" s="5">
        <v>44000.0</v>
      </c>
      <c r="C222" s="6" t="s">
        <v>354</v>
      </c>
      <c r="D222" s="9">
        <f t="shared" si="1"/>
        <v>80</v>
      </c>
      <c r="E222" s="8" t="str">
        <f t="shared" si="2"/>
        <v>https://resources.simonelectric.com/simon-material-formativo-vehiculo-electrico</v>
      </c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ht="15.75" customHeight="1">
      <c r="A223" s="5" t="s">
        <v>355</v>
      </c>
      <c r="B223" s="5">
        <v>44000.0</v>
      </c>
      <c r="C223" s="6" t="s">
        <v>356</v>
      </c>
      <c r="D223" s="9">
        <f t="shared" si="1"/>
        <v>80</v>
      </c>
      <c r="E223" s="8" t="str">
        <f t="shared" si="2"/>
        <v>https://resources.simonelectric.com/simon-material-formativo-vehiculo-electrico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ht="15.75" customHeight="1">
      <c r="A224" s="5" t="s">
        <v>357</v>
      </c>
      <c r="B224" s="5">
        <v>44000.0</v>
      </c>
      <c r="C224" s="6" t="s">
        <v>358</v>
      </c>
      <c r="D224" s="9">
        <f t="shared" si="1"/>
        <v>80</v>
      </c>
      <c r="E224" s="8" t="str">
        <f t="shared" si="2"/>
        <v>https://resources.simonelectric.com/simon-material-formativo-vehiculo-electrico</v>
      </c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ht="15.75" customHeight="1">
      <c r="A225" s="5" t="s">
        <v>184</v>
      </c>
      <c r="B225" s="5">
        <v>44000.0</v>
      </c>
      <c r="C225" s="6" t="s">
        <v>359</v>
      </c>
      <c r="D225" s="9">
        <f t="shared" si="1"/>
        <v>80</v>
      </c>
      <c r="E225" s="8" t="str">
        <f t="shared" si="2"/>
        <v>https://resources.simonelectric.com/simon-material-formativo-vehiculo-electrico</v>
      </c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ht="15.75" customHeight="1">
      <c r="A226" s="5" t="s">
        <v>157</v>
      </c>
      <c r="B226" s="5">
        <v>44000.0</v>
      </c>
      <c r="C226" s="6" t="s">
        <v>360</v>
      </c>
      <c r="D226" s="9">
        <f t="shared" si="1"/>
        <v>80</v>
      </c>
      <c r="E226" s="8" t="str">
        <f t="shared" si="2"/>
        <v>https://resources.simonelectric.com/simon-material-formativo-vehiculo-electrico</v>
      </c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ht="15.75" customHeight="1">
      <c r="A227" s="5" t="s">
        <v>361</v>
      </c>
      <c r="B227" s="5">
        <v>44000.0</v>
      </c>
      <c r="C227" s="6" t="s">
        <v>362</v>
      </c>
      <c r="D227" s="9">
        <f t="shared" si="1"/>
        <v>80</v>
      </c>
      <c r="E227" s="8" t="str">
        <f t="shared" si="2"/>
        <v>https://resources.simonelectric.com/simon-material-formativo-vehiculo-electrico</v>
      </c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ht="15.75" customHeight="1">
      <c r="A228" s="5" t="s">
        <v>361</v>
      </c>
      <c r="B228" s="5">
        <v>44000.0</v>
      </c>
      <c r="C228" s="6" t="s">
        <v>363</v>
      </c>
      <c r="D228" s="9">
        <f t="shared" si="1"/>
        <v>80</v>
      </c>
      <c r="E228" s="8" t="str">
        <f t="shared" si="2"/>
        <v>https://resources.simonelectric.com/simon-material-formativo-vehiculo-electrico</v>
      </c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ht="15.75" customHeight="1">
      <c r="A229" s="5" t="s">
        <v>364</v>
      </c>
      <c r="B229" s="5">
        <v>44000.0</v>
      </c>
      <c r="C229" s="6" t="s">
        <v>365</v>
      </c>
      <c r="D229" s="9">
        <f t="shared" si="1"/>
        <v>80</v>
      </c>
      <c r="E229" s="8" t="str">
        <f t="shared" si="2"/>
        <v>https://resources.simonelectric.com/simon-material-formativo-vehiculo-electrico</v>
      </c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ht="15.75" customHeight="1">
      <c r="A230" s="5" t="s">
        <v>366</v>
      </c>
      <c r="B230" s="5">
        <v>44000.0</v>
      </c>
      <c r="C230" s="6" t="s">
        <v>367</v>
      </c>
      <c r="D230" s="9">
        <f t="shared" si="1"/>
        <v>80</v>
      </c>
      <c r="E230" s="8" t="str">
        <f t="shared" si="2"/>
        <v>https://resources.simonelectric.com/simon-material-formativo-vehiculo-electrico</v>
      </c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ht="15.75" customHeight="1">
      <c r="A231" s="5" t="s">
        <v>368</v>
      </c>
      <c r="B231" s="5">
        <v>44000.0</v>
      </c>
      <c r="C231" s="6" t="s">
        <v>10</v>
      </c>
      <c r="D231" s="7" t="str">
        <f t="shared" si="1"/>
        <v>https://resources.simonelectric.com/simon-catalogo-vehiculo-electrico</v>
      </c>
      <c r="E231" s="8" t="str">
        <f t="shared" si="2"/>
        <v>https://resources.simonelectric.com/simon-catalogo-vehiculo-electrico</v>
      </c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ht="15.75" customHeight="1">
      <c r="A232" s="5" t="s">
        <v>188</v>
      </c>
      <c r="B232" s="5">
        <v>44000.0</v>
      </c>
      <c r="C232" s="6" t="s">
        <v>369</v>
      </c>
      <c r="D232" s="9">
        <f t="shared" si="1"/>
        <v>80</v>
      </c>
      <c r="E232" s="8" t="str">
        <f t="shared" si="2"/>
        <v>https://resources.simonelectric.com/simon-material-formativo-vehiculo-electrico</v>
      </c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ht="15.75" customHeight="1">
      <c r="A233" s="5" t="s">
        <v>370</v>
      </c>
      <c r="B233" s="5">
        <v>44000.0</v>
      </c>
      <c r="C233" s="6" t="s">
        <v>371</v>
      </c>
      <c r="D233" s="9">
        <f t="shared" si="1"/>
        <v>80</v>
      </c>
      <c r="E233" s="8" t="str">
        <f t="shared" si="2"/>
        <v>https://resources.simonelectric.com/simon-material-formativo-vehiculo-electrico</v>
      </c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ht="15.75" customHeight="1">
      <c r="A234" s="5" t="s">
        <v>372</v>
      </c>
      <c r="B234" s="5">
        <v>44000.0</v>
      </c>
      <c r="C234" s="6" t="s">
        <v>373</v>
      </c>
      <c r="D234" s="9">
        <f t="shared" si="1"/>
        <v>80</v>
      </c>
      <c r="E234" s="8" t="str">
        <f t="shared" si="2"/>
        <v>https://resources.simonelectric.com/simon-material-formativo-vehiculo-electrico</v>
      </c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ht="15.75" customHeight="1">
      <c r="A235" s="5" t="s">
        <v>374</v>
      </c>
      <c r="B235" s="5">
        <v>44000.0</v>
      </c>
      <c r="C235" s="6" t="s">
        <v>375</v>
      </c>
      <c r="D235" s="9">
        <f t="shared" si="1"/>
        <v>80</v>
      </c>
      <c r="E235" s="8" t="str">
        <f t="shared" si="2"/>
        <v>https://resources.simonelectric.com/simon-material-formativo-vehiculo-electrico</v>
      </c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ht="15.75" customHeight="1">
      <c r="A236" s="5" t="s">
        <v>124</v>
      </c>
      <c r="B236" s="5">
        <v>44000.0</v>
      </c>
      <c r="C236" s="6" t="s">
        <v>376</v>
      </c>
      <c r="D236" s="9">
        <f t="shared" si="1"/>
        <v>80</v>
      </c>
      <c r="E236" s="8" t="str">
        <f t="shared" si="2"/>
        <v>https://resources.simonelectric.com/simon-material-formativo-vehiculo-electrico</v>
      </c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ht="15.75" customHeight="1">
      <c r="A237" s="5" t="s">
        <v>377</v>
      </c>
      <c r="B237" s="5">
        <v>44000.0</v>
      </c>
      <c r="C237" s="6" t="s">
        <v>378</v>
      </c>
      <c r="D237" s="9">
        <f t="shared" si="1"/>
        <v>80</v>
      </c>
      <c r="E237" s="8" t="str">
        <f t="shared" si="2"/>
        <v>https://resources.simonelectric.com/simon-material-formativo-vehiculo-electrico</v>
      </c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ht="15.75" customHeight="1">
      <c r="A238" s="5" t="s">
        <v>379</v>
      </c>
      <c r="B238" s="5">
        <v>44000.0</v>
      </c>
      <c r="C238" s="6" t="s">
        <v>380</v>
      </c>
      <c r="D238" s="9">
        <f t="shared" si="1"/>
        <v>80</v>
      </c>
      <c r="E238" s="8" t="str">
        <f t="shared" si="2"/>
        <v>https://resources.simonelectric.com/simon-material-formativo-vehiculo-electrico</v>
      </c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ht="15.75" customHeight="1">
      <c r="A239" s="5" t="s">
        <v>381</v>
      </c>
      <c r="B239" s="5">
        <v>44000.0</v>
      </c>
      <c r="C239" s="6" t="s">
        <v>382</v>
      </c>
      <c r="D239" s="9">
        <f t="shared" si="1"/>
        <v>80</v>
      </c>
      <c r="E239" s="8" t="str">
        <f t="shared" si="2"/>
        <v>https://resources.simonelectric.com/simon-material-formativo-vehiculo-electrico</v>
      </c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ht="15.75" customHeight="1">
      <c r="A240" s="5" t="s">
        <v>383</v>
      </c>
      <c r="B240" s="5">
        <v>44000.0</v>
      </c>
      <c r="C240" s="6" t="s">
        <v>384</v>
      </c>
      <c r="D240" s="9">
        <f t="shared" si="1"/>
        <v>80</v>
      </c>
      <c r="E240" s="8" t="str">
        <f t="shared" si="2"/>
        <v>https://resources.simonelectric.com/simon-material-formativo-vehiculo-electrico</v>
      </c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ht="15.75" customHeight="1">
      <c r="A241" s="5" t="s">
        <v>385</v>
      </c>
      <c r="B241" s="5">
        <v>44000.0</v>
      </c>
      <c r="C241" s="6" t="s">
        <v>386</v>
      </c>
      <c r="D241" s="9">
        <f t="shared" si="1"/>
        <v>80</v>
      </c>
      <c r="E241" s="8" t="str">
        <f t="shared" si="2"/>
        <v>https://resources.simonelectric.com/simon-material-formativo-vehiculo-electrico</v>
      </c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ht="15.75" customHeight="1">
      <c r="A242" s="5" t="s">
        <v>387</v>
      </c>
      <c r="B242" s="5">
        <v>44000.0</v>
      </c>
      <c r="C242" s="6" t="s">
        <v>388</v>
      </c>
      <c r="D242" s="9">
        <f t="shared" si="1"/>
        <v>80</v>
      </c>
      <c r="E242" s="8" t="str">
        <f t="shared" si="2"/>
        <v>https://resources.simonelectric.com/simon-material-formativo-vehiculo-electrico</v>
      </c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ht="15.75" customHeight="1">
      <c r="A243" s="5" t="s">
        <v>34</v>
      </c>
      <c r="B243" s="5">
        <v>44000.0</v>
      </c>
      <c r="C243" s="6" t="s">
        <v>389</v>
      </c>
      <c r="D243" s="9">
        <f t="shared" si="1"/>
        <v>80</v>
      </c>
      <c r="E243" s="8" t="str">
        <f t="shared" si="2"/>
        <v>https://resources.simonelectric.com/simon-material-formativo-vehiculo-electrico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ht="15.75" customHeight="1">
      <c r="A244" s="5" t="s">
        <v>143</v>
      </c>
      <c r="B244" s="5">
        <v>44000.0</v>
      </c>
      <c r="C244" s="6" t="s">
        <v>390</v>
      </c>
      <c r="D244" s="9">
        <f t="shared" si="1"/>
        <v>80</v>
      </c>
      <c r="E244" s="8" t="str">
        <f t="shared" si="2"/>
        <v>https://resources.simonelectric.com/simon-material-formativo-vehiculo-electrico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ht="15.75" customHeight="1">
      <c r="A245" s="5" t="s">
        <v>391</v>
      </c>
      <c r="B245" s="5">
        <v>44000.0</v>
      </c>
      <c r="C245" s="6" t="s">
        <v>392</v>
      </c>
      <c r="D245" s="9">
        <f t="shared" si="1"/>
        <v>80</v>
      </c>
      <c r="E245" s="8" t="str">
        <f t="shared" si="2"/>
        <v>https://resources.simonelectric.com/simon-material-formativo-vehiculo-electrico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ht="15.75" customHeight="1">
      <c r="A246" s="5" t="s">
        <v>393</v>
      </c>
      <c r="B246" s="5">
        <v>44000.0</v>
      </c>
      <c r="C246" s="6" t="s">
        <v>394</v>
      </c>
      <c r="D246" s="9">
        <f t="shared" si="1"/>
        <v>80</v>
      </c>
      <c r="E246" s="8" t="str">
        <f t="shared" si="2"/>
        <v>https://resources.simonelectric.com/simon-material-formativo-vehiculo-electrico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ht="15.75" customHeight="1">
      <c r="A247" s="5" t="s">
        <v>178</v>
      </c>
      <c r="B247" s="5">
        <v>44000.0</v>
      </c>
      <c r="C247" s="6" t="s">
        <v>395</v>
      </c>
      <c r="D247" s="9">
        <f t="shared" si="1"/>
        <v>80</v>
      </c>
      <c r="E247" s="8" t="str">
        <f t="shared" si="2"/>
        <v>https://resources.simonelectric.com/simon-material-formativo-vehiculo-electrico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ht="15.75" customHeight="1">
      <c r="A248" s="5" t="s">
        <v>396</v>
      </c>
      <c r="B248" s="5">
        <v>44000.0</v>
      </c>
      <c r="C248" s="6" t="s">
        <v>397</v>
      </c>
      <c r="D248" s="7">
        <f t="shared" si="1"/>
        <v>80</v>
      </c>
      <c r="E248" s="8" t="str">
        <f t="shared" si="2"/>
        <v>https://resources.simonelectric.com/simon-material-formativo-vehiculo-electrico</v>
      </c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ht="15.75" customHeight="1">
      <c r="A249" s="5" t="s">
        <v>398</v>
      </c>
      <c r="B249" s="5">
        <v>44000.0</v>
      </c>
      <c r="C249" s="6" t="s">
        <v>399</v>
      </c>
      <c r="D249" s="9">
        <f t="shared" si="1"/>
        <v>80</v>
      </c>
      <c r="E249" s="8" t="str">
        <f t="shared" si="2"/>
        <v>https://resources.simonelectric.com/simon-material-formativo-vehiculo-electrico</v>
      </c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ht="15.75" customHeight="1">
      <c r="A250" s="5" t="s">
        <v>400</v>
      </c>
      <c r="B250" s="5">
        <v>44000.0</v>
      </c>
      <c r="C250" s="6" t="s">
        <v>401</v>
      </c>
      <c r="D250" s="9">
        <f t="shared" si="1"/>
        <v>80</v>
      </c>
      <c r="E250" s="8" t="str">
        <f t="shared" si="2"/>
        <v>https://resources.simonelectric.com/simon-material-formativo-vehiculo-electrico</v>
      </c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ht="15.75" customHeight="1">
      <c r="A251" s="5" t="s">
        <v>402</v>
      </c>
      <c r="B251" s="5">
        <v>44000.0</v>
      </c>
      <c r="C251" s="6" t="s">
        <v>403</v>
      </c>
      <c r="D251" s="9">
        <f t="shared" si="1"/>
        <v>80</v>
      </c>
      <c r="E251" s="8" t="str">
        <f t="shared" si="2"/>
        <v>https://resources.simonelectric.com/simon-material-formativo-vehiculo-electrico</v>
      </c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ht="15.75" customHeight="1">
      <c r="A252" s="5" t="s">
        <v>404</v>
      </c>
      <c r="B252" s="5">
        <v>44000.0</v>
      </c>
      <c r="C252" s="6" t="s">
        <v>405</v>
      </c>
      <c r="D252" s="9">
        <f t="shared" si="1"/>
        <v>80</v>
      </c>
      <c r="E252" s="8" t="str">
        <f t="shared" si="2"/>
        <v>https://resources.simonelectric.com/simon-material-formativo-vehiculo-electrico</v>
      </c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ht="15.75" customHeight="1">
      <c r="A253" s="5" t="s">
        <v>406</v>
      </c>
      <c r="B253" s="5">
        <v>44000.0</v>
      </c>
      <c r="C253" s="6" t="s">
        <v>407</v>
      </c>
      <c r="D253" s="9">
        <f t="shared" si="1"/>
        <v>80</v>
      </c>
      <c r="E253" s="8" t="str">
        <f t="shared" si="2"/>
        <v>https://resources.simonelectric.com/simon-material-formativo-vehiculo-electrico</v>
      </c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ht="15.75" customHeight="1">
      <c r="A254" s="5" t="s">
        <v>408</v>
      </c>
      <c r="B254" s="5">
        <v>44000.0</v>
      </c>
      <c r="C254" s="6" t="s">
        <v>409</v>
      </c>
      <c r="D254" s="7">
        <f t="shared" si="1"/>
        <v>80</v>
      </c>
      <c r="E254" s="8" t="str">
        <f t="shared" si="2"/>
        <v>https://resources.simonelectric.com/simon-material-formativo-vehiculo-electrico</v>
      </c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ht="15.75" customHeight="1">
      <c r="A255" s="5" t="s">
        <v>410</v>
      </c>
      <c r="B255" s="5">
        <v>44000.0</v>
      </c>
      <c r="C255" s="6" t="s">
        <v>411</v>
      </c>
      <c r="D255" s="9">
        <f t="shared" si="1"/>
        <v>80</v>
      </c>
      <c r="E255" s="8" t="str">
        <f t="shared" si="2"/>
        <v>https://resources.simonelectric.com/simon-material-formativo-vehiculo-electrico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ht="15.75" customHeight="1">
      <c r="A256" s="5" t="s">
        <v>412</v>
      </c>
      <c r="B256" s="5">
        <v>44000.0</v>
      </c>
      <c r="C256" s="6" t="s">
        <v>413</v>
      </c>
      <c r="D256" s="9">
        <f t="shared" si="1"/>
        <v>80</v>
      </c>
      <c r="E256" s="8" t="str">
        <f t="shared" si="2"/>
        <v>https://resources.simonelectric.com/simon-material-formativo-vehiculo-electrico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ht="15.75" customHeight="1">
      <c r="A257" s="5" t="s">
        <v>414</v>
      </c>
      <c r="B257" s="5">
        <v>44000.0</v>
      </c>
      <c r="C257" s="6" t="s">
        <v>39</v>
      </c>
      <c r="D257" s="9">
        <f t="shared" si="1"/>
        <v>71</v>
      </c>
      <c r="E257" s="8" t="str">
        <f t="shared" si="2"/>
        <v>https://resources.simonelectric.com/simon-ebook-vehiculo-electrico-ppc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ht="15.75" customHeight="1">
      <c r="A258" s="5" t="s">
        <v>415</v>
      </c>
      <c r="B258" s="5">
        <v>44000.0</v>
      </c>
      <c r="C258" s="6" t="s">
        <v>416</v>
      </c>
      <c r="D258" s="9">
        <f t="shared" si="1"/>
        <v>80</v>
      </c>
      <c r="E258" s="8" t="str">
        <f t="shared" si="2"/>
        <v>https://resources.simonelectric.com/simon-material-formativo-vehiculo-electrico</v>
      </c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ht="15.75" customHeight="1">
      <c r="A259" s="5" t="s">
        <v>417</v>
      </c>
      <c r="B259" s="5">
        <v>44000.0</v>
      </c>
      <c r="C259" s="6" t="s">
        <v>418</v>
      </c>
      <c r="D259" s="9">
        <f t="shared" si="1"/>
        <v>80</v>
      </c>
      <c r="E259" s="8" t="str">
        <f t="shared" si="2"/>
        <v>https://resources.simonelectric.com/simon-material-formativo-vehiculo-electrico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ht="15.75" customHeight="1">
      <c r="A260" s="5" t="s">
        <v>174</v>
      </c>
      <c r="B260" s="5">
        <v>44000.0</v>
      </c>
      <c r="C260" s="6" t="s">
        <v>419</v>
      </c>
      <c r="D260" s="9">
        <f t="shared" si="1"/>
        <v>80</v>
      </c>
      <c r="E260" s="8" t="str">
        <f t="shared" si="2"/>
        <v>https://resources.simonelectric.com/simon-material-formativo-vehiculo-electrico</v>
      </c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ht="15.75" customHeight="1">
      <c r="A261" s="5" t="s">
        <v>420</v>
      </c>
      <c r="B261" s="5">
        <v>44000.0</v>
      </c>
      <c r="C261" s="6" t="s">
        <v>421</v>
      </c>
      <c r="D261" s="9">
        <f t="shared" si="1"/>
        <v>80</v>
      </c>
      <c r="E261" s="8" t="str">
        <f t="shared" si="2"/>
        <v>https://resources.simonelectric.com/simon-material-formativo-vehiculo-electrico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ht="15.75" customHeight="1">
      <c r="A262" s="5" t="s">
        <v>155</v>
      </c>
      <c r="B262" s="5">
        <v>44000.0</v>
      </c>
      <c r="C262" s="6" t="s">
        <v>422</v>
      </c>
      <c r="D262" s="7">
        <f t="shared" si="1"/>
        <v>80</v>
      </c>
      <c r="E262" s="8" t="str">
        <f t="shared" si="2"/>
        <v>https://resources.simonelectric.com/simon-material-formativo-vehiculo-electrico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ht="15.75" customHeight="1">
      <c r="A263" s="5" t="s">
        <v>423</v>
      </c>
      <c r="B263" s="5">
        <v>44000.0</v>
      </c>
      <c r="C263" s="6" t="s">
        <v>424</v>
      </c>
      <c r="D263" s="9">
        <f t="shared" si="1"/>
        <v>80</v>
      </c>
      <c r="E263" s="8" t="str">
        <f t="shared" si="2"/>
        <v>https://resources.simonelectric.com/simon-material-formativo-vehiculo-electrico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ht="15.75" customHeight="1">
      <c r="A264" s="5" t="s">
        <v>425</v>
      </c>
      <c r="B264" s="5">
        <v>44000.0</v>
      </c>
      <c r="C264" s="6" t="s">
        <v>426</v>
      </c>
      <c r="D264" s="9">
        <f t="shared" si="1"/>
        <v>80</v>
      </c>
      <c r="E264" s="8" t="str">
        <f t="shared" si="2"/>
        <v>https://resources.simonelectric.com/simon-material-formativo-vehiculo-electrico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ht="15.75" customHeight="1">
      <c r="A265" s="5" t="s">
        <v>427</v>
      </c>
      <c r="B265" s="5">
        <v>44000.0</v>
      </c>
      <c r="C265" s="6" t="s">
        <v>428</v>
      </c>
      <c r="D265" s="9">
        <f t="shared" si="1"/>
        <v>80</v>
      </c>
      <c r="E265" s="8" t="str">
        <f t="shared" si="2"/>
        <v>https://resources.simonelectric.com/simon-material-formativo-vehiculo-electrico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ht="15.75" customHeight="1">
      <c r="A266" s="5" t="s">
        <v>429</v>
      </c>
      <c r="B266" s="5">
        <v>44000.0</v>
      </c>
      <c r="C266" s="6" t="s">
        <v>430</v>
      </c>
      <c r="D266" s="9">
        <f t="shared" si="1"/>
        <v>80</v>
      </c>
      <c r="E266" s="8" t="str">
        <f t="shared" si="2"/>
        <v>https://resources.simonelectric.com/simon-material-formativo-vehiculo-electrico</v>
      </c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ht="15.75" customHeight="1">
      <c r="A267" s="5" t="s">
        <v>206</v>
      </c>
      <c r="B267" s="5">
        <v>44000.0</v>
      </c>
      <c r="C267" s="6" t="s">
        <v>431</v>
      </c>
      <c r="D267" s="9">
        <f t="shared" si="1"/>
        <v>80</v>
      </c>
      <c r="E267" s="8" t="str">
        <f t="shared" si="2"/>
        <v>https://resources.simonelectric.com/simon-material-formativo-vehiculo-electrico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ht="15.75" customHeight="1">
      <c r="A268" s="5" t="s">
        <v>180</v>
      </c>
      <c r="B268" s="5">
        <v>44000.0</v>
      </c>
      <c r="C268" s="6" t="s">
        <v>432</v>
      </c>
      <c r="D268" s="9">
        <f t="shared" si="1"/>
        <v>80</v>
      </c>
      <c r="E268" s="8" t="str">
        <f t="shared" si="2"/>
        <v>https://resources.simonelectric.com/simon-material-formativo-vehiculo-electrico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ht="15.75" customHeight="1">
      <c r="A269" s="5" t="s">
        <v>40</v>
      </c>
      <c r="B269" s="5">
        <v>44000.0</v>
      </c>
      <c r="C269" s="6" t="s">
        <v>433</v>
      </c>
      <c r="D269" s="9">
        <f t="shared" si="1"/>
        <v>80</v>
      </c>
      <c r="E269" s="8" t="str">
        <f t="shared" si="2"/>
        <v>https://resources.simonelectric.com/simon-material-formativo-vehiculo-electrico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ht="15.75" customHeight="1">
      <c r="A270" s="5" t="s">
        <v>434</v>
      </c>
      <c r="B270" s="5">
        <v>44000.0</v>
      </c>
      <c r="C270" s="6" t="s">
        <v>435</v>
      </c>
      <c r="D270" s="9">
        <f t="shared" si="1"/>
        <v>80</v>
      </c>
      <c r="E270" s="8" t="str">
        <f t="shared" si="2"/>
        <v>https://resources.simonelectric.com/simon-material-formativo-vehiculo-electrico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ht="15.75" customHeight="1">
      <c r="A271" s="5" t="s">
        <v>436</v>
      </c>
      <c r="B271" s="5">
        <v>44000.0</v>
      </c>
      <c r="C271" s="6" t="s">
        <v>437</v>
      </c>
      <c r="D271" s="7">
        <f t="shared" si="1"/>
        <v>80</v>
      </c>
      <c r="E271" s="8" t="str">
        <f t="shared" si="2"/>
        <v>https://resources.simonelectric.com/simon-material-formativo-vehiculo-electrico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ht="15.75" customHeight="1">
      <c r="A272" s="5" t="s">
        <v>438</v>
      </c>
      <c r="B272" s="5">
        <v>44000.0</v>
      </c>
      <c r="C272" s="6" t="s">
        <v>439</v>
      </c>
      <c r="D272" s="9">
        <f t="shared" si="1"/>
        <v>80</v>
      </c>
      <c r="E272" s="8" t="str">
        <f t="shared" si="2"/>
        <v>https://resources.simonelectric.com/simon-material-formativo-vehiculo-electrico</v>
      </c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ht="15.75" customHeight="1">
      <c r="A273" s="5" t="s">
        <v>440</v>
      </c>
      <c r="B273" s="5">
        <v>44000.0</v>
      </c>
      <c r="C273" s="6" t="s">
        <v>441</v>
      </c>
      <c r="D273" s="9">
        <f t="shared" si="1"/>
        <v>80</v>
      </c>
      <c r="E273" s="8" t="str">
        <f t="shared" si="2"/>
        <v>https://resources.simonelectric.com/simon-material-formativo-vehiculo-electrico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ht="15.75" customHeight="1">
      <c r="A274" s="5" t="s">
        <v>442</v>
      </c>
      <c r="B274" s="5">
        <v>44000.0</v>
      </c>
      <c r="C274" s="6" t="s">
        <v>443</v>
      </c>
      <c r="D274" s="9">
        <f t="shared" si="1"/>
        <v>80</v>
      </c>
      <c r="E274" s="8" t="str">
        <f t="shared" si="2"/>
        <v>https://resources.simonelectric.com/simon-material-formativo-vehiculo-electrico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ht="15.75" customHeight="1">
      <c r="A275" s="5" t="s">
        <v>444</v>
      </c>
      <c r="B275" s="5">
        <v>44000.0</v>
      </c>
      <c r="C275" s="6" t="s">
        <v>445</v>
      </c>
      <c r="D275" s="9">
        <f t="shared" si="1"/>
        <v>80</v>
      </c>
      <c r="E275" s="8" t="str">
        <f t="shared" si="2"/>
        <v>https://resources.simonelectric.com/simon-material-formativo-vehiculo-electrico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ht="15.75" customHeight="1">
      <c r="A276" s="5" t="s">
        <v>111</v>
      </c>
      <c r="B276" s="5">
        <v>44000.0</v>
      </c>
      <c r="C276" s="6" t="s">
        <v>446</v>
      </c>
      <c r="D276" s="9">
        <f t="shared" si="1"/>
        <v>80</v>
      </c>
      <c r="E276" s="8" t="str">
        <f t="shared" si="2"/>
        <v>https://resources.simonelectric.com/simon-material-formativo-vehiculo-electrico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ht="15.75" customHeight="1">
      <c r="A277" s="5" t="s">
        <v>447</v>
      </c>
      <c r="B277" s="5">
        <v>44000.0</v>
      </c>
      <c r="C277" s="6" t="s">
        <v>448</v>
      </c>
      <c r="D277" s="9">
        <f t="shared" si="1"/>
        <v>80</v>
      </c>
      <c r="E277" s="8" t="str">
        <f t="shared" si="2"/>
        <v>https://resources.simonelectric.com/simon-material-formativo-vehiculo-electrico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ht="15.75" customHeight="1">
      <c r="A278" s="5" t="s">
        <v>190</v>
      </c>
      <c r="B278" s="5">
        <v>44000.0</v>
      </c>
      <c r="C278" s="6" t="s">
        <v>449</v>
      </c>
      <c r="D278" s="9">
        <f t="shared" si="1"/>
        <v>80</v>
      </c>
      <c r="E278" s="8" t="str">
        <f t="shared" si="2"/>
        <v>https://resources.simonelectric.com/simon-material-formativo-vehiculo-electrico</v>
      </c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ht="15.75" customHeight="1">
      <c r="A279" s="5" t="s">
        <v>450</v>
      </c>
      <c r="B279" s="5">
        <v>44000.0</v>
      </c>
      <c r="C279" s="6" t="s">
        <v>451</v>
      </c>
      <c r="D279" s="9">
        <f t="shared" si="1"/>
        <v>80</v>
      </c>
      <c r="E279" s="8" t="str">
        <f t="shared" si="2"/>
        <v>https://resources.simonelectric.com/simon-material-formativo-vehiculo-electrico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ht="15.75" customHeight="1">
      <c r="A280" s="5" t="s">
        <v>452</v>
      </c>
      <c r="B280" s="5">
        <v>44000.0</v>
      </c>
      <c r="C280" s="6" t="s">
        <v>453</v>
      </c>
      <c r="D280" s="9">
        <f t="shared" si="1"/>
        <v>80</v>
      </c>
      <c r="E280" s="8" t="str">
        <f t="shared" si="2"/>
        <v>https://resources.simonelectric.com/simon-material-formativo-vehiculo-electrico</v>
      </c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ht="15.75" customHeight="1">
      <c r="A281" s="5" t="s">
        <v>454</v>
      </c>
      <c r="B281" s="5">
        <v>44000.0</v>
      </c>
      <c r="C281" s="6" t="s">
        <v>455</v>
      </c>
      <c r="D281" s="9">
        <f t="shared" si="1"/>
        <v>80</v>
      </c>
      <c r="E281" s="8" t="str">
        <f t="shared" si="2"/>
        <v>https://resources.simonelectric.com/simon-material-formativo-vehiculo-electrico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ht="15.75" customHeight="1">
      <c r="A282" s="5" t="s">
        <v>210</v>
      </c>
      <c r="B282" s="5">
        <v>44000.0</v>
      </c>
      <c r="C282" s="6" t="s">
        <v>456</v>
      </c>
      <c r="D282" s="9">
        <f t="shared" si="1"/>
        <v>80</v>
      </c>
      <c r="E282" s="8" t="str">
        <f t="shared" si="2"/>
        <v>https://resources.simonelectric.com/simon-material-formativo-vehiculo-electrico</v>
      </c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ht="15.75" customHeight="1">
      <c r="A283" s="5" t="s">
        <v>457</v>
      </c>
      <c r="B283" s="5">
        <v>44000.0</v>
      </c>
      <c r="C283" s="6" t="s">
        <v>458</v>
      </c>
      <c r="D283" s="7">
        <f t="shared" si="1"/>
        <v>80</v>
      </c>
      <c r="E283" s="8" t="str">
        <f t="shared" si="2"/>
        <v>https://resources.simonelectric.com/simon-material-formativo-vehiculo-electrico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ht="15.75" customHeight="1">
      <c r="A284" s="5" t="s">
        <v>459</v>
      </c>
      <c r="B284" s="5">
        <v>44000.0</v>
      </c>
      <c r="C284" s="6" t="s">
        <v>460</v>
      </c>
      <c r="D284" s="9">
        <f t="shared" si="1"/>
        <v>80</v>
      </c>
      <c r="E284" s="8" t="str">
        <f t="shared" si="2"/>
        <v>https://resources.simonelectric.com/simon-material-formativo-vehiculo-electrico</v>
      </c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ht="15.75" customHeight="1">
      <c r="A285" s="5" t="s">
        <v>461</v>
      </c>
      <c r="B285" s="5">
        <v>44000.0</v>
      </c>
      <c r="C285" s="6" t="s">
        <v>462</v>
      </c>
      <c r="D285" s="9">
        <f t="shared" si="1"/>
        <v>80</v>
      </c>
      <c r="E285" s="8" t="str">
        <f t="shared" si="2"/>
        <v>https://resources.simonelectric.com/simon-material-formativo-vehiculo-electrico</v>
      </c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ht="15.75" customHeight="1">
      <c r="A286" s="5" t="s">
        <v>204</v>
      </c>
      <c r="B286" s="5">
        <v>44000.0</v>
      </c>
      <c r="C286" s="6" t="s">
        <v>463</v>
      </c>
      <c r="D286" s="9">
        <f t="shared" si="1"/>
        <v>80</v>
      </c>
      <c r="E286" s="8" t="str">
        <f t="shared" si="2"/>
        <v>https://resources.simonelectric.com/simon-material-formativo-vehiculo-electrico</v>
      </c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ht="15.75" customHeight="1">
      <c r="A287" s="5" t="s">
        <v>169</v>
      </c>
      <c r="B287" s="5">
        <v>44000.0</v>
      </c>
      <c r="C287" s="6" t="s">
        <v>464</v>
      </c>
      <c r="D287" s="9">
        <f t="shared" si="1"/>
        <v>80</v>
      </c>
      <c r="E287" s="8" t="str">
        <f t="shared" si="2"/>
        <v>https://resources.simonelectric.com/simon-material-formativo-vehiculo-electrico</v>
      </c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ht="15.75" customHeight="1">
      <c r="A288" s="5" t="s">
        <v>465</v>
      </c>
      <c r="B288" s="5">
        <v>44000.0</v>
      </c>
      <c r="C288" s="6" t="s">
        <v>466</v>
      </c>
      <c r="D288" s="9">
        <f t="shared" si="1"/>
        <v>80</v>
      </c>
      <c r="E288" s="8" t="str">
        <f t="shared" si="2"/>
        <v>https://resources.simonelectric.com/simon-material-formativo-vehiculo-electrico</v>
      </c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ht="15.75" customHeight="1">
      <c r="A289" s="5" t="s">
        <v>214</v>
      </c>
      <c r="B289" s="5">
        <v>44000.0</v>
      </c>
      <c r="C289" s="6" t="s">
        <v>467</v>
      </c>
      <c r="D289" s="9">
        <f t="shared" si="1"/>
        <v>80</v>
      </c>
      <c r="E289" s="8" t="str">
        <f t="shared" si="2"/>
        <v>https://resources.simonelectric.com/simon-material-formativo-vehiculo-electrico</v>
      </c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ht="15.75" customHeight="1">
      <c r="A290" s="5" t="s">
        <v>196</v>
      </c>
      <c r="B290" s="5">
        <v>44000.0</v>
      </c>
      <c r="C290" s="6" t="s">
        <v>468</v>
      </c>
      <c r="D290" s="9">
        <f t="shared" si="1"/>
        <v>80</v>
      </c>
      <c r="E290" s="8" t="str">
        <f t="shared" si="2"/>
        <v>https://resources.simonelectric.com/simon-material-formativo-vehiculo-electrico</v>
      </c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ht="15.75" customHeight="1">
      <c r="A291" s="5" t="s">
        <v>159</v>
      </c>
      <c r="B291" s="5">
        <v>44000.0</v>
      </c>
      <c r="C291" s="6" t="s">
        <v>469</v>
      </c>
      <c r="D291" s="9">
        <f t="shared" si="1"/>
        <v>80</v>
      </c>
      <c r="E291" s="8" t="str">
        <f t="shared" si="2"/>
        <v>https://resources.simonelectric.com/simon-material-formativo-vehiculo-electrico</v>
      </c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ht="15.75" customHeight="1">
      <c r="A292" s="5" t="s">
        <v>171</v>
      </c>
      <c r="B292" s="5">
        <v>44000.0</v>
      </c>
      <c r="C292" s="6" t="s">
        <v>470</v>
      </c>
      <c r="D292" s="9">
        <f t="shared" si="1"/>
        <v>80</v>
      </c>
      <c r="E292" s="8" t="str">
        <f t="shared" si="2"/>
        <v>https://resources.simonelectric.com/simon-material-formativo-vehiculo-electrico</v>
      </c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ht="15.75" customHeight="1">
      <c r="A293" s="5" t="s">
        <v>471</v>
      </c>
      <c r="B293" s="5">
        <v>44000.0</v>
      </c>
      <c r="C293" s="6" t="s">
        <v>472</v>
      </c>
      <c r="D293" s="9">
        <f t="shared" si="1"/>
        <v>80</v>
      </c>
      <c r="E293" s="8" t="str">
        <f t="shared" si="2"/>
        <v>https://resources.simonelectric.com/simon-material-formativo-vehiculo-electrico</v>
      </c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ht="15.75" customHeight="1">
      <c r="A294" s="5" t="s">
        <v>473</v>
      </c>
      <c r="B294" s="5">
        <v>44000.0</v>
      </c>
      <c r="C294" s="6" t="s">
        <v>474</v>
      </c>
      <c r="D294" s="9">
        <f t="shared" si="1"/>
        <v>80</v>
      </c>
      <c r="E294" s="8" t="str">
        <f t="shared" si="2"/>
        <v>https://resources.simonelectric.com/simon-material-formativo-vehiculo-electrico</v>
      </c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ht="15.75" customHeight="1">
      <c r="A295" s="5" t="s">
        <v>475</v>
      </c>
      <c r="B295" s="5">
        <v>44000.0</v>
      </c>
      <c r="C295" s="6" t="s">
        <v>476</v>
      </c>
      <c r="D295" s="9">
        <f t="shared" si="1"/>
        <v>80</v>
      </c>
      <c r="E295" s="8" t="str">
        <f t="shared" si="2"/>
        <v>https://resources.simonelectric.com/simon-material-formativo-vehiculo-electrico</v>
      </c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ht="15.75" customHeight="1">
      <c r="A296" s="5" t="s">
        <v>167</v>
      </c>
      <c r="B296" s="5">
        <v>44000.0</v>
      </c>
      <c r="C296" s="6" t="s">
        <v>477</v>
      </c>
      <c r="D296" s="9">
        <f t="shared" si="1"/>
        <v>80</v>
      </c>
      <c r="E296" s="8" t="str">
        <f t="shared" si="2"/>
        <v>https://resources.simonelectric.com/simon-material-formativo-vehiculo-electrico</v>
      </c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ht="15.75" customHeight="1">
      <c r="A297" s="5" t="s">
        <v>478</v>
      </c>
      <c r="B297" s="5">
        <v>44000.0</v>
      </c>
      <c r="C297" s="6" t="s">
        <v>479</v>
      </c>
      <c r="D297" s="9">
        <f t="shared" si="1"/>
        <v>80</v>
      </c>
      <c r="E297" s="8" t="str">
        <f t="shared" si="2"/>
        <v>https://resources.simonelectric.com/simon-material-formativo-vehiculo-electrico</v>
      </c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ht="15.75" customHeight="1">
      <c r="A298" s="5" t="s">
        <v>480</v>
      </c>
      <c r="B298" s="5">
        <v>44000.0</v>
      </c>
      <c r="C298" s="6" t="s">
        <v>481</v>
      </c>
      <c r="D298" s="9">
        <f t="shared" si="1"/>
        <v>80</v>
      </c>
      <c r="E298" s="8" t="str">
        <f t="shared" si="2"/>
        <v>https://resources.simonelectric.com/simon-material-formativo-vehiculo-electrico</v>
      </c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ht="15.75" customHeight="1">
      <c r="A299" s="5" t="s">
        <v>482</v>
      </c>
      <c r="B299" s="5">
        <v>44000.0</v>
      </c>
      <c r="C299" s="6" t="s">
        <v>483</v>
      </c>
      <c r="D299" s="7">
        <f t="shared" si="1"/>
        <v>80</v>
      </c>
      <c r="E299" s="8" t="str">
        <f t="shared" si="2"/>
        <v>https://resources.simonelectric.com/simon-material-formativo-vehiculo-electrico</v>
      </c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ht="15.75" customHeight="1">
      <c r="A300" s="5" t="s">
        <v>484</v>
      </c>
      <c r="B300" s="5">
        <v>44000.0</v>
      </c>
      <c r="C300" s="6" t="s">
        <v>485</v>
      </c>
      <c r="D300" s="9">
        <f t="shared" si="1"/>
        <v>80</v>
      </c>
      <c r="E300" s="8" t="str">
        <f t="shared" si="2"/>
        <v>https://resources.simonelectric.com/simon-material-formativo-vehiculo-electrico</v>
      </c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ht="15.75" customHeight="1">
      <c r="A301" s="5" t="s">
        <v>220</v>
      </c>
      <c r="B301" s="5">
        <v>44000.0</v>
      </c>
      <c r="C301" s="6" t="s">
        <v>486</v>
      </c>
      <c r="D301" s="9">
        <f t="shared" si="1"/>
        <v>80</v>
      </c>
      <c r="E301" s="8" t="str">
        <f t="shared" si="2"/>
        <v>https://resources.simonelectric.com/simon-material-formativo-vehiculo-electrico</v>
      </c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ht="15.75" customHeight="1">
      <c r="A302" s="5" t="s">
        <v>212</v>
      </c>
      <c r="B302" s="5">
        <v>44000.0</v>
      </c>
      <c r="C302" s="6" t="s">
        <v>487</v>
      </c>
      <c r="D302" s="9">
        <f t="shared" si="1"/>
        <v>80</v>
      </c>
      <c r="E302" s="8" t="str">
        <f t="shared" si="2"/>
        <v>https://resources.simonelectric.com/simon-material-formativo-vehiculo-electrico</v>
      </c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ht="15.75" customHeight="1">
      <c r="A303" s="5" t="s">
        <v>488</v>
      </c>
      <c r="B303" s="5">
        <v>44000.0</v>
      </c>
      <c r="C303" s="6" t="s">
        <v>489</v>
      </c>
      <c r="D303" s="9">
        <f t="shared" si="1"/>
        <v>67</v>
      </c>
      <c r="E303" s="8" t="str">
        <f t="shared" si="2"/>
        <v>https://resources.simonelectric.com/simon-ebook-vehiculo-electrico</v>
      </c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ht="15.75" customHeight="1">
      <c r="A304" s="5" t="s">
        <v>490</v>
      </c>
      <c r="B304" s="5">
        <v>44000.0</v>
      </c>
      <c r="C304" s="6" t="s">
        <v>39</v>
      </c>
      <c r="D304" s="9">
        <f t="shared" si="1"/>
        <v>71</v>
      </c>
      <c r="E304" s="8" t="str">
        <f t="shared" si="2"/>
        <v>https://resources.simonelectric.com/simon-ebook-vehiculo-electrico-ppc</v>
      </c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ht="15.75" customHeight="1">
      <c r="A305" s="5" t="s">
        <v>491</v>
      </c>
      <c r="B305" s="5">
        <v>44000.0</v>
      </c>
      <c r="C305" s="6" t="s">
        <v>28</v>
      </c>
      <c r="D305" s="7" t="str">
        <f t="shared" si="1"/>
        <v>https://resources.simonelectric.com/simon-ebook-vehiculo-electrico</v>
      </c>
      <c r="E305" s="8" t="str">
        <f t="shared" si="2"/>
        <v>https://resources.simonelectric.com/simon-ebook-vehiculo-electrico</v>
      </c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ht="15.75" customHeight="1">
      <c r="A306" s="5" t="s">
        <v>492</v>
      </c>
      <c r="B306" s="5">
        <v>44000.0</v>
      </c>
      <c r="C306" s="6" t="s">
        <v>10</v>
      </c>
      <c r="D306" s="7" t="str">
        <f t="shared" si="1"/>
        <v>https://resources.simonelectric.com/simon-catalogo-vehiculo-electrico</v>
      </c>
      <c r="E306" s="8" t="str">
        <f t="shared" si="2"/>
        <v>https://resources.simonelectric.com/simon-catalogo-vehiculo-electrico</v>
      </c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ht="15.75" customHeight="1">
      <c r="A307" s="5" t="s">
        <v>493</v>
      </c>
      <c r="B307" s="5">
        <v>44000.0</v>
      </c>
      <c r="C307" s="6" t="s">
        <v>55</v>
      </c>
      <c r="D307" s="9">
        <f t="shared" si="1"/>
        <v>71</v>
      </c>
      <c r="E307" s="8" t="str">
        <f t="shared" si="2"/>
        <v>https://resources.simonelectric.com/simon-ebook-vehiculo-electrico-ppc</v>
      </c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ht="15.75" customHeight="1">
      <c r="A308" s="5" t="s">
        <v>494</v>
      </c>
      <c r="B308" s="5">
        <v>43999.0</v>
      </c>
      <c r="C308" s="6" t="s">
        <v>299</v>
      </c>
      <c r="D308" s="7" t="str">
        <f t="shared" si="1"/>
        <v>https://resources.simonelectric.com/simon-material-formativo-vehiculo-electrico</v>
      </c>
      <c r="E308" s="8" t="str">
        <f t="shared" si="2"/>
        <v>https://resources.simonelectric.com/simon-material-formativo-vehiculo-electrico</v>
      </c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ht="15.75" customHeight="1">
      <c r="A309" s="5" t="s">
        <v>495</v>
      </c>
      <c r="B309" s="5">
        <v>43999.0</v>
      </c>
      <c r="C309" s="6" t="s">
        <v>8</v>
      </c>
      <c r="D309" s="9">
        <f t="shared" si="1"/>
        <v>67</v>
      </c>
      <c r="E309" s="8" t="str">
        <f t="shared" si="2"/>
        <v>https://resources.simonelectric.com/simon-ebook-vehiculo-electrico</v>
      </c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ht="15.75" customHeight="1">
      <c r="A310" s="5" t="s">
        <v>496</v>
      </c>
      <c r="B310" s="5">
        <v>43999.0</v>
      </c>
      <c r="C310" s="6" t="s">
        <v>497</v>
      </c>
      <c r="D310" s="7">
        <f t="shared" si="1"/>
        <v>80</v>
      </c>
      <c r="E310" s="8" t="str">
        <f t="shared" si="2"/>
        <v>https://resources.simonelectric.com/simon-material-formativo-vehiculo-electrico</v>
      </c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ht="15.75" customHeight="1">
      <c r="A311" s="5" t="s">
        <v>498</v>
      </c>
      <c r="B311" s="5">
        <v>43999.0</v>
      </c>
      <c r="C311" s="6" t="s">
        <v>299</v>
      </c>
      <c r="D311" s="7" t="str">
        <f t="shared" si="1"/>
        <v>https://resources.simonelectric.com/simon-material-formativo-vehiculo-electrico</v>
      </c>
      <c r="E311" s="8" t="str">
        <f t="shared" si="2"/>
        <v>https://resources.simonelectric.com/simon-material-formativo-vehiculo-electrico</v>
      </c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ht="15.75" customHeight="1">
      <c r="A312" s="5" t="s">
        <v>499</v>
      </c>
      <c r="B312" s="5">
        <v>43999.0</v>
      </c>
      <c r="C312" s="6" t="s">
        <v>75</v>
      </c>
      <c r="D312" s="9">
        <f t="shared" si="1"/>
        <v>67</v>
      </c>
      <c r="E312" s="8" t="str">
        <f t="shared" si="2"/>
        <v>https://resources.simonelectric.com/simon-ebook-vehiculo-electrico</v>
      </c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ht="15.75" customHeight="1">
      <c r="A313" s="5" t="s">
        <v>500</v>
      </c>
      <c r="B313" s="5">
        <v>43999.0</v>
      </c>
      <c r="C313" s="6" t="s">
        <v>55</v>
      </c>
      <c r="D313" s="9">
        <f t="shared" si="1"/>
        <v>71</v>
      </c>
      <c r="E313" s="8" t="str">
        <f t="shared" si="2"/>
        <v>https://resources.simonelectric.com/simon-ebook-vehiculo-electrico-ppc</v>
      </c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ht="15.75" customHeight="1">
      <c r="A314" s="5" t="s">
        <v>501</v>
      </c>
      <c r="B314" s="5">
        <v>43999.0</v>
      </c>
      <c r="C314" s="6" t="s">
        <v>10</v>
      </c>
      <c r="D314" s="7" t="str">
        <f t="shared" si="1"/>
        <v>https://resources.simonelectric.com/simon-catalogo-vehiculo-electrico</v>
      </c>
      <c r="E314" s="8" t="str">
        <f t="shared" si="2"/>
        <v>https://resources.simonelectric.com/simon-catalogo-vehiculo-electrico</v>
      </c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ht="15.75" customHeight="1">
      <c r="A315" s="5" t="s">
        <v>502</v>
      </c>
      <c r="B315" s="5">
        <v>43999.0</v>
      </c>
      <c r="C315" s="6" t="s">
        <v>6</v>
      </c>
      <c r="D315" s="9">
        <f t="shared" si="1"/>
        <v>67</v>
      </c>
      <c r="E315" s="8" t="str">
        <f t="shared" si="2"/>
        <v>https://resources.simonelectric.com/simon-ebook-vehiculo-electrico</v>
      </c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ht="15.75" customHeight="1">
      <c r="A316" s="5" t="s">
        <v>503</v>
      </c>
      <c r="B316" s="5">
        <v>43998.0</v>
      </c>
      <c r="C316" s="6" t="s">
        <v>55</v>
      </c>
      <c r="D316" s="9">
        <f t="shared" si="1"/>
        <v>71</v>
      </c>
      <c r="E316" s="8" t="str">
        <f t="shared" si="2"/>
        <v>https://resources.simonelectric.com/simon-ebook-vehiculo-electrico-ppc</v>
      </c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ht="15.75" customHeight="1">
      <c r="A317" s="5" t="s">
        <v>504</v>
      </c>
      <c r="B317" s="5">
        <v>43998.0</v>
      </c>
      <c r="C317" s="6" t="s">
        <v>31</v>
      </c>
      <c r="D317" s="9">
        <f t="shared" si="1"/>
        <v>67</v>
      </c>
      <c r="E317" s="8" t="str">
        <f t="shared" si="2"/>
        <v>https://resources.simonelectric.com/simon-ebook-vehiculo-electrico</v>
      </c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ht="15.75" customHeight="1">
      <c r="A318" s="5" t="s">
        <v>121</v>
      </c>
      <c r="B318" s="5">
        <v>43998.0</v>
      </c>
      <c r="C318" s="6" t="s">
        <v>10</v>
      </c>
      <c r="D318" s="7" t="str">
        <f t="shared" si="1"/>
        <v>https://resources.simonelectric.com/simon-catalogo-vehiculo-electrico</v>
      </c>
      <c r="E318" s="8" t="str">
        <f t="shared" si="2"/>
        <v>https://resources.simonelectric.com/simon-catalogo-vehiculo-electrico</v>
      </c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ht="15.75" customHeight="1">
      <c r="A319" s="5" t="s">
        <v>505</v>
      </c>
      <c r="B319" s="5">
        <v>43998.0</v>
      </c>
      <c r="C319" s="6" t="s">
        <v>506</v>
      </c>
      <c r="D319" s="9">
        <f t="shared" si="1"/>
        <v>67</v>
      </c>
      <c r="E319" s="8" t="str">
        <f t="shared" si="2"/>
        <v>https://resources.simonelectric.com/simon-ebook-vehiculo-electrico</v>
      </c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ht="15.75" customHeight="1">
      <c r="A320" s="5" t="s">
        <v>507</v>
      </c>
      <c r="B320" s="5">
        <v>43998.0</v>
      </c>
      <c r="C320" s="6" t="s">
        <v>10</v>
      </c>
      <c r="D320" s="7" t="str">
        <f t="shared" si="1"/>
        <v>https://resources.simonelectric.com/simon-catalogo-vehiculo-electrico</v>
      </c>
      <c r="E320" s="8" t="str">
        <f t="shared" si="2"/>
        <v>https://resources.simonelectric.com/simon-catalogo-vehiculo-electrico</v>
      </c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ht="15.75" customHeight="1">
      <c r="A321" s="5" t="s">
        <v>508</v>
      </c>
      <c r="B321" s="5">
        <v>43998.0</v>
      </c>
      <c r="C321" s="6" t="s">
        <v>509</v>
      </c>
      <c r="D321" s="9">
        <f t="shared" si="1"/>
        <v>67</v>
      </c>
      <c r="E321" s="8" t="str">
        <f t="shared" si="2"/>
        <v>https://resources.simonelectric.com/simon-ebook-vehiculo-electrico</v>
      </c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ht="15.75" customHeight="1">
      <c r="A322" s="5" t="s">
        <v>510</v>
      </c>
      <c r="B322" s="5">
        <v>43998.0</v>
      </c>
      <c r="C322" s="6" t="s">
        <v>511</v>
      </c>
      <c r="D322" s="9">
        <f t="shared" si="1"/>
        <v>70</v>
      </c>
      <c r="E322" s="8" t="str">
        <f t="shared" si="2"/>
        <v>https://resources.simonelectric.com/simon-catalogo-vehiculo-electrico</v>
      </c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ht="15.75" customHeight="1">
      <c r="A323" s="5" t="s">
        <v>512</v>
      </c>
      <c r="B323" s="5">
        <v>43998.0</v>
      </c>
      <c r="C323" s="6" t="s">
        <v>10</v>
      </c>
      <c r="D323" s="7" t="str">
        <f t="shared" si="1"/>
        <v>https://resources.simonelectric.com/simon-catalogo-vehiculo-electrico</v>
      </c>
      <c r="E323" s="8" t="str">
        <f t="shared" si="2"/>
        <v>https://resources.simonelectric.com/simon-catalogo-vehiculo-electrico</v>
      </c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ht="15.75" customHeight="1">
      <c r="A324" s="5" t="s">
        <v>513</v>
      </c>
      <c r="B324" s="5">
        <v>43998.0</v>
      </c>
      <c r="C324" s="6" t="s">
        <v>514</v>
      </c>
      <c r="D324" s="9">
        <f t="shared" si="1"/>
        <v>67</v>
      </c>
      <c r="E324" s="8" t="str">
        <f t="shared" si="2"/>
        <v>https://resources.simonelectric.com/simon-ebook-vehiculo-electrico</v>
      </c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ht="15.75" customHeight="1">
      <c r="A325" s="5" t="s">
        <v>515</v>
      </c>
      <c r="B325" s="5">
        <v>43998.0</v>
      </c>
      <c r="C325" s="6" t="s">
        <v>516</v>
      </c>
      <c r="D325" s="9">
        <f t="shared" si="1"/>
        <v>67</v>
      </c>
      <c r="E325" s="8" t="str">
        <f t="shared" si="2"/>
        <v>https://resources.simonelectric.com/simon-ebook-vehiculo-electrico</v>
      </c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ht="15.75" customHeight="1">
      <c r="A326" s="5" t="s">
        <v>517</v>
      </c>
      <c r="B326" s="5">
        <v>43998.0</v>
      </c>
      <c r="C326" s="6" t="s">
        <v>10</v>
      </c>
      <c r="D326" s="7" t="str">
        <f t="shared" si="1"/>
        <v>https://resources.simonelectric.com/simon-catalogo-vehiculo-electrico</v>
      </c>
      <c r="E326" s="8" t="str">
        <f t="shared" si="2"/>
        <v>https://resources.simonelectric.com/simon-catalogo-vehiculo-electrico</v>
      </c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ht="15.75" customHeight="1">
      <c r="A327" s="5" t="s">
        <v>518</v>
      </c>
      <c r="B327" s="5">
        <v>43998.0</v>
      </c>
      <c r="C327" s="6" t="s">
        <v>519</v>
      </c>
      <c r="D327" s="9">
        <f t="shared" si="1"/>
        <v>67</v>
      </c>
      <c r="E327" s="8" t="str">
        <f t="shared" si="2"/>
        <v>https://resources.simonelectric.com/simon-ebook-vehiculo-electrico</v>
      </c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ht="15.75" customHeight="1">
      <c r="A328" s="5" t="s">
        <v>518</v>
      </c>
      <c r="B328" s="5">
        <v>43998.0</v>
      </c>
      <c r="C328" s="6" t="s">
        <v>519</v>
      </c>
      <c r="D328" s="9">
        <f t="shared" si="1"/>
        <v>67</v>
      </c>
      <c r="E328" s="8" t="str">
        <f t="shared" si="2"/>
        <v>https://resources.simonelectric.com/simon-ebook-vehiculo-electrico</v>
      </c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ht="15.75" customHeight="1">
      <c r="A329" s="5" t="s">
        <v>520</v>
      </c>
      <c r="B329" s="5">
        <v>43997.0</v>
      </c>
      <c r="C329" s="6" t="s">
        <v>31</v>
      </c>
      <c r="D329" s="9">
        <f t="shared" si="1"/>
        <v>67</v>
      </c>
      <c r="E329" s="8" t="str">
        <f t="shared" si="2"/>
        <v>https://resources.simonelectric.com/simon-ebook-vehiculo-electrico</v>
      </c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ht="15.75" customHeight="1">
      <c r="A330" s="5" t="s">
        <v>521</v>
      </c>
      <c r="B330" s="5">
        <v>43997.0</v>
      </c>
      <c r="C330" s="6" t="s">
        <v>522</v>
      </c>
      <c r="D330" s="7">
        <f t="shared" si="1"/>
        <v>67</v>
      </c>
      <c r="E330" s="8" t="str">
        <f t="shared" si="2"/>
        <v>https://resources.simonelectric.com/simon-ebook-vehiculo-electrico</v>
      </c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ht="15.75" customHeight="1">
      <c r="A331" s="5" t="s">
        <v>488</v>
      </c>
      <c r="B331" s="5">
        <v>43997.0</v>
      </c>
      <c r="C331" s="6" t="s">
        <v>75</v>
      </c>
      <c r="D331" s="9">
        <f t="shared" si="1"/>
        <v>67</v>
      </c>
      <c r="E331" s="8" t="str">
        <f t="shared" si="2"/>
        <v>https://resources.simonelectric.com/simon-ebook-vehiculo-electrico</v>
      </c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ht="15.75" customHeight="1">
      <c r="A332" s="5" t="s">
        <v>523</v>
      </c>
      <c r="B332" s="5">
        <v>43997.0</v>
      </c>
      <c r="C332" s="6" t="s">
        <v>28</v>
      </c>
      <c r="D332" s="7" t="str">
        <f t="shared" si="1"/>
        <v>https://resources.simonelectric.com/simon-ebook-vehiculo-electrico</v>
      </c>
      <c r="E332" s="8" t="str">
        <f t="shared" si="2"/>
        <v>https://resources.simonelectric.com/simon-ebook-vehiculo-electrico</v>
      </c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ht="15.75" customHeight="1">
      <c r="A333" s="5" t="s">
        <v>524</v>
      </c>
      <c r="B333" s="5">
        <v>43997.0</v>
      </c>
      <c r="C333" s="6" t="s">
        <v>525</v>
      </c>
      <c r="D333" s="9">
        <f t="shared" si="1"/>
        <v>80</v>
      </c>
      <c r="E333" s="8" t="str">
        <f t="shared" si="2"/>
        <v>https://resources.simonelectric.com/simon-material-formativo-vehiculo-electrico</v>
      </c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ht="15.75" customHeight="1">
      <c r="A334" s="5" t="s">
        <v>526</v>
      </c>
      <c r="B334" s="5">
        <v>43997.0</v>
      </c>
      <c r="C334" s="6" t="s">
        <v>527</v>
      </c>
      <c r="D334" s="9">
        <f t="shared" si="1"/>
        <v>67</v>
      </c>
      <c r="E334" s="8" t="str">
        <f t="shared" si="2"/>
        <v>https://resources.simonelectric.com/simon-ebook-vehiculo-electrico</v>
      </c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ht="15.75" customHeight="1">
      <c r="A335" s="5" t="s">
        <v>528</v>
      </c>
      <c r="B335" s="5">
        <v>43997.0</v>
      </c>
      <c r="C335" s="6" t="s">
        <v>529</v>
      </c>
      <c r="D335" s="9">
        <f t="shared" si="1"/>
        <v>67</v>
      </c>
      <c r="E335" s="8" t="str">
        <f t="shared" si="2"/>
        <v>https://resources.simonelectric.com/simon-ebook-vehiculo-electrico</v>
      </c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ht="15.75" customHeight="1">
      <c r="A336" s="5" t="s">
        <v>530</v>
      </c>
      <c r="B336" s="5">
        <v>43997.0</v>
      </c>
      <c r="C336" s="6" t="s">
        <v>531</v>
      </c>
      <c r="D336" s="9">
        <f t="shared" si="1"/>
        <v>67</v>
      </c>
      <c r="E336" s="8" t="str">
        <f t="shared" si="2"/>
        <v>https://resources.simonelectric.com/simon-ebook-vehiculo-electrico</v>
      </c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ht="15.75" customHeight="1">
      <c r="A337" s="5" t="s">
        <v>532</v>
      </c>
      <c r="B337" s="5">
        <v>43997.0</v>
      </c>
      <c r="C337" s="6" t="s">
        <v>10</v>
      </c>
      <c r="D337" s="7" t="str">
        <f t="shared" si="1"/>
        <v>https://resources.simonelectric.com/simon-catalogo-vehiculo-electrico</v>
      </c>
      <c r="E337" s="8" t="str">
        <f t="shared" si="2"/>
        <v>https://resources.simonelectric.com/simon-catalogo-vehiculo-electrico</v>
      </c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ht="15.75" customHeight="1">
      <c r="A338" s="5" t="s">
        <v>294</v>
      </c>
      <c r="B338" s="5">
        <v>43997.0</v>
      </c>
      <c r="C338" s="6" t="s">
        <v>31</v>
      </c>
      <c r="D338" s="9">
        <f t="shared" si="1"/>
        <v>67</v>
      </c>
      <c r="E338" s="8" t="str">
        <f t="shared" si="2"/>
        <v>https://resources.simonelectric.com/simon-ebook-vehiculo-electrico</v>
      </c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ht="15.75" customHeight="1">
      <c r="A339" s="5" t="s">
        <v>533</v>
      </c>
      <c r="B339" s="5">
        <v>43997.0</v>
      </c>
      <c r="C339" s="6" t="s">
        <v>534</v>
      </c>
      <c r="D339" s="9">
        <f t="shared" si="1"/>
        <v>67</v>
      </c>
      <c r="E339" s="8" t="str">
        <f t="shared" si="2"/>
        <v>https://resources.simonelectric.com/simon-ebook-vehiculo-electrico</v>
      </c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ht="15.75" customHeight="1">
      <c r="A340" s="5" t="s">
        <v>535</v>
      </c>
      <c r="B340" s="5">
        <v>43997.0</v>
      </c>
      <c r="C340" s="6" t="s">
        <v>536</v>
      </c>
      <c r="D340" s="9">
        <f t="shared" si="1"/>
        <v>67</v>
      </c>
      <c r="E340" s="8" t="str">
        <f t="shared" si="2"/>
        <v>https://resources.simonelectric.com/simon-ebook-vehiculo-electrico</v>
      </c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ht="15.75" customHeight="1">
      <c r="A341" s="5" t="s">
        <v>537</v>
      </c>
      <c r="B341" s="5">
        <v>43997.0</v>
      </c>
      <c r="C341" s="6" t="s">
        <v>75</v>
      </c>
      <c r="D341" s="9">
        <f t="shared" si="1"/>
        <v>67</v>
      </c>
      <c r="E341" s="8" t="str">
        <f t="shared" si="2"/>
        <v>https://resources.simonelectric.com/simon-ebook-vehiculo-electrico</v>
      </c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ht="15.75" customHeight="1">
      <c r="A342" s="5" t="s">
        <v>538</v>
      </c>
      <c r="B342" s="5">
        <v>43997.0</v>
      </c>
      <c r="C342" s="6" t="s">
        <v>539</v>
      </c>
      <c r="D342" s="9">
        <f t="shared" si="1"/>
        <v>67</v>
      </c>
      <c r="E342" s="8" t="str">
        <f t="shared" si="2"/>
        <v>https://resources.simonelectric.com/simon-ebook-vehiculo-electrico</v>
      </c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ht="15.75" customHeight="1">
      <c r="A343" s="5" t="s">
        <v>63</v>
      </c>
      <c r="B343" s="5">
        <v>43997.0</v>
      </c>
      <c r="C343" s="6" t="s">
        <v>540</v>
      </c>
      <c r="D343" s="9">
        <f t="shared" si="1"/>
        <v>67</v>
      </c>
      <c r="E343" s="8" t="str">
        <f t="shared" si="2"/>
        <v>https://resources.simonelectric.com/simon-ebook-vehiculo-electrico</v>
      </c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ht="15.75" customHeight="1">
      <c r="A344" s="5" t="s">
        <v>541</v>
      </c>
      <c r="B344" s="5">
        <v>43997.0</v>
      </c>
      <c r="C344" s="6" t="s">
        <v>542</v>
      </c>
      <c r="D344" s="9">
        <f t="shared" si="1"/>
        <v>67</v>
      </c>
      <c r="E344" s="8" t="str">
        <f t="shared" si="2"/>
        <v>https://resources.simonelectric.com/simon-ebook-vehiculo-electrico</v>
      </c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ht="15.75" customHeight="1">
      <c r="A345" s="5" t="s">
        <v>543</v>
      </c>
      <c r="B345" s="5">
        <v>43997.0</v>
      </c>
      <c r="C345" s="6" t="s">
        <v>6</v>
      </c>
      <c r="D345" s="9">
        <f t="shared" si="1"/>
        <v>67</v>
      </c>
      <c r="E345" s="8" t="str">
        <f t="shared" si="2"/>
        <v>https://resources.simonelectric.com/simon-ebook-vehiculo-electrico</v>
      </c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ht="15.75" customHeight="1">
      <c r="A346" s="5" t="s">
        <v>145</v>
      </c>
      <c r="B346" s="5">
        <v>43997.0</v>
      </c>
      <c r="C346" s="6" t="s">
        <v>544</v>
      </c>
      <c r="D346" s="9">
        <f t="shared" si="1"/>
        <v>80</v>
      </c>
      <c r="E346" s="8" t="str">
        <f t="shared" si="2"/>
        <v>https://resources.simonelectric.com/simon-material-formativo-vehiculo-electrico</v>
      </c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ht="15.75" customHeight="1">
      <c r="A347" s="5" t="s">
        <v>145</v>
      </c>
      <c r="B347" s="5">
        <v>43997.0</v>
      </c>
      <c r="C347" s="6" t="s">
        <v>545</v>
      </c>
      <c r="D347" s="9">
        <f t="shared" si="1"/>
        <v>80</v>
      </c>
      <c r="E347" s="8" t="str">
        <f t="shared" si="2"/>
        <v>https://resources.simonelectric.com/simon-material-formativo-vehiculo-electrico</v>
      </c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ht="15.75" customHeight="1">
      <c r="A348" s="5" t="s">
        <v>546</v>
      </c>
      <c r="B348" s="5">
        <v>43997.0</v>
      </c>
      <c r="C348" s="6" t="s">
        <v>547</v>
      </c>
      <c r="D348" s="9">
        <f t="shared" si="1"/>
        <v>67</v>
      </c>
      <c r="E348" s="8" t="str">
        <f t="shared" si="2"/>
        <v>https://resources.simonelectric.com/simon-ebook-vehiculo-electrico</v>
      </c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ht="15.75" customHeight="1">
      <c r="A349" s="5" t="s">
        <v>548</v>
      </c>
      <c r="B349" s="5">
        <v>43997.0</v>
      </c>
      <c r="C349" s="6" t="s">
        <v>549</v>
      </c>
      <c r="D349" s="9">
        <f t="shared" si="1"/>
        <v>67</v>
      </c>
      <c r="E349" s="8" t="str">
        <f t="shared" si="2"/>
        <v>https://resources.simonelectric.com/simon-ebook-vehiculo-electrico</v>
      </c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ht="15.75" customHeight="1">
      <c r="A350" s="5" t="s">
        <v>310</v>
      </c>
      <c r="B350" s="5">
        <v>43997.0</v>
      </c>
      <c r="C350" s="6" t="s">
        <v>31</v>
      </c>
      <c r="D350" s="9">
        <f t="shared" si="1"/>
        <v>67</v>
      </c>
      <c r="E350" s="8" t="str">
        <f t="shared" si="2"/>
        <v>https://resources.simonelectric.com/simon-ebook-vehiculo-electrico</v>
      </c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ht="15.75" customHeight="1">
      <c r="A351" s="5" t="s">
        <v>550</v>
      </c>
      <c r="B351" s="5">
        <v>43997.0</v>
      </c>
      <c r="C351" s="6" t="s">
        <v>551</v>
      </c>
      <c r="D351" s="9">
        <f t="shared" si="1"/>
        <v>67</v>
      </c>
      <c r="E351" s="8" t="str">
        <f t="shared" si="2"/>
        <v>https://resources.simonelectric.com/simon-ebook-vehiculo-electrico</v>
      </c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ht="15.75" customHeight="1">
      <c r="A352" s="5" t="s">
        <v>552</v>
      </c>
      <c r="B352" s="5">
        <v>43997.0</v>
      </c>
      <c r="C352" s="6" t="s">
        <v>553</v>
      </c>
      <c r="D352" s="9">
        <f t="shared" si="1"/>
        <v>67</v>
      </c>
      <c r="E352" s="8" t="str">
        <f t="shared" si="2"/>
        <v>https://resources.simonelectric.com/simon-ebook-vehiculo-electrico</v>
      </c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ht="15.75" customHeight="1">
      <c r="A353" s="5" t="s">
        <v>554</v>
      </c>
      <c r="B353" s="5">
        <v>43997.0</v>
      </c>
      <c r="C353" s="6" t="s">
        <v>555</v>
      </c>
      <c r="D353" s="9">
        <f t="shared" si="1"/>
        <v>67</v>
      </c>
      <c r="E353" s="8" t="str">
        <f t="shared" si="2"/>
        <v>https://resources.simonelectric.com/simon-ebook-vehiculo-electrico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ht="15.75" customHeight="1">
      <c r="A354" s="5" t="s">
        <v>556</v>
      </c>
      <c r="B354" s="5">
        <v>43997.0</v>
      </c>
      <c r="C354" s="6" t="s">
        <v>75</v>
      </c>
      <c r="D354" s="9">
        <f t="shared" si="1"/>
        <v>67</v>
      </c>
      <c r="E354" s="8" t="str">
        <f t="shared" si="2"/>
        <v>https://resources.simonelectric.com/simon-ebook-vehiculo-electrico</v>
      </c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ht="15.75" customHeight="1">
      <c r="A355" s="5" t="s">
        <v>557</v>
      </c>
      <c r="B355" s="5">
        <v>43997.0</v>
      </c>
      <c r="C355" s="6" t="s">
        <v>558</v>
      </c>
      <c r="D355" s="9">
        <f t="shared" si="1"/>
        <v>67</v>
      </c>
      <c r="E355" s="8" t="str">
        <f t="shared" si="2"/>
        <v>https://resources.simonelectric.com/simon-ebook-vehiculo-electrico</v>
      </c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ht="15.75" customHeight="1">
      <c r="A356" s="5" t="s">
        <v>559</v>
      </c>
      <c r="B356" s="5">
        <v>43997.0</v>
      </c>
      <c r="C356" s="6" t="s">
        <v>560</v>
      </c>
      <c r="D356" s="9">
        <f t="shared" si="1"/>
        <v>67</v>
      </c>
      <c r="E356" s="8" t="str">
        <f t="shared" si="2"/>
        <v>https://resources.simonelectric.com/simon-ebook-vehiculo-electrico</v>
      </c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ht="15.75" customHeight="1">
      <c r="A357" s="5" t="s">
        <v>561</v>
      </c>
      <c r="B357" s="5">
        <v>43997.0</v>
      </c>
      <c r="C357" s="6" t="s">
        <v>562</v>
      </c>
      <c r="D357" s="9">
        <f t="shared" si="1"/>
        <v>67</v>
      </c>
      <c r="E357" s="8" t="str">
        <f t="shared" si="2"/>
        <v>https://resources.simonelectric.com/simon-ebook-vehiculo-electrico</v>
      </c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ht="15.75" customHeight="1">
      <c r="A358" s="5" t="s">
        <v>563</v>
      </c>
      <c r="B358" s="5">
        <v>43997.0</v>
      </c>
      <c r="C358" s="6" t="s">
        <v>564</v>
      </c>
      <c r="D358" s="9">
        <f t="shared" si="1"/>
        <v>67</v>
      </c>
      <c r="E358" s="8" t="str">
        <f t="shared" si="2"/>
        <v>https://resources.simonelectric.com/simon-ebook-vehiculo-electrico</v>
      </c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ht="15.75" customHeight="1">
      <c r="A359" s="5" t="s">
        <v>565</v>
      </c>
      <c r="B359" s="5">
        <v>43997.0</v>
      </c>
      <c r="C359" s="6" t="s">
        <v>566</v>
      </c>
      <c r="D359" s="9">
        <f t="shared" si="1"/>
        <v>80</v>
      </c>
      <c r="E359" s="8" t="str">
        <f t="shared" si="2"/>
        <v>https://resources.simonelectric.com/simon-material-formativo-vehiculo-electrico</v>
      </c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ht="15.75" customHeight="1">
      <c r="A360" s="5" t="s">
        <v>567</v>
      </c>
      <c r="B360" s="5">
        <v>43997.0</v>
      </c>
      <c r="C360" s="6" t="s">
        <v>568</v>
      </c>
      <c r="D360" s="9">
        <f t="shared" si="1"/>
        <v>67</v>
      </c>
      <c r="E360" s="8" t="str">
        <f t="shared" si="2"/>
        <v>https://resources.simonelectric.com/simon-ebook-vehiculo-electrico</v>
      </c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ht="15.75" customHeight="1">
      <c r="A361" s="5" t="s">
        <v>521</v>
      </c>
      <c r="B361" s="5">
        <v>43996.0</v>
      </c>
      <c r="C361" s="6" t="s">
        <v>569</v>
      </c>
      <c r="D361" s="9">
        <f t="shared" si="1"/>
        <v>80</v>
      </c>
      <c r="E361" s="8" t="str">
        <f t="shared" si="2"/>
        <v>https://resources.simonelectric.com/simon-material-formativo-vehiculo-electrico</v>
      </c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ht="15.75" customHeight="1">
      <c r="A362" s="5" t="s">
        <v>570</v>
      </c>
      <c r="B362" s="5">
        <v>43995.0</v>
      </c>
      <c r="C362" s="6" t="s">
        <v>571</v>
      </c>
      <c r="D362" s="9">
        <f t="shared" si="1"/>
        <v>69</v>
      </c>
      <c r="E362" s="8" t="str">
        <f t="shared" si="2"/>
        <v>https://resources.simonelectric.com/simon-ebook-vehiculo-electrico-0</v>
      </c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ht="15.75" customHeight="1">
      <c r="A363" s="5" t="s">
        <v>572</v>
      </c>
      <c r="B363" s="5">
        <v>43995.0</v>
      </c>
      <c r="C363" s="6" t="s">
        <v>6</v>
      </c>
      <c r="D363" s="9">
        <f t="shared" si="1"/>
        <v>67</v>
      </c>
      <c r="E363" s="8" t="str">
        <f t="shared" si="2"/>
        <v>https://resources.simonelectric.com/simon-ebook-vehiculo-electrico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ht="15.75" customHeight="1">
      <c r="A364" s="5" t="s">
        <v>573</v>
      </c>
      <c r="B364" s="5">
        <v>43995.0</v>
      </c>
      <c r="C364" s="6" t="s">
        <v>6</v>
      </c>
      <c r="D364" s="9">
        <f t="shared" si="1"/>
        <v>67</v>
      </c>
      <c r="E364" s="8" t="str">
        <f t="shared" si="2"/>
        <v>https://resources.simonelectric.com/simon-ebook-vehiculo-electrico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ht="15.75" customHeight="1">
      <c r="A365" s="5" t="s">
        <v>574</v>
      </c>
      <c r="B365" s="5">
        <v>43994.0</v>
      </c>
      <c r="C365" s="6" t="s">
        <v>575</v>
      </c>
      <c r="D365" s="9">
        <f t="shared" si="1"/>
        <v>80</v>
      </c>
      <c r="E365" s="8" t="str">
        <f t="shared" si="2"/>
        <v>https://resources.simonelectric.com/simon-material-formativo-vehiculo-electrico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ht="15.75" customHeight="1">
      <c r="A366" s="5" t="s">
        <v>576</v>
      </c>
      <c r="B366" s="5">
        <v>43994.0</v>
      </c>
      <c r="C366" s="6" t="s">
        <v>577</v>
      </c>
      <c r="D366" s="9">
        <f t="shared" si="1"/>
        <v>80</v>
      </c>
      <c r="E366" s="8" t="str">
        <f t="shared" si="2"/>
        <v>https://resources.simonelectric.com/simon-material-formativo-vehiculo-electrico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ht="15.75" customHeight="1">
      <c r="A367" s="5" t="s">
        <v>578</v>
      </c>
      <c r="B367" s="5">
        <v>43994.0</v>
      </c>
      <c r="C367" s="6" t="s">
        <v>75</v>
      </c>
      <c r="D367" s="9">
        <f t="shared" si="1"/>
        <v>67</v>
      </c>
      <c r="E367" s="8" t="str">
        <f t="shared" si="2"/>
        <v>https://resources.simonelectric.com/simon-ebook-vehiculo-electrico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ht="15.75" customHeight="1">
      <c r="A368" s="5" t="s">
        <v>559</v>
      </c>
      <c r="B368" s="5">
        <v>43994.0</v>
      </c>
      <c r="C368" s="6" t="s">
        <v>579</v>
      </c>
      <c r="D368" s="9">
        <f t="shared" si="1"/>
        <v>80</v>
      </c>
      <c r="E368" s="8" t="str">
        <f t="shared" si="2"/>
        <v>https://resources.simonelectric.com/simon-material-formativo-vehiculo-electrico</v>
      </c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ht="15.75" customHeight="1">
      <c r="A369" s="5" t="s">
        <v>580</v>
      </c>
      <c r="B369" s="5">
        <v>43994.0</v>
      </c>
      <c r="C369" s="6" t="s">
        <v>581</v>
      </c>
      <c r="D369" s="9">
        <f t="shared" si="1"/>
        <v>80</v>
      </c>
      <c r="E369" s="8" t="str">
        <f t="shared" si="2"/>
        <v>https://resources.simonelectric.com/simon-material-formativo-vehiculo-electrico</v>
      </c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ht="15.75" customHeight="1">
      <c r="A370" s="5" t="s">
        <v>582</v>
      </c>
      <c r="B370" s="5">
        <v>43994.0</v>
      </c>
      <c r="C370" s="6" t="s">
        <v>583</v>
      </c>
      <c r="D370" s="9">
        <f t="shared" si="1"/>
        <v>80</v>
      </c>
      <c r="E370" s="8" t="str">
        <f t="shared" si="2"/>
        <v>https://resources.simonelectric.com/simon-material-formativo-vehiculo-electrico</v>
      </c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ht="15.75" customHeight="1">
      <c r="A371" s="5" t="s">
        <v>550</v>
      </c>
      <c r="B371" s="5">
        <v>43994.0</v>
      </c>
      <c r="C371" s="6" t="s">
        <v>584</v>
      </c>
      <c r="D371" s="9">
        <f t="shared" si="1"/>
        <v>80</v>
      </c>
      <c r="E371" s="8" t="str">
        <f t="shared" si="2"/>
        <v>https://resources.simonelectric.com/simon-material-formativo-vehiculo-electrico</v>
      </c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ht="15.75" customHeight="1">
      <c r="A372" s="5" t="s">
        <v>585</v>
      </c>
      <c r="B372" s="5">
        <v>43994.0</v>
      </c>
      <c r="C372" s="6" t="s">
        <v>586</v>
      </c>
      <c r="D372" s="9">
        <f t="shared" si="1"/>
        <v>80</v>
      </c>
      <c r="E372" s="8" t="str">
        <f t="shared" si="2"/>
        <v>https://resources.simonelectric.com/simon-material-formativo-vehiculo-electrico</v>
      </c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ht="15.75" customHeight="1">
      <c r="A373" s="5" t="s">
        <v>587</v>
      </c>
      <c r="B373" s="5">
        <v>43994.0</v>
      </c>
      <c r="C373" s="6" t="s">
        <v>588</v>
      </c>
      <c r="D373" s="9">
        <f t="shared" si="1"/>
        <v>80</v>
      </c>
      <c r="E373" s="8" t="str">
        <f t="shared" si="2"/>
        <v>https://resources.simonelectric.com/simon-material-formativo-vehiculo-electrico</v>
      </c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ht="15.75" customHeight="1">
      <c r="A374" s="5" t="s">
        <v>589</v>
      </c>
      <c r="B374" s="5">
        <v>43994.0</v>
      </c>
      <c r="C374" s="6" t="s">
        <v>590</v>
      </c>
      <c r="D374" s="9">
        <f t="shared" si="1"/>
        <v>80</v>
      </c>
      <c r="E374" s="8" t="str">
        <f t="shared" si="2"/>
        <v>https://resources.simonelectric.com/simon-material-formativo-vehiculo-electrico</v>
      </c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ht="15.75" customHeight="1">
      <c r="A375" s="5" t="s">
        <v>518</v>
      </c>
      <c r="B375" s="5">
        <v>43994.0</v>
      </c>
      <c r="C375" s="6" t="s">
        <v>591</v>
      </c>
      <c r="D375" s="9">
        <f t="shared" si="1"/>
        <v>80</v>
      </c>
      <c r="E375" s="8" t="str">
        <f t="shared" si="2"/>
        <v>https://resources.simonelectric.com/simon-material-formativo-vehiculo-electrico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ht="15.75" customHeight="1">
      <c r="A376" s="5" t="s">
        <v>364</v>
      </c>
      <c r="B376" s="5">
        <v>43993.0</v>
      </c>
      <c r="C376" s="6" t="s">
        <v>75</v>
      </c>
      <c r="D376" s="9">
        <f t="shared" si="1"/>
        <v>67</v>
      </c>
      <c r="E376" s="8" t="str">
        <f t="shared" si="2"/>
        <v>https://resources.simonelectric.com/simon-ebook-vehiculo-electrico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ht="15.75" customHeight="1">
      <c r="A377" s="5" t="s">
        <v>592</v>
      </c>
      <c r="B377" s="5">
        <v>43993.0</v>
      </c>
      <c r="C377" s="6" t="s">
        <v>8</v>
      </c>
      <c r="D377" s="9">
        <f t="shared" si="1"/>
        <v>67</v>
      </c>
      <c r="E377" s="8" t="str">
        <f t="shared" si="2"/>
        <v>https://resources.simonelectric.com/simon-ebook-vehiculo-electrico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ht="15.75" customHeight="1">
      <c r="A378" s="5" t="s">
        <v>593</v>
      </c>
      <c r="B378" s="5">
        <v>43993.0</v>
      </c>
      <c r="C378" s="6" t="s">
        <v>299</v>
      </c>
      <c r="D378" s="7" t="str">
        <f t="shared" si="1"/>
        <v>https://resources.simonelectric.com/simon-material-formativo-vehiculo-electrico</v>
      </c>
      <c r="E378" s="8" t="str">
        <f t="shared" si="2"/>
        <v>https://resources.simonelectric.com/simon-material-formativo-vehiculo-electrico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ht="15.75" customHeight="1">
      <c r="A379" s="5" t="s">
        <v>594</v>
      </c>
      <c r="B379" s="5">
        <v>43993.0</v>
      </c>
      <c r="C379" s="6" t="s">
        <v>8</v>
      </c>
      <c r="D379" s="9">
        <f t="shared" si="1"/>
        <v>67</v>
      </c>
      <c r="E379" s="8" t="str">
        <f t="shared" si="2"/>
        <v>https://resources.simonelectric.com/simon-ebook-vehiculo-electrico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ht="15.75" customHeight="1">
      <c r="A380" s="5" t="s">
        <v>595</v>
      </c>
      <c r="B380" s="5">
        <v>43993.0</v>
      </c>
      <c r="C380" s="6" t="s">
        <v>596</v>
      </c>
      <c r="D380" s="9">
        <f t="shared" si="1"/>
        <v>67</v>
      </c>
      <c r="E380" s="8" t="str">
        <f t="shared" si="2"/>
        <v>https://resources.simonelectric.com/simon-ebook-vehiculo-electrico</v>
      </c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ht="15.75" customHeight="1">
      <c r="A381" s="5" t="s">
        <v>597</v>
      </c>
      <c r="B381" s="5">
        <v>43992.0</v>
      </c>
      <c r="C381" s="6" t="s">
        <v>598</v>
      </c>
      <c r="D381" s="9">
        <f t="shared" si="1"/>
        <v>70</v>
      </c>
      <c r="E381" s="8" t="str">
        <f t="shared" si="2"/>
        <v>https://resources.simonelectric.com/simon-catalogo-vehiculo-electrico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ht="15.75" customHeight="1">
      <c r="A382" s="5" t="s">
        <v>599</v>
      </c>
      <c r="B382" s="5">
        <v>43992.0</v>
      </c>
      <c r="C382" s="6" t="s">
        <v>600</v>
      </c>
      <c r="D382" s="9">
        <f t="shared" si="1"/>
        <v>67</v>
      </c>
      <c r="E382" s="8" t="str">
        <f t="shared" si="2"/>
        <v>https://resources.simonelectric.com/simon-ebook-vehiculo-electrico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ht="15.75" customHeight="1">
      <c r="A383" s="5" t="s">
        <v>601</v>
      </c>
      <c r="B383" s="5">
        <v>43992.0</v>
      </c>
      <c r="C383" s="6" t="s">
        <v>602</v>
      </c>
      <c r="D383" s="9">
        <f t="shared" si="1"/>
        <v>70</v>
      </c>
      <c r="E383" s="8" t="str">
        <f t="shared" si="2"/>
        <v>https://resources.simonelectric.com/simon-catalogo-vehiculo-electrico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ht="15.75" customHeight="1">
      <c r="A384" s="5" t="s">
        <v>601</v>
      </c>
      <c r="B384" s="5">
        <v>43992.0</v>
      </c>
      <c r="C384" s="6" t="s">
        <v>8</v>
      </c>
      <c r="D384" s="9">
        <f t="shared" si="1"/>
        <v>67</v>
      </c>
      <c r="E384" s="8" t="str">
        <f t="shared" si="2"/>
        <v>https://resources.simonelectric.com/simon-ebook-vehiculo-electrico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ht="15.75" customHeight="1">
      <c r="A385" s="5" t="s">
        <v>603</v>
      </c>
      <c r="B385" s="5">
        <v>43992.0</v>
      </c>
      <c r="C385" s="6" t="s">
        <v>6</v>
      </c>
      <c r="D385" s="9">
        <f t="shared" si="1"/>
        <v>67</v>
      </c>
      <c r="E385" s="8" t="str">
        <f t="shared" si="2"/>
        <v>https://resources.simonelectric.com/simon-ebook-vehiculo-electrico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ht="15.75" customHeight="1">
      <c r="A386" s="5" t="s">
        <v>604</v>
      </c>
      <c r="B386" s="5">
        <v>43992.0</v>
      </c>
      <c r="C386" s="6" t="s">
        <v>6</v>
      </c>
      <c r="D386" s="9">
        <f t="shared" si="1"/>
        <v>67</v>
      </c>
      <c r="E386" s="8" t="str">
        <f t="shared" si="2"/>
        <v>https://resources.simonelectric.com/simon-ebook-vehiculo-electrico</v>
      </c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ht="15.75" customHeight="1">
      <c r="A387" s="5" t="s">
        <v>605</v>
      </c>
      <c r="B387" s="5">
        <v>43991.0</v>
      </c>
      <c r="C387" s="6" t="s">
        <v>606</v>
      </c>
      <c r="D387" s="9">
        <f t="shared" si="1"/>
        <v>70</v>
      </c>
      <c r="E387" s="8" t="str">
        <f t="shared" si="2"/>
        <v>https://resources.simonelectric.com/simon-catalogo-vehiculo-electrico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ht="15.75" customHeight="1">
      <c r="A388" s="5" t="s">
        <v>607</v>
      </c>
      <c r="B388" s="5">
        <v>43991.0</v>
      </c>
      <c r="C388" s="6" t="s">
        <v>55</v>
      </c>
      <c r="D388" s="9">
        <f t="shared" si="1"/>
        <v>71</v>
      </c>
      <c r="E388" s="8" t="str">
        <f t="shared" si="2"/>
        <v>https://resources.simonelectric.com/simon-ebook-vehiculo-electrico-ppc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ht="15.75" customHeight="1">
      <c r="A389" s="5" t="s">
        <v>608</v>
      </c>
      <c r="B389" s="5">
        <v>43991.0</v>
      </c>
      <c r="C389" s="6" t="s">
        <v>609</v>
      </c>
      <c r="D389" s="9">
        <f t="shared" si="1"/>
        <v>80</v>
      </c>
      <c r="E389" s="8" t="str">
        <f t="shared" si="2"/>
        <v>https://resources.simonelectric.com/simon-material-formativo-vehiculo-electrico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ht="15.75" customHeight="1">
      <c r="A390" s="5" t="s">
        <v>610</v>
      </c>
      <c r="B390" s="5">
        <v>43991.0</v>
      </c>
      <c r="C390" s="6" t="s">
        <v>31</v>
      </c>
      <c r="D390" s="9">
        <f t="shared" si="1"/>
        <v>67</v>
      </c>
      <c r="E390" s="8" t="str">
        <f t="shared" si="2"/>
        <v>https://resources.simonelectric.com/simon-ebook-vehiculo-electrico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ht="15.75" customHeight="1">
      <c r="A391" s="5" t="s">
        <v>611</v>
      </c>
      <c r="B391" s="5">
        <v>43991.0</v>
      </c>
      <c r="C391" s="6" t="s">
        <v>8</v>
      </c>
      <c r="D391" s="9">
        <f t="shared" si="1"/>
        <v>67</v>
      </c>
      <c r="E391" s="8" t="str">
        <f t="shared" si="2"/>
        <v>https://resources.simonelectric.com/simon-ebook-vehiculo-electrico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ht="15.75" customHeight="1">
      <c r="A392" s="5" t="s">
        <v>612</v>
      </c>
      <c r="B392" s="5">
        <v>43991.0</v>
      </c>
      <c r="C392" s="6" t="s">
        <v>613</v>
      </c>
      <c r="D392" s="7">
        <f t="shared" si="1"/>
        <v>70</v>
      </c>
      <c r="E392" s="8" t="str">
        <f t="shared" si="2"/>
        <v>https://resources.simonelectric.com/simon-catalogo-vehiculo-electrico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ht="15.75" customHeight="1">
      <c r="A393" s="5" t="s">
        <v>94</v>
      </c>
      <c r="B393" s="5">
        <v>43991.0</v>
      </c>
      <c r="C393" s="6" t="s">
        <v>75</v>
      </c>
      <c r="D393" s="9">
        <f t="shared" si="1"/>
        <v>67</v>
      </c>
      <c r="E393" s="8" t="str">
        <f t="shared" si="2"/>
        <v>https://resources.simonelectric.com/simon-ebook-vehiculo-electrico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ht="15.75" customHeight="1">
      <c r="A394" s="5" t="s">
        <v>614</v>
      </c>
      <c r="B394" s="5">
        <v>43991.0</v>
      </c>
      <c r="C394" s="6" t="s">
        <v>75</v>
      </c>
      <c r="D394" s="9">
        <f t="shared" si="1"/>
        <v>67</v>
      </c>
      <c r="E394" s="8" t="str">
        <f t="shared" si="2"/>
        <v>https://resources.simonelectric.com/simon-ebook-vehiculo-electrico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ht="15.75" customHeight="1">
      <c r="A395" s="5" t="s">
        <v>615</v>
      </c>
      <c r="B395" s="5">
        <v>43991.0</v>
      </c>
      <c r="C395" s="6" t="s">
        <v>55</v>
      </c>
      <c r="D395" s="9">
        <f t="shared" si="1"/>
        <v>71</v>
      </c>
      <c r="E395" s="8" t="str">
        <f t="shared" si="2"/>
        <v>https://resources.simonelectric.com/simon-ebook-vehiculo-electrico-ppc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ht="15.75" customHeight="1">
      <c r="A396" s="5" t="s">
        <v>616</v>
      </c>
      <c r="B396" s="5">
        <v>43991.0</v>
      </c>
      <c r="C396" s="6" t="s">
        <v>75</v>
      </c>
      <c r="D396" s="9">
        <f t="shared" si="1"/>
        <v>67</v>
      </c>
      <c r="E396" s="8" t="str">
        <f t="shared" si="2"/>
        <v>https://resources.simonelectric.com/simon-ebook-vehiculo-electrico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ht="15.75" customHeight="1">
      <c r="A397" s="5" t="s">
        <v>617</v>
      </c>
      <c r="B397" s="5">
        <v>43990.0</v>
      </c>
      <c r="C397" s="6" t="s">
        <v>618</v>
      </c>
      <c r="D397" s="9">
        <f t="shared" si="1"/>
        <v>69</v>
      </c>
      <c r="E397" s="8" t="str">
        <f t="shared" si="2"/>
        <v>https://resources.simonelectric.com/simon-ebook-vehiculo-electrico-0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ht="15.75" customHeight="1">
      <c r="A398" s="5" t="s">
        <v>488</v>
      </c>
      <c r="B398" s="5">
        <v>43990.0</v>
      </c>
      <c r="C398" s="6" t="s">
        <v>6</v>
      </c>
      <c r="D398" s="9">
        <f t="shared" si="1"/>
        <v>67</v>
      </c>
      <c r="E398" s="8" t="str">
        <f t="shared" si="2"/>
        <v>https://resources.simonelectric.com/simon-ebook-vehiculo-electrico</v>
      </c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ht="15.75" customHeight="1">
      <c r="A399" s="5" t="s">
        <v>619</v>
      </c>
      <c r="B399" s="5">
        <v>43990.0</v>
      </c>
      <c r="C399" s="6" t="s">
        <v>75</v>
      </c>
      <c r="D399" s="9">
        <f t="shared" si="1"/>
        <v>67</v>
      </c>
      <c r="E399" s="8" t="str">
        <f t="shared" si="2"/>
        <v>https://resources.simonelectric.com/simon-ebook-vehiculo-electrico</v>
      </c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ht="15.75" customHeight="1">
      <c r="A400" s="5" t="s">
        <v>619</v>
      </c>
      <c r="B400" s="5">
        <v>43990.0</v>
      </c>
      <c r="C400" s="6" t="s">
        <v>75</v>
      </c>
      <c r="D400" s="9">
        <f t="shared" si="1"/>
        <v>67</v>
      </c>
      <c r="E400" s="8" t="str">
        <f t="shared" si="2"/>
        <v>https://resources.simonelectric.com/simon-ebook-vehiculo-electrico</v>
      </c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ht="15.75" customHeight="1">
      <c r="A401" s="5" t="s">
        <v>620</v>
      </c>
      <c r="B401" s="5">
        <v>43990.0</v>
      </c>
      <c r="C401" s="6" t="s">
        <v>75</v>
      </c>
      <c r="D401" s="9">
        <f t="shared" si="1"/>
        <v>67</v>
      </c>
      <c r="E401" s="8" t="str">
        <f t="shared" si="2"/>
        <v>https://resources.simonelectric.com/simon-ebook-vehiculo-electrico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ht="15.75" customHeight="1">
      <c r="A402" s="5" t="s">
        <v>621</v>
      </c>
      <c r="B402" s="5">
        <v>43990.0</v>
      </c>
      <c r="C402" s="6" t="s">
        <v>8</v>
      </c>
      <c r="D402" s="9">
        <f t="shared" si="1"/>
        <v>67</v>
      </c>
      <c r="E402" s="8" t="str">
        <f t="shared" si="2"/>
        <v>https://resources.simonelectric.com/simon-ebook-vehiculo-electrico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ht="15.75" customHeight="1">
      <c r="A403" s="5" t="s">
        <v>622</v>
      </c>
      <c r="B403" s="5">
        <v>43990.0</v>
      </c>
      <c r="C403" s="6" t="s">
        <v>623</v>
      </c>
      <c r="D403" s="9">
        <f t="shared" si="1"/>
        <v>70</v>
      </c>
      <c r="E403" s="8" t="str">
        <f t="shared" si="2"/>
        <v>https://resources.simonelectric.com/simon-catalogo-vehiculo-electrico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ht="15.75" customHeight="1">
      <c r="A404" s="5" t="s">
        <v>578</v>
      </c>
      <c r="B404" s="5">
        <v>43990.0</v>
      </c>
      <c r="C404" s="6" t="s">
        <v>75</v>
      </c>
      <c r="D404" s="9">
        <f t="shared" si="1"/>
        <v>67</v>
      </c>
      <c r="E404" s="8" t="str">
        <f t="shared" si="2"/>
        <v>https://resources.simonelectric.com/simon-ebook-vehiculo-electrico</v>
      </c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ht="15.75" customHeight="1">
      <c r="A405" s="5" t="s">
        <v>624</v>
      </c>
      <c r="B405" s="5">
        <v>43990.0</v>
      </c>
      <c r="C405" s="6" t="s">
        <v>625</v>
      </c>
      <c r="D405" s="9">
        <f t="shared" si="1"/>
        <v>67</v>
      </c>
      <c r="E405" s="8" t="str">
        <f t="shared" si="2"/>
        <v>https://resources.simonelectric.com/simon-ebook-vehiculo-electrico</v>
      </c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ht="15.75" customHeight="1">
      <c r="A406" s="5" t="s">
        <v>626</v>
      </c>
      <c r="B406" s="5">
        <v>43990.0</v>
      </c>
      <c r="C406" s="6" t="s">
        <v>627</v>
      </c>
      <c r="D406" s="9">
        <f t="shared" si="1"/>
        <v>70</v>
      </c>
      <c r="E406" s="8" t="str">
        <f t="shared" si="2"/>
        <v>https://resources.simonelectric.com/simon-catalogo-vehiculo-electrico</v>
      </c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ht="15.75" customHeight="1">
      <c r="A407" s="5" t="s">
        <v>628</v>
      </c>
      <c r="B407" s="5">
        <v>43990.0</v>
      </c>
      <c r="C407" s="6" t="s">
        <v>8</v>
      </c>
      <c r="D407" s="9">
        <f t="shared" si="1"/>
        <v>67</v>
      </c>
      <c r="E407" s="8" t="str">
        <f t="shared" si="2"/>
        <v>https://resources.simonelectric.com/simon-ebook-vehiculo-electrico</v>
      </c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ht="15.75" customHeight="1">
      <c r="A408" s="5" t="s">
        <v>629</v>
      </c>
      <c r="B408" s="5">
        <v>43990.0</v>
      </c>
      <c r="C408" s="6" t="s">
        <v>75</v>
      </c>
      <c r="D408" s="9">
        <f t="shared" si="1"/>
        <v>67</v>
      </c>
      <c r="E408" s="8" t="str">
        <f t="shared" si="2"/>
        <v>https://resources.simonelectric.com/simon-ebook-vehiculo-electrico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ht="15.75" customHeight="1">
      <c r="A409" s="5" t="s">
        <v>630</v>
      </c>
      <c r="B409" s="5">
        <v>43990.0</v>
      </c>
      <c r="C409" s="6" t="s">
        <v>75</v>
      </c>
      <c r="D409" s="9">
        <f t="shared" si="1"/>
        <v>67</v>
      </c>
      <c r="E409" s="8" t="str">
        <f t="shared" si="2"/>
        <v>https://resources.simonelectric.com/simon-ebook-vehiculo-electrico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ht="15.75" customHeight="1">
      <c r="A410" s="5" t="s">
        <v>631</v>
      </c>
      <c r="B410" s="5">
        <v>43989.0</v>
      </c>
      <c r="C410" s="6" t="s">
        <v>55</v>
      </c>
      <c r="D410" s="9">
        <f t="shared" si="1"/>
        <v>71</v>
      </c>
      <c r="E410" s="8" t="str">
        <f t="shared" si="2"/>
        <v>https://resources.simonelectric.com/simon-ebook-vehiculo-electrico-ppc</v>
      </c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ht="15.75" customHeight="1">
      <c r="A411" s="5" t="s">
        <v>632</v>
      </c>
      <c r="B411" s="5">
        <v>43989.0</v>
      </c>
      <c r="C411" s="6" t="s">
        <v>633</v>
      </c>
      <c r="D411" s="7">
        <f t="shared" si="1"/>
        <v>70</v>
      </c>
      <c r="E411" s="8" t="str">
        <f t="shared" si="2"/>
        <v>https://resources.simonelectric.com/simon-catalogo-vehiculo-electrico</v>
      </c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ht="15.75" customHeight="1">
      <c r="A412" s="5" t="s">
        <v>634</v>
      </c>
      <c r="B412" s="5">
        <v>43989.0</v>
      </c>
      <c r="C412" s="6" t="s">
        <v>635</v>
      </c>
      <c r="D412" s="9">
        <f t="shared" si="1"/>
        <v>69</v>
      </c>
      <c r="E412" s="8" t="str">
        <f t="shared" si="2"/>
        <v>https://resources.simonelectric.com/simon-ebook-vehiculo-electrico-0</v>
      </c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ht="15.75" customHeight="1">
      <c r="A413" s="5" t="s">
        <v>636</v>
      </c>
      <c r="B413" s="5">
        <v>43989.0</v>
      </c>
      <c r="C413" s="6" t="s">
        <v>637</v>
      </c>
      <c r="D413" s="9">
        <f t="shared" si="1"/>
        <v>69</v>
      </c>
      <c r="E413" s="8" t="str">
        <f t="shared" si="2"/>
        <v>https://resources.simonelectric.com/simon-ebook-vehiculo-electrico-0</v>
      </c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ht="15.75" customHeight="1">
      <c r="A414" s="5" t="s">
        <v>396</v>
      </c>
      <c r="B414" s="5">
        <v>43989.0</v>
      </c>
      <c r="C414" s="6" t="s">
        <v>8</v>
      </c>
      <c r="D414" s="9">
        <f t="shared" si="1"/>
        <v>67</v>
      </c>
      <c r="E414" s="8" t="str">
        <f t="shared" si="2"/>
        <v>https://resources.simonelectric.com/simon-ebook-vehiculo-electrico</v>
      </c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ht="15.75" customHeight="1">
      <c r="A415" s="5" t="s">
        <v>638</v>
      </c>
      <c r="B415" s="5">
        <v>43989.0</v>
      </c>
      <c r="C415" s="6" t="s">
        <v>639</v>
      </c>
      <c r="D415" s="7">
        <f t="shared" si="1"/>
        <v>70</v>
      </c>
      <c r="E415" s="8" t="str">
        <f t="shared" si="2"/>
        <v>https://resources.simonelectric.com/simon-catalogo-vehiculo-electrico</v>
      </c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ht="15.75" customHeight="1">
      <c r="A416" s="5" t="s">
        <v>640</v>
      </c>
      <c r="B416" s="5">
        <v>43988.0</v>
      </c>
      <c r="C416" s="6" t="s">
        <v>641</v>
      </c>
      <c r="D416" s="7">
        <f t="shared" si="1"/>
        <v>70</v>
      </c>
      <c r="E416" s="8" t="str">
        <f t="shared" si="2"/>
        <v>https://resources.simonelectric.com/simon-catalogo-vehiculo-electrico</v>
      </c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ht="15.75" customHeight="1">
      <c r="A417" s="5" t="s">
        <v>642</v>
      </c>
      <c r="B417" s="5">
        <v>43988.0</v>
      </c>
      <c r="C417" s="6" t="s">
        <v>643</v>
      </c>
      <c r="D417" s="7">
        <f t="shared" si="1"/>
        <v>69</v>
      </c>
      <c r="E417" s="8" t="str">
        <f t="shared" si="2"/>
        <v>https://resources.simonelectric.com/simon-ebook-vehiculo-electrico-0</v>
      </c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ht="15.75" customHeight="1">
      <c r="A418" s="5" t="s">
        <v>644</v>
      </c>
      <c r="B418" s="5">
        <v>43988.0</v>
      </c>
      <c r="C418" s="6" t="s">
        <v>55</v>
      </c>
      <c r="D418" s="9">
        <f t="shared" si="1"/>
        <v>71</v>
      </c>
      <c r="E418" s="8" t="str">
        <f t="shared" si="2"/>
        <v>https://resources.simonelectric.com/simon-ebook-vehiculo-electrico-ppc</v>
      </c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ht="15.75" customHeight="1">
      <c r="A419" s="5" t="s">
        <v>645</v>
      </c>
      <c r="B419" s="5">
        <v>43988.0</v>
      </c>
      <c r="C419" s="6" t="s">
        <v>8</v>
      </c>
      <c r="D419" s="9">
        <f t="shared" si="1"/>
        <v>67</v>
      </c>
      <c r="E419" s="8" t="str">
        <f t="shared" si="2"/>
        <v>https://resources.simonelectric.com/simon-ebook-vehiculo-electrico</v>
      </c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ht="15.75" customHeight="1">
      <c r="A420" s="5" t="s">
        <v>645</v>
      </c>
      <c r="B420" s="5">
        <v>43988.0</v>
      </c>
      <c r="C420" s="6" t="s">
        <v>8</v>
      </c>
      <c r="D420" s="9">
        <f t="shared" si="1"/>
        <v>67</v>
      </c>
      <c r="E420" s="8" t="str">
        <f t="shared" si="2"/>
        <v>https://resources.simonelectric.com/simon-ebook-vehiculo-electrico</v>
      </c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ht="15.75" customHeight="1">
      <c r="A421" s="5" t="s">
        <v>646</v>
      </c>
      <c r="B421" s="5">
        <v>43988.0</v>
      </c>
      <c r="C421" s="6" t="s">
        <v>55</v>
      </c>
      <c r="D421" s="9">
        <f t="shared" si="1"/>
        <v>71</v>
      </c>
      <c r="E421" s="8" t="str">
        <f t="shared" si="2"/>
        <v>https://resources.simonelectric.com/simon-ebook-vehiculo-electrico-ppc</v>
      </c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ht="15.75" customHeight="1">
      <c r="A422" s="5" t="s">
        <v>647</v>
      </c>
      <c r="B422" s="5">
        <v>43988.0</v>
      </c>
      <c r="C422" s="6" t="s">
        <v>75</v>
      </c>
      <c r="D422" s="9">
        <f t="shared" si="1"/>
        <v>67</v>
      </c>
      <c r="E422" s="8" t="str">
        <f t="shared" si="2"/>
        <v>https://resources.simonelectric.com/simon-ebook-vehiculo-electrico</v>
      </c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ht="15.75" customHeight="1">
      <c r="A423" s="5" t="s">
        <v>648</v>
      </c>
      <c r="B423" s="5">
        <v>43988.0</v>
      </c>
      <c r="C423" s="6" t="s">
        <v>55</v>
      </c>
      <c r="D423" s="9">
        <f t="shared" si="1"/>
        <v>71</v>
      </c>
      <c r="E423" s="8" t="str">
        <f t="shared" si="2"/>
        <v>https://resources.simonelectric.com/simon-ebook-vehiculo-electrico-ppc</v>
      </c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ht="15.75" customHeight="1">
      <c r="A424" s="5" t="s">
        <v>649</v>
      </c>
      <c r="B424" s="5">
        <v>43987.0</v>
      </c>
      <c r="C424" s="6" t="s">
        <v>650</v>
      </c>
      <c r="D424" s="9">
        <f t="shared" si="1"/>
        <v>69</v>
      </c>
      <c r="E424" s="8" t="str">
        <f t="shared" si="2"/>
        <v>https://resources.simonelectric.com/simon-ebook-vehiculo-electrico-0</v>
      </c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ht="15.75" customHeight="1">
      <c r="A425" s="5" t="s">
        <v>651</v>
      </c>
      <c r="B425" s="5">
        <v>43987.0</v>
      </c>
      <c r="C425" s="6" t="s">
        <v>31</v>
      </c>
      <c r="D425" s="9">
        <f t="shared" si="1"/>
        <v>67</v>
      </c>
      <c r="E425" s="8" t="str">
        <f t="shared" si="2"/>
        <v>https://resources.simonelectric.com/simon-ebook-vehiculo-electrico</v>
      </c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ht="15.75" customHeight="1">
      <c r="A426" s="5" t="s">
        <v>652</v>
      </c>
      <c r="B426" s="5">
        <v>43987.0</v>
      </c>
      <c r="C426" s="6" t="s">
        <v>653</v>
      </c>
      <c r="D426" s="9">
        <f t="shared" si="1"/>
        <v>67</v>
      </c>
      <c r="E426" s="8" t="str">
        <f t="shared" si="2"/>
        <v>https://resources.simonelectric.com/simon-ebook-vehiculo-electrico</v>
      </c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ht="15.75" customHeight="1">
      <c r="A427" s="5" t="s">
        <v>654</v>
      </c>
      <c r="B427" s="5">
        <v>43987.0</v>
      </c>
      <c r="C427" s="6" t="s">
        <v>55</v>
      </c>
      <c r="D427" s="9">
        <f t="shared" si="1"/>
        <v>71</v>
      </c>
      <c r="E427" s="8" t="str">
        <f t="shared" si="2"/>
        <v>https://resources.simonelectric.com/simon-ebook-vehiculo-electrico-ppc</v>
      </c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ht="15.75" customHeight="1">
      <c r="A428" s="5" t="s">
        <v>655</v>
      </c>
      <c r="B428" s="5">
        <v>43987.0</v>
      </c>
      <c r="C428" s="6" t="s">
        <v>75</v>
      </c>
      <c r="D428" s="9">
        <f t="shared" si="1"/>
        <v>67</v>
      </c>
      <c r="E428" s="8" t="str">
        <f t="shared" si="2"/>
        <v>https://resources.simonelectric.com/simon-ebook-vehiculo-electrico</v>
      </c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ht="15.75" customHeight="1">
      <c r="A429" s="5" t="s">
        <v>656</v>
      </c>
      <c r="B429" s="5">
        <v>43987.0</v>
      </c>
      <c r="C429" s="6" t="s">
        <v>657</v>
      </c>
      <c r="D429" s="9">
        <f t="shared" si="1"/>
        <v>70</v>
      </c>
      <c r="E429" s="8" t="str">
        <f t="shared" si="2"/>
        <v>https://resources.simonelectric.com/simon-catalogo-vehiculo-electrico</v>
      </c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ht="15.75" customHeight="1">
      <c r="A430" s="5" t="s">
        <v>658</v>
      </c>
      <c r="B430" s="5">
        <v>43987.0</v>
      </c>
      <c r="C430" s="6" t="s">
        <v>10</v>
      </c>
      <c r="D430" s="7" t="str">
        <f t="shared" si="1"/>
        <v>https://resources.simonelectric.com/simon-catalogo-vehiculo-electrico</v>
      </c>
      <c r="E430" s="8" t="str">
        <f t="shared" si="2"/>
        <v>https://resources.simonelectric.com/simon-catalogo-vehiculo-electrico</v>
      </c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ht="15.75" customHeight="1">
      <c r="A431" s="5" t="s">
        <v>659</v>
      </c>
      <c r="B431" s="5">
        <v>43987.0</v>
      </c>
      <c r="C431" s="6" t="s">
        <v>75</v>
      </c>
      <c r="D431" s="9">
        <f t="shared" si="1"/>
        <v>67</v>
      </c>
      <c r="E431" s="8" t="str">
        <f t="shared" si="2"/>
        <v>https://resources.simonelectric.com/simon-ebook-vehiculo-electrico</v>
      </c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ht="15.75" customHeight="1">
      <c r="A432" s="5" t="s">
        <v>660</v>
      </c>
      <c r="B432" s="5">
        <v>43987.0</v>
      </c>
      <c r="C432" s="6" t="s">
        <v>75</v>
      </c>
      <c r="D432" s="9">
        <f t="shared" si="1"/>
        <v>67</v>
      </c>
      <c r="E432" s="8" t="str">
        <f t="shared" si="2"/>
        <v>https://resources.simonelectric.com/simon-ebook-vehiculo-electrico</v>
      </c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ht="15.75" customHeight="1">
      <c r="A433" s="5" t="s">
        <v>661</v>
      </c>
      <c r="B433" s="5">
        <v>43987.0</v>
      </c>
      <c r="C433" s="6" t="s">
        <v>662</v>
      </c>
      <c r="D433" s="9">
        <f t="shared" si="1"/>
        <v>70</v>
      </c>
      <c r="E433" s="8" t="str">
        <f t="shared" si="2"/>
        <v>https://resources.simonelectric.com/simon-catalogo-vehiculo-electrico</v>
      </c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ht="15.75" customHeight="1">
      <c r="A434" s="5" t="s">
        <v>663</v>
      </c>
      <c r="B434" s="5">
        <v>43987.0</v>
      </c>
      <c r="C434" s="6" t="s">
        <v>664</v>
      </c>
      <c r="D434" s="9">
        <f t="shared" si="1"/>
        <v>80</v>
      </c>
      <c r="E434" s="8" t="str">
        <f t="shared" si="2"/>
        <v>https://resources.simonelectric.com/simon-material-formativo-vehiculo-electrico</v>
      </c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ht="15.75" customHeight="1">
      <c r="A435" s="5" t="s">
        <v>665</v>
      </c>
      <c r="B435" s="5">
        <v>43987.0</v>
      </c>
      <c r="C435" s="6" t="s">
        <v>666</v>
      </c>
      <c r="D435" s="9">
        <f t="shared" si="1"/>
        <v>70</v>
      </c>
      <c r="E435" s="8" t="str">
        <f t="shared" si="2"/>
        <v>https://resources.simonelectric.com/simon-catalogo-vehiculo-electrico</v>
      </c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ht="15.75" customHeight="1">
      <c r="A436" s="5" t="s">
        <v>665</v>
      </c>
      <c r="B436" s="5">
        <v>43987.0</v>
      </c>
      <c r="C436" s="6" t="s">
        <v>28</v>
      </c>
      <c r="D436" s="7" t="str">
        <f t="shared" si="1"/>
        <v>https://resources.simonelectric.com/simon-ebook-vehiculo-electrico</v>
      </c>
      <c r="E436" s="8" t="str">
        <f t="shared" si="2"/>
        <v>https://resources.simonelectric.com/simon-ebook-vehiculo-electrico</v>
      </c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ht="15.75" customHeight="1">
      <c r="A437" s="5" t="s">
        <v>667</v>
      </c>
      <c r="B437" s="5">
        <v>43987.0</v>
      </c>
      <c r="C437" s="6" t="s">
        <v>668</v>
      </c>
      <c r="D437" s="9">
        <f t="shared" si="1"/>
        <v>80</v>
      </c>
      <c r="E437" s="8" t="str">
        <f t="shared" si="2"/>
        <v>https://resources.simonelectric.com/simon-material-formativo-vehiculo-electrico</v>
      </c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ht="15.75" customHeight="1">
      <c r="A438" s="5" t="s">
        <v>669</v>
      </c>
      <c r="B438" s="5">
        <v>43987.0</v>
      </c>
      <c r="C438" s="6" t="s">
        <v>670</v>
      </c>
      <c r="D438" s="9">
        <f t="shared" si="1"/>
        <v>70</v>
      </c>
      <c r="E438" s="8" t="str">
        <f t="shared" si="2"/>
        <v>https://resources.simonelectric.com/simon-catalogo-vehiculo-electrico</v>
      </c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ht="15.75" customHeight="1">
      <c r="A439" s="5" t="s">
        <v>671</v>
      </c>
      <c r="B439" s="5">
        <v>43987.0</v>
      </c>
      <c r="C439" s="6" t="s">
        <v>75</v>
      </c>
      <c r="D439" s="9">
        <f t="shared" si="1"/>
        <v>67</v>
      </c>
      <c r="E439" s="8" t="str">
        <f t="shared" si="2"/>
        <v>https://resources.simonelectric.com/simon-ebook-vehiculo-electrico</v>
      </c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ht="15.75" customHeight="1">
      <c r="A440" s="5" t="s">
        <v>672</v>
      </c>
      <c r="B440" s="5">
        <v>43987.0</v>
      </c>
      <c r="C440" s="6" t="s">
        <v>673</v>
      </c>
      <c r="D440" s="9">
        <f t="shared" si="1"/>
        <v>70</v>
      </c>
      <c r="E440" s="8" t="str">
        <f t="shared" si="2"/>
        <v>https://resources.simonelectric.com/simon-catalogo-vehiculo-electrico</v>
      </c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ht="15.75" customHeight="1">
      <c r="A441" s="5" t="s">
        <v>674</v>
      </c>
      <c r="B441" s="5">
        <v>43987.0</v>
      </c>
      <c r="C441" s="6" t="s">
        <v>675</v>
      </c>
      <c r="D441" s="9">
        <f t="shared" si="1"/>
        <v>70</v>
      </c>
      <c r="E441" s="8" t="str">
        <f t="shared" si="2"/>
        <v>https://resources.simonelectric.com/simon-catalogo-vehiculo-electrico</v>
      </c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ht="15.75" customHeight="1">
      <c r="A442" s="5" t="s">
        <v>676</v>
      </c>
      <c r="B442" s="5">
        <v>43987.0</v>
      </c>
      <c r="C442" s="6" t="s">
        <v>75</v>
      </c>
      <c r="D442" s="7">
        <f t="shared" si="1"/>
        <v>67</v>
      </c>
      <c r="E442" s="8" t="str">
        <f t="shared" si="2"/>
        <v>https://resources.simonelectric.com/simon-ebook-vehiculo-electrico</v>
      </c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ht="15.75" customHeight="1">
      <c r="A443" s="5" t="s">
        <v>677</v>
      </c>
      <c r="B443" s="5">
        <v>43986.0</v>
      </c>
      <c r="C443" s="6" t="s">
        <v>678</v>
      </c>
      <c r="D443" s="9">
        <f t="shared" si="1"/>
        <v>69</v>
      </c>
      <c r="E443" s="8" t="str">
        <f t="shared" si="2"/>
        <v>https://resources.simonelectric.com/simon-ebook-vehiculo-electrico-0</v>
      </c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ht="15.75" customHeight="1">
      <c r="A444" s="5" t="s">
        <v>679</v>
      </c>
      <c r="B444" s="5">
        <v>43986.0</v>
      </c>
      <c r="C444" s="6" t="s">
        <v>28</v>
      </c>
      <c r="D444" s="7" t="str">
        <f t="shared" si="1"/>
        <v>https://resources.simonelectric.com/simon-ebook-vehiculo-electrico</v>
      </c>
      <c r="E444" s="8" t="str">
        <f t="shared" si="2"/>
        <v>https://resources.simonelectric.com/simon-ebook-vehiculo-electrico</v>
      </c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ht="15.75" customHeight="1">
      <c r="A445" s="5" t="s">
        <v>680</v>
      </c>
      <c r="B445" s="5">
        <v>43986.0</v>
      </c>
      <c r="C445" s="6" t="s">
        <v>75</v>
      </c>
      <c r="D445" s="9">
        <f t="shared" si="1"/>
        <v>67</v>
      </c>
      <c r="E445" s="8" t="str">
        <f t="shared" si="2"/>
        <v>https://resources.simonelectric.com/simon-ebook-vehiculo-electrico</v>
      </c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ht="15.75" customHeight="1">
      <c r="A446" s="5" t="s">
        <v>681</v>
      </c>
      <c r="B446" s="5">
        <v>43986.0</v>
      </c>
      <c r="C446" s="6" t="s">
        <v>31</v>
      </c>
      <c r="D446" s="9">
        <f t="shared" si="1"/>
        <v>67</v>
      </c>
      <c r="E446" s="8" t="str">
        <f t="shared" si="2"/>
        <v>https://resources.simonelectric.com/simon-ebook-vehiculo-electrico</v>
      </c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ht="15.75" customHeight="1">
      <c r="A447" s="5" t="s">
        <v>682</v>
      </c>
      <c r="B447" s="5">
        <v>43986.0</v>
      </c>
      <c r="C447" s="6" t="s">
        <v>75</v>
      </c>
      <c r="D447" s="9">
        <f t="shared" si="1"/>
        <v>67</v>
      </c>
      <c r="E447" s="8" t="str">
        <f t="shared" si="2"/>
        <v>https://resources.simonelectric.com/simon-ebook-vehiculo-electrico</v>
      </c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ht="15.75" customHeight="1">
      <c r="A448" s="5" t="s">
        <v>683</v>
      </c>
      <c r="B448" s="5">
        <v>43986.0</v>
      </c>
      <c r="C448" s="6" t="s">
        <v>75</v>
      </c>
      <c r="D448" s="7">
        <f t="shared" si="1"/>
        <v>67</v>
      </c>
      <c r="E448" s="8" t="str">
        <f t="shared" si="2"/>
        <v>https://resources.simonelectric.com/simon-ebook-vehiculo-electrico</v>
      </c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ht="15.75" customHeight="1">
      <c r="A449" s="5" t="s">
        <v>684</v>
      </c>
      <c r="B449" s="5">
        <v>43986.0</v>
      </c>
      <c r="C449" s="6" t="s">
        <v>75</v>
      </c>
      <c r="D449" s="9">
        <f t="shared" si="1"/>
        <v>67</v>
      </c>
      <c r="E449" s="8" t="str">
        <f t="shared" si="2"/>
        <v>https://resources.simonelectric.com/simon-ebook-vehiculo-electrico</v>
      </c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ht="15.75" customHeight="1">
      <c r="A450" s="5" t="s">
        <v>685</v>
      </c>
      <c r="B450" s="5">
        <v>43986.0</v>
      </c>
      <c r="C450" s="6" t="s">
        <v>31</v>
      </c>
      <c r="D450" s="9">
        <f t="shared" si="1"/>
        <v>67</v>
      </c>
      <c r="E450" s="8" t="str">
        <f t="shared" si="2"/>
        <v>https://resources.simonelectric.com/simon-ebook-vehiculo-electrico</v>
      </c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ht="15.75" customHeight="1">
      <c r="A451" s="5" t="s">
        <v>686</v>
      </c>
      <c r="B451" s="5">
        <v>43986.0</v>
      </c>
      <c r="C451" s="6" t="s">
        <v>75</v>
      </c>
      <c r="D451" s="9">
        <f t="shared" si="1"/>
        <v>67</v>
      </c>
      <c r="E451" s="8" t="str">
        <f t="shared" si="2"/>
        <v>https://resources.simonelectric.com/simon-ebook-vehiculo-electrico</v>
      </c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ht="15.75" customHeight="1">
      <c r="A452" s="5" t="s">
        <v>578</v>
      </c>
      <c r="B452" s="5">
        <v>43986.0</v>
      </c>
      <c r="C452" s="6" t="s">
        <v>75</v>
      </c>
      <c r="D452" s="9">
        <f t="shared" si="1"/>
        <v>67</v>
      </c>
      <c r="E452" s="8" t="str">
        <f t="shared" si="2"/>
        <v>https://resources.simonelectric.com/simon-ebook-vehiculo-electrico</v>
      </c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ht="15.75" customHeight="1">
      <c r="A453" s="5" t="s">
        <v>608</v>
      </c>
      <c r="B453" s="5">
        <v>43986.0</v>
      </c>
      <c r="C453" s="6" t="s">
        <v>28</v>
      </c>
      <c r="D453" s="7" t="str">
        <f t="shared" si="1"/>
        <v>https://resources.simonelectric.com/simon-ebook-vehiculo-electrico</v>
      </c>
      <c r="E453" s="8" t="str">
        <f t="shared" si="2"/>
        <v>https://resources.simonelectric.com/simon-ebook-vehiculo-electrico</v>
      </c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ht="15.75" customHeight="1">
      <c r="A454" s="5" t="s">
        <v>284</v>
      </c>
      <c r="B454" s="5">
        <v>43986.0</v>
      </c>
      <c r="C454" s="6" t="s">
        <v>687</v>
      </c>
      <c r="D454" s="9">
        <f t="shared" si="1"/>
        <v>67</v>
      </c>
      <c r="E454" s="8" t="str">
        <f t="shared" si="2"/>
        <v>https://resources.simonelectric.com/simon-ebook-vehiculo-electrico</v>
      </c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ht="15.75" customHeight="1">
      <c r="A455" s="5" t="s">
        <v>688</v>
      </c>
      <c r="B455" s="5">
        <v>43986.0</v>
      </c>
      <c r="C455" s="6" t="s">
        <v>689</v>
      </c>
      <c r="D455" s="9">
        <f t="shared" si="1"/>
        <v>67</v>
      </c>
      <c r="E455" s="8" t="str">
        <f t="shared" si="2"/>
        <v>https://resources.simonelectric.com/simon-ebook-vehiculo-electrico</v>
      </c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ht="15.75" customHeight="1">
      <c r="A456" s="5" t="s">
        <v>690</v>
      </c>
      <c r="B456" s="5">
        <v>43986.0</v>
      </c>
      <c r="C456" s="6" t="s">
        <v>31</v>
      </c>
      <c r="D456" s="9">
        <f t="shared" si="1"/>
        <v>67</v>
      </c>
      <c r="E456" s="8" t="str">
        <f t="shared" si="2"/>
        <v>https://resources.simonelectric.com/simon-ebook-vehiculo-electrico</v>
      </c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ht="15.75" customHeight="1">
      <c r="A457" s="5" t="s">
        <v>691</v>
      </c>
      <c r="B457" s="5">
        <v>43986.0</v>
      </c>
      <c r="C457" s="6" t="s">
        <v>75</v>
      </c>
      <c r="D457" s="9">
        <f t="shared" si="1"/>
        <v>67</v>
      </c>
      <c r="E457" s="8" t="str">
        <f t="shared" si="2"/>
        <v>https://resources.simonelectric.com/simon-ebook-vehiculo-electrico</v>
      </c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ht="15.75" customHeight="1">
      <c r="A458" s="5" t="s">
        <v>692</v>
      </c>
      <c r="B458" s="5">
        <v>43986.0</v>
      </c>
      <c r="C458" s="6" t="s">
        <v>75</v>
      </c>
      <c r="D458" s="9">
        <f t="shared" si="1"/>
        <v>67</v>
      </c>
      <c r="E458" s="8" t="str">
        <f t="shared" si="2"/>
        <v>https://resources.simonelectric.com/simon-ebook-vehiculo-electrico</v>
      </c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ht="15.75" customHeight="1">
      <c r="A459" s="5" t="s">
        <v>693</v>
      </c>
      <c r="B459" s="5">
        <v>43986.0</v>
      </c>
      <c r="C459" s="6" t="s">
        <v>31</v>
      </c>
      <c r="D459" s="9">
        <f t="shared" si="1"/>
        <v>67</v>
      </c>
      <c r="E459" s="8" t="str">
        <f t="shared" si="2"/>
        <v>https://resources.simonelectric.com/simon-ebook-vehiculo-electrico</v>
      </c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ht="15.75" customHeight="1">
      <c r="A460" s="5" t="s">
        <v>694</v>
      </c>
      <c r="B460" s="5">
        <v>43986.0</v>
      </c>
      <c r="C460" s="6" t="s">
        <v>75</v>
      </c>
      <c r="D460" s="9">
        <f t="shared" si="1"/>
        <v>67</v>
      </c>
      <c r="E460" s="8" t="str">
        <f t="shared" si="2"/>
        <v>https://resources.simonelectric.com/simon-ebook-vehiculo-electrico</v>
      </c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ht="15.75" customHeight="1">
      <c r="A461" s="5" t="s">
        <v>695</v>
      </c>
      <c r="B461" s="5">
        <v>43986.0</v>
      </c>
      <c r="C461" s="6" t="s">
        <v>31</v>
      </c>
      <c r="D461" s="9">
        <f t="shared" si="1"/>
        <v>67</v>
      </c>
      <c r="E461" s="8" t="str">
        <f t="shared" si="2"/>
        <v>https://resources.simonelectric.com/simon-ebook-vehiculo-electrico</v>
      </c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ht="15.75" customHeight="1">
      <c r="A462" s="5" t="s">
        <v>406</v>
      </c>
      <c r="B462" s="5">
        <v>43986.0</v>
      </c>
      <c r="C462" s="6" t="s">
        <v>31</v>
      </c>
      <c r="D462" s="9">
        <f t="shared" si="1"/>
        <v>67</v>
      </c>
      <c r="E462" s="8" t="str">
        <f t="shared" si="2"/>
        <v>https://resources.simonelectric.com/simon-ebook-vehiculo-electrico</v>
      </c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ht="15.75" customHeight="1">
      <c r="A463" s="5" t="s">
        <v>696</v>
      </c>
      <c r="B463" s="5">
        <v>43986.0</v>
      </c>
      <c r="C463" s="6" t="s">
        <v>75</v>
      </c>
      <c r="D463" s="9">
        <f t="shared" si="1"/>
        <v>67</v>
      </c>
      <c r="E463" s="8" t="str">
        <f t="shared" si="2"/>
        <v>https://resources.simonelectric.com/simon-ebook-vehiculo-electrico</v>
      </c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ht="15.75" customHeight="1">
      <c r="A464" s="5" t="s">
        <v>697</v>
      </c>
      <c r="B464" s="5">
        <v>43986.0</v>
      </c>
      <c r="C464" s="6" t="s">
        <v>31</v>
      </c>
      <c r="D464" s="9">
        <f t="shared" si="1"/>
        <v>67</v>
      </c>
      <c r="E464" s="8" t="str">
        <f t="shared" si="2"/>
        <v>https://resources.simonelectric.com/simon-ebook-vehiculo-electrico</v>
      </c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ht="15.75" customHeight="1">
      <c r="A465" s="5" t="s">
        <v>698</v>
      </c>
      <c r="B465" s="5">
        <v>43986.0</v>
      </c>
      <c r="C465" s="6" t="s">
        <v>10</v>
      </c>
      <c r="D465" s="7" t="str">
        <f t="shared" si="1"/>
        <v>https://resources.simonelectric.com/simon-catalogo-vehiculo-electrico</v>
      </c>
      <c r="E465" s="8" t="str">
        <f t="shared" si="2"/>
        <v>https://resources.simonelectric.com/simon-catalogo-vehiculo-electrico</v>
      </c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ht="15.75" customHeight="1">
      <c r="A466" s="5" t="s">
        <v>699</v>
      </c>
      <c r="B466" s="5">
        <v>43986.0</v>
      </c>
      <c r="C466" s="6" t="s">
        <v>75</v>
      </c>
      <c r="D466" s="9">
        <f t="shared" si="1"/>
        <v>67</v>
      </c>
      <c r="E466" s="8" t="str">
        <f t="shared" si="2"/>
        <v>https://resources.simonelectric.com/simon-ebook-vehiculo-electrico</v>
      </c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ht="15.75" customHeight="1">
      <c r="A467" s="5" t="s">
        <v>698</v>
      </c>
      <c r="B467" s="5">
        <v>43986.0</v>
      </c>
      <c r="C467" s="6" t="s">
        <v>8</v>
      </c>
      <c r="D467" s="9">
        <f t="shared" si="1"/>
        <v>67</v>
      </c>
      <c r="E467" s="8" t="str">
        <f t="shared" si="2"/>
        <v>https://resources.simonelectric.com/simon-ebook-vehiculo-electrico</v>
      </c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ht="15.75" customHeight="1">
      <c r="A468" s="5" t="s">
        <v>700</v>
      </c>
      <c r="B468" s="5">
        <v>43986.0</v>
      </c>
      <c r="C468" s="6" t="s">
        <v>75</v>
      </c>
      <c r="D468" s="9">
        <f t="shared" si="1"/>
        <v>67</v>
      </c>
      <c r="E468" s="8" t="str">
        <f t="shared" si="2"/>
        <v>https://resources.simonelectric.com/simon-ebook-vehiculo-electrico</v>
      </c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ht="15.75" customHeight="1">
      <c r="A469" s="5" t="s">
        <v>701</v>
      </c>
      <c r="B469" s="5">
        <v>43986.0</v>
      </c>
      <c r="C469" s="6" t="s">
        <v>702</v>
      </c>
      <c r="D469" s="9">
        <f t="shared" si="1"/>
        <v>70</v>
      </c>
      <c r="E469" s="8" t="str">
        <f t="shared" si="2"/>
        <v>https://resources.simonelectric.com/simon-catalogo-vehiculo-electrico</v>
      </c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ht="15.75" customHeight="1">
      <c r="A470" s="5" t="s">
        <v>703</v>
      </c>
      <c r="B470" s="5">
        <v>43986.0</v>
      </c>
      <c r="C470" s="6" t="s">
        <v>704</v>
      </c>
      <c r="D470" s="9">
        <f t="shared" si="1"/>
        <v>67</v>
      </c>
      <c r="E470" s="8" t="str">
        <f t="shared" si="2"/>
        <v>https://resources.simonelectric.com/simon-ebook-vehiculo-electrico</v>
      </c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ht="15.75" customHeight="1">
      <c r="A471" s="5" t="s">
        <v>327</v>
      </c>
      <c r="B471" s="5">
        <v>43986.0</v>
      </c>
      <c r="C471" s="6" t="s">
        <v>75</v>
      </c>
      <c r="D471" s="9">
        <f t="shared" si="1"/>
        <v>67</v>
      </c>
      <c r="E471" s="8" t="str">
        <f t="shared" si="2"/>
        <v>https://resources.simonelectric.com/simon-ebook-vehiculo-electrico</v>
      </c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ht="15.75" customHeight="1">
      <c r="A472" s="5" t="s">
        <v>705</v>
      </c>
      <c r="B472" s="5">
        <v>43986.0</v>
      </c>
      <c r="C472" s="6" t="s">
        <v>75</v>
      </c>
      <c r="D472" s="9">
        <f t="shared" si="1"/>
        <v>67</v>
      </c>
      <c r="E472" s="8" t="str">
        <f t="shared" si="2"/>
        <v>https://resources.simonelectric.com/simon-ebook-vehiculo-electrico</v>
      </c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ht="15.75" customHeight="1">
      <c r="A473" s="5" t="s">
        <v>272</v>
      </c>
      <c r="B473" s="5">
        <v>43986.0</v>
      </c>
      <c r="C473" s="6" t="s">
        <v>75</v>
      </c>
      <c r="D473" s="9">
        <f t="shared" si="1"/>
        <v>67</v>
      </c>
      <c r="E473" s="8" t="str">
        <f t="shared" si="2"/>
        <v>https://resources.simonelectric.com/simon-ebook-vehiculo-electrico</v>
      </c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ht="15.75" customHeight="1">
      <c r="A474" s="5" t="s">
        <v>706</v>
      </c>
      <c r="B474" s="5">
        <v>43986.0</v>
      </c>
      <c r="C474" s="6" t="s">
        <v>707</v>
      </c>
      <c r="D474" s="9">
        <f t="shared" si="1"/>
        <v>70</v>
      </c>
      <c r="E474" s="8" t="str">
        <f t="shared" si="2"/>
        <v>https://resources.simonelectric.com/simon-catalogo-vehiculo-electrico</v>
      </c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ht="15.75" customHeight="1">
      <c r="A475" s="5" t="s">
        <v>706</v>
      </c>
      <c r="B475" s="5">
        <v>43986.0</v>
      </c>
      <c r="C475" s="6" t="s">
        <v>75</v>
      </c>
      <c r="D475" s="9">
        <f t="shared" si="1"/>
        <v>67</v>
      </c>
      <c r="E475" s="8" t="str">
        <f t="shared" si="2"/>
        <v>https://resources.simonelectric.com/simon-ebook-vehiculo-electrico</v>
      </c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ht="15.75" customHeight="1">
      <c r="A476" s="5" t="s">
        <v>708</v>
      </c>
      <c r="B476" s="5">
        <v>43986.0</v>
      </c>
      <c r="C476" s="6" t="s">
        <v>75</v>
      </c>
      <c r="D476" s="9">
        <f t="shared" si="1"/>
        <v>67</v>
      </c>
      <c r="E476" s="8" t="str">
        <f t="shared" si="2"/>
        <v>https://resources.simonelectric.com/simon-ebook-vehiculo-electrico</v>
      </c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ht="15.75" customHeight="1">
      <c r="A477" s="5" t="s">
        <v>709</v>
      </c>
      <c r="B477" s="5">
        <v>43986.0</v>
      </c>
      <c r="C477" s="6" t="s">
        <v>75</v>
      </c>
      <c r="D477" s="9">
        <f t="shared" si="1"/>
        <v>67</v>
      </c>
      <c r="E477" s="8" t="str">
        <f t="shared" si="2"/>
        <v>https://resources.simonelectric.com/simon-ebook-vehiculo-electrico</v>
      </c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ht="15.75" customHeight="1">
      <c r="A478" s="5" t="s">
        <v>710</v>
      </c>
      <c r="B478" s="5">
        <v>43986.0</v>
      </c>
      <c r="C478" s="6" t="s">
        <v>75</v>
      </c>
      <c r="D478" s="9">
        <f t="shared" si="1"/>
        <v>67</v>
      </c>
      <c r="E478" s="8" t="str">
        <f t="shared" si="2"/>
        <v>https://resources.simonelectric.com/simon-ebook-vehiculo-electrico</v>
      </c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ht="15.75" customHeight="1">
      <c r="A479" s="5" t="s">
        <v>711</v>
      </c>
      <c r="B479" s="5">
        <v>43986.0</v>
      </c>
      <c r="C479" s="6" t="s">
        <v>712</v>
      </c>
      <c r="D479" s="9">
        <f t="shared" si="1"/>
        <v>67</v>
      </c>
      <c r="E479" s="8" t="str">
        <f t="shared" si="2"/>
        <v>https://resources.simonelectric.com/simon-ebook-vehiculo-electrico</v>
      </c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ht="15.75" customHeight="1">
      <c r="A480" s="5" t="s">
        <v>713</v>
      </c>
      <c r="B480" s="5">
        <v>43985.0</v>
      </c>
      <c r="C480" s="6" t="s">
        <v>75</v>
      </c>
      <c r="D480" s="9">
        <f t="shared" si="1"/>
        <v>67</v>
      </c>
      <c r="E480" s="8" t="str">
        <f t="shared" si="2"/>
        <v>https://resources.simonelectric.com/simon-ebook-vehiculo-electrico</v>
      </c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ht="15.75" customHeight="1">
      <c r="A481" s="5" t="s">
        <v>714</v>
      </c>
      <c r="B481" s="5">
        <v>43985.0</v>
      </c>
      <c r="C481" s="6" t="s">
        <v>28</v>
      </c>
      <c r="D481" s="7" t="str">
        <f t="shared" si="1"/>
        <v>https://resources.simonelectric.com/simon-ebook-vehiculo-electrico</v>
      </c>
      <c r="E481" s="8" t="str">
        <f t="shared" si="2"/>
        <v>https://resources.simonelectric.com/simon-ebook-vehiculo-electrico</v>
      </c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ht="15.75" customHeight="1">
      <c r="A482" s="5" t="s">
        <v>715</v>
      </c>
      <c r="B482" s="5">
        <v>43985.0</v>
      </c>
      <c r="C482" s="6" t="s">
        <v>75</v>
      </c>
      <c r="D482" s="9">
        <f t="shared" si="1"/>
        <v>67</v>
      </c>
      <c r="E482" s="8" t="str">
        <f t="shared" si="2"/>
        <v>https://resources.simonelectric.com/simon-ebook-vehiculo-electrico</v>
      </c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ht="15.75" customHeight="1">
      <c r="A483" s="5" t="s">
        <v>629</v>
      </c>
      <c r="B483" s="5">
        <v>43985.0</v>
      </c>
      <c r="C483" s="6" t="s">
        <v>31</v>
      </c>
      <c r="D483" s="9">
        <f t="shared" si="1"/>
        <v>67</v>
      </c>
      <c r="E483" s="8" t="str">
        <f t="shared" si="2"/>
        <v>https://resources.simonelectric.com/simon-ebook-vehiculo-electrico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ht="15.75" customHeight="1">
      <c r="A484" s="5" t="s">
        <v>716</v>
      </c>
      <c r="B484" s="5">
        <v>43985.0</v>
      </c>
      <c r="C484" s="6" t="s">
        <v>75</v>
      </c>
      <c r="D484" s="9">
        <f t="shared" si="1"/>
        <v>67</v>
      </c>
      <c r="E484" s="8" t="str">
        <f t="shared" si="2"/>
        <v>https://resources.simonelectric.com/simon-ebook-vehiculo-electrico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ht="15.75" customHeight="1">
      <c r="A485" s="5" t="s">
        <v>717</v>
      </c>
      <c r="B485" s="5">
        <v>43985.0</v>
      </c>
      <c r="C485" s="6" t="s">
        <v>718</v>
      </c>
      <c r="D485" s="9">
        <f t="shared" si="1"/>
        <v>67</v>
      </c>
      <c r="E485" s="8" t="str">
        <f t="shared" si="2"/>
        <v>https://resources.simonelectric.com/simon-ebook-vehiculo-electrico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ht="15.75" customHeight="1">
      <c r="A486" s="5" t="s">
        <v>719</v>
      </c>
      <c r="B486" s="5">
        <v>43985.0</v>
      </c>
      <c r="C486" s="6" t="s">
        <v>31</v>
      </c>
      <c r="D486" s="9">
        <f t="shared" si="1"/>
        <v>67</v>
      </c>
      <c r="E486" s="8" t="str">
        <f t="shared" si="2"/>
        <v>https://resources.simonelectric.com/simon-ebook-vehiculo-electrico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ht="15.75" customHeight="1">
      <c r="A487" s="5" t="s">
        <v>720</v>
      </c>
      <c r="B487" s="5">
        <v>43985.0</v>
      </c>
      <c r="C487" s="6" t="s">
        <v>75</v>
      </c>
      <c r="D487" s="9">
        <f t="shared" si="1"/>
        <v>67</v>
      </c>
      <c r="E487" s="8" t="str">
        <f t="shared" si="2"/>
        <v>https://resources.simonelectric.com/simon-ebook-vehiculo-electrico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ht="15.75" customHeight="1">
      <c r="A488" s="5" t="s">
        <v>721</v>
      </c>
      <c r="B488" s="5">
        <v>43985.0</v>
      </c>
      <c r="C488" s="6" t="s">
        <v>75</v>
      </c>
      <c r="D488" s="9">
        <f t="shared" si="1"/>
        <v>67</v>
      </c>
      <c r="E488" s="8" t="str">
        <f t="shared" si="2"/>
        <v>https://resources.simonelectric.com/simon-ebook-vehiculo-electrico</v>
      </c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ht="15.75" customHeight="1">
      <c r="A489" s="5" t="s">
        <v>722</v>
      </c>
      <c r="B489" s="5">
        <v>43985.0</v>
      </c>
      <c r="C489" s="6" t="s">
        <v>75</v>
      </c>
      <c r="D489" s="9">
        <f t="shared" si="1"/>
        <v>67</v>
      </c>
      <c r="E489" s="8" t="str">
        <f t="shared" si="2"/>
        <v>https://resources.simonelectric.com/simon-ebook-vehiculo-electrico</v>
      </c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ht="15.75" customHeight="1">
      <c r="A490" s="5" t="s">
        <v>723</v>
      </c>
      <c r="B490" s="5">
        <v>43985.0</v>
      </c>
      <c r="C490" s="6" t="s">
        <v>31</v>
      </c>
      <c r="D490" s="9">
        <f t="shared" si="1"/>
        <v>67</v>
      </c>
      <c r="E490" s="8" t="str">
        <f t="shared" si="2"/>
        <v>https://resources.simonelectric.com/simon-ebook-vehiculo-electrico</v>
      </c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ht="15.75" customHeight="1">
      <c r="A491" s="5" t="s">
        <v>724</v>
      </c>
      <c r="B491" s="5">
        <v>43985.0</v>
      </c>
      <c r="C491" s="6" t="s">
        <v>75</v>
      </c>
      <c r="D491" s="9">
        <f t="shared" si="1"/>
        <v>67</v>
      </c>
      <c r="E491" s="8" t="str">
        <f t="shared" si="2"/>
        <v>https://resources.simonelectric.com/simon-ebook-vehiculo-electrico</v>
      </c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ht="15.75" customHeight="1">
      <c r="A492" s="5" t="s">
        <v>725</v>
      </c>
      <c r="B492" s="5">
        <v>43985.0</v>
      </c>
      <c r="C492" s="6" t="s">
        <v>28</v>
      </c>
      <c r="D492" s="7" t="str">
        <f t="shared" si="1"/>
        <v>https://resources.simonelectric.com/simon-ebook-vehiculo-electrico</v>
      </c>
      <c r="E492" s="8" t="str">
        <f t="shared" si="2"/>
        <v>https://resources.simonelectric.com/simon-ebook-vehiculo-electrico</v>
      </c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ht="15.75" customHeight="1">
      <c r="A493" s="5" t="s">
        <v>723</v>
      </c>
      <c r="B493" s="5">
        <v>43985.0</v>
      </c>
      <c r="C493" s="6" t="s">
        <v>75</v>
      </c>
      <c r="D493" s="9">
        <f t="shared" si="1"/>
        <v>67</v>
      </c>
      <c r="E493" s="8" t="str">
        <f t="shared" si="2"/>
        <v>https://resources.simonelectric.com/simon-ebook-vehiculo-electrico</v>
      </c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ht="15.75" customHeight="1">
      <c r="A494" s="5" t="s">
        <v>726</v>
      </c>
      <c r="B494" s="5">
        <v>43985.0</v>
      </c>
      <c r="C494" s="6" t="s">
        <v>31</v>
      </c>
      <c r="D494" s="9">
        <f t="shared" si="1"/>
        <v>67</v>
      </c>
      <c r="E494" s="8" t="str">
        <f t="shared" si="2"/>
        <v>https://resources.simonelectric.com/simon-ebook-vehiculo-electrico</v>
      </c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ht="15.75" customHeight="1">
      <c r="A495" s="5" t="s">
        <v>294</v>
      </c>
      <c r="B495" s="5">
        <v>43985.0</v>
      </c>
      <c r="C495" s="6" t="s">
        <v>75</v>
      </c>
      <c r="D495" s="9">
        <f t="shared" si="1"/>
        <v>67</v>
      </c>
      <c r="E495" s="8" t="str">
        <f t="shared" si="2"/>
        <v>https://resources.simonelectric.com/simon-ebook-vehiculo-electrico</v>
      </c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ht="15.75" customHeight="1">
      <c r="A496" s="5" t="s">
        <v>727</v>
      </c>
      <c r="B496" s="5">
        <v>43985.0</v>
      </c>
      <c r="C496" s="6" t="s">
        <v>728</v>
      </c>
      <c r="D496" s="9">
        <f t="shared" si="1"/>
        <v>67</v>
      </c>
      <c r="E496" s="8" t="str">
        <f t="shared" si="2"/>
        <v>https://resources.simonelectric.com/simon-ebook-vehiculo-electrico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ht="15.75" customHeight="1">
      <c r="A497" s="5" t="s">
        <v>256</v>
      </c>
      <c r="B497" s="5">
        <v>43985.0</v>
      </c>
      <c r="C497" s="6" t="s">
        <v>75</v>
      </c>
      <c r="D497" s="9">
        <f t="shared" si="1"/>
        <v>67</v>
      </c>
      <c r="E497" s="8" t="str">
        <f t="shared" si="2"/>
        <v>https://resources.simonelectric.com/simon-ebook-vehiculo-electrico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ht="15.75" customHeight="1">
      <c r="A498" s="5" t="s">
        <v>425</v>
      </c>
      <c r="B498" s="5">
        <v>43985.0</v>
      </c>
      <c r="C498" s="6" t="s">
        <v>31</v>
      </c>
      <c r="D498" s="9">
        <f t="shared" si="1"/>
        <v>67</v>
      </c>
      <c r="E498" s="8" t="str">
        <f t="shared" si="2"/>
        <v>https://resources.simonelectric.com/simon-ebook-vehiculo-electrico</v>
      </c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ht="15.75" customHeight="1">
      <c r="A499" s="5" t="s">
        <v>729</v>
      </c>
      <c r="B499" s="5">
        <v>43985.0</v>
      </c>
      <c r="C499" s="6" t="s">
        <v>75</v>
      </c>
      <c r="D499" s="9">
        <f t="shared" si="1"/>
        <v>67</v>
      </c>
      <c r="E499" s="8" t="str">
        <f t="shared" si="2"/>
        <v>https://resources.simonelectric.com/simon-ebook-vehiculo-electrico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ht="15.75" customHeight="1">
      <c r="A500" s="5" t="s">
        <v>730</v>
      </c>
      <c r="B500" s="5">
        <v>43985.0</v>
      </c>
      <c r="C500" s="6" t="s">
        <v>75</v>
      </c>
      <c r="D500" s="9">
        <f t="shared" si="1"/>
        <v>67</v>
      </c>
      <c r="E500" s="8" t="str">
        <f t="shared" si="2"/>
        <v>https://resources.simonelectric.com/simon-ebook-vehiculo-electrico</v>
      </c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ht="15.75" customHeight="1">
      <c r="A501" s="5" t="s">
        <v>731</v>
      </c>
      <c r="B501" s="5">
        <v>43985.0</v>
      </c>
      <c r="C501" s="6" t="s">
        <v>31</v>
      </c>
      <c r="D501" s="9">
        <f t="shared" si="1"/>
        <v>67</v>
      </c>
      <c r="E501" s="8" t="str">
        <f t="shared" si="2"/>
        <v>https://resources.simonelectric.com/simon-ebook-vehiculo-electrico</v>
      </c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ht="15.75" customHeight="1">
      <c r="A502" s="5" t="s">
        <v>310</v>
      </c>
      <c r="B502" s="5">
        <v>43985.0</v>
      </c>
      <c r="C502" s="6" t="s">
        <v>31</v>
      </c>
      <c r="D502" s="9">
        <f t="shared" si="1"/>
        <v>67</v>
      </c>
      <c r="E502" s="8" t="str">
        <f t="shared" si="2"/>
        <v>https://resources.simonelectric.com/simon-ebook-vehiculo-electrico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ht="15.75" customHeight="1">
      <c r="A503" s="5" t="s">
        <v>732</v>
      </c>
      <c r="B503" s="5">
        <v>43985.0</v>
      </c>
      <c r="C503" s="6" t="s">
        <v>75</v>
      </c>
      <c r="D503" s="9">
        <f t="shared" si="1"/>
        <v>67</v>
      </c>
      <c r="E503" s="8" t="str">
        <f t="shared" si="2"/>
        <v>https://resources.simonelectric.com/simon-ebook-vehiculo-electrico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ht="15.75" customHeight="1">
      <c r="A504" s="5" t="s">
        <v>334</v>
      </c>
      <c r="B504" s="5">
        <v>43985.0</v>
      </c>
      <c r="C504" s="6" t="s">
        <v>75</v>
      </c>
      <c r="D504" s="9">
        <f t="shared" si="1"/>
        <v>67</v>
      </c>
      <c r="E504" s="8" t="str">
        <f t="shared" si="2"/>
        <v>https://resources.simonelectric.com/simon-ebook-vehiculo-electrico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ht="15.75" customHeight="1">
      <c r="A505" s="5" t="s">
        <v>733</v>
      </c>
      <c r="B505" s="5">
        <v>43985.0</v>
      </c>
      <c r="C505" s="6" t="s">
        <v>75</v>
      </c>
      <c r="D505" s="9">
        <f t="shared" si="1"/>
        <v>67</v>
      </c>
      <c r="E505" s="8" t="str">
        <f t="shared" si="2"/>
        <v>https://resources.simonelectric.com/simon-ebook-vehiculo-electrico</v>
      </c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ht="15.75" customHeight="1">
      <c r="A506" s="5" t="s">
        <v>734</v>
      </c>
      <c r="B506" s="5">
        <v>43985.0</v>
      </c>
      <c r="C506" s="6" t="s">
        <v>31</v>
      </c>
      <c r="D506" s="9">
        <f t="shared" si="1"/>
        <v>67</v>
      </c>
      <c r="E506" s="8" t="str">
        <f t="shared" si="2"/>
        <v>https://resources.simonelectric.com/simon-ebook-vehiculo-electrico</v>
      </c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ht="15.75" customHeight="1">
      <c r="A507" s="5" t="s">
        <v>735</v>
      </c>
      <c r="B507" s="5">
        <v>43985.0</v>
      </c>
      <c r="C507" s="6" t="s">
        <v>75</v>
      </c>
      <c r="D507" s="9">
        <f t="shared" si="1"/>
        <v>67</v>
      </c>
      <c r="E507" s="8" t="str">
        <f t="shared" si="2"/>
        <v>https://resources.simonelectric.com/simon-ebook-vehiculo-electrico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ht="15.75" customHeight="1">
      <c r="A508" s="5" t="s">
        <v>736</v>
      </c>
      <c r="B508" s="5">
        <v>43985.0</v>
      </c>
      <c r="C508" s="6" t="s">
        <v>31</v>
      </c>
      <c r="D508" s="9">
        <f t="shared" si="1"/>
        <v>67</v>
      </c>
      <c r="E508" s="8" t="str">
        <f t="shared" si="2"/>
        <v>https://resources.simonelectric.com/simon-ebook-vehiculo-electrico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ht="15.75" customHeight="1">
      <c r="A509" s="5" t="s">
        <v>329</v>
      </c>
      <c r="B509" s="5">
        <v>43985.0</v>
      </c>
      <c r="C509" s="6" t="s">
        <v>75</v>
      </c>
      <c r="D509" s="9">
        <f t="shared" si="1"/>
        <v>67</v>
      </c>
      <c r="E509" s="8" t="str">
        <f t="shared" si="2"/>
        <v>https://resources.simonelectric.com/simon-ebook-vehiculo-electrico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ht="15.75" customHeight="1">
      <c r="A510" s="5" t="s">
        <v>619</v>
      </c>
      <c r="B510" s="5">
        <v>43985.0</v>
      </c>
      <c r="C510" s="6" t="s">
        <v>75</v>
      </c>
      <c r="D510" s="9">
        <f t="shared" si="1"/>
        <v>67</v>
      </c>
      <c r="E510" s="8" t="str">
        <f t="shared" si="2"/>
        <v>https://resources.simonelectric.com/simon-ebook-vehiculo-electrico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ht="15.75" customHeight="1">
      <c r="A511" s="5" t="s">
        <v>737</v>
      </c>
      <c r="B511" s="5">
        <v>43985.0</v>
      </c>
      <c r="C511" s="6" t="s">
        <v>75</v>
      </c>
      <c r="D511" s="9">
        <f t="shared" si="1"/>
        <v>67</v>
      </c>
      <c r="E511" s="8" t="str">
        <f t="shared" si="2"/>
        <v>https://resources.simonelectric.com/simon-ebook-vehiculo-electrico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ht="15.75" customHeight="1">
      <c r="A512" s="5" t="s">
        <v>738</v>
      </c>
      <c r="B512" s="5">
        <v>43985.0</v>
      </c>
      <c r="C512" s="6" t="s">
        <v>10</v>
      </c>
      <c r="D512" s="7" t="str">
        <f t="shared" si="1"/>
        <v>https://resources.simonelectric.com/simon-catalogo-vehiculo-electrico</v>
      </c>
      <c r="E512" s="8" t="str">
        <f t="shared" si="2"/>
        <v>https://resources.simonelectric.com/simon-catalogo-vehiculo-electrico</v>
      </c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ht="15.75" customHeight="1">
      <c r="A513" s="5" t="s">
        <v>739</v>
      </c>
      <c r="B513" s="5">
        <v>43985.0</v>
      </c>
      <c r="C513" s="6" t="s">
        <v>75</v>
      </c>
      <c r="D513" s="9">
        <f t="shared" si="1"/>
        <v>67</v>
      </c>
      <c r="E513" s="8" t="str">
        <f t="shared" si="2"/>
        <v>https://resources.simonelectric.com/simon-ebook-vehiculo-electrico</v>
      </c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ht="15.75" customHeight="1">
      <c r="A514" s="5" t="s">
        <v>740</v>
      </c>
      <c r="B514" s="5">
        <v>43985.0</v>
      </c>
      <c r="C514" s="6" t="s">
        <v>75</v>
      </c>
      <c r="D514" s="9">
        <f t="shared" si="1"/>
        <v>67</v>
      </c>
      <c r="E514" s="8" t="str">
        <f t="shared" si="2"/>
        <v>https://resources.simonelectric.com/simon-ebook-vehiculo-electrico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ht="15.75" customHeight="1">
      <c r="A515" s="5" t="s">
        <v>741</v>
      </c>
      <c r="B515" s="5">
        <v>43985.0</v>
      </c>
      <c r="C515" s="6" t="s">
        <v>75</v>
      </c>
      <c r="D515" s="9">
        <f t="shared" si="1"/>
        <v>67</v>
      </c>
      <c r="E515" s="8" t="str">
        <f t="shared" si="2"/>
        <v>https://resources.simonelectric.com/simon-ebook-vehiculo-electrico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ht="15.75" customHeight="1">
      <c r="A516" s="5" t="s">
        <v>742</v>
      </c>
      <c r="B516" s="5">
        <v>43985.0</v>
      </c>
      <c r="C516" s="6" t="s">
        <v>31</v>
      </c>
      <c r="D516" s="9">
        <f t="shared" si="1"/>
        <v>67</v>
      </c>
      <c r="E516" s="8" t="str">
        <f t="shared" si="2"/>
        <v>https://resources.simonelectric.com/simon-ebook-vehiculo-electrico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ht="15.75" customHeight="1">
      <c r="A517" s="5" t="s">
        <v>743</v>
      </c>
      <c r="B517" s="5">
        <v>43985.0</v>
      </c>
      <c r="C517" s="6" t="s">
        <v>75</v>
      </c>
      <c r="D517" s="9">
        <f t="shared" si="1"/>
        <v>67</v>
      </c>
      <c r="E517" s="8" t="str">
        <f t="shared" si="2"/>
        <v>https://resources.simonelectric.com/simon-ebook-vehiculo-electrico</v>
      </c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ht="15.75" customHeight="1">
      <c r="A518" s="5" t="s">
        <v>744</v>
      </c>
      <c r="B518" s="5">
        <v>43985.0</v>
      </c>
      <c r="C518" s="6" t="s">
        <v>75</v>
      </c>
      <c r="D518" s="9">
        <f t="shared" si="1"/>
        <v>67</v>
      </c>
      <c r="E518" s="8" t="str">
        <f t="shared" si="2"/>
        <v>https://resources.simonelectric.com/simon-ebook-vehiculo-electrico</v>
      </c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ht="15.75" customHeight="1">
      <c r="A519" s="5" t="s">
        <v>745</v>
      </c>
      <c r="B519" s="5">
        <v>43985.0</v>
      </c>
      <c r="C519" s="6" t="s">
        <v>75</v>
      </c>
      <c r="D519" s="9">
        <f t="shared" si="1"/>
        <v>67</v>
      </c>
      <c r="E519" s="8" t="str">
        <f t="shared" si="2"/>
        <v>https://resources.simonelectric.com/simon-ebook-vehiculo-electrico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ht="15.75" customHeight="1">
      <c r="A520" s="5" t="s">
        <v>746</v>
      </c>
      <c r="B520" s="5">
        <v>43985.0</v>
      </c>
      <c r="C520" s="6" t="s">
        <v>31</v>
      </c>
      <c r="D520" s="9">
        <f t="shared" si="1"/>
        <v>67</v>
      </c>
      <c r="E520" s="8" t="str">
        <f t="shared" si="2"/>
        <v>https://resources.simonelectric.com/simon-ebook-vehiculo-electrico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ht="15.75" customHeight="1">
      <c r="A521" s="5" t="s">
        <v>747</v>
      </c>
      <c r="B521" s="5">
        <v>43985.0</v>
      </c>
      <c r="C521" s="6" t="s">
        <v>31</v>
      </c>
      <c r="D521" s="9">
        <f t="shared" si="1"/>
        <v>67</v>
      </c>
      <c r="E521" s="8" t="str">
        <f t="shared" si="2"/>
        <v>https://resources.simonelectric.com/simon-ebook-vehiculo-electrico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ht="15.75" customHeight="1">
      <c r="A522" s="5" t="s">
        <v>748</v>
      </c>
      <c r="B522" s="5">
        <v>43985.0</v>
      </c>
      <c r="C522" s="6" t="s">
        <v>75</v>
      </c>
      <c r="D522" s="9">
        <f t="shared" si="1"/>
        <v>67</v>
      </c>
      <c r="E522" s="8" t="str">
        <f t="shared" si="2"/>
        <v>https://resources.simonelectric.com/simon-ebook-vehiculo-electrico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ht="15.75" customHeight="1">
      <c r="A523" s="5" t="s">
        <v>749</v>
      </c>
      <c r="B523" s="5">
        <v>43985.0</v>
      </c>
      <c r="C523" s="6" t="s">
        <v>75</v>
      </c>
      <c r="D523" s="9">
        <f t="shared" si="1"/>
        <v>67</v>
      </c>
      <c r="E523" s="8" t="str">
        <f t="shared" si="2"/>
        <v>https://resources.simonelectric.com/simon-ebook-vehiculo-electrico</v>
      </c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ht="15.75" customHeight="1">
      <c r="A524" s="5" t="s">
        <v>750</v>
      </c>
      <c r="B524" s="5">
        <v>43985.0</v>
      </c>
      <c r="C524" s="6" t="s">
        <v>31</v>
      </c>
      <c r="D524" s="9">
        <f t="shared" si="1"/>
        <v>67</v>
      </c>
      <c r="E524" s="8" t="str">
        <f t="shared" si="2"/>
        <v>https://resources.simonelectric.com/simon-ebook-vehiculo-electrico</v>
      </c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ht="15.75" customHeight="1">
      <c r="A525" s="5" t="s">
        <v>751</v>
      </c>
      <c r="B525" s="5">
        <v>43985.0</v>
      </c>
      <c r="C525" s="6" t="s">
        <v>75</v>
      </c>
      <c r="D525" s="9">
        <f t="shared" si="1"/>
        <v>67</v>
      </c>
      <c r="E525" s="8" t="str">
        <f t="shared" si="2"/>
        <v>https://resources.simonelectric.com/simon-ebook-vehiculo-electrico</v>
      </c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ht="15.75" customHeight="1">
      <c r="A526" s="5" t="s">
        <v>752</v>
      </c>
      <c r="B526" s="5">
        <v>43985.0</v>
      </c>
      <c r="C526" s="6" t="s">
        <v>753</v>
      </c>
      <c r="D526" s="9">
        <f t="shared" si="1"/>
        <v>67</v>
      </c>
      <c r="E526" s="8" t="str">
        <f t="shared" si="2"/>
        <v>https://resources.simonelectric.com/simon-ebook-vehiculo-electrico</v>
      </c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ht="15.75" customHeight="1">
      <c r="A527" s="5" t="s">
        <v>754</v>
      </c>
      <c r="B527" s="5">
        <v>43985.0</v>
      </c>
      <c r="C527" s="6" t="s">
        <v>75</v>
      </c>
      <c r="D527" s="9">
        <f t="shared" si="1"/>
        <v>67</v>
      </c>
      <c r="E527" s="8" t="str">
        <f t="shared" si="2"/>
        <v>https://resources.simonelectric.com/simon-ebook-vehiculo-electrico</v>
      </c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ht="15.75" customHeight="1">
      <c r="A528" s="5" t="s">
        <v>755</v>
      </c>
      <c r="B528" s="5">
        <v>43985.0</v>
      </c>
      <c r="C528" s="6" t="s">
        <v>31</v>
      </c>
      <c r="D528" s="9">
        <f t="shared" si="1"/>
        <v>67</v>
      </c>
      <c r="E528" s="8" t="str">
        <f t="shared" si="2"/>
        <v>https://resources.simonelectric.com/simon-ebook-vehiculo-electrico</v>
      </c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ht="15.75" customHeight="1">
      <c r="A529" s="5" t="s">
        <v>332</v>
      </c>
      <c r="B529" s="5">
        <v>43985.0</v>
      </c>
      <c r="C529" s="6" t="s">
        <v>75</v>
      </c>
      <c r="D529" s="9">
        <f t="shared" si="1"/>
        <v>67</v>
      </c>
      <c r="E529" s="8" t="str">
        <f t="shared" si="2"/>
        <v>https://resources.simonelectric.com/simon-ebook-vehiculo-electrico</v>
      </c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ht="15.75" customHeight="1">
      <c r="A530" s="5" t="s">
        <v>556</v>
      </c>
      <c r="B530" s="5">
        <v>43985.0</v>
      </c>
      <c r="C530" s="6" t="s">
        <v>31</v>
      </c>
      <c r="D530" s="9">
        <f t="shared" si="1"/>
        <v>67</v>
      </c>
      <c r="E530" s="8" t="str">
        <f t="shared" si="2"/>
        <v>https://resources.simonelectric.com/simon-ebook-vehiculo-electrico</v>
      </c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ht="15.75" customHeight="1">
      <c r="A531" s="5" t="s">
        <v>336</v>
      </c>
      <c r="B531" s="5">
        <v>43985.0</v>
      </c>
      <c r="C531" s="6" t="s">
        <v>31</v>
      </c>
      <c r="D531" s="9">
        <f t="shared" si="1"/>
        <v>67</v>
      </c>
      <c r="E531" s="8" t="str">
        <f t="shared" si="2"/>
        <v>https://resources.simonelectric.com/simon-ebook-vehiculo-electrico</v>
      </c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ht="15.75" customHeight="1">
      <c r="A532" s="5" t="s">
        <v>756</v>
      </c>
      <c r="B532" s="5">
        <v>43985.0</v>
      </c>
      <c r="C532" s="6" t="s">
        <v>55</v>
      </c>
      <c r="D532" s="9">
        <f t="shared" si="1"/>
        <v>71</v>
      </c>
      <c r="E532" s="8" t="str">
        <f t="shared" si="2"/>
        <v>https://resources.simonelectric.com/simon-ebook-vehiculo-electrico-ppc</v>
      </c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ht="15.75" customHeight="1">
      <c r="A533" s="5" t="s">
        <v>757</v>
      </c>
      <c r="B533" s="5">
        <v>43985.0</v>
      </c>
      <c r="C533" s="6" t="s">
        <v>75</v>
      </c>
      <c r="D533" s="9">
        <f t="shared" si="1"/>
        <v>67</v>
      </c>
      <c r="E533" s="8" t="str">
        <f t="shared" si="2"/>
        <v>https://resources.simonelectric.com/simon-ebook-vehiculo-electrico</v>
      </c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ht="15.75" customHeight="1">
      <c r="A534" s="5" t="s">
        <v>758</v>
      </c>
      <c r="B534" s="5">
        <v>43985.0</v>
      </c>
      <c r="C534" s="6" t="s">
        <v>75</v>
      </c>
      <c r="D534" s="9">
        <f t="shared" si="1"/>
        <v>67</v>
      </c>
      <c r="E534" s="8" t="str">
        <f t="shared" si="2"/>
        <v>https://resources.simonelectric.com/simon-ebook-vehiculo-electrico</v>
      </c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ht="15.75" customHeight="1">
      <c r="A535" s="5" t="s">
        <v>759</v>
      </c>
      <c r="B535" s="5">
        <v>43985.0</v>
      </c>
      <c r="C535" s="6" t="s">
        <v>760</v>
      </c>
      <c r="D535" s="9">
        <f t="shared" si="1"/>
        <v>80</v>
      </c>
      <c r="E535" s="8" t="str">
        <f t="shared" si="2"/>
        <v>https://resources.simonelectric.com/simon-material-formativo-vehiculo-electrico</v>
      </c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ht="15.75" customHeight="1">
      <c r="A536" s="5" t="s">
        <v>761</v>
      </c>
      <c r="B536" s="5">
        <v>43985.0</v>
      </c>
      <c r="C536" s="6" t="s">
        <v>75</v>
      </c>
      <c r="D536" s="9">
        <f t="shared" si="1"/>
        <v>67</v>
      </c>
      <c r="E536" s="8" t="str">
        <f t="shared" si="2"/>
        <v>https://resources.simonelectric.com/simon-ebook-vehiculo-electrico</v>
      </c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ht="15.75" customHeight="1">
      <c r="A537" s="5" t="s">
        <v>762</v>
      </c>
      <c r="B537" s="5">
        <v>43985.0</v>
      </c>
      <c r="C537" s="6" t="s">
        <v>75</v>
      </c>
      <c r="D537" s="9">
        <f t="shared" si="1"/>
        <v>67</v>
      </c>
      <c r="E537" s="8" t="str">
        <f t="shared" si="2"/>
        <v>https://resources.simonelectric.com/simon-ebook-vehiculo-electrico</v>
      </c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ht="15.75" customHeight="1">
      <c r="A538" s="5" t="s">
        <v>763</v>
      </c>
      <c r="B538" s="5">
        <v>43985.0</v>
      </c>
      <c r="C538" s="6" t="s">
        <v>31</v>
      </c>
      <c r="D538" s="9">
        <f t="shared" si="1"/>
        <v>67</v>
      </c>
      <c r="E538" s="8" t="str">
        <f t="shared" si="2"/>
        <v>https://resources.simonelectric.com/simon-ebook-vehiculo-electrico</v>
      </c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ht="15.75" customHeight="1">
      <c r="A539" s="5" t="s">
        <v>764</v>
      </c>
      <c r="B539" s="5">
        <v>43985.0</v>
      </c>
      <c r="C539" s="6" t="s">
        <v>75</v>
      </c>
      <c r="D539" s="9">
        <f t="shared" si="1"/>
        <v>67</v>
      </c>
      <c r="E539" s="8" t="str">
        <f t="shared" si="2"/>
        <v>https://resources.simonelectric.com/simon-ebook-vehiculo-electrico</v>
      </c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ht="15.75" customHeight="1">
      <c r="A540" s="5" t="s">
        <v>765</v>
      </c>
      <c r="B540" s="5">
        <v>43985.0</v>
      </c>
      <c r="C540" s="6" t="s">
        <v>75</v>
      </c>
      <c r="D540" s="9">
        <f t="shared" si="1"/>
        <v>67</v>
      </c>
      <c r="E540" s="8" t="str">
        <f t="shared" si="2"/>
        <v>https://resources.simonelectric.com/simon-ebook-vehiculo-electrico</v>
      </c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ht="15.75" customHeight="1">
      <c r="A541" s="5" t="s">
        <v>766</v>
      </c>
      <c r="B541" s="5">
        <v>43985.0</v>
      </c>
      <c r="C541" s="6" t="s">
        <v>75</v>
      </c>
      <c r="D541" s="9">
        <f t="shared" si="1"/>
        <v>67</v>
      </c>
      <c r="E541" s="8" t="str">
        <f t="shared" si="2"/>
        <v>https://resources.simonelectric.com/simon-ebook-vehiculo-electrico</v>
      </c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ht="15.75" customHeight="1">
      <c r="A542" s="5" t="s">
        <v>767</v>
      </c>
      <c r="B542" s="5">
        <v>43985.0</v>
      </c>
      <c r="C542" s="6" t="s">
        <v>75</v>
      </c>
      <c r="D542" s="9">
        <f t="shared" si="1"/>
        <v>67</v>
      </c>
      <c r="E542" s="8" t="str">
        <f t="shared" si="2"/>
        <v>https://resources.simonelectric.com/simon-ebook-vehiculo-electrico</v>
      </c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ht="15.75" customHeight="1">
      <c r="A543" s="5" t="s">
        <v>768</v>
      </c>
      <c r="B543" s="5">
        <v>43985.0</v>
      </c>
      <c r="C543" s="6" t="s">
        <v>75</v>
      </c>
      <c r="D543" s="9">
        <f t="shared" si="1"/>
        <v>67</v>
      </c>
      <c r="E543" s="8" t="str">
        <f t="shared" si="2"/>
        <v>https://resources.simonelectric.com/simon-ebook-vehiculo-electrico</v>
      </c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ht="15.75" customHeight="1">
      <c r="A544" s="5" t="s">
        <v>769</v>
      </c>
      <c r="B544" s="5">
        <v>43985.0</v>
      </c>
      <c r="C544" s="6" t="s">
        <v>75</v>
      </c>
      <c r="D544" s="9">
        <f t="shared" si="1"/>
        <v>67</v>
      </c>
      <c r="E544" s="8" t="str">
        <f t="shared" si="2"/>
        <v>https://resources.simonelectric.com/simon-ebook-vehiculo-electrico</v>
      </c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ht="15.75" customHeight="1">
      <c r="A545" s="5" t="s">
        <v>770</v>
      </c>
      <c r="B545" s="5">
        <v>43985.0</v>
      </c>
      <c r="C545" s="6" t="s">
        <v>75</v>
      </c>
      <c r="D545" s="9">
        <f t="shared" si="1"/>
        <v>67</v>
      </c>
      <c r="E545" s="8" t="str">
        <f t="shared" si="2"/>
        <v>https://resources.simonelectric.com/simon-ebook-vehiculo-electrico</v>
      </c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ht="15.75" customHeight="1">
      <c r="A546" s="5" t="s">
        <v>771</v>
      </c>
      <c r="B546" s="5">
        <v>43985.0</v>
      </c>
      <c r="C546" s="6" t="s">
        <v>75</v>
      </c>
      <c r="D546" s="9">
        <f t="shared" si="1"/>
        <v>67</v>
      </c>
      <c r="E546" s="8" t="str">
        <f t="shared" si="2"/>
        <v>https://resources.simonelectric.com/simon-ebook-vehiculo-electrico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ht="15.75" customHeight="1">
      <c r="A547" s="5" t="s">
        <v>772</v>
      </c>
      <c r="B547" s="5">
        <v>43985.0</v>
      </c>
      <c r="C547" s="6" t="s">
        <v>75</v>
      </c>
      <c r="D547" s="9">
        <f t="shared" si="1"/>
        <v>67</v>
      </c>
      <c r="E547" s="8" t="str">
        <f t="shared" si="2"/>
        <v>https://resources.simonelectric.com/simon-ebook-vehiculo-electrico</v>
      </c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ht="15.75" customHeight="1">
      <c r="A548" s="5" t="s">
        <v>773</v>
      </c>
      <c r="B548" s="5">
        <v>43985.0</v>
      </c>
      <c r="C548" s="6" t="s">
        <v>774</v>
      </c>
      <c r="D548" s="9">
        <f t="shared" si="1"/>
        <v>70</v>
      </c>
      <c r="E548" s="8" t="str">
        <f t="shared" si="2"/>
        <v>https://resources.simonelectric.com/simon-catalogo-vehiculo-electrico</v>
      </c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ht="15.75" customHeight="1">
      <c r="A549" s="5" t="s">
        <v>775</v>
      </c>
      <c r="B549" s="5">
        <v>43985.0</v>
      </c>
      <c r="C549" s="6" t="s">
        <v>75</v>
      </c>
      <c r="D549" s="9">
        <f t="shared" si="1"/>
        <v>67</v>
      </c>
      <c r="E549" s="8" t="str">
        <f t="shared" si="2"/>
        <v>https://resources.simonelectric.com/simon-ebook-vehiculo-electrico</v>
      </c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ht="15.75" customHeight="1">
      <c r="A550" s="5" t="s">
        <v>776</v>
      </c>
      <c r="B550" s="5">
        <v>43985.0</v>
      </c>
      <c r="C550" s="6" t="s">
        <v>75</v>
      </c>
      <c r="D550" s="9">
        <f t="shared" si="1"/>
        <v>67</v>
      </c>
      <c r="E550" s="8" t="str">
        <f t="shared" si="2"/>
        <v>https://resources.simonelectric.com/simon-ebook-vehiculo-electrico</v>
      </c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ht="15.75" customHeight="1">
      <c r="A551" s="5" t="s">
        <v>777</v>
      </c>
      <c r="B551" s="5">
        <v>43985.0</v>
      </c>
      <c r="C551" s="6" t="s">
        <v>778</v>
      </c>
      <c r="D551" s="9">
        <f t="shared" si="1"/>
        <v>67</v>
      </c>
      <c r="E551" s="8" t="str">
        <f t="shared" si="2"/>
        <v>https://resources.simonelectric.com/simon-ebook-vehiculo-electrico</v>
      </c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ht="15.75" customHeight="1">
      <c r="A552" s="5" t="s">
        <v>779</v>
      </c>
      <c r="B552" s="5">
        <v>43985.0</v>
      </c>
      <c r="C552" s="6" t="s">
        <v>75</v>
      </c>
      <c r="D552" s="9">
        <f t="shared" si="1"/>
        <v>67</v>
      </c>
      <c r="E552" s="8" t="str">
        <f t="shared" si="2"/>
        <v>https://resources.simonelectric.com/simon-ebook-vehiculo-electrico</v>
      </c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ht="15.75" customHeight="1">
      <c r="A553" s="5" t="s">
        <v>780</v>
      </c>
      <c r="B553" s="5">
        <v>43985.0</v>
      </c>
      <c r="C553" s="6" t="s">
        <v>75</v>
      </c>
      <c r="D553" s="9">
        <f t="shared" si="1"/>
        <v>67</v>
      </c>
      <c r="E553" s="8" t="str">
        <f t="shared" si="2"/>
        <v>https://resources.simonelectric.com/simon-ebook-vehiculo-electrico</v>
      </c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ht="15.75" customHeight="1">
      <c r="A554" s="5" t="s">
        <v>781</v>
      </c>
      <c r="B554" s="5">
        <v>43985.0</v>
      </c>
      <c r="C554" s="6" t="s">
        <v>75</v>
      </c>
      <c r="D554" s="9">
        <f t="shared" si="1"/>
        <v>67</v>
      </c>
      <c r="E554" s="8" t="str">
        <f t="shared" si="2"/>
        <v>https://resources.simonelectric.com/simon-ebook-vehiculo-electrico</v>
      </c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ht="15.75" customHeight="1">
      <c r="A555" s="5" t="s">
        <v>782</v>
      </c>
      <c r="B555" s="5">
        <v>43985.0</v>
      </c>
      <c r="C555" s="6" t="s">
        <v>75</v>
      </c>
      <c r="D555" s="9">
        <f t="shared" si="1"/>
        <v>67</v>
      </c>
      <c r="E555" s="8" t="str">
        <f t="shared" si="2"/>
        <v>https://resources.simonelectric.com/simon-ebook-vehiculo-electrico</v>
      </c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ht="15.75" customHeight="1">
      <c r="A556" s="5" t="s">
        <v>783</v>
      </c>
      <c r="B556" s="5">
        <v>43985.0</v>
      </c>
      <c r="C556" s="6" t="s">
        <v>75</v>
      </c>
      <c r="D556" s="9">
        <f t="shared" si="1"/>
        <v>67</v>
      </c>
      <c r="E556" s="8" t="str">
        <f t="shared" si="2"/>
        <v>https://resources.simonelectric.com/simon-ebook-vehiculo-electrico</v>
      </c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ht="15.75" customHeight="1">
      <c r="A557" s="5" t="s">
        <v>784</v>
      </c>
      <c r="B557" s="5">
        <v>43984.0</v>
      </c>
      <c r="C557" s="6" t="s">
        <v>785</v>
      </c>
      <c r="D557" s="9">
        <f t="shared" si="1"/>
        <v>70</v>
      </c>
      <c r="E557" s="8" t="str">
        <f t="shared" si="2"/>
        <v>https://resources.simonelectric.com/simon-catalogo-vehiculo-electrico</v>
      </c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ht="15.75" customHeight="1">
      <c r="A558" s="5" t="s">
        <v>786</v>
      </c>
      <c r="B558" s="5">
        <v>43984.0</v>
      </c>
      <c r="C558" s="6" t="s">
        <v>55</v>
      </c>
      <c r="D558" s="9">
        <f t="shared" si="1"/>
        <v>71</v>
      </c>
      <c r="E558" s="8" t="str">
        <f t="shared" si="2"/>
        <v>https://resources.simonelectric.com/simon-ebook-vehiculo-electrico-ppc</v>
      </c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ht="15.75" customHeight="1">
      <c r="A559" s="5" t="s">
        <v>787</v>
      </c>
      <c r="B559" s="5">
        <v>43984.0</v>
      </c>
      <c r="C559" s="6" t="s">
        <v>8</v>
      </c>
      <c r="D559" s="9">
        <f t="shared" si="1"/>
        <v>67</v>
      </c>
      <c r="E559" s="8" t="str">
        <f t="shared" si="2"/>
        <v>https://resources.simonelectric.com/simon-ebook-vehiculo-electrico</v>
      </c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ht="15.75" customHeight="1">
      <c r="A560" s="5" t="s">
        <v>788</v>
      </c>
      <c r="B560" s="5">
        <v>43984.0</v>
      </c>
      <c r="C560" s="6" t="s">
        <v>789</v>
      </c>
      <c r="D560" s="9">
        <f t="shared" si="1"/>
        <v>67</v>
      </c>
      <c r="E560" s="8" t="str">
        <f t="shared" si="2"/>
        <v>https://resources.simonelectric.com/simon-ebook-vehiculo-electrico</v>
      </c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ht="15.75" customHeight="1">
      <c r="A561" s="5" t="s">
        <v>790</v>
      </c>
      <c r="B561" s="5">
        <v>43984.0</v>
      </c>
      <c r="C561" s="6" t="s">
        <v>8</v>
      </c>
      <c r="D561" s="9">
        <f t="shared" si="1"/>
        <v>67</v>
      </c>
      <c r="E561" s="8" t="str">
        <f t="shared" si="2"/>
        <v>https://resources.simonelectric.com/simon-ebook-vehiculo-electrico</v>
      </c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ht="15.75" customHeight="1">
      <c r="A562" s="5" t="s">
        <v>791</v>
      </c>
      <c r="B562" s="5">
        <v>43984.0</v>
      </c>
      <c r="C562" s="6" t="s">
        <v>689</v>
      </c>
      <c r="D562" s="9">
        <f t="shared" si="1"/>
        <v>67</v>
      </c>
      <c r="E562" s="8" t="str">
        <f t="shared" si="2"/>
        <v>https://resources.simonelectric.com/simon-ebook-vehiculo-electrico</v>
      </c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ht="15.75" customHeight="1">
      <c r="A563" s="5" t="s">
        <v>792</v>
      </c>
      <c r="B563" s="5">
        <v>43984.0</v>
      </c>
      <c r="C563" s="6" t="s">
        <v>55</v>
      </c>
      <c r="D563" s="9">
        <f t="shared" si="1"/>
        <v>71</v>
      </c>
      <c r="E563" s="8" t="str">
        <f t="shared" si="2"/>
        <v>https://resources.simonelectric.com/simon-ebook-vehiculo-electrico-ppc</v>
      </c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ht="15.75" customHeight="1">
      <c r="A564" s="5" t="s">
        <v>793</v>
      </c>
      <c r="B564" s="5">
        <v>43984.0</v>
      </c>
      <c r="C564" s="6" t="s">
        <v>55</v>
      </c>
      <c r="D564" s="9">
        <f t="shared" si="1"/>
        <v>71</v>
      </c>
      <c r="E564" s="8" t="str">
        <f t="shared" si="2"/>
        <v>https://resources.simonelectric.com/simon-ebook-vehiculo-electrico-ppc</v>
      </c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ht="15.75" customHeight="1">
      <c r="A565" s="5" t="s">
        <v>794</v>
      </c>
      <c r="B565" s="5">
        <v>43984.0</v>
      </c>
      <c r="C565" s="6" t="s">
        <v>55</v>
      </c>
      <c r="D565" s="9">
        <f t="shared" si="1"/>
        <v>71</v>
      </c>
      <c r="E565" s="8" t="str">
        <f t="shared" si="2"/>
        <v>https://resources.simonelectric.com/simon-ebook-vehiculo-electrico-ppc</v>
      </c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ht="15.75" customHeight="1">
      <c r="A566" s="5" t="s">
        <v>795</v>
      </c>
      <c r="B566" s="5">
        <v>43983.0</v>
      </c>
      <c r="C566" s="6" t="s">
        <v>796</v>
      </c>
      <c r="D566" s="9">
        <f t="shared" si="1"/>
        <v>70</v>
      </c>
      <c r="E566" s="8" t="str">
        <f t="shared" si="2"/>
        <v>https://resources.simonelectric.com/simon-catalogo-vehiculo-electrico</v>
      </c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ht="15.75" customHeight="1">
      <c r="A567" s="5" t="s">
        <v>797</v>
      </c>
      <c r="B567" s="5">
        <v>43983.0</v>
      </c>
      <c r="C567" s="6" t="s">
        <v>798</v>
      </c>
      <c r="D567" s="9">
        <f t="shared" si="1"/>
        <v>69</v>
      </c>
      <c r="E567" s="8" t="str">
        <f t="shared" si="2"/>
        <v>https://resources.simonelectric.com/simon-ebook-vehiculo-electrico-0</v>
      </c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ht="15.75" customHeight="1">
      <c r="A568" s="5" t="s">
        <v>799</v>
      </c>
      <c r="B568" s="5">
        <v>43983.0</v>
      </c>
      <c r="C568" s="6" t="s">
        <v>800</v>
      </c>
      <c r="D568" s="9">
        <f t="shared" si="1"/>
        <v>70</v>
      </c>
      <c r="E568" s="8" t="str">
        <f t="shared" si="2"/>
        <v>https://resources.simonelectric.com/simon-catalogo-vehiculo-electrico</v>
      </c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ht="15.75" customHeight="1">
      <c r="A569" s="5" t="s">
        <v>799</v>
      </c>
      <c r="B569" s="5">
        <v>43983.0</v>
      </c>
      <c r="C569" s="6" t="s">
        <v>8</v>
      </c>
      <c r="D569" s="9">
        <f t="shared" si="1"/>
        <v>67</v>
      </c>
      <c r="E569" s="8" t="str">
        <f t="shared" si="2"/>
        <v>https://resources.simonelectric.com/simon-ebook-vehiculo-electrico</v>
      </c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ht="15.75" customHeight="1">
      <c r="A570" s="5" t="s">
        <v>801</v>
      </c>
      <c r="B570" s="5">
        <v>43983.0</v>
      </c>
      <c r="C570" s="6" t="s">
        <v>802</v>
      </c>
      <c r="D570" s="9">
        <f t="shared" si="1"/>
        <v>69</v>
      </c>
      <c r="E570" s="8" t="str">
        <f t="shared" si="2"/>
        <v>https://resources.simonelectric.com/simon-ebook-vehiculo-electrico-0</v>
      </c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ht="15.75" customHeight="1">
      <c r="A571" s="5" t="s">
        <v>803</v>
      </c>
      <c r="B571" s="5">
        <v>43983.0</v>
      </c>
      <c r="C571" s="6" t="s">
        <v>55</v>
      </c>
      <c r="D571" s="9">
        <f t="shared" si="1"/>
        <v>71</v>
      </c>
      <c r="E571" s="8" t="str">
        <f t="shared" si="2"/>
        <v>https://resources.simonelectric.com/simon-ebook-vehiculo-electrico-ppc</v>
      </c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ht="15.75" customHeight="1">
      <c r="A572" s="5" t="s">
        <v>804</v>
      </c>
      <c r="B572" s="5">
        <v>43983.0</v>
      </c>
      <c r="C572" s="6" t="s">
        <v>805</v>
      </c>
      <c r="D572" s="9">
        <f t="shared" si="1"/>
        <v>67</v>
      </c>
      <c r="E572" s="8" t="str">
        <f t="shared" si="2"/>
        <v>https://resources.simonelectric.com/simon-ebook-vehiculo-electrico</v>
      </c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ht="15.75" customHeight="1">
      <c r="A573" s="5" t="s">
        <v>806</v>
      </c>
      <c r="B573" s="5">
        <v>43983.0</v>
      </c>
      <c r="C573" s="6" t="s">
        <v>31</v>
      </c>
      <c r="D573" s="9">
        <f t="shared" si="1"/>
        <v>67</v>
      </c>
      <c r="E573" s="8" t="str">
        <f t="shared" si="2"/>
        <v>https://resources.simonelectric.com/simon-ebook-vehiculo-electrico</v>
      </c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ht="15.75" customHeight="1">
      <c r="A574" s="5" t="s">
        <v>807</v>
      </c>
      <c r="B574" s="5">
        <v>43983.0</v>
      </c>
      <c r="C574" s="6" t="s">
        <v>299</v>
      </c>
      <c r="D574" s="7" t="str">
        <f t="shared" si="1"/>
        <v>https://resources.simonelectric.com/simon-material-formativo-vehiculo-electrico</v>
      </c>
      <c r="E574" s="8" t="str">
        <f t="shared" si="2"/>
        <v>https://resources.simonelectric.com/simon-material-formativo-vehiculo-electrico</v>
      </c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ht="15.75" customHeight="1">
      <c r="A575" s="5" t="s">
        <v>808</v>
      </c>
      <c r="B575" s="5">
        <v>43983.0</v>
      </c>
      <c r="C575" s="6" t="s">
        <v>55</v>
      </c>
      <c r="D575" s="9">
        <f t="shared" si="1"/>
        <v>71</v>
      </c>
      <c r="E575" s="8" t="str">
        <f t="shared" si="2"/>
        <v>https://resources.simonelectric.com/simon-ebook-vehiculo-electrico-ppc</v>
      </c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ht="15.75" customHeight="1">
      <c r="A576" s="5" t="s">
        <v>784</v>
      </c>
      <c r="B576" s="5">
        <v>43983.0</v>
      </c>
      <c r="C576" s="6" t="s">
        <v>809</v>
      </c>
      <c r="D576" s="9">
        <f t="shared" si="1"/>
        <v>70</v>
      </c>
      <c r="E576" s="8" t="str">
        <f t="shared" si="2"/>
        <v>https://resources.simonelectric.com/simon-catalogo-vehiculo-electrico</v>
      </c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ht="15.75" customHeight="1">
      <c r="A577" s="5" t="s">
        <v>810</v>
      </c>
      <c r="B577" s="5">
        <v>43983.0</v>
      </c>
      <c r="C577" s="6" t="s">
        <v>811</v>
      </c>
      <c r="D577" s="9">
        <f t="shared" si="1"/>
        <v>67</v>
      </c>
      <c r="E577" s="8" t="str">
        <f t="shared" si="2"/>
        <v>https://resources.simonelectric.com/simon-ebook-vehiculo-electrico</v>
      </c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ht="15.75" customHeight="1">
      <c r="A578" s="5" t="s">
        <v>812</v>
      </c>
      <c r="B578" s="5">
        <v>43983.0</v>
      </c>
      <c r="C578" s="6" t="s">
        <v>813</v>
      </c>
      <c r="D578" s="9">
        <f t="shared" si="1"/>
        <v>70</v>
      </c>
      <c r="E578" s="8" t="str">
        <f t="shared" si="2"/>
        <v>https://resources.simonelectric.com/simon-catalogo-vehiculo-electrico</v>
      </c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ht="15.75" customHeight="1">
      <c r="A579" s="5" t="s">
        <v>814</v>
      </c>
      <c r="B579" s="5">
        <v>43983.0</v>
      </c>
      <c r="C579" s="6" t="s">
        <v>815</v>
      </c>
      <c r="D579" s="9">
        <f t="shared" si="1"/>
        <v>70</v>
      </c>
      <c r="E579" s="8" t="str">
        <f t="shared" si="2"/>
        <v>https://resources.simonelectric.com/simon-catalogo-vehiculo-electrico</v>
      </c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ht="15.75" customHeight="1">
      <c r="A580" s="5" t="s">
        <v>816</v>
      </c>
      <c r="B580" s="5">
        <v>43983.0</v>
      </c>
      <c r="C580" s="6" t="s">
        <v>817</v>
      </c>
      <c r="D580" s="9">
        <f t="shared" si="1"/>
        <v>70</v>
      </c>
      <c r="E580" s="8" t="str">
        <f t="shared" si="2"/>
        <v>https://resources.simonelectric.com/simon-catalogo-vehiculo-electrico</v>
      </c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ht="15.75" customHeight="1">
      <c r="A581" s="5" t="s">
        <v>818</v>
      </c>
      <c r="B581" s="5">
        <v>43983.0</v>
      </c>
      <c r="C581" s="6" t="s">
        <v>819</v>
      </c>
      <c r="D581" s="9">
        <f t="shared" si="1"/>
        <v>71</v>
      </c>
      <c r="E581" s="8" t="str">
        <f t="shared" si="2"/>
        <v>https://resources.simonelectric.com/simon-ebook-vehiculo-electrico-ppc</v>
      </c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ht="15.75" customHeight="1">
      <c r="A582" s="5" t="s">
        <v>820</v>
      </c>
      <c r="B582" s="5">
        <v>43982.0</v>
      </c>
      <c r="C582" s="6" t="s">
        <v>55</v>
      </c>
      <c r="D582" s="9">
        <f t="shared" si="1"/>
        <v>71</v>
      </c>
      <c r="E582" s="8" t="str">
        <f t="shared" si="2"/>
        <v>https://resources.simonelectric.com/simon-ebook-vehiculo-electrico-ppc</v>
      </c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ht="15.75" customHeight="1">
      <c r="A583" s="5" t="s">
        <v>821</v>
      </c>
      <c r="B583" s="5">
        <v>43982.0</v>
      </c>
      <c r="C583" s="6" t="s">
        <v>822</v>
      </c>
      <c r="D583" s="9">
        <f t="shared" si="1"/>
        <v>70</v>
      </c>
      <c r="E583" s="8" t="str">
        <f t="shared" si="2"/>
        <v>https://resources.simonelectric.com/simon-catalogo-vehiculo-electrico</v>
      </c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ht="15.75" customHeight="1">
      <c r="A584" s="5" t="s">
        <v>823</v>
      </c>
      <c r="B584" s="5">
        <v>43981.0</v>
      </c>
      <c r="C584" s="6" t="s">
        <v>824</v>
      </c>
      <c r="D584" s="9">
        <f t="shared" si="1"/>
        <v>70</v>
      </c>
      <c r="E584" s="8" t="str">
        <f t="shared" si="2"/>
        <v>https://resources.simonelectric.com/simon-catalogo-vehiculo-electrico</v>
      </c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ht="15.75" customHeight="1">
      <c r="A585" s="5" t="s">
        <v>825</v>
      </c>
      <c r="B585" s="5">
        <v>43981.0</v>
      </c>
      <c r="C585" s="6" t="s">
        <v>31</v>
      </c>
      <c r="D585" s="9">
        <f t="shared" si="1"/>
        <v>67</v>
      </c>
      <c r="E585" s="8" t="str">
        <f t="shared" si="2"/>
        <v>https://resources.simonelectric.com/simon-ebook-vehiculo-electrico</v>
      </c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ht="15.75" customHeight="1">
      <c r="A586" s="5" t="s">
        <v>826</v>
      </c>
      <c r="B586" s="5">
        <v>43981.0</v>
      </c>
      <c r="C586" s="6" t="s">
        <v>75</v>
      </c>
      <c r="D586" s="9">
        <f t="shared" si="1"/>
        <v>67</v>
      </c>
      <c r="E586" s="8" t="str">
        <f t="shared" si="2"/>
        <v>https://resources.simonelectric.com/simon-ebook-vehiculo-electrico</v>
      </c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ht="15.75" customHeight="1">
      <c r="A587" s="5" t="s">
        <v>827</v>
      </c>
      <c r="B587" s="5">
        <v>43980.0</v>
      </c>
      <c r="C587" s="6" t="s">
        <v>55</v>
      </c>
      <c r="D587" s="9">
        <f t="shared" si="1"/>
        <v>71</v>
      </c>
      <c r="E587" s="8" t="str">
        <f t="shared" si="2"/>
        <v>https://resources.simonelectric.com/simon-ebook-vehiculo-electrico-ppc</v>
      </c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ht="15.75" customHeight="1">
      <c r="A588" s="5" t="s">
        <v>827</v>
      </c>
      <c r="B588" s="5">
        <v>43980.0</v>
      </c>
      <c r="C588" s="6" t="s">
        <v>55</v>
      </c>
      <c r="D588" s="9">
        <f t="shared" si="1"/>
        <v>71</v>
      </c>
      <c r="E588" s="8" t="str">
        <f t="shared" si="2"/>
        <v>https://resources.simonelectric.com/simon-ebook-vehiculo-electrico-ppc</v>
      </c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ht="15.75" customHeight="1">
      <c r="A589" s="5" t="s">
        <v>828</v>
      </c>
      <c r="B589" s="5">
        <v>43980.0</v>
      </c>
      <c r="C589" s="6" t="s">
        <v>829</v>
      </c>
      <c r="D589" s="9">
        <f t="shared" si="1"/>
        <v>71</v>
      </c>
      <c r="E589" s="8" t="str">
        <f t="shared" si="2"/>
        <v>https://resources.simonelectric.com/simon-ebook-vehiculo-electrico-ppc</v>
      </c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ht="15.75" customHeight="1">
      <c r="A590" s="5" t="s">
        <v>830</v>
      </c>
      <c r="B590" s="5">
        <v>43980.0</v>
      </c>
      <c r="C590" s="6" t="s">
        <v>831</v>
      </c>
      <c r="D590" s="9">
        <f t="shared" si="1"/>
        <v>70</v>
      </c>
      <c r="E590" s="8" t="str">
        <f t="shared" si="2"/>
        <v>https://resources.simonelectric.com/simon-catalogo-vehiculo-electrico</v>
      </c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ht="15.75" customHeight="1">
      <c r="A591" s="5" t="s">
        <v>830</v>
      </c>
      <c r="B591" s="5">
        <v>43980.0</v>
      </c>
      <c r="C591" s="6" t="s">
        <v>8</v>
      </c>
      <c r="D591" s="9">
        <f t="shared" si="1"/>
        <v>67</v>
      </c>
      <c r="E591" s="8" t="str">
        <f t="shared" si="2"/>
        <v>https://resources.simonelectric.com/simon-ebook-vehiculo-electrico</v>
      </c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ht="15.75" customHeight="1">
      <c r="A592" s="5" t="s">
        <v>832</v>
      </c>
      <c r="B592" s="5">
        <v>43980.0</v>
      </c>
      <c r="C592" s="6" t="s">
        <v>31</v>
      </c>
      <c r="D592" s="9">
        <f t="shared" si="1"/>
        <v>67</v>
      </c>
      <c r="E592" s="8" t="str">
        <f t="shared" si="2"/>
        <v>https://resources.simonelectric.com/simon-ebook-vehiculo-electrico</v>
      </c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ht="15.75" customHeight="1">
      <c r="A593" s="5" t="s">
        <v>833</v>
      </c>
      <c r="B593" s="5">
        <v>43980.0</v>
      </c>
      <c r="C593" s="6" t="s">
        <v>28</v>
      </c>
      <c r="D593" s="7" t="str">
        <f t="shared" si="1"/>
        <v>https://resources.simonelectric.com/simon-ebook-vehiculo-electrico</v>
      </c>
      <c r="E593" s="8" t="str">
        <f t="shared" si="2"/>
        <v>https://resources.simonelectric.com/simon-ebook-vehiculo-electrico</v>
      </c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ht="15.75" customHeight="1">
      <c r="A594" s="5" t="s">
        <v>833</v>
      </c>
      <c r="B594" s="5">
        <v>43980.0</v>
      </c>
      <c r="C594" s="6" t="s">
        <v>834</v>
      </c>
      <c r="D594" s="9">
        <f t="shared" si="1"/>
        <v>70</v>
      </c>
      <c r="E594" s="8" t="str">
        <f t="shared" si="2"/>
        <v>https://resources.simonelectric.com/simon-catalogo-vehiculo-electrico</v>
      </c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ht="15.75" customHeight="1">
      <c r="A595" s="5" t="s">
        <v>835</v>
      </c>
      <c r="B595" s="5">
        <v>43980.0</v>
      </c>
      <c r="C595" s="6" t="s">
        <v>75</v>
      </c>
      <c r="D595" s="9">
        <f t="shared" si="1"/>
        <v>67</v>
      </c>
      <c r="E595" s="8" t="str">
        <f t="shared" si="2"/>
        <v>https://resources.simonelectric.com/simon-ebook-vehiculo-electrico</v>
      </c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ht="15.75" customHeight="1">
      <c r="A596" s="5" t="s">
        <v>836</v>
      </c>
      <c r="B596" s="5">
        <v>43979.0</v>
      </c>
      <c r="C596" s="6" t="s">
        <v>837</v>
      </c>
      <c r="D596" s="9">
        <f t="shared" si="1"/>
        <v>69</v>
      </c>
      <c r="E596" s="8" t="str">
        <f t="shared" si="2"/>
        <v>https://resources.simonelectric.com/simon-ebook-vehiculo-electrico-0</v>
      </c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ht="15.75" customHeight="1">
      <c r="A597" s="5" t="s">
        <v>838</v>
      </c>
      <c r="B597" s="5">
        <v>43979.0</v>
      </c>
      <c r="C597" s="6" t="s">
        <v>28</v>
      </c>
      <c r="D597" s="7" t="str">
        <f t="shared" si="1"/>
        <v>https://resources.simonelectric.com/simon-ebook-vehiculo-electrico</v>
      </c>
      <c r="E597" s="8" t="str">
        <f t="shared" si="2"/>
        <v>https://resources.simonelectric.com/simon-ebook-vehiculo-electrico</v>
      </c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ht="15.75" customHeight="1">
      <c r="A598" s="5" t="s">
        <v>839</v>
      </c>
      <c r="B598" s="5">
        <v>43979.0</v>
      </c>
      <c r="C598" s="6" t="s">
        <v>28</v>
      </c>
      <c r="D598" s="7" t="str">
        <f t="shared" si="1"/>
        <v>https://resources.simonelectric.com/simon-ebook-vehiculo-electrico</v>
      </c>
      <c r="E598" s="8" t="str">
        <f t="shared" si="2"/>
        <v>https://resources.simonelectric.com/simon-ebook-vehiculo-electrico</v>
      </c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ht="15.75" customHeight="1">
      <c r="A599" s="5" t="s">
        <v>840</v>
      </c>
      <c r="B599" s="5">
        <v>43979.0</v>
      </c>
      <c r="C599" s="6" t="s">
        <v>28</v>
      </c>
      <c r="D599" s="7" t="str">
        <f t="shared" si="1"/>
        <v>https://resources.simonelectric.com/simon-ebook-vehiculo-electrico</v>
      </c>
      <c r="E599" s="8" t="str">
        <f t="shared" si="2"/>
        <v>https://resources.simonelectric.com/simon-ebook-vehiculo-electrico</v>
      </c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ht="15.75" customHeight="1">
      <c r="A600" s="5" t="s">
        <v>692</v>
      </c>
      <c r="B600" s="5">
        <v>43979.0</v>
      </c>
      <c r="C600" s="6" t="s">
        <v>6</v>
      </c>
      <c r="D600" s="9">
        <f t="shared" si="1"/>
        <v>67</v>
      </c>
      <c r="E600" s="8" t="str">
        <f t="shared" si="2"/>
        <v>https://resources.simonelectric.com/simon-ebook-vehiculo-electrico</v>
      </c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ht="15.75" customHeight="1">
      <c r="A601" s="5" t="s">
        <v>841</v>
      </c>
      <c r="B601" s="5">
        <v>43979.0</v>
      </c>
      <c r="C601" s="6" t="s">
        <v>8</v>
      </c>
      <c r="D601" s="9">
        <f t="shared" si="1"/>
        <v>67</v>
      </c>
      <c r="E601" s="8" t="str">
        <f t="shared" si="2"/>
        <v>https://resources.simonelectric.com/simon-ebook-vehiculo-electrico</v>
      </c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ht="15.75" customHeight="1">
      <c r="A602" s="5" t="s">
        <v>842</v>
      </c>
      <c r="B602" s="5">
        <v>43979.0</v>
      </c>
      <c r="C602" s="6" t="s">
        <v>75</v>
      </c>
      <c r="D602" s="9">
        <f t="shared" si="1"/>
        <v>67</v>
      </c>
      <c r="E602" s="8" t="str">
        <f t="shared" si="2"/>
        <v>https://resources.simonelectric.com/simon-ebook-vehiculo-electrico</v>
      </c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ht="15.75" customHeight="1">
      <c r="A603" s="5" t="s">
        <v>45</v>
      </c>
      <c r="B603" s="5">
        <v>43979.0</v>
      </c>
      <c r="C603" s="6" t="s">
        <v>843</v>
      </c>
      <c r="D603" s="9">
        <f t="shared" si="1"/>
        <v>67</v>
      </c>
      <c r="E603" s="8" t="str">
        <f t="shared" si="2"/>
        <v>https://resources.simonelectric.com/simon-ebook-vehiculo-electrico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ht="15.75" customHeight="1">
      <c r="A604" s="5" t="s">
        <v>844</v>
      </c>
      <c r="B604" s="5">
        <v>43979.0</v>
      </c>
      <c r="C604" s="6" t="s">
        <v>845</v>
      </c>
      <c r="D604" s="9">
        <f t="shared" si="1"/>
        <v>70</v>
      </c>
      <c r="E604" s="8" t="str">
        <f t="shared" si="2"/>
        <v>https://resources.simonelectric.com/simon-catalogo-vehiculo-electrico</v>
      </c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ht="15.75" customHeight="1">
      <c r="A605" s="5" t="s">
        <v>846</v>
      </c>
      <c r="B605" s="5">
        <v>43979.0</v>
      </c>
      <c r="C605" s="6" t="s">
        <v>8</v>
      </c>
      <c r="D605" s="9">
        <f t="shared" si="1"/>
        <v>67</v>
      </c>
      <c r="E605" s="8" t="str">
        <f t="shared" si="2"/>
        <v>https://resources.simonelectric.com/simon-ebook-vehiculo-electrico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ht="15.75" customHeight="1">
      <c r="A606" s="5" t="s">
        <v>847</v>
      </c>
      <c r="B606" s="5">
        <v>43979.0</v>
      </c>
      <c r="C606" s="6" t="s">
        <v>848</v>
      </c>
      <c r="D606" s="9">
        <f t="shared" si="1"/>
        <v>67</v>
      </c>
      <c r="E606" s="8" t="str">
        <f t="shared" si="2"/>
        <v>https://resources.simonelectric.com/simon-ebook-vehiculo-electrico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ht="15.75" customHeight="1">
      <c r="A607" s="5" t="s">
        <v>849</v>
      </c>
      <c r="B607" s="5">
        <v>43979.0</v>
      </c>
      <c r="C607" s="6" t="s">
        <v>48</v>
      </c>
      <c r="D607" s="9">
        <f t="shared" si="1"/>
        <v>67</v>
      </c>
      <c r="E607" s="8" t="str">
        <f t="shared" si="2"/>
        <v>https://resources.simonelectric.com/simon-ebook-vehiculo-electrico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ht="15.75" customHeight="1">
      <c r="A608" s="5" t="s">
        <v>850</v>
      </c>
      <c r="B608" s="5">
        <v>43979.0</v>
      </c>
      <c r="C608" s="6" t="s">
        <v>75</v>
      </c>
      <c r="D608" s="9">
        <f t="shared" si="1"/>
        <v>67</v>
      </c>
      <c r="E608" s="8" t="str">
        <f t="shared" si="2"/>
        <v>https://resources.simonelectric.com/simon-ebook-vehiculo-electrico</v>
      </c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ht="15.75" customHeight="1">
      <c r="A609" s="5" t="s">
        <v>851</v>
      </c>
      <c r="B609" s="5">
        <v>43979.0</v>
      </c>
      <c r="C609" s="6" t="s">
        <v>852</v>
      </c>
      <c r="D609" s="9">
        <f t="shared" si="1"/>
        <v>67</v>
      </c>
      <c r="E609" s="8" t="str">
        <f t="shared" si="2"/>
        <v>https://resources.simonelectric.com/simon-ebook-vehiculo-electrico</v>
      </c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ht="15.75" customHeight="1">
      <c r="A610" s="5" t="s">
        <v>853</v>
      </c>
      <c r="B610" s="5">
        <v>43979.0</v>
      </c>
      <c r="C610" s="6" t="s">
        <v>854</v>
      </c>
      <c r="D610" s="9">
        <f t="shared" si="1"/>
        <v>80</v>
      </c>
      <c r="E610" s="8" t="str">
        <f t="shared" si="2"/>
        <v>https://resources.simonelectric.com/simon-material-formativo-vehiculo-electrico</v>
      </c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ht="15.75" customHeight="1">
      <c r="A611" s="5" t="s">
        <v>855</v>
      </c>
      <c r="B611" s="5">
        <v>43979.0</v>
      </c>
      <c r="C611" s="6" t="s">
        <v>55</v>
      </c>
      <c r="D611" s="9">
        <f t="shared" si="1"/>
        <v>71</v>
      </c>
      <c r="E611" s="8" t="str">
        <f t="shared" si="2"/>
        <v>https://resources.simonelectric.com/simon-ebook-vehiculo-electrico-ppc</v>
      </c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ht="15.75" customHeight="1">
      <c r="A612" s="5" t="s">
        <v>856</v>
      </c>
      <c r="B612" s="5">
        <v>43978.0</v>
      </c>
      <c r="C612" s="6" t="s">
        <v>55</v>
      </c>
      <c r="D612" s="9">
        <f t="shared" si="1"/>
        <v>71</v>
      </c>
      <c r="E612" s="8" t="str">
        <f t="shared" si="2"/>
        <v>https://resources.simonelectric.com/simon-ebook-vehiculo-electrico-ppc</v>
      </c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ht="15.75" customHeight="1">
      <c r="A613" s="5" t="s">
        <v>857</v>
      </c>
      <c r="B613" s="5">
        <v>43978.0</v>
      </c>
      <c r="C613" s="6" t="s">
        <v>8</v>
      </c>
      <c r="D613" s="9">
        <f t="shared" si="1"/>
        <v>67</v>
      </c>
      <c r="E613" s="8" t="str">
        <f t="shared" si="2"/>
        <v>https://resources.simonelectric.com/simon-ebook-vehiculo-electrico</v>
      </c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ht="15.75" customHeight="1">
      <c r="A614" s="5" t="s">
        <v>858</v>
      </c>
      <c r="B614" s="5">
        <v>43978.0</v>
      </c>
      <c r="C614" s="6" t="s">
        <v>8</v>
      </c>
      <c r="D614" s="9">
        <f t="shared" si="1"/>
        <v>67</v>
      </c>
      <c r="E614" s="8" t="str">
        <f t="shared" si="2"/>
        <v>https://resources.simonelectric.com/simon-ebook-vehiculo-electrico</v>
      </c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ht="15.75" customHeight="1">
      <c r="A615" s="5" t="s">
        <v>859</v>
      </c>
      <c r="B615" s="5">
        <v>43978.0</v>
      </c>
      <c r="C615" s="6" t="s">
        <v>55</v>
      </c>
      <c r="D615" s="9">
        <f t="shared" si="1"/>
        <v>71</v>
      </c>
      <c r="E615" s="8" t="str">
        <f t="shared" si="2"/>
        <v>https://resources.simonelectric.com/simon-ebook-vehiculo-electrico-ppc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ht="15.75" customHeight="1">
      <c r="A616" s="5" t="s">
        <v>860</v>
      </c>
      <c r="B616" s="5">
        <v>43978.0</v>
      </c>
      <c r="C616" s="6" t="s">
        <v>8</v>
      </c>
      <c r="D616" s="9">
        <f t="shared" si="1"/>
        <v>67</v>
      </c>
      <c r="E616" s="8" t="str">
        <f t="shared" si="2"/>
        <v>https://resources.simonelectric.com/simon-ebook-vehiculo-electrico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ht="15.75" customHeight="1">
      <c r="A617" s="5" t="s">
        <v>861</v>
      </c>
      <c r="B617" s="5">
        <v>43978.0</v>
      </c>
      <c r="C617" s="6" t="s">
        <v>75</v>
      </c>
      <c r="D617" s="9">
        <f t="shared" si="1"/>
        <v>67</v>
      </c>
      <c r="E617" s="8" t="str">
        <f t="shared" si="2"/>
        <v>https://resources.simonelectric.com/simon-ebook-vehiculo-electrico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ht="15.75" customHeight="1">
      <c r="A618" s="5" t="s">
        <v>862</v>
      </c>
      <c r="B618" s="5">
        <v>43978.0</v>
      </c>
      <c r="C618" s="6" t="s">
        <v>55</v>
      </c>
      <c r="D618" s="9">
        <f t="shared" si="1"/>
        <v>71</v>
      </c>
      <c r="E618" s="8" t="str">
        <f t="shared" si="2"/>
        <v>https://resources.simonelectric.com/simon-ebook-vehiculo-electrico-ppc</v>
      </c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ht="15.75" customHeight="1">
      <c r="A619" s="5" t="s">
        <v>640</v>
      </c>
      <c r="B619" s="5">
        <v>43977.0</v>
      </c>
      <c r="C619" s="6" t="s">
        <v>863</v>
      </c>
      <c r="D619" s="9">
        <f t="shared" si="1"/>
        <v>67</v>
      </c>
      <c r="E619" s="8" t="str">
        <f t="shared" si="2"/>
        <v>https://resources.simonelectric.com/simon-ebook-vehiculo-electrico</v>
      </c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ht="15.75" customHeight="1">
      <c r="A620" s="5" t="s">
        <v>864</v>
      </c>
      <c r="B620" s="5">
        <v>43977.0</v>
      </c>
      <c r="C620" s="6" t="s">
        <v>55</v>
      </c>
      <c r="D620" s="9">
        <f t="shared" si="1"/>
        <v>71</v>
      </c>
      <c r="E620" s="8" t="str">
        <f t="shared" si="2"/>
        <v>https://resources.simonelectric.com/simon-ebook-vehiculo-electrico-ppc</v>
      </c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ht="15.75" customHeight="1">
      <c r="A621" s="5" t="s">
        <v>865</v>
      </c>
      <c r="B621" s="5">
        <v>43977.0</v>
      </c>
      <c r="C621" s="6" t="s">
        <v>866</v>
      </c>
      <c r="D621" s="9">
        <f t="shared" si="1"/>
        <v>70</v>
      </c>
      <c r="E621" s="8" t="str">
        <f t="shared" si="2"/>
        <v>https://resources.simonelectric.com/simon-catalogo-vehiculo-electrico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ht="15.75" customHeight="1">
      <c r="A622" s="5" t="s">
        <v>626</v>
      </c>
      <c r="B622" s="5">
        <v>43977.0</v>
      </c>
      <c r="C622" s="6" t="s">
        <v>867</v>
      </c>
      <c r="D622" s="9">
        <f t="shared" si="1"/>
        <v>67</v>
      </c>
      <c r="E622" s="8" t="str">
        <f t="shared" si="2"/>
        <v>https://resources.simonelectric.com/simon-ebook-vehiculo-electrico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ht="15.75" customHeight="1">
      <c r="A623" s="5" t="s">
        <v>868</v>
      </c>
      <c r="B623" s="5">
        <v>43977.0</v>
      </c>
      <c r="C623" s="6" t="s">
        <v>869</v>
      </c>
      <c r="D623" s="9">
        <f t="shared" si="1"/>
        <v>70</v>
      </c>
      <c r="E623" s="8" t="str">
        <f t="shared" si="2"/>
        <v>https://resources.simonelectric.com/simon-catalogo-vehiculo-electrico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ht="15.75" customHeight="1">
      <c r="A624" s="5" t="s">
        <v>870</v>
      </c>
      <c r="B624" s="5">
        <v>43977.0</v>
      </c>
      <c r="C624" s="6" t="s">
        <v>10</v>
      </c>
      <c r="D624" s="7" t="str">
        <f t="shared" si="1"/>
        <v>https://resources.simonelectric.com/simon-catalogo-vehiculo-electrico</v>
      </c>
      <c r="E624" s="8" t="str">
        <f t="shared" si="2"/>
        <v>https://resources.simonelectric.com/simon-catalogo-vehiculo-electrico</v>
      </c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ht="15.75" customHeight="1">
      <c r="A625" s="5" t="s">
        <v>871</v>
      </c>
      <c r="B625" s="5">
        <v>43977.0</v>
      </c>
      <c r="C625" s="6" t="s">
        <v>872</v>
      </c>
      <c r="D625" s="9">
        <f t="shared" si="1"/>
        <v>70</v>
      </c>
      <c r="E625" s="8" t="str">
        <f t="shared" si="2"/>
        <v>https://resources.simonelectric.com/simon-catalogo-vehiculo-electrico</v>
      </c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ht="15.75" customHeight="1">
      <c r="A626" s="5" t="s">
        <v>873</v>
      </c>
      <c r="B626" s="5">
        <v>43977.0</v>
      </c>
      <c r="C626" s="6" t="s">
        <v>299</v>
      </c>
      <c r="D626" s="7" t="str">
        <f t="shared" si="1"/>
        <v>https://resources.simonelectric.com/simon-material-formativo-vehiculo-electrico</v>
      </c>
      <c r="E626" s="8" t="str">
        <f t="shared" si="2"/>
        <v>https://resources.simonelectric.com/simon-material-formativo-vehiculo-electrico</v>
      </c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ht="15.75" customHeight="1">
      <c r="A627" s="5" t="s">
        <v>874</v>
      </c>
      <c r="B627" s="5">
        <v>43977.0</v>
      </c>
      <c r="C627" s="6" t="s">
        <v>689</v>
      </c>
      <c r="D627" s="9">
        <f t="shared" si="1"/>
        <v>67</v>
      </c>
      <c r="E627" s="8" t="str">
        <f t="shared" si="2"/>
        <v>https://resources.simonelectric.com/simon-ebook-vehiculo-electrico</v>
      </c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ht="15.75" customHeight="1">
      <c r="A628" s="5" t="s">
        <v>875</v>
      </c>
      <c r="B628" s="5">
        <v>43977.0</v>
      </c>
      <c r="C628" s="6" t="s">
        <v>876</v>
      </c>
      <c r="D628" s="9">
        <f t="shared" si="1"/>
        <v>67</v>
      </c>
      <c r="E628" s="8" t="str">
        <f t="shared" si="2"/>
        <v>https://resources.simonelectric.com/simon-ebook-vehiculo-electrico</v>
      </c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ht="15.75" customHeight="1">
      <c r="A629" s="5" t="s">
        <v>877</v>
      </c>
      <c r="B629" s="5">
        <v>43977.0</v>
      </c>
      <c r="C629" s="6" t="s">
        <v>878</v>
      </c>
      <c r="D629" s="9">
        <f t="shared" si="1"/>
        <v>70</v>
      </c>
      <c r="E629" s="8" t="str">
        <f t="shared" si="2"/>
        <v>https://resources.simonelectric.com/simon-catalogo-vehiculo-electrico</v>
      </c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ht="15.75" customHeight="1">
      <c r="A630" s="5" t="s">
        <v>877</v>
      </c>
      <c r="B630" s="5">
        <v>43977.0</v>
      </c>
      <c r="C630" s="6" t="s">
        <v>28</v>
      </c>
      <c r="D630" s="7" t="str">
        <f t="shared" si="1"/>
        <v>https://resources.simonelectric.com/simon-ebook-vehiculo-electrico</v>
      </c>
      <c r="E630" s="8" t="str">
        <f t="shared" si="2"/>
        <v>https://resources.simonelectric.com/simon-ebook-vehiculo-electrico</v>
      </c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ht="15.75" customHeight="1">
      <c r="A631" s="5" t="s">
        <v>877</v>
      </c>
      <c r="B631" s="5">
        <v>43977.0</v>
      </c>
      <c r="C631" s="6" t="s">
        <v>8</v>
      </c>
      <c r="D631" s="9">
        <f t="shared" si="1"/>
        <v>67</v>
      </c>
      <c r="E631" s="8" t="str">
        <f t="shared" si="2"/>
        <v>https://resources.simonelectric.com/simon-ebook-vehiculo-electrico</v>
      </c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ht="15.75" customHeight="1">
      <c r="A632" s="5" t="s">
        <v>877</v>
      </c>
      <c r="B632" s="5">
        <v>43977.0</v>
      </c>
      <c r="C632" s="6" t="s">
        <v>8</v>
      </c>
      <c r="D632" s="9">
        <f t="shared" si="1"/>
        <v>67</v>
      </c>
      <c r="E632" s="8" t="str">
        <f t="shared" si="2"/>
        <v>https://resources.simonelectric.com/simon-ebook-vehiculo-electrico</v>
      </c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ht="15.75" customHeight="1">
      <c r="A633" s="5" t="s">
        <v>879</v>
      </c>
      <c r="B633" s="5">
        <v>43977.0</v>
      </c>
      <c r="C633" s="6" t="s">
        <v>55</v>
      </c>
      <c r="D633" s="9">
        <f t="shared" si="1"/>
        <v>71</v>
      </c>
      <c r="E633" s="8" t="str">
        <f t="shared" si="2"/>
        <v>https://resources.simonelectric.com/simon-ebook-vehiculo-electrico-ppc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ht="15.75" customHeight="1">
      <c r="A634" s="5" t="s">
        <v>880</v>
      </c>
      <c r="B634" s="5">
        <v>43976.0</v>
      </c>
      <c r="C634" s="6" t="s">
        <v>881</v>
      </c>
      <c r="D634" s="9">
        <f t="shared" si="1"/>
        <v>67</v>
      </c>
      <c r="E634" s="8" t="str">
        <f t="shared" si="2"/>
        <v>https://resources.simonelectric.com/simon-ebook-vehiculo-electrico</v>
      </c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ht="15.75" customHeight="1">
      <c r="A635" s="5" t="s">
        <v>882</v>
      </c>
      <c r="B635" s="5">
        <v>43976.0</v>
      </c>
      <c r="C635" s="6" t="s">
        <v>883</v>
      </c>
      <c r="D635" s="9">
        <f t="shared" si="1"/>
        <v>67</v>
      </c>
      <c r="E635" s="8" t="str">
        <f t="shared" si="2"/>
        <v>https://resources.simonelectric.com/simon-ebook-vehiculo-electrico</v>
      </c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ht="15.75" customHeight="1">
      <c r="A636" s="5" t="s">
        <v>884</v>
      </c>
      <c r="B636" s="5">
        <v>43976.0</v>
      </c>
      <c r="C636" s="6" t="s">
        <v>885</v>
      </c>
      <c r="D636" s="9">
        <f t="shared" si="1"/>
        <v>67</v>
      </c>
      <c r="E636" s="8" t="str">
        <f t="shared" si="2"/>
        <v>https://resources.simonelectric.com/simon-ebook-vehiculo-electrico</v>
      </c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ht="15.75" customHeight="1">
      <c r="A637" s="5" t="s">
        <v>886</v>
      </c>
      <c r="B637" s="5">
        <v>43976.0</v>
      </c>
      <c r="C637" s="6" t="s">
        <v>887</v>
      </c>
      <c r="D637" s="9">
        <f t="shared" si="1"/>
        <v>67</v>
      </c>
      <c r="E637" s="8" t="str">
        <f t="shared" si="2"/>
        <v>https://resources.simonelectric.com/simon-ebook-vehiculo-electrico</v>
      </c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ht="15.75" customHeight="1">
      <c r="A638" s="5" t="s">
        <v>888</v>
      </c>
      <c r="B638" s="5">
        <v>43976.0</v>
      </c>
      <c r="C638" s="6" t="s">
        <v>8</v>
      </c>
      <c r="D638" s="9">
        <f t="shared" si="1"/>
        <v>67</v>
      </c>
      <c r="E638" s="8" t="str">
        <f t="shared" si="2"/>
        <v>https://resources.simonelectric.com/simon-ebook-vehiculo-electrico</v>
      </c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ht="15.75" customHeight="1">
      <c r="A639" s="5" t="s">
        <v>889</v>
      </c>
      <c r="B639" s="5">
        <v>43976.0</v>
      </c>
      <c r="C639" s="6" t="s">
        <v>890</v>
      </c>
      <c r="D639" s="9">
        <f t="shared" si="1"/>
        <v>67</v>
      </c>
      <c r="E639" s="8" t="str">
        <f t="shared" si="2"/>
        <v>https://resources.simonelectric.com/simon-ebook-vehiculo-electrico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ht="15.75" customHeight="1">
      <c r="A640" s="5" t="s">
        <v>891</v>
      </c>
      <c r="B640" s="5">
        <v>43976.0</v>
      </c>
      <c r="C640" s="6" t="s">
        <v>892</v>
      </c>
      <c r="D640" s="9">
        <f t="shared" si="1"/>
        <v>67</v>
      </c>
      <c r="E640" s="8" t="str">
        <f t="shared" si="2"/>
        <v>https://resources.simonelectric.com/simon-ebook-vehiculo-electrico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ht="15.75" customHeight="1">
      <c r="A641" s="5" t="s">
        <v>893</v>
      </c>
      <c r="B641" s="5">
        <v>43976.0</v>
      </c>
      <c r="C641" s="6" t="s">
        <v>894</v>
      </c>
      <c r="D641" s="9">
        <f t="shared" si="1"/>
        <v>67</v>
      </c>
      <c r="E641" s="8" t="str">
        <f t="shared" si="2"/>
        <v>https://resources.simonelectric.com/simon-ebook-vehiculo-electrico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ht="15.75" customHeight="1">
      <c r="A642" s="5" t="s">
        <v>895</v>
      </c>
      <c r="B642" s="5">
        <v>43976.0</v>
      </c>
      <c r="C642" s="6" t="s">
        <v>896</v>
      </c>
      <c r="D642" s="9">
        <f t="shared" si="1"/>
        <v>67</v>
      </c>
      <c r="E642" s="8" t="str">
        <f t="shared" si="2"/>
        <v>https://resources.simonelectric.com/simon-ebook-vehiculo-electrico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ht="15.75" customHeight="1">
      <c r="A643" s="5" t="s">
        <v>897</v>
      </c>
      <c r="B643" s="5">
        <v>43976.0</v>
      </c>
      <c r="C643" s="6" t="s">
        <v>898</v>
      </c>
      <c r="D643" s="9">
        <f t="shared" si="1"/>
        <v>67</v>
      </c>
      <c r="E643" s="8" t="str">
        <f t="shared" si="2"/>
        <v>https://resources.simonelectric.com/simon-ebook-vehiculo-electrico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ht="15.75" customHeight="1">
      <c r="A644" s="5" t="s">
        <v>899</v>
      </c>
      <c r="B644" s="5">
        <v>43976.0</v>
      </c>
      <c r="C644" s="6" t="s">
        <v>900</v>
      </c>
      <c r="D644" s="9">
        <f t="shared" si="1"/>
        <v>67</v>
      </c>
      <c r="E644" s="8" t="str">
        <f t="shared" si="2"/>
        <v>https://resources.simonelectric.com/simon-ebook-vehiculo-electrico</v>
      </c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ht="15.75" customHeight="1">
      <c r="A645" s="5" t="s">
        <v>901</v>
      </c>
      <c r="B645" s="5">
        <v>43976.0</v>
      </c>
      <c r="C645" s="6" t="s">
        <v>902</v>
      </c>
      <c r="D645" s="9">
        <f t="shared" si="1"/>
        <v>70</v>
      </c>
      <c r="E645" s="8" t="str">
        <f t="shared" si="2"/>
        <v>https://resources.simonelectric.com/simon-catalogo-vehiculo-electrico</v>
      </c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ht="15.75" customHeight="1">
      <c r="A646" s="5" t="s">
        <v>903</v>
      </c>
      <c r="B646" s="5">
        <v>43976.0</v>
      </c>
      <c r="C646" s="6" t="s">
        <v>904</v>
      </c>
      <c r="D646" s="9">
        <f t="shared" si="1"/>
        <v>67</v>
      </c>
      <c r="E646" s="8" t="str">
        <f t="shared" si="2"/>
        <v>https://resources.simonelectric.com/simon-ebook-vehiculo-electrico</v>
      </c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ht="15.75" customHeight="1">
      <c r="A647" s="5" t="s">
        <v>905</v>
      </c>
      <c r="B647" s="5">
        <v>43976.0</v>
      </c>
      <c r="C647" s="6" t="s">
        <v>55</v>
      </c>
      <c r="D647" s="9">
        <f t="shared" si="1"/>
        <v>71</v>
      </c>
      <c r="E647" s="8" t="str">
        <f t="shared" si="2"/>
        <v>https://resources.simonelectric.com/simon-ebook-vehiculo-electrico-ppc</v>
      </c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ht="15.75" customHeight="1">
      <c r="A648" s="5" t="s">
        <v>669</v>
      </c>
      <c r="B648" s="5">
        <v>43976.0</v>
      </c>
      <c r="C648" s="6" t="s">
        <v>906</v>
      </c>
      <c r="D648" s="9">
        <f t="shared" si="1"/>
        <v>67</v>
      </c>
      <c r="E648" s="8" t="str">
        <f t="shared" si="2"/>
        <v>https://resources.simonelectric.com/simon-ebook-vehiculo-electrico</v>
      </c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ht="15.75" customHeight="1">
      <c r="A649" s="5" t="s">
        <v>907</v>
      </c>
      <c r="B649" s="5">
        <v>43976.0</v>
      </c>
      <c r="C649" s="6" t="s">
        <v>908</v>
      </c>
      <c r="D649" s="9">
        <f t="shared" si="1"/>
        <v>67</v>
      </c>
      <c r="E649" s="8" t="str">
        <f t="shared" si="2"/>
        <v>https://resources.simonelectric.com/simon-ebook-vehiculo-electrico</v>
      </c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ht="15.75" customHeight="1">
      <c r="A650" s="5" t="s">
        <v>909</v>
      </c>
      <c r="B650" s="5">
        <v>43976.0</v>
      </c>
      <c r="C650" s="6" t="s">
        <v>910</v>
      </c>
      <c r="D650" s="9">
        <f t="shared" si="1"/>
        <v>67</v>
      </c>
      <c r="E650" s="8" t="str">
        <f t="shared" si="2"/>
        <v>https://resources.simonelectric.com/simon-ebook-vehiculo-electrico</v>
      </c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ht="15.75" customHeight="1">
      <c r="A651" s="5" t="s">
        <v>911</v>
      </c>
      <c r="B651" s="5">
        <v>43976.0</v>
      </c>
      <c r="C651" s="6" t="s">
        <v>912</v>
      </c>
      <c r="D651" s="9">
        <f t="shared" si="1"/>
        <v>67</v>
      </c>
      <c r="E651" s="8" t="str">
        <f t="shared" si="2"/>
        <v>https://resources.simonelectric.com/simon-ebook-vehiculo-electrico</v>
      </c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ht="15.75" customHeight="1">
      <c r="A652" s="5" t="s">
        <v>913</v>
      </c>
      <c r="B652" s="5">
        <v>43976.0</v>
      </c>
      <c r="C652" s="6" t="s">
        <v>914</v>
      </c>
      <c r="D652" s="9">
        <f t="shared" si="1"/>
        <v>67</v>
      </c>
      <c r="E652" s="8" t="str">
        <f t="shared" si="2"/>
        <v>https://resources.simonelectric.com/simon-ebook-vehiculo-electrico</v>
      </c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ht="15.75" customHeight="1">
      <c r="A653" s="5" t="s">
        <v>915</v>
      </c>
      <c r="B653" s="5">
        <v>43976.0</v>
      </c>
      <c r="C653" s="6" t="s">
        <v>916</v>
      </c>
      <c r="D653" s="9">
        <f t="shared" si="1"/>
        <v>80</v>
      </c>
      <c r="E653" s="8" t="str">
        <f t="shared" si="2"/>
        <v>https://resources.simonelectric.com/simon-material-formativo-vehiculo-electrico</v>
      </c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ht="15.75" customHeight="1">
      <c r="A654" s="5" t="s">
        <v>570</v>
      </c>
      <c r="B654" s="5">
        <v>43976.0</v>
      </c>
      <c r="C654" s="6" t="s">
        <v>917</v>
      </c>
      <c r="D654" s="9">
        <f t="shared" si="1"/>
        <v>67</v>
      </c>
      <c r="E654" s="8" t="str">
        <f t="shared" si="2"/>
        <v>https://resources.simonelectric.com/simon-ebook-vehiculo-electrico</v>
      </c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ht="15.75" customHeight="1">
      <c r="A655" s="5" t="s">
        <v>918</v>
      </c>
      <c r="B655" s="5">
        <v>43976.0</v>
      </c>
      <c r="C655" s="6" t="s">
        <v>919</v>
      </c>
      <c r="D655" s="9">
        <f t="shared" si="1"/>
        <v>67</v>
      </c>
      <c r="E655" s="8" t="str">
        <f t="shared" si="2"/>
        <v>https://resources.simonelectric.com/simon-ebook-vehiculo-electrico</v>
      </c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ht="15.75" customHeight="1">
      <c r="A656" s="5" t="s">
        <v>920</v>
      </c>
      <c r="B656" s="5">
        <v>43976.0</v>
      </c>
      <c r="C656" s="6" t="s">
        <v>921</v>
      </c>
      <c r="D656" s="9">
        <f t="shared" si="1"/>
        <v>67</v>
      </c>
      <c r="E656" s="8" t="str">
        <f t="shared" si="2"/>
        <v>https://resources.simonelectric.com/simon-ebook-vehiculo-electrico</v>
      </c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ht="15.75" customHeight="1">
      <c r="A657" s="5" t="s">
        <v>922</v>
      </c>
      <c r="B657" s="5">
        <v>43976.0</v>
      </c>
      <c r="C657" s="6" t="s">
        <v>55</v>
      </c>
      <c r="D657" s="9">
        <f t="shared" si="1"/>
        <v>71</v>
      </c>
      <c r="E657" s="8" t="str">
        <f t="shared" si="2"/>
        <v>https://resources.simonelectric.com/simon-ebook-vehiculo-electrico-ppc</v>
      </c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ht="15.75" customHeight="1">
      <c r="A658" s="5" t="s">
        <v>923</v>
      </c>
      <c r="B658" s="5">
        <v>43976.0</v>
      </c>
      <c r="C658" s="6" t="s">
        <v>924</v>
      </c>
      <c r="D658" s="9">
        <f t="shared" si="1"/>
        <v>67</v>
      </c>
      <c r="E658" s="8" t="str">
        <f t="shared" si="2"/>
        <v>https://resources.simonelectric.com/simon-ebook-vehiculo-electrico</v>
      </c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ht="15.75" customHeight="1">
      <c r="A659" s="5" t="s">
        <v>925</v>
      </c>
      <c r="B659" s="5">
        <v>43976.0</v>
      </c>
      <c r="C659" s="6" t="s">
        <v>926</v>
      </c>
      <c r="D659" s="9">
        <f t="shared" si="1"/>
        <v>67</v>
      </c>
      <c r="E659" s="8" t="str">
        <f t="shared" si="2"/>
        <v>https://resources.simonelectric.com/simon-ebook-vehiculo-electrico</v>
      </c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ht="15.75" customHeight="1">
      <c r="A660" s="5" t="s">
        <v>927</v>
      </c>
      <c r="B660" s="5">
        <v>43976.0</v>
      </c>
      <c r="C660" s="6" t="s">
        <v>928</v>
      </c>
      <c r="D660" s="9">
        <f t="shared" si="1"/>
        <v>67</v>
      </c>
      <c r="E660" s="8" t="str">
        <f t="shared" si="2"/>
        <v>https://resources.simonelectric.com/simon-ebook-vehiculo-electrico</v>
      </c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ht="15.75" customHeight="1">
      <c r="A661" s="5" t="s">
        <v>929</v>
      </c>
      <c r="B661" s="5">
        <v>43976.0</v>
      </c>
      <c r="C661" s="6" t="s">
        <v>930</v>
      </c>
      <c r="D661" s="9">
        <f t="shared" si="1"/>
        <v>67</v>
      </c>
      <c r="E661" s="8" t="str">
        <f t="shared" si="2"/>
        <v>https://resources.simonelectric.com/simon-ebook-vehiculo-electrico</v>
      </c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ht="15.75" customHeight="1">
      <c r="A662" s="5" t="s">
        <v>931</v>
      </c>
      <c r="B662" s="5">
        <v>43976.0</v>
      </c>
      <c r="C662" s="6" t="s">
        <v>932</v>
      </c>
      <c r="D662" s="9">
        <f t="shared" si="1"/>
        <v>67</v>
      </c>
      <c r="E662" s="8" t="str">
        <f t="shared" si="2"/>
        <v>https://resources.simonelectric.com/simon-ebook-vehiculo-electrico</v>
      </c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ht="15.75" customHeight="1">
      <c r="A663" s="5" t="s">
        <v>933</v>
      </c>
      <c r="B663" s="5">
        <v>43976.0</v>
      </c>
      <c r="C663" s="6" t="s">
        <v>934</v>
      </c>
      <c r="D663" s="9">
        <f t="shared" si="1"/>
        <v>70</v>
      </c>
      <c r="E663" s="8" t="str">
        <f t="shared" si="2"/>
        <v>https://resources.simonelectric.com/simon-catalogo-vehiculo-electrico</v>
      </c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ht="15.75" customHeight="1">
      <c r="A664" s="5" t="s">
        <v>935</v>
      </c>
      <c r="B664" s="5">
        <v>43976.0</v>
      </c>
      <c r="C664" s="6" t="s">
        <v>936</v>
      </c>
      <c r="D664" s="9">
        <f t="shared" si="1"/>
        <v>67</v>
      </c>
      <c r="E664" s="8" t="str">
        <f t="shared" si="2"/>
        <v>https://resources.simonelectric.com/simon-ebook-vehiculo-electrico</v>
      </c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ht="15.75" customHeight="1">
      <c r="A665" s="5" t="s">
        <v>937</v>
      </c>
      <c r="B665" s="5">
        <v>43976.0</v>
      </c>
      <c r="C665" s="6" t="s">
        <v>938</v>
      </c>
      <c r="D665" s="9">
        <f t="shared" si="1"/>
        <v>67</v>
      </c>
      <c r="E665" s="8" t="str">
        <f t="shared" si="2"/>
        <v>https://resources.simonelectric.com/simon-ebook-vehiculo-electrico</v>
      </c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ht="15.75" customHeight="1">
      <c r="A666" s="5" t="s">
        <v>565</v>
      </c>
      <c r="B666" s="5">
        <v>43976.0</v>
      </c>
      <c r="C666" s="6" t="s">
        <v>939</v>
      </c>
      <c r="D666" s="9">
        <f t="shared" si="1"/>
        <v>67</v>
      </c>
      <c r="E666" s="8" t="str">
        <f t="shared" si="2"/>
        <v>https://resources.simonelectric.com/simon-ebook-vehiculo-electrico</v>
      </c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ht="15.75" customHeight="1">
      <c r="A667" s="5" t="s">
        <v>940</v>
      </c>
      <c r="B667" s="5">
        <v>43976.0</v>
      </c>
      <c r="C667" s="6" t="s">
        <v>941</v>
      </c>
      <c r="D667" s="9">
        <f t="shared" si="1"/>
        <v>67</v>
      </c>
      <c r="E667" s="8" t="str">
        <f t="shared" si="2"/>
        <v>https://resources.simonelectric.com/simon-ebook-vehiculo-electrico</v>
      </c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ht="15.75" customHeight="1">
      <c r="A668" s="5" t="s">
        <v>942</v>
      </c>
      <c r="B668" s="5">
        <v>43976.0</v>
      </c>
      <c r="C668" s="6" t="s">
        <v>943</v>
      </c>
      <c r="D668" s="9">
        <f t="shared" si="1"/>
        <v>67</v>
      </c>
      <c r="E668" s="8" t="str">
        <f t="shared" si="2"/>
        <v>https://resources.simonelectric.com/simon-ebook-vehiculo-electrico</v>
      </c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ht="15.75" customHeight="1">
      <c r="A669" s="5" t="s">
        <v>944</v>
      </c>
      <c r="B669" s="5">
        <v>43976.0</v>
      </c>
      <c r="C669" s="6" t="s">
        <v>945</v>
      </c>
      <c r="D669" s="9">
        <f t="shared" si="1"/>
        <v>67</v>
      </c>
      <c r="E669" s="8" t="str">
        <f t="shared" si="2"/>
        <v>https://resources.simonelectric.com/simon-ebook-vehiculo-electrico</v>
      </c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ht="15.75" customHeight="1">
      <c r="A670" s="5" t="s">
        <v>946</v>
      </c>
      <c r="B670" s="5">
        <v>43976.0</v>
      </c>
      <c r="C670" s="6" t="s">
        <v>947</v>
      </c>
      <c r="D670" s="9">
        <f t="shared" si="1"/>
        <v>67</v>
      </c>
      <c r="E670" s="8" t="str">
        <f t="shared" si="2"/>
        <v>https://resources.simonelectric.com/simon-ebook-vehiculo-electrico</v>
      </c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ht="15.75" customHeight="1">
      <c r="A671" s="5" t="s">
        <v>948</v>
      </c>
      <c r="B671" s="5">
        <v>43976.0</v>
      </c>
      <c r="C671" s="6" t="s">
        <v>949</v>
      </c>
      <c r="D671" s="9">
        <f t="shared" si="1"/>
        <v>67</v>
      </c>
      <c r="E671" s="8" t="str">
        <f t="shared" si="2"/>
        <v>https://resources.simonelectric.com/simon-ebook-vehiculo-electrico</v>
      </c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ht="15.75" customHeight="1">
      <c r="A672" s="5" t="s">
        <v>950</v>
      </c>
      <c r="B672" s="5">
        <v>43976.0</v>
      </c>
      <c r="C672" s="6" t="s">
        <v>951</v>
      </c>
      <c r="D672" s="9">
        <f t="shared" si="1"/>
        <v>67</v>
      </c>
      <c r="E672" s="8" t="str">
        <f t="shared" si="2"/>
        <v>https://resources.simonelectric.com/simon-ebook-vehiculo-electrico</v>
      </c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ht="15.75" customHeight="1">
      <c r="A673" s="5" t="s">
        <v>952</v>
      </c>
      <c r="B673" s="5">
        <v>43976.0</v>
      </c>
      <c r="C673" s="6" t="s">
        <v>953</v>
      </c>
      <c r="D673" s="9">
        <f t="shared" si="1"/>
        <v>67</v>
      </c>
      <c r="E673" s="8" t="str">
        <f t="shared" si="2"/>
        <v>https://resources.simonelectric.com/simon-ebook-vehiculo-electrico</v>
      </c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ht="15.75" customHeight="1">
      <c r="A674" s="5" t="s">
        <v>674</v>
      </c>
      <c r="B674" s="5">
        <v>43976.0</v>
      </c>
      <c r="C674" s="6" t="s">
        <v>954</v>
      </c>
      <c r="D674" s="7">
        <f t="shared" si="1"/>
        <v>67</v>
      </c>
      <c r="E674" s="8" t="str">
        <f t="shared" si="2"/>
        <v>https://resources.simonelectric.com/simon-ebook-vehiculo-electrico</v>
      </c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ht="15.75" customHeight="1">
      <c r="A675" s="5" t="s">
        <v>955</v>
      </c>
      <c r="B675" s="5">
        <v>43976.0</v>
      </c>
      <c r="C675" s="6" t="s">
        <v>956</v>
      </c>
      <c r="D675" s="9">
        <f t="shared" si="1"/>
        <v>67</v>
      </c>
      <c r="E675" s="8" t="str">
        <f t="shared" si="2"/>
        <v>https://resources.simonelectric.com/simon-ebook-vehiculo-electrico</v>
      </c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ht="15.75" customHeight="1">
      <c r="A676" s="5" t="s">
        <v>957</v>
      </c>
      <c r="B676" s="5">
        <v>43976.0</v>
      </c>
      <c r="C676" s="6" t="s">
        <v>958</v>
      </c>
      <c r="D676" s="7">
        <f t="shared" si="1"/>
        <v>67</v>
      </c>
      <c r="E676" s="8" t="str">
        <f t="shared" si="2"/>
        <v>https://resources.simonelectric.com/simon-ebook-vehiculo-electrico</v>
      </c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ht="15.75" customHeight="1">
      <c r="A677" s="5" t="s">
        <v>959</v>
      </c>
      <c r="B677" s="5">
        <v>43976.0</v>
      </c>
      <c r="C677" s="6" t="s">
        <v>960</v>
      </c>
      <c r="D677" s="7">
        <f t="shared" si="1"/>
        <v>67</v>
      </c>
      <c r="E677" s="8" t="str">
        <f t="shared" si="2"/>
        <v>https://resources.simonelectric.com/simon-ebook-vehiculo-electrico</v>
      </c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ht="15.75" customHeight="1">
      <c r="A678" s="5" t="s">
        <v>672</v>
      </c>
      <c r="B678" s="5">
        <v>43976.0</v>
      </c>
      <c r="C678" s="6" t="s">
        <v>961</v>
      </c>
      <c r="D678" s="9">
        <f t="shared" si="1"/>
        <v>67</v>
      </c>
      <c r="E678" s="8" t="str">
        <f t="shared" si="2"/>
        <v>https://resources.simonelectric.com/simon-ebook-vehiculo-electrico</v>
      </c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ht="15.75" customHeight="1">
      <c r="A679" s="5" t="s">
        <v>962</v>
      </c>
      <c r="B679" s="5">
        <v>43976.0</v>
      </c>
      <c r="C679" s="6" t="s">
        <v>963</v>
      </c>
      <c r="D679" s="9">
        <f t="shared" si="1"/>
        <v>70</v>
      </c>
      <c r="E679" s="8" t="str">
        <f t="shared" si="2"/>
        <v>https://resources.simonelectric.com/simon-catalogo-vehiculo-electrico</v>
      </c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ht="15.75" customHeight="1">
      <c r="A680" s="5" t="s">
        <v>964</v>
      </c>
      <c r="B680" s="5">
        <v>43976.0</v>
      </c>
      <c r="C680" s="6" t="s">
        <v>965</v>
      </c>
      <c r="D680" s="7">
        <f t="shared" si="1"/>
        <v>67</v>
      </c>
      <c r="E680" s="8" t="str">
        <f t="shared" si="2"/>
        <v>https://resources.simonelectric.com/simon-ebook-vehiculo-electrico</v>
      </c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ht="15.75" customHeight="1">
      <c r="A681" s="5" t="s">
        <v>966</v>
      </c>
      <c r="B681" s="5">
        <v>43976.0</v>
      </c>
      <c r="C681" s="6" t="s">
        <v>967</v>
      </c>
      <c r="D681" s="9">
        <f t="shared" si="1"/>
        <v>67</v>
      </c>
      <c r="E681" s="8" t="str">
        <f t="shared" si="2"/>
        <v>https://resources.simonelectric.com/simon-ebook-vehiculo-electrico</v>
      </c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ht="15.75" customHeight="1">
      <c r="A682" s="5" t="s">
        <v>810</v>
      </c>
      <c r="B682" s="5">
        <v>43976.0</v>
      </c>
      <c r="C682" s="6" t="s">
        <v>968</v>
      </c>
      <c r="D682" s="9">
        <f t="shared" si="1"/>
        <v>80</v>
      </c>
      <c r="E682" s="8" t="str">
        <f t="shared" si="2"/>
        <v>https://resources.simonelectric.com/simon-material-formativo-vehiculo-electrico</v>
      </c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ht="15.75" customHeight="1">
      <c r="A683" s="5" t="s">
        <v>969</v>
      </c>
      <c r="B683" s="5">
        <v>43976.0</v>
      </c>
      <c r="C683" s="6" t="s">
        <v>55</v>
      </c>
      <c r="D683" s="7">
        <f t="shared" si="1"/>
        <v>71</v>
      </c>
      <c r="E683" s="8" t="str">
        <f t="shared" si="2"/>
        <v>https://resources.simonelectric.com/simon-ebook-vehiculo-electrico-ppc</v>
      </c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ht="15.75" customHeight="1">
      <c r="A684" s="5" t="s">
        <v>970</v>
      </c>
      <c r="B684" s="5">
        <v>43975.0</v>
      </c>
      <c r="C684" s="6" t="s">
        <v>971</v>
      </c>
      <c r="D684" s="7">
        <f t="shared" si="1"/>
        <v>80</v>
      </c>
      <c r="E684" s="8" t="str">
        <f t="shared" si="2"/>
        <v>https://resources.simonelectric.com/simon-material-formativo-vehiculo-electrico</v>
      </c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ht="15.75" customHeight="1">
      <c r="A685" s="5" t="s">
        <v>972</v>
      </c>
      <c r="B685" s="5">
        <v>43975.0</v>
      </c>
      <c r="C685" s="6" t="s">
        <v>973</v>
      </c>
      <c r="D685" s="7">
        <f t="shared" si="1"/>
        <v>69</v>
      </c>
      <c r="E685" s="8" t="str">
        <f t="shared" si="2"/>
        <v>https://resources.simonelectric.com/simon-ebook-vehiculo-electrico-0</v>
      </c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ht="15.75" customHeight="1">
      <c r="A686" s="5" t="s">
        <v>732</v>
      </c>
      <c r="B686" s="5">
        <v>43975.0</v>
      </c>
      <c r="C686" s="6" t="s">
        <v>974</v>
      </c>
      <c r="D686" s="9">
        <f t="shared" si="1"/>
        <v>80</v>
      </c>
      <c r="E686" s="8" t="str">
        <f t="shared" si="2"/>
        <v>https://resources.simonelectric.com/simon-material-formativo-vehiculo-electrico</v>
      </c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ht="15.75" customHeight="1">
      <c r="A687" s="5" t="s">
        <v>880</v>
      </c>
      <c r="B687" s="5">
        <v>43975.0</v>
      </c>
      <c r="C687" s="6" t="s">
        <v>975</v>
      </c>
      <c r="D687" s="7">
        <f t="shared" si="1"/>
        <v>80</v>
      </c>
      <c r="E687" s="8" t="str">
        <f t="shared" si="2"/>
        <v>https://resources.simonelectric.com/simon-material-formativo-vehiculo-electrico</v>
      </c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ht="15.75" customHeight="1">
      <c r="A688" s="5" t="s">
        <v>976</v>
      </c>
      <c r="B688" s="5">
        <v>43975.0</v>
      </c>
      <c r="C688" s="6" t="s">
        <v>55</v>
      </c>
      <c r="D688" s="7">
        <f t="shared" si="1"/>
        <v>71</v>
      </c>
      <c r="E688" s="8" t="str">
        <f t="shared" si="2"/>
        <v>https://resources.simonelectric.com/simon-ebook-vehiculo-electrico-ppc</v>
      </c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ht="15.75" customHeight="1">
      <c r="A689" s="5" t="s">
        <v>977</v>
      </c>
      <c r="B689" s="5">
        <v>43975.0</v>
      </c>
      <c r="C689" s="6" t="s">
        <v>55</v>
      </c>
      <c r="D689" s="9">
        <f t="shared" si="1"/>
        <v>71</v>
      </c>
      <c r="E689" s="8" t="str">
        <f t="shared" si="2"/>
        <v>https://resources.simonelectric.com/simon-ebook-vehiculo-electrico-ppc</v>
      </c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ht="15.75" customHeight="1">
      <c r="A690" s="5" t="s">
        <v>978</v>
      </c>
      <c r="B690" s="5">
        <v>43975.0</v>
      </c>
      <c r="C690" s="6" t="s">
        <v>979</v>
      </c>
      <c r="D690" s="9">
        <f t="shared" si="1"/>
        <v>80</v>
      </c>
      <c r="E690" s="8" t="str">
        <f t="shared" si="2"/>
        <v>https://resources.simonelectric.com/simon-material-formativo-vehiculo-electrico</v>
      </c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ht="15.75" customHeight="1">
      <c r="A691" s="5" t="s">
        <v>980</v>
      </c>
      <c r="B691" s="5">
        <v>43975.0</v>
      </c>
      <c r="C691" s="6" t="s">
        <v>55</v>
      </c>
      <c r="D691" s="9">
        <f t="shared" si="1"/>
        <v>71</v>
      </c>
      <c r="E691" s="8" t="str">
        <f t="shared" si="2"/>
        <v>https://resources.simonelectric.com/simon-ebook-vehiculo-electrico-ppc</v>
      </c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ht="15.75" customHeight="1">
      <c r="A692" s="5" t="s">
        <v>981</v>
      </c>
      <c r="B692" s="5">
        <v>43975.0</v>
      </c>
      <c r="C692" s="6" t="s">
        <v>982</v>
      </c>
      <c r="D692" s="7">
        <f t="shared" si="1"/>
        <v>70</v>
      </c>
      <c r="E692" s="8" t="str">
        <f t="shared" si="2"/>
        <v>https://resources.simonelectric.com/simon-catalogo-vehiculo-electrico</v>
      </c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ht="15.75" customHeight="1">
      <c r="A693" s="5" t="s">
        <v>983</v>
      </c>
      <c r="B693" s="5">
        <v>43974.0</v>
      </c>
      <c r="C693" s="6" t="s">
        <v>55</v>
      </c>
      <c r="D693" s="9">
        <f t="shared" si="1"/>
        <v>71</v>
      </c>
      <c r="E693" s="8" t="str">
        <f t="shared" si="2"/>
        <v>https://resources.simonelectric.com/simon-ebook-vehiculo-electrico-ppc</v>
      </c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ht="15.75" customHeight="1">
      <c r="A694" s="5" t="s">
        <v>984</v>
      </c>
      <c r="B694" s="5">
        <v>43974.0</v>
      </c>
      <c r="C694" s="6" t="s">
        <v>985</v>
      </c>
      <c r="D694" s="9">
        <f t="shared" si="1"/>
        <v>80</v>
      </c>
      <c r="E694" s="8" t="str">
        <f t="shared" si="2"/>
        <v>https://resources.simonelectric.com/simon-material-formativo-vehiculo-electrico</v>
      </c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ht="15.75" customHeight="1">
      <c r="A695" s="5" t="s">
        <v>986</v>
      </c>
      <c r="B695" s="5">
        <v>43974.0</v>
      </c>
      <c r="C695" s="6" t="s">
        <v>987</v>
      </c>
      <c r="D695" s="7">
        <f t="shared" si="1"/>
        <v>80</v>
      </c>
      <c r="E695" s="8" t="str">
        <f t="shared" si="2"/>
        <v>https://resources.simonelectric.com/simon-material-formativo-vehiculo-electrico</v>
      </c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ht="15.75" customHeight="1">
      <c r="A696" s="5" t="s">
        <v>988</v>
      </c>
      <c r="B696" s="5">
        <v>43974.0</v>
      </c>
      <c r="C696" s="6" t="s">
        <v>6</v>
      </c>
      <c r="D696" s="7">
        <f t="shared" si="1"/>
        <v>67</v>
      </c>
      <c r="E696" s="8" t="str">
        <f t="shared" si="2"/>
        <v>https://resources.simonelectric.com/simon-ebook-vehiculo-electrico</v>
      </c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ht="15.75" customHeight="1">
      <c r="A697" s="5" t="s">
        <v>989</v>
      </c>
      <c r="B697" s="5">
        <v>43974.0</v>
      </c>
      <c r="C697" s="6" t="s">
        <v>990</v>
      </c>
      <c r="D697" s="7">
        <f t="shared" si="1"/>
        <v>69</v>
      </c>
      <c r="E697" s="8" t="str">
        <f t="shared" si="2"/>
        <v>https://resources.simonelectric.com/simon-ebook-vehiculo-electrico-0</v>
      </c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ht="15.75" customHeight="1">
      <c r="A698" s="5" t="s">
        <v>991</v>
      </c>
      <c r="B698" s="5">
        <v>43974.0</v>
      </c>
      <c r="C698" s="6" t="s">
        <v>992</v>
      </c>
      <c r="D698" s="9">
        <f t="shared" si="1"/>
        <v>80</v>
      </c>
      <c r="E698" s="8" t="str">
        <f t="shared" si="2"/>
        <v>https://resources.simonelectric.com/simon-material-formativo-vehiculo-electrico</v>
      </c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ht="15.75" customHeight="1">
      <c r="A699" s="5" t="s">
        <v>993</v>
      </c>
      <c r="B699" s="5">
        <v>43974.0</v>
      </c>
      <c r="C699" s="6" t="s">
        <v>994</v>
      </c>
      <c r="D699" s="7">
        <f t="shared" si="1"/>
        <v>80</v>
      </c>
      <c r="E699" s="8" t="str">
        <f t="shared" si="2"/>
        <v>https://resources.simonelectric.com/simon-material-formativo-vehiculo-electrico</v>
      </c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ht="15.75" customHeight="1">
      <c r="A700" s="5" t="s">
        <v>995</v>
      </c>
      <c r="B700" s="5">
        <v>43974.0</v>
      </c>
      <c r="C700" s="6" t="s">
        <v>996</v>
      </c>
      <c r="D700" s="7">
        <f t="shared" si="1"/>
        <v>67</v>
      </c>
      <c r="E700" s="8" t="str">
        <f t="shared" si="2"/>
        <v>https://resources.simonelectric.com/simon-ebook-vehiculo-electrico</v>
      </c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ht="15.75" customHeight="1">
      <c r="A701" s="5" t="s">
        <v>997</v>
      </c>
      <c r="B701" s="5">
        <v>43974.0</v>
      </c>
      <c r="C701" s="6" t="s">
        <v>998</v>
      </c>
      <c r="D701" s="7">
        <f t="shared" si="1"/>
        <v>80</v>
      </c>
      <c r="E701" s="8" t="str">
        <f t="shared" si="2"/>
        <v>https://resources.simonelectric.com/simon-material-formativo-vehiculo-electrico</v>
      </c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ht="15.75" customHeight="1">
      <c r="A702" s="5" t="s">
        <v>999</v>
      </c>
      <c r="B702" s="5">
        <v>43974.0</v>
      </c>
      <c r="C702" s="6" t="s">
        <v>55</v>
      </c>
      <c r="D702" s="7">
        <f t="shared" si="1"/>
        <v>71</v>
      </c>
      <c r="E702" s="8" t="str">
        <f t="shared" si="2"/>
        <v>https://resources.simonelectric.com/simon-ebook-vehiculo-electrico-ppc</v>
      </c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ht="15.75" customHeight="1">
      <c r="A703" s="5" t="s">
        <v>1000</v>
      </c>
      <c r="B703" s="5">
        <v>43974.0</v>
      </c>
      <c r="C703" s="6" t="s">
        <v>1001</v>
      </c>
      <c r="D703" s="7">
        <f t="shared" si="1"/>
        <v>67</v>
      </c>
      <c r="E703" s="8" t="str">
        <f t="shared" si="2"/>
        <v>https://resources.simonelectric.com/simon-ebook-vehiculo-electrico</v>
      </c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ht="15.75" customHeight="1">
      <c r="A704" s="5" t="s">
        <v>1002</v>
      </c>
      <c r="B704" s="5">
        <v>43974.0</v>
      </c>
      <c r="C704" s="6" t="s">
        <v>1003</v>
      </c>
      <c r="D704" s="9">
        <f t="shared" si="1"/>
        <v>80</v>
      </c>
      <c r="E704" s="8" t="str">
        <f t="shared" si="2"/>
        <v>https://resources.simonelectric.com/simon-material-formativo-vehiculo-electrico</v>
      </c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ht="15.75" customHeight="1">
      <c r="A705" s="5" t="s">
        <v>482</v>
      </c>
      <c r="B705" s="5">
        <v>43974.0</v>
      </c>
      <c r="C705" s="6" t="s">
        <v>1004</v>
      </c>
      <c r="D705" s="7">
        <f t="shared" si="1"/>
        <v>80</v>
      </c>
      <c r="E705" s="8" t="str">
        <f t="shared" si="2"/>
        <v>https://resources.simonelectric.com/simon-material-formativo-vehiculo-electrico</v>
      </c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ht="15.75" customHeight="1">
      <c r="A706" s="5" t="s">
        <v>1005</v>
      </c>
      <c r="B706" s="5">
        <v>43974.0</v>
      </c>
      <c r="C706" s="6" t="s">
        <v>1006</v>
      </c>
      <c r="D706" s="7">
        <f t="shared" si="1"/>
        <v>80</v>
      </c>
      <c r="E706" s="8" t="str">
        <f t="shared" si="2"/>
        <v>https://resources.simonelectric.com/simon-material-formativo-vehiculo-electrico</v>
      </c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ht="15.75" customHeight="1">
      <c r="A707" s="5" t="s">
        <v>1007</v>
      </c>
      <c r="B707" s="5">
        <v>43974.0</v>
      </c>
      <c r="C707" s="6" t="s">
        <v>1008</v>
      </c>
      <c r="D707" s="7">
        <f t="shared" si="1"/>
        <v>71</v>
      </c>
      <c r="E707" s="8" t="str">
        <f t="shared" si="2"/>
        <v>https://resources.simonelectric.com/simon-ebook-vehiculo-electrico-ppc</v>
      </c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ht="15.75" customHeight="1">
      <c r="A708" s="5" t="s">
        <v>1009</v>
      </c>
      <c r="B708" s="5">
        <v>43973.0</v>
      </c>
      <c r="C708" s="6" t="s">
        <v>596</v>
      </c>
      <c r="D708" s="7">
        <f t="shared" si="1"/>
        <v>67</v>
      </c>
      <c r="E708" s="8" t="str">
        <f t="shared" si="2"/>
        <v>https://resources.simonelectric.com/simon-ebook-vehiculo-electrico</v>
      </c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ht="15.75" customHeight="1">
      <c r="A709" s="5" t="s">
        <v>1010</v>
      </c>
      <c r="B709" s="5">
        <v>43973.0</v>
      </c>
      <c r="C709" s="6" t="s">
        <v>55</v>
      </c>
      <c r="D709" s="9">
        <f t="shared" si="1"/>
        <v>71</v>
      </c>
      <c r="E709" s="8" t="str">
        <f t="shared" si="2"/>
        <v>https://resources.simonelectric.com/simon-ebook-vehiculo-electrico-ppc</v>
      </c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ht="15.75" customHeight="1">
      <c r="A710" s="5" t="s">
        <v>1011</v>
      </c>
      <c r="B710" s="5">
        <v>43973.0</v>
      </c>
      <c r="C710" s="6" t="s">
        <v>1012</v>
      </c>
      <c r="D710" s="7">
        <f t="shared" si="1"/>
        <v>80</v>
      </c>
      <c r="E710" s="8" t="str">
        <f t="shared" si="2"/>
        <v>https://resources.simonelectric.com/simon-material-formativo-vehiculo-electrico</v>
      </c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ht="15.75" customHeight="1">
      <c r="A711" s="5" t="s">
        <v>1013</v>
      </c>
      <c r="B711" s="5">
        <v>43973.0</v>
      </c>
      <c r="C711" s="6" t="s">
        <v>1014</v>
      </c>
      <c r="D711" s="9">
        <f t="shared" si="1"/>
        <v>70</v>
      </c>
      <c r="E711" s="8" t="str">
        <f t="shared" si="2"/>
        <v>https://resources.simonelectric.com/simon-catalogo-vehiculo-electrico</v>
      </c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ht="15.75" customHeight="1">
      <c r="A712" s="5" t="s">
        <v>1013</v>
      </c>
      <c r="B712" s="5">
        <v>43973.0</v>
      </c>
      <c r="C712" s="6" t="s">
        <v>75</v>
      </c>
      <c r="D712" s="7">
        <f t="shared" si="1"/>
        <v>67</v>
      </c>
      <c r="E712" s="8" t="str">
        <f t="shared" si="2"/>
        <v>https://resources.simonelectric.com/simon-ebook-vehiculo-electrico</v>
      </c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ht="15.75" customHeight="1">
      <c r="A713" s="5" t="s">
        <v>1013</v>
      </c>
      <c r="B713" s="5">
        <v>43973.0</v>
      </c>
      <c r="C713" s="6" t="s">
        <v>8</v>
      </c>
      <c r="D713" s="7">
        <f t="shared" si="1"/>
        <v>67</v>
      </c>
      <c r="E713" s="8" t="str">
        <f t="shared" si="2"/>
        <v>https://resources.simonelectric.com/simon-ebook-vehiculo-electrico</v>
      </c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ht="15.75" customHeight="1">
      <c r="A714" s="5" t="s">
        <v>1015</v>
      </c>
      <c r="B714" s="5">
        <v>43973.0</v>
      </c>
      <c r="C714" s="6" t="s">
        <v>1016</v>
      </c>
      <c r="D714" s="9">
        <f t="shared" si="1"/>
        <v>80</v>
      </c>
      <c r="E714" s="8" t="str">
        <f t="shared" si="2"/>
        <v>https://resources.simonelectric.com/simon-material-formativo-vehiculo-electrico</v>
      </c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ht="15.75" customHeight="1">
      <c r="A715" s="5" t="s">
        <v>338</v>
      </c>
      <c r="B715" s="5">
        <v>43973.0</v>
      </c>
      <c r="C715" s="6" t="s">
        <v>1017</v>
      </c>
      <c r="D715" s="7">
        <f t="shared" si="1"/>
        <v>80</v>
      </c>
      <c r="E715" s="8" t="str">
        <f t="shared" si="2"/>
        <v>https://resources.simonelectric.com/simon-material-formativo-vehiculo-electrico</v>
      </c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ht="15.75" customHeight="1">
      <c r="A716" s="5" t="s">
        <v>1018</v>
      </c>
      <c r="B716" s="5">
        <v>43973.0</v>
      </c>
      <c r="C716" s="6" t="s">
        <v>1019</v>
      </c>
      <c r="D716" s="9">
        <f t="shared" si="1"/>
        <v>80</v>
      </c>
      <c r="E716" s="8" t="str">
        <f t="shared" si="2"/>
        <v>https://resources.simonelectric.com/simon-material-formativo-vehiculo-electrico</v>
      </c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ht="15.75" customHeight="1">
      <c r="A717" s="5" t="s">
        <v>1020</v>
      </c>
      <c r="B717" s="5">
        <v>43973.0</v>
      </c>
      <c r="C717" s="6" t="s">
        <v>1021</v>
      </c>
      <c r="D717" s="7">
        <f t="shared" si="1"/>
        <v>80</v>
      </c>
      <c r="E717" s="8" t="str">
        <f t="shared" si="2"/>
        <v>https://resources.simonelectric.com/simon-material-formativo-vehiculo-electrico</v>
      </c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ht="15.75" customHeight="1">
      <c r="A718" s="5" t="s">
        <v>1022</v>
      </c>
      <c r="B718" s="5">
        <v>43973.0</v>
      </c>
      <c r="C718" s="6" t="s">
        <v>1023</v>
      </c>
      <c r="D718" s="7">
        <f t="shared" si="1"/>
        <v>80</v>
      </c>
      <c r="E718" s="8" t="str">
        <f t="shared" si="2"/>
        <v>https://resources.simonelectric.com/simon-material-formativo-vehiculo-electrico</v>
      </c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ht="15.75" customHeight="1">
      <c r="A719" s="5" t="s">
        <v>1024</v>
      </c>
      <c r="B719" s="5">
        <v>43973.0</v>
      </c>
      <c r="C719" s="6" t="s">
        <v>1025</v>
      </c>
      <c r="D719" s="7">
        <f t="shared" si="1"/>
        <v>80</v>
      </c>
      <c r="E719" s="8" t="str">
        <f t="shared" si="2"/>
        <v>https://resources.simonelectric.com/simon-material-formativo-vehiculo-electrico</v>
      </c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ht="15.75" customHeight="1">
      <c r="A720" s="5" t="s">
        <v>1026</v>
      </c>
      <c r="B720" s="5">
        <v>43973.0</v>
      </c>
      <c r="C720" s="6" t="s">
        <v>1027</v>
      </c>
      <c r="D720" s="7">
        <f t="shared" si="1"/>
        <v>80</v>
      </c>
      <c r="E720" s="8" t="str">
        <f t="shared" si="2"/>
        <v>https://resources.simonelectric.com/simon-material-formativo-vehiculo-electrico</v>
      </c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ht="15.75" customHeight="1">
      <c r="A721" s="5" t="s">
        <v>1028</v>
      </c>
      <c r="B721" s="5">
        <v>43973.0</v>
      </c>
      <c r="C721" s="6" t="s">
        <v>1029</v>
      </c>
      <c r="D721" s="7">
        <f t="shared" si="1"/>
        <v>80</v>
      </c>
      <c r="E721" s="8" t="str">
        <f t="shared" si="2"/>
        <v>https://resources.simonelectric.com/simon-material-formativo-vehiculo-electrico</v>
      </c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ht="15.75" customHeight="1">
      <c r="A722" s="5" t="s">
        <v>1030</v>
      </c>
      <c r="B722" s="5">
        <v>43973.0</v>
      </c>
      <c r="C722" s="6" t="s">
        <v>1031</v>
      </c>
      <c r="D722" s="7">
        <f t="shared" si="1"/>
        <v>80</v>
      </c>
      <c r="E722" s="8" t="str">
        <f t="shared" si="2"/>
        <v>https://resources.simonelectric.com/simon-material-formativo-vehiculo-electrico</v>
      </c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ht="15.75" customHeight="1">
      <c r="A723" s="5" t="s">
        <v>889</v>
      </c>
      <c r="B723" s="5">
        <v>43973.0</v>
      </c>
      <c r="C723" s="6" t="s">
        <v>1032</v>
      </c>
      <c r="D723" s="7">
        <f t="shared" si="1"/>
        <v>80</v>
      </c>
      <c r="E723" s="8" t="str">
        <f t="shared" si="2"/>
        <v>https://resources.simonelectric.com/simon-material-formativo-vehiculo-electrico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ht="15.75" customHeight="1">
      <c r="A724" s="5" t="s">
        <v>1033</v>
      </c>
      <c r="B724" s="5">
        <v>43973.0</v>
      </c>
      <c r="C724" s="6" t="s">
        <v>1034</v>
      </c>
      <c r="D724" s="9">
        <f t="shared" si="1"/>
        <v>80</v>
      </c>
      <c r="E724" s="8" t="str">
        <f t="shared" si="2"/>
        <v>https://resources.simonelectric.com/simon-material-formativo-vehiculo-electrico</v>
      </c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ht="15.75" customHeight="1">
      <c r="A725" s="5" t="s">
        <v>1035</v>
      </c>
      <c r="B725" s="5">
        <v>43973.0</v>
      </c>
      <c r="C725" s="6" t="s">
        <v>1036</v>
      </c>
      <c r="D725" s="9">
        <f t="shared" si="1"/>
        <v>80</v>
      </c>
      <c r="E725" s="8" t="str">
        <f t="shared" si="2"/>
        <v>https://resources.simonelectric.com/simon-material-formativo-vehiculo-electrico</v>
      </c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ht="15.75" customHeight="1">
      <c r="A726" s="5" t="s">
        <v>429</v>
      </c>
      <c r="B726" s="5">
        <v>43973.0</v>
      </c>
      <c r="C726" s="6" t="s">
        <v>1037</v>
      </c>
      <c r="D726" s="7">
        <f t="shared" si="1"/>
        <v>80</v>
      </c>
      <c r="E726" s="8" t="str">
        <f t="shared" si="2"/>
        <v>https://resources.simonelectric.com/simon-material-formativo-vehiculo-electrico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ht="15.75" customHeight="1">
      <c r="A727" s="5" t="s">
        <v>1038</v>
      </c>
      <c r="B727" s="5">
        <v>43973.0</v>
      </c>
      <c r="C727" s="6" t="s">
        <v>8</v>
      </c>
      <c r="D727" s="9">
        <f t="shared" si="1"/>
        <v>67</v>
      </c>
      <c r="E727" s="8" t="str">
        <f t="shared" si="2"/>
        <v>https://resources.simonelectric.com/simon-ebook-vehiculo-electrico</v>
      </c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ht="15.75" customHeight="1">
      <c r="A728" s="5" t="s">
        <v>1039</v>
      </c>
      <c r="B728" s="5">
        <v>43973.0</v>
      </c>
      <c r="C728" s="6" t="s">
        <v>1040</v>
      </c>
      <c r="D728" s="7">
        <f t="shared" si="1"/>
        <v>80</v>
      </c>
      <c r="E728" s="8" t="str">
        <f t="shared" si="2"/>
        <v>https://resources.simonelectric.com/simon-material-formativo-vehiculo-electrico</v>
      </c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ht="15.75" customHeight="1">
      <c r="A729" s="5" t="s">
        <v>1041</v>
      </c>
      <c r="B729" s="5">
        <v>43973.0</v>
      </c>
      <c r="C729" s="6" t="s">
        <v>1042</v>
      </c>
      <c r="D729" s="7">
        <f t="shared" si="1"/>
        <v>70</v>
      </c>
      <c r="E729" s="8" t="str">
        <f t="shared" si="2"/>
        <v>https://resources.simonelectric.com/simon-catalogo-vehiculo-electrico</v>
      </c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ht="15.75" customHeight="1">
      <c r="A730" s="5" t="s">
        <v>1043</v>
      </c>
      <c r="B730" s="5">
        <v>43973.0</v>
      </c>
      <c r="C730" s="6" t="s">
        <v>1044</v>
      </c>
      <c r="D730" s="9">
        <f t="shared" si="1"/>
        <v>80</v>
      </c>
      <c r="E730" s="8" t="str">
        <f t="shared" si="2"/>
        <v>https://resources.simonelectric.com/simon-material-formativo-vehiculo-electrico</v>
      </c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ht="15.75" customHeight="1">
      <c r="A731" s="5" t="s">
        <v>948</v>
      </c>
      <c r="B731" s="5">
        <v>43973.0</v>
      </c>
      <c r="C731" s="6" t="s">
        <v>1045</v>
      </c>
      <c r="D731" s="9">
        <f t="shared" si="1"/>
        <v>80</v>
      </c>
      <c r="E731" s="8" t="str">
        <f t="shared" si="2"/>
        <v>https://resources.simonelectric.com/simon-material-formativo-vehiculo-electrico</v>
      </c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ht="15.75" customHeight="1">
      <c r="A732" s="5" t="s">
        <v>1046</v>
      </c>
      <c r="B732" s="5">
        <v>43973.0</v>
      </c>
      <c r="C732" s="6" t="s">
        <v>1047</v>
      </c>
      <c r="D732" s="9">
        <f t="shared" si="1"/>
        <v>80</v>
      </c>
      <c r="E732" s="8" t="str">
        <f t="shared" si="2"/>
        <v>https://resources.simonelectric.com/simon-material-formativo-vehiculo-electrico</v>
      </c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ht="15.75" customHeight="1">
      <c r="A733" s="5" t="s">
        <v>1048</v>
      </c>
      <c r="B733" s="5">
        <v>43973.0</v>
      </c>
      <c r="C733" s="6" t="s">
        <v>1049</v>
      </c>
      <c r="D733" s="9">
        <f t="shared" si="1"/>
        <v>80</v>
      </c>
      <c r="E733" s="8" t="str">
        <f t="shared" si="2"/>
        <v>https://resources.simonelectric.com/simon-material-formativo-vehiculo-electrico</v>
      </c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ht="15.75" customHeight="1">
      <c r="A734" s="5" t="s">
        <v>1050</v>
      </c>
      <c r="B734" s="5">
        <v>43973.0</v>
      </c>
      <c r="C734" s="6" t="s">
        <v>1051</v>
      </c>
      <c r="D734" s="9">
        <f t="shared" si="1"/>
        <v>80</v>
      </c>
      <c r="E734" s="8" t="str">
        <f t="shared" si="2"/>
        <v>https://resources.simonelectric.com/simon-material-formativo-vehiculo-electrico</v>
      </c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ht="15.75" customHeight="1">
      <c r="A735" s="5" t="s">
        <v>1052</v>
      </c>
      <c r="B735" s="5">
        <v>43973.0</v>
      </c>
      <c r="C735" s="6" t="s">
        <v>1053</v>
      </c>
      <c r="D735" s="9">
        <f t="shared" si="1"/>
        <v>80</v>
      </c>
      <c r="E735" s="8" t="str">
        <f t="shared" si="2"/>
        <v>https://resources.simonelectric.com/simon-material-formativo-vehiculo-electrico</v>
      </c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ht="15.75" customHeight="1">
      <c r="A736" s="5" t="s">
        <v>640</v>
      </c>
      <c r="B736" s="5">
        <v>43973.0</v>
      </c>
      <c r="C736" s="6" t="s">
        <v>1054</v>
      </c>
      <c r="D736" s="9">
        <f t="shared" si="1"/>
        <v>80</v>
      </c>
      <c r="E736" s="8" t="str">
        <f t="shared" si="2"/>
        <v>https://resources.simonelectric.com/simon-material-formativo-vehiculo-electrico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ht="15.75" customHeight="1">
      <c r="A737" s="5" t="s">
        <v>1055</v>
      </c>
      <c r="B737" s="5">
        <v>43973.0</v>
      </c>
      <c r="C737" s="6" t="s">
        <v>1056</v>
      </c>
      <c r="D737" s="9">
        <f t="shared" si="1"/>
        <v>80</v>
      </c>
      <c r="E737" s="8" t="str">
        <f t="shared" si="2"/>
        <v>https://resources.simonelectric.com/simon-material-formativo-vehiculo-electrico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ht="15.75" customHeight="1">
      <c r="A738" s="5" t="s">
        <v>964</v>
      </c>
      <c r="B738" s="5">
        <v>43973.0</v>
      </c>
      <c r="C738" s="6" t="s">
        <v>1057</v>
      </c>
      <c r="D738" s="9">
        <f t="shared" si="1"/>
        <v>80</v>
      </c>
      <c r="E738" s="8" t="str">
        <f t="shared" si="2"/>
        <v>https://resources.simonelectric.com/simon-material-formativo-vehiculo-electrico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ht="15.75" customHeight="1">
      <c r="A739" s="5" t="s">
        <v>1058</v>
      </c>
      <c r="B739" s="5">
        <v>43973.0</v>
      </c>
      <c r="C739" s="6" t="s">
        <v>1059</v>
      </c>
      <c r="D739" s="7">
        <f t="shared" si="1"/>
        <v>80</v>
      </c>
      <c r="E739" s="8" t="str">
        <f t="shared" si="2"/>
        <v>https://resources.simonelectric.com/simon-material-formativo-vehiculo-electrico</v>
      </c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ht="15.75" customHeight="1">
      <c r="A740" s="5" t="s">
        <v>1060</v>
      </c>
      <c r="B740" s="5">
        <v>43973.0</v>
      </c>
      <c r="C740" s="6" t="s">
        <v>1061</v>
      </c>
      <c r="D740" s="9">
        <f t="shared" si="1"/>
        <v>80</v>
      </c>
      <c r="E740" s="8" t="str">
        <f t="shared" si="2"/>
        <v>https://resources.simonelectric.com/simon-material-formativo-vehiculo-electrico</v>
      </c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ht="15.75" customHeight="1">
      <c r="A741" s="5" t="s">
        <v>901</v>
      </c>
      <c r="B741" s="5">
        <v>43973.0</v>
      </c>
      <c r="C741" s="6" t="s">
        <v>1062</v>
      </c>
      <c r="D741" s="7">
        <f t="shared" si="1"/>
        <v>80</v>
      </c>
      <c r="E741" s="8" t="str">
        <f t="shared" si="2"/>
        <v>https://resources.simonelectric.com/simon-material-formativo-vehiculo-electrico</v>
      </c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ht="15.75" customHeight="1">
      <c r="A742" s="5" t="s">
        <v>1063</v>
      </c>
      <c r="B742" s="5">
        <v>43973.0</v>
      </c>
      <c r="C742" s="6" t="s">
        <v>1064</v>
      </c>
      <c r="D742" s="9">
        <f t="shared" si="1"/>
        <v>80</v>
      </c>
      <c r="E742" s="8" t="str">
        <f t="shared" si="2"/>
        <v>https://resources.simonelectric.com/simon-material-formativo-vehiculo-electrico</v>
      </c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ht="15.75" customHeight="1">
      <c r="A743" s="5" t="s">
        <v>1065</v>
      </c>
      <c r="B743" s="5">
        <v>43973.0</v>
      </c>
      <c r="C743" s="6" t="s">
        <v>55</v>
      </c>
      <c r="D743" s="9">
        <f t="shared" si="1"/>
        <v>71</v>
      </c>
      <c r="E743" s="8" t="str">
        <f t="shared" si="2"/>
        <v>https://resources.simonelectric.com/simon-ebook-vehiculo-electrico-ppc</v>
      </c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ht="15.75" customHeight="1">
      <c r="A744" s="5" t="s">
        <v>1066</v>
      </c>
      <c r="B744" s="5">
        <v>43973.0</v>
      </c>
      <c r="C744" s="6" t="s">
        <v>1067</v>
      </c>
      <c r="D744" s="9">
        <f t="shared" si="1"/>
        <v>80</v>
      </c>
      <c r="E744" s="8" t="str">
        <f t="shared" si="2"/>
        <v>https://resources.simonelectric.com/simon-material-formativo-vehiculo-electrico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ht="15.75" customHeight="1">
      <c r="A745" s="5" t="s">
        <v>1068</v>
      </c>
      <c r="B745" s="5">
        <v>43973.0</v>
      </c>
      <c r="C745" s="6" t="s">
        <v>1069</v>
      </c>
      <c r="D745" s="9">
        <f t="shared" si="1"/>
        <v>70</v>
      </c>
      <c r="E745" s="8" t="str">
        <f t="shared" si="2"/>
        <v>https://resources.simonelectric.com/simon-catalogo-vehiculo-electrico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ht="15.75" customHeight="1">
      <c r="A746" s="5" t="s">
        <v>1070</v>
      </c>
      <c r="B746" s="5">
        <v>43973.0</v>
      </c>
      <c r="C746" s="6" t="s">
        <v>1071</v>
      </c>
      <c r="D746" s="9">
        <f t="shared" si="1"/>
        <v>80</v>
      </c>
      <c r="E746" s="8" t="str">
        <f t="shared" si="2"/>
        <v>https://resources.simonelectric.com/simon-material-formativo-vehiculo-electrico</v>
      </c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ht="15.75" customHeight="1">
      <c r="A747" s="5" t="s">
        <v>1072</v>
      </c>
      <c r="B747" s="5">
        <v>43973.0</v>
      </c>
      <c r="C747" s="6" t="s">
        <v>1073</v>
      </c>
      <c r="D747" s="7">
        <f t="shared" si="1"/>
        <v>80</v>
      </c>
      <c r="E747" s="8" t="str">
        <f t="shared" si="2"/>
        <v>https://resources.simonelectric.com/simon-material-formativo-vehiculo-electrico</v>
      </c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ht="15.75" customHeight="1">
      <c r="A748" s="5" t="s">
        <v>1074</v>
      </c>
      <c r="B748" s="5">
        <v>43973.0</v>
      </c>
      <c r="C748" s="6" t="s">
        <v>1075</v>
      </c>
      <c r="D748" s="9">
        <f t="shared" si="1"/>
        <v>80</v>
      </c>
      <c r="E748" s="8" t="str">
        <f t="shared" si="2"/>
        <v>https://resources.simonelectric.com/simon-material-formativo-vehiculo-electrico</v>
      </c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ht="15.75" customHeight="1">
      <c r="A749" s="5" t="s">
        <v>1076</v>
      </c>
      <c r="B749" s="5">
        <v>43973.0</v>
      </c>
      <c r="C749" s="6" t="s">
        <v>1077</v>
      </c>
      <c r="D749" s="9">
        <f t="shared" si="1"/>
        <v>80</v>
      </c>
      <c r="E749" s="8" t="str">
        <f t="shared" si="2"/>
        <v>https://resources.simonelectric.com/simon-material-formativo-vehiculo-electrico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ht="15.75" customHeight="1">
      <c r="A750" s="5" t="s">
        <v>1078</v>
      </c>
      <c r="B750" s="5">
        <v>43973.0</v>
      </c>
      <c r="C750" s="6" t="s">
        <v>1079</v>
      </c>
      <c r="D750" s="9">
        <f t="shared" si="1"/>
        <v>80</v>
      </c>
      <c r="E750" s="8" t="str">
        <f t="shared" si="2"/>
        <v>https://resources.simonelectric.com/simon-material-formativo-vehiculo-electrico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ht="15.75" customHeight="1">
      <c r="A751" s="5" t="s">
        <v>1080</v>
      </c>
      <c r="B751" s="5">
        <v>43973.0</v>
      </c>
      <c r="C751" s="6" t="s">
        <v>1081</v>
      </c>
      <c r="D751" s="9">
        <f t="shared" si="1"/>
        <v>80</v>
      </c>
      <c r="E751" s="8" t="str">
        <f t="shared" si="2"/>
        <v>https://resources.simonelectric.com/simon-material-formativo-vehiculo-electrico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ht="15.75" customHeight="1">
      <c r="A752" s="5" t="s">
        <v>1082</v>
      </c>
      <c r="B752" s="5">
        <v>43973.0</v>
      </c>
      <c r="C752" s="6" t="s">
        <v>1083</v>
      </c>
      <c r="D752" s="9">
        <f t="shared" si="1"/>
        <v>80</v>
      </c>
      <c r="E752" s="8" t="str">
        <f t="shared" si="2"/>
        <v>https://resources.simonelectric.com/simon-material-formativo-vehiculo-electrico</v>
      </c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ht="15.75" customHeight="1">
      <c r="A753" s="5" t="s">
        <v>1084</v>
      </c>
      <c r="B753" s="5">
        <v>43973.0</v>
      </c>
      <c r="C753" s="6" t="s">
        <v>1085</v>
      </c>
      <c r="D753" s="7">
        <f t="shared" si="1"/>
        <v>80</v>
      </c>
      <c r="E753" s="8" t="str">
        <f t="shared" si="2"/>
        <v>https://resources.simonelectric.com/simon-material-formativo-vehiculo-electrico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ht="15.75" customHeight="1">
      <c r="A754" s="5" t="s">
        <v>1086</v>
      </c>
      <c r="B754" s="5">
        <v>43973.0</v>
      </c>
      <c r="C754" s="6" t="s">
        <v>1087</v>
      </c>
      <c r="D754" s="9">
        <f t="shared" si="1"/>
        <v>80</v>
      </c>
      <c r="E754" s="8" t="str">
        <f t="shared" si="2"/>
        <v>https://resources.simonelectric.com/simon-material-formativo-vehiculo-electrico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ht="15.75" customHeight="1">
      <c r="A755" s="5" t="s">
        <v>1086</v>
      </c>
      <c r="B755" s="5">
        <v>43973.0</v>
      </c>
      <c r="C755" s="6" t="s">
        <v>1087</v>
      </c>
      <c r="D755" s="9">
        <f t="shared" si="1"/>
        <v>80</v>
      </c>
      <c r="E755" s="8" t="str">
        <f t="shared" si="2"/>
        <v>https://resources.simonelectric.com/simon-material-formativo-vehiculo-electrico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ht="15.75" customHeight="1">
      <c r="A756" s="5" t="s">
        <v>1088</v>
      </c>
      <c r="B756" s="5">
        <v>43973.0</v>
      </c>
      <c r="C756" s="6" t="s">
        <v>1089</v>
      </c>
      <c r="D756" s="9">
        <f t="shared" si="1"/>
        <v>80</v>
      </c>
      <c r="E756" s="8" t="str">
        <f t="shared" si="2"/>
        <v>https://resources.simonelectric.com/simon-material-formativo-vehiculo-electrico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ht="15.75" customHeight="1">
      <c r="A757" s="5" t="s">
        <v>913</v>
      </c>
      <c r="B757" s="5">
        <v>43973.0</v>
      </c>
      <c r="C757" s="6" t="s">
        <v>1090</v>
      </c>
      <c r="D757" s="9">
        <f t="shared" si="1"/>
        <v>80</v>
      </c>
      <c r="E757" s="8" t="str">
        <f t="shared" si="2"/>
        <v>https://resources.simonelectric.com/simon-material-formativo-vehiculo-electrico</v>
      </c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ht="15.75" customHeight="1">
      <c r="A758" s="5" t="s">
        <v>1091</v>
      </c>
      <c r="B758" s="5">
        <v>43973.0</v>
      </c>
      <c r="C758" s="6" t="s">
        <v>1092</v>
      </c>
      <c r="D758" s="7">
        <f t="shared" si="1"/>
        <v>80</v>
      </c>
      <c r="E758" s="8" t="str">
        <f t="shared" si="2"/>
        <v>https://resources.simonelectric.com/simon-material-formativo-vehiculo-electrico</v>
      </c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ht="15.75" customHeight="1">
      <c r="A759" s="5" t="s">
        <v>1093</v>
      </c>
      <c r="B759" s="5">
        <v>43973.0</v>
      </c>
      <c r="C759" s="6" t="s">
        <v>1094</v>
      </c>
      <c r="D759" s="7">
        <f t="shared" si="1"/>
        <v>80</v>
      </c>
      <c r="E759" s="8" t="str">
        <f t="shared" si="2"/>
        <v>https://resources.simonelectric.com/simon-material-formativo-vehiculo-electrico</v>
      </c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ht="15.75" customHeight="1">
      <c r="A760" s="5" t="s">
        <v>1095</v>
      </c>
      <c r="B760" s="5">
        <v>43973.0</v>
      </c>
      <c r="C760" s="6" t="s">
        <v>1096</v>
      </c>
      <c r="D760" s="9">
        <f t="shared" si="1"/>
        <v>80</v>
      </c>
      <c r="E760" s="8" t="str">
        <f t="shared" si="2"/>
        <v>https://resources.simonelectric.com/simon-material-formativo-vehiculo-electrico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ht="15.75" customHeight="1">
      <c r="A761" s="5" t="s">
        <v>1097</v>
      </c>
      <c r="B761" s="5">
        <v>43973.0</v>
      </c>
      <c r="C761" s="6" t="s">
        <v>1098</v>
      </c>
      <c r="D761" s="9">
        <f t="shared" si="1"/>
        <v>80</v>
      </c>
      <c r="E761" s="8" t="str">
        <f t="shared" si="2"/>
        <v>https://resources.simonelectric.com/simon-material-formativo-vehiculo-electrico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ht="15.75" customHeight="1">
      <c r="A762" s="5" t="s">
        <v>1099</v>
      </c>
      <c r="B762" s="5">
        <v>43973.0</v>
      </c>
      <c r="C762" s="6" t="s">
        <v>1100</v>
      </c>
      <c r="D762" s="9">
        <f t="shared" si="1"/>
        <v>80</v>
      </c>
      <c r="E762" s="8" t="str">
        <f t="shared" si="2"/>
        <v>https://resources.simonelectric.com/simon-material-formativo-vehiculo-electrico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ht="15.75" customHeight="1">
      <c r="A763" s="5" t="s">
        <v>1101</v>
      </c>
      <c r="B763" s="5">
        <v>43973.0</v>
      </c>
      <c r="C763" s="6" t="s">
        <v>1102</v>
      </c>
      <c r="D763" s="7">
        <f t="shared" si="1"/>
        <v>80</v>
      </c>
      <c r="E763" s="8" t="str">
        <f t="shared" si="2"/>
        <v>https://resources.simonelectric.com/simon-material-formativo-vehiculo-electrico</v>
      </c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ht="15.75" customHeight="1">
      <c r="A764" s="5" t="s">
        <v>1103</v>
      </c>
      <c r="B764" s="5">
        <v>43973.0</v>
      </c>
      <c r="C764" s="6" t="s">
        <v>1104</v>
      </c>
      <c r="D764" s="7">
        <f t="shared" si="1"/>
        <v>80</v>
      </c>
      <c r="E764" s="8" t="str">
        <f t="shared" si="2"/>
        <v>https://resources.simonelectric.com/simon-material-formativo-vehiculo-electrico</v>
      </c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ht="15.75" customHeight="1">
      <c r="A765" s="5" t="s">
        <v>1105</v>
      </c>
      <c r="B765" s="5">
        <v>43973.0</v>
      </c>
      <c r="C765" s="6" t="s">
        <v>1106</v>
      </c>
      <c r="D765" s="9">
        <f t="shared" si="1"/>
        <v>80</v>
      </c>
      <c r="E765" s="8" t="str">
        <f t="shared" si="2"/>
        <v>https://resources.simonelectric.com/simon-material-formativo-vehiculo-electrico</v>
      </c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ht="15.75" customHeight="1">
      <c r="A766" s="5" t="s">
        <v>1107</v>
      </c>
      <c r="B766" s="5">
        <v>43973.0</v>
      </c>
      <c r="C766" s="6" t="s">
        <v>1108</v>
      </c>
      <c r="D766" s="9">
        <f t="shared" si="1"/>
        <v>80</v>
      </c>
      <c r="E766" s="8" t="str">
        <f t="shared" si="2"/>
        <v>https://resources.simonelectric.com/simon-material-formativo-vehiculo-electrico</v>
      </c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ht="15.75" customHeight="1">
      <c r="A767" s="5" t="s">
        <v>1109</v>
      </c>
      <c r="B767" s="5">
        <v>43973.0</v>
      </c>
      <c r="C767" s="6" t="s">
        <v>1110</v>
      </c>
      <c r="D767" s="9">
        <f t="shared" si="1"/>
        <v>80</v>
      </c>
      <c r="E767" s="8" t="str">
        <f t="shared" si="2"/>
        <v>https://resources.simonelectric.com/simon-material-formativo-vehiculo-electrico</v>
      </c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ht="15.75" customHeight="1">
      <c r="A768" s="5" t="s">
        <v>1111</v>
      </c>
      <c r="B768" s="5">
        <v>43973.0</v>
      </c>
      <c r="C768" s="6" t="s">
        <v>1112</v>
      </c>
      <c r="D768" s="7">
        <f t="shared" si="1"/>
        <v>80</v>
      </c>
      <c r="E768" s="8" t="str">
        <f t="shared" si="2"/>
        <v>https://resources.simonelectric.com/simon-material-formativo-vehiculo-electrico</v>
      </c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ht="15.75" customHeight="1">
      <c r="A769" s="5" t="s">
        <v>1113</v>
      </c>
      <c r="B769" s="5">
        <v>43973.0</v>
      </c>
      <c r="C769" s="6" t="s">
        <v>1114</v>
      </c>
      <c r="D769" s="7">
        <f t="shared" si="1"/>
        <v>80</v>
      </c>
      <c r="E769" s="8" t="str">
        <f t="shared" si="2"/>
        <v>https://resources.simonelectric.com/simon-material-formativo-vehiculo-electrico</v>
      </c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ht="15.75" customHeight="1">
      <c r="A770" s="5" t="s">
        <v>1115</v>
      </c>
      <c r="B770" s="5">
        <v>43973.0</v>
      </c>
      <c r="C770" s="6" t="s">
        <v>1116</v>
      </c>
      <c r="D770" s="9">
        <f t="shared" si="1"/>
        <v>80</v>
      </c>
      <c r="E770" s="8" t="str">
        <f t="shared" si="2"/>
        <v>https://resources.simonelectric.com/simon-material-formativo-vehiculo-electrico</v>
      </c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ht="15.75" customHeight="1">
      <c r="A771" s="5" t="s">
        <v>1117</v>
      </c>
      <c r="B771" s="5">
        <v>43973.0</v>
      </c>
      <c r="C771" s="6" t="s">
        <v>1118</v>
      </c>
      <c r="D771" s="9">
        <f t="shared" si="1"/>
        <v>80</v>
      </c>
      <c r="E771" s="8" t="str">
        <f t="shared" si="2"/>
        <v>https://resources.simonelectric.com/simon-material-formativo-vehiculo-electrico</v>
      </c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ht="15.75" customHeight="1">
      <c r="A772" s="5" t="s">
        <v>1119</v>
      </c>
      <c r="B772" s="5">
        <v>43973.0</v>
      </c>
      <c r="C772" s="6" t="s">
        <v>1120</v>
      </c>
      <c r="D772" s="7">
        <f t="shared" si="1"/>
        <v>80</v>
      </c>
      <c r="E772" s="8" t="str">
        <f t="shared" si="2"/>
        <v>https://resources.simonelectric.com/simon-material-formativo-vehiculo-electrico</v>
      </c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ht="15.75" customHeight="1">
      <c r="A773" s="5" t="s">
        <v>1121</v>
      </c>
      <c r="B773" s="5">
        <v>43973.0</v>
      </c>
      <c r="C773" s="6" t="s">
        <v>1122</v>
      </c>
      <c r="D773" s="9">
        <f t="shared" si="1"/>
        <v>80</v>
      </c>
      <c r="E773" s="8" t="str">
        <f t="shared" si="2"/>
        <v>https://resources.simonelectric.com/simon-material-formativo-vehiculo-electrico</v>
      </c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ht="15.75" customHeight="1">
      <c r="A774" s="5" t="s">
        <v>1123</v>
      </c>
      <c r="B774" s="5">
        <v>43973.0</v>
      </c>
      <c r="C774" s="6" t="s">
        <v>1124</v>
      </c>
      <c r="D774" s="7">
        <f t="shared" si="1"/>
        <v>80</v>
      </c>
      <c r="E774" s="8" t="str">
        <f t="shared" si="2"/>
        <v>https://resources.simonelectric.com/simon-material-formativo-vehiculo-electrico</v>
      </c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ht="15.75" customHeight="1">
      <c r="A775" s="5" t="s">
        <v>1125</v>
      </c>
      <c r="B775" s="5">
        <v>43973.0</v>
      </c>
      <c r="C775" s="6" t="s">
        <v>1126</v>
      </c>
      <c r="D775" s="9">
        <f t="shared" si="1"/>
        <v>80</v>
      </c>
      <c r="E775" s="8" t="str">
        <f t="shared" si="2"/>
        <v>https://resources.simonelectric.com/simon-material-formativo-vehiculo-electrico</v>
      </c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ht="15.75" customHeight="1">
      <c r="A776" s="5" t="s">
        <v>1127</v>
      </c>
      <c r="B776" s="5">
        <v>43973.0</v>
      </c>
      <c r="C776" s="6" t="s">
        <v>1128</v>
      </c>
      <c r="D776" s="9">
        <f t="shared" si="1"/>
        <v>80</v>
      </c>
      <c r="E776" s="8" t="str">
        <f t="shared" si="2"/>
        <v>https://resources.simonelectric.com/simon-material-formativo-vehiculo-electrico</v>
      </c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ht="15.75" customHeight="1">
      <c r="A777" s="5" t="s">
        <v>1129</v>
      </c>
      <c r="B777" s="5">
        <v>43973.0</v>
      </c>
      <c r="C777" s="6" t="s">
        <v>1130</v>
      </c>
      <c r="D777" s="9">
        <f t="shared" si="1"/>
        <v>80</v>
      </c>
      <c r="E777" s="8" t="str">
        <f t="shared" si="2"/>
        <v>https://resources.simonelectric.com/simon-material-formativo-vehiculo-electrico</v>
      </c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ht="15.75" customHeight="1">
      <c r="A778" s="5" t="s">
        <v>942</v>
      </c>
      <c r="B778" s="5">
        <v>43973.0</v>
      </c>
      <c r="C778" s="6" t="s">
        <v>1131</v>
      </c>
      <c r="D778" s="9">
        <f t="shared" si="1"/>
        <v>80</v>
      </c>
      <c r="E778" s="8" t="str">
        <f t="shared" si="2"/>
        <v>https://resources.simonelectric.com/simon-material-formativo-vehiculo-electrico</v>
      </c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ht="15.75" customHeight="1">
      <c r="A779" s="5" t="s">
        <v>1132</v>
      </c>
      <c r="B779" s="5">
        <v>43973.0</v>
      </c>
      <c r="C779" s="6" t="s">
        <v>1133</v>
      </c>
      <c r="D779" s="9">
        <f t="shared" si="1"/>
        <v>80</v>
      </c>
      <c r="E779" s="8" t="str">
        <f t="shared" si="2"/>
        <v>https://resources.simonelectric.com/simon-material-formativo-vehiculo-electrico</v>
      </c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ht="15.75" customHeight="1">
      <c r="A780" s="5" t="s">
        <v>1134</v>
      </c>
      <c r="B780" s="5">
        <v>43973.0</v>
      </c>
      <c r="C780" s="6" t="s">
        <v>1135</v>
      </c>
      <c r="D780" s="9">
        <f t="shared" si="1"/>
        <v>80</v>
      </c>
      <c r="E780" s="8" t="str">
        <f t="shared" si="2"/>
        <v>https://resources.simonelectric.com/simon-material-formativo-vehiculo-electrico</v>
      </c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ht="15.75" customHeight="1">
      <c r="A781" s="5" t="s">
        <v>1136</v>
      </c>
      <c r="B781" s="5">
        <v>43973.0</v>
      </c>
      <c r="C781" s="6" t="s">
        <v>1137</v>
      </c>
      <c r="D781" s="9">
        <f t="shared" si="1"/>
        <v>80</v>
      </c>
      <c r="E781" s="8" t="str">
        <f t="shared" si="2"/>
        <v>https://resources.simonelectric.com/simon-material-formativo-vehiculo-electrico</v>
      </c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ht="15.75" customHeight="1">
      <c r="A782" s="5" t="s">
        <v>1138</v>
      </c>
      <c r="B782" s="5">
        <v>43973.0</v>
      </c>
      <c r="C782" s="6" t="s">
        <v>1139</v>
      </c>
      <c r="D782" s="7">
        <f t="shared" si="1"/>
        <v>80</v>
      </c>
      <c r="E782" s="8" t="str">
        <f t="shared" si="2"/>
        <v>https://resources.simonelectric.com/simon-material-formativo-vehiculo-electrico</v>
      </c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ht="15.75" customHeight="1">
      <c r="A783" s="5" t="s">
        <v>931</v>
      </c>
      <c r="B783" s="5">
        <v>43973.0</v>
      </c>
      <c r="C783" s="6" t="s">
        <v>1140</v>
      </c>
      <c r="D783" s="9">
        <f t="shared" si="1"/>
        <v>80</v>
      </c>
      <c r="E783" s="8" t="str">
        <f t="shared" si="2"/>
        <v>https://resources.simonelectric.com/simon-material-formativo-vehiculo-electrico</v>
      </c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ht="15.75" customHeight="1">
      <c r="A784" s="5" t="s">
        <v>674</v>
      </c>
      <c r="B784" s="5">
        <v>43973.0</v>
      </c>
      <c r="C784" s="6" t="s">
        <v>1141</v>
      </c>
      <c r="D784" s="9">
        <f t="shared" si="1"/>
        <v>80</v>
      </c>
      <c r="E784" s="8" t="str">
        <f t="shared" si="2"/>
        <v>https://resources.simonelectric.com/simon-material-formativo-vehiculo-electrico</v>
      </c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ht="15.75" customHeight="1">
      <c r="A785" s="5" t="s">
        <v>946</v>
      </c>
      <c r="B785" s="5">
        <v>43973.0</v>
      </c>
      <c r="C785" s="6" t="s">
        <v>1142</v>
      </c>
      <c r="D785" s="9">
        <f t="shared" si="1"/>
        <v>80</v>
      </c>
      <c r="E785" s="8" t="str">
        <f t="shared" si="2"/>
        <v>https://resources.simonelectric.com/simon-material-formativo-vehiculo-electrico</v>
      </c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ht="15.75" customHeight="1">
      <c r="A786" s="5" t="s">
        <v>1132</v>
      </c>
      <c r="B786" s="5">
        <v>43973.0</v>
      </c>
      <c r="C786" s="6" t="s">
        <v>1143</v>
      </c>
      <c r="D786" s="9">
        <f t="shared" si="1"/>
        <v>80</v>
      </c>
      <c r="E786" s="8" t="str">
        <f t="shared" si="2"/>
        <v>https://resources.simonelectric.com/simon-material-formativo-vehiculo-electrico</v>
      </c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 ht="15.75" customHeight="1">
      <c r="A787" s="5" t="s">
        <v>1132</v>
      </c>
      <c r="B787" s="5">
        <v>43973.0</v>
      </c>
      <c r="C787" s="6" t="s">
        <v>1144</v>
      </c>
      <c r="D787" s="9">
        <f t="shared" si="1"/>
        <v>80</v>
      </c>
      <c r="E787" s="8" t="str">
        <f t="shared" si="2"/>
        <v>https://resources.simonelectric.com/simon-material-formativo-vehiculo-electrico</v>
      </c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</row>
    <row r="788" ht="15.75" customHeight="1">
      <c r="A788" s="5" t="s">
        <v>1145</v>
      </c>
      <c r="B788" s="5">
        <v>43973.0</v>
      </c>
      <c r="C788" s="6" t="s">
        <v>1146</v>
      </c>
      <c r="D788" s="7">
        <f t="shared" si="1"/>
        <v>80</v>
      </c>
      <c r="E788" s="8" t="str">
        <f t="shared" si="2"/>
        <v>https://resources.simonelectric.com/simon-material-formativo-vehiculo-electrico</v>
      </c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</row>
    <row r="789" ht="15.75" customHeight="1">
      <c r="A789" s="5" t="s">
        <v>1147</v>
      </c>
      <c r="B789" s="5">
        <v>43973.0</v>
      </c>
      <c r="C789" s="6" t="s">
        <v>1148</v>
      </c>
      <c r="D789" s="9">
        <f t="shared" si="1"/>
        <v>80</v>
      </c>
      <c r="E789" s="8" t="str">
        <f t="shared" si="2"/>
        <v>https://resources.simonelectric.com/simon-material-formativo-vehiculo-electrico</v>
      </c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</row>
    <row r="790" ht="15.75" customHeight="1">
      <c r="A790" s="5" t="s">
        <v>410</v>
      </c>
      <c r="B790" s="5">
        <v>43973.0</v>
      </c>
      <c r="C790" s="6" t="s">
        <v>1149</v>
      </c>
      <c r="D790" s="9">
        <f t="shared" si="1"/>
        <v>80</v>
      </c>
      <c r="E790" s="8" t="str">
        <f t="shared" si="2"/>
        <v>https://resources.simonelectric.com/simon-material-formativo-vehiculo-electrico</v>
      </c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</row>
    <row r="791" ht="15.75" customHeight="1">
      <c r="A791" s="5" t="s">
        <v>1150</v>
      </c>
      <c r="B791" s="5">
        <v>43973.0</v>
      </c>
      <c r="C791" s="6" t="s">
        <v>1151</v>
      </c>
      <c r="D791" s="9">
        <f t="shared" si="1"/>
        <v>80</v>
      </c>
      <c r="E791" s="8" t="str">
        <f t="shared" si="2"/>
        <v>https://resources.simonelectric.com/simon-material-formativo-vehiculo-electrico</v>
      </c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</row>
    <row r="792" ht="15.75" customHeight="1">
      <c r="A792" s="5" t="s">
        <v>1152</v>
      </c>
      <c r="B792" s="5">
        <v>43973.0</v>
      </c>
      <c r="C792" s="6" t="s">
        <v>1153</v>
      </c>
      <c r="D792" s="9">
        <f t="shared" si="1"/>
        <v>80</v>
      </c>
      <c r="E792" s="8" t="str">
        <f t="shared" si="2"/>
        <v>https://resources.simonelectric.com/simon-material-formativo-vehiculo-electrico</v>
      </c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</row>
    <row r="793" ht="15.75" customHeight="1">
      <c r="A793" s="5" t="s">
        <v>1154</v>
      </c>
      <c r="B793" s="5">
        <v>43973.0</v>
      </c>
      <c r="C793" s="6" t="s">
        <v>1155</v>
      </c>
      <c r="D793" s="7">
        <f t="shared" si="1"/>
        <v>80</v>
      </c>
      <c r="E793" s="8" t="str">
        <f t="shared" si="2"/>
        <v>https://resources.simonelectric.com/simon-material-formativo-vehiculo-electrico</v>
      </c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</row>
    <row r="794" ht="15.75" customHeight="1">
      <c r="A794" s="5" t="s">
        <v>1156</v>
      </c>
      <c r="B794" s="5">
        <v>43973.0</v>
      </c>
      <c r="C794" s="6" t="s">
        <v>1157</v>
      </c>
      <c r="D794" s="9">
        <f t="shared" si="1"/>
        <v>80</v>
      </c>
      <c r="E794" s="8" t="str">
        <f t="shared" si="2"/>
        <v>https://resources.simonelectric.com/simon-material-formativo-vehiculo-electrico</v>
      </c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</row>
    <row r="795" ht="15.75" customHeight="1">
      <c r="A795" s="5" t="s">
        <v>952</v>
      </c>
      <c r="B795" s="5">
        <v>43973.0</v>
      </c>
      <c r="C795" s="6" t="s">
        <v>1158</v>
      </c>
      <c r="D795" s="9">
        <f t="shared" si="1"/>
        <v>80</v>
      </c>
      <c r="E795" s="8" t="str">
        <f t="shared" si="2"/>
        <v>https://resources.simonelectric.com/simon-material-formativo-vehiculo-electrico</v>
      </c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</row>
    <row r="796" ht="15.75" customHeight="1">
      <c r="A796" s="5" t="s">
        <v>1159</v>
      </c>
      <c r="B796" s="5">
        <v>43973.0</v>
      </c>
      <c r="C796" s="6" t="s">
        <v>1160</v>
      </c>
      <c r="D796" s="9">
        <f t="shared" si="1"/>
        <v>70</v>
      </c>
      <c r="E796" s="8" t="str">
        <f t="shared" si="2"/>
        <v>https://resources.simonelectric.com/simon-catalogo-vehiculo-electrico</v>
      </c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</row>
    <row r="797" ht="15.75" customHeight="1">
      <c r="A797" s="5" t="s">
        <v>592</v>
      </c>
      <c r="B797" s="5">
        <v>43973.0</v>
      </c>
      <c r="C797" s="6" t="s">
        <v>1161</v>
      </c>
      <c r="D797" s="9">
        <f t="shared" si="1"/>
        <v>80</v>
      </c>
      <c r="E797" s="8" t="str">
        <f t="shared" si="2"/>
        <v>https://resources.simonelectric.com/simon-material-formativo-vehiculo-electrico</v>
      </c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</row>
    <row r="798" ht="15.75" customHeight="1">
      <c r="A798" s="5" t="s">
        <v>1162</v>
      </c>
      <c r="B798" s="5">
        <v>43973.0</v>
      </c>
      <c r="C798" s="6" t="s">
        <v>1163</v>
      </c>
      <c r="D798" s="9">
        <f t="shared" si="1"/>
        <v>80</v>
      </c>
      <c r="E798" s="8" t="str">
        <f t="shared" si="2"/>
        <v>https://resources.simonelectric.com/simon-material-formativo-vehiculo-electrico</v>
      </c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</row>
    <row r="799" ht="15.75" customHeight="1">
      <c r="A799" s="5" t="s">
        <v>1164</v>
      </c>
      <c r="B799" s="5">
        <v>43973.0</v>
      </c>
      <c r="C799" s="6" t="s">
        <v>1165</v>
      </c>
      <c r="D799" s="9">
        <f t="shared" si="1"/>
        <v>80</v>
      </c>
      <c r="E799" s="8" t="str">
        <f t="shared" si="2"/>
        <v>https://resources.simonelectric.com/simon-material-formativo-vehiculo-electrico</v>
      </c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</row>
    <row r="800" ht="15.75" customHeight="1">
      <c r="A800" s="5" t="s">
        <v>357</v>
      </c>
      <c r="B800" s="5">
        <v>43973.0</v>
      </c>
      <c r="C800" s="6" t="s">
        <v>1166</v>
      </c>
      <c r="D800" s="9">
        <f t="shared" si="1"/>
        <v>80</v>
      </c>
      <c r="E800" s="8" t="str">
        <f t="shared" si="2"/>
        <v>https://resources.simonelectric.com/simon-material-formativo-vehiculo-electrico</v>
      </c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</row>
    <row r="801" ht="15.75" customHeight="1">
      <c r="A801" s="5" t="s">
        <v>1167</v>
      </c>
      <c r="B801" s="5">
        <v>43973.0</v>
      </c>
      <c r="C801" s="6" t="s">
        <v>1168</v>
      </c>
      <c r="D801" s="9">
        <f t="shared" si="1"/>
        <v>80</v>
      </c>
      <c r="E801" s="8" t="str">
        <f t="shared" si="2"/>
        <v>https://resources.simonelectric.com/simon-material-formativo-vehiculo-electrico</v>
      </c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</row>
    <row r="802" ht="15.75" customHeight="1">
      <c r="A802" s="5" t="s">
        <v>404</v>
      </c>
      <c r="B802" s="5">
        <v>43973.0</v>
      </c>
      <c r="C802" s="6" t="s">
        <v>1169</v>
      </c>
      <c r="D802" s="9">
        <f t="shared" si="1"/>
        <v>80</v>
      </c>
      <c r="E802" s="8" t="str">
        <f t="shared" si="2"/>
        <v>https://resources.simonelectric.com/simon-material-formativo-vehiculo-electrico</v>
      </c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</row>
    <row r="803" ht="15.75" customHeight="1">
      <c r="A803" s="5" t="s">
        <v>1170</v>
      </c>
      <c r="B803" s="5">
        <v>43973.0</v>
      </c>
      <c r="C803" s="6" t="s">
        <v>1171</v>
      </c>
      <c r="D803" s="7">
        <f t="shared" si="1"/>
        <v>80</v>
      </c>
      <c r="E803" s="8" t="str">
        <f t="shared" si="2"/>
        <v>https://resources.simonelectric.com/simon-material-formativo-vehiculo-electrico</v>
      </c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</row>
    <row r="804" ht="15.75" customHeight="1">
      <c r="A804" s="5" t="s">
        <v>1172</v>
      </c>
      <c r="B804" s="5">
        <v>43973.0</v>
      </c>
      <c r="C804" s="6" t="s">
        <v>31</v>
      </c>
      <c r="D804" s="9">
        <f t="shared" si="1"/>
        <v>67</v>
      </c>
      <c r="E804" s="8" t="str">
        <f t="shared" si="2"/>
        <v>https://resources.simonelectric.com/simon-ebook-vehiculo-electrico</v>
      </c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</row>
    <row r="805" ht="15.75" customHeight="1">
      <c r="A805" s="5" t="s">
        <v>1173</v>
      </c>
      <c r="B805" s="5">
        <v>43973.0</v>
      </c>
      <c r="C805" s="6" t="s">
        <v>1174</v>
      </c>
      <c r="D805" s="9">
        <f t="shared" si="1"/>
        <v>80</v>
      </c>
      <c r="E805" s="8" t="str">
        <f t="shared" si="2"/>
        <v>https://resources.simonelectric.com/simon-material-formativo-vehiculo-electrico</v>
      </c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</row>
    <row r="806" ht="15.75" customHeight="1">
      <c r="A806" s="5" t="s">
        <v>1175</v>
      </c>
      <c r="B806" s="5">
        <v>43973.0</v>
      </c>
      <c r="C806" s="6" t="s">
        <v>1176</v>
      </c>
      <c r="D806" s="7">
        <f t="shared" si="1"/>
        <v>80</v>
      </c>
      <c r="E806" s="8" t="str">
        <f t="shared" si="2"/>
        <v>https://resources.simonelectric.com/simon-material-formativo-vehiculo-electrico</v>
      </c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</row>
    <row r="807" ht="15.75" customHeight="1">
      <c r="A807" s="5" t="s">
        <v>1177</v>
      </c>
      <c r="B807" s="5">
        <v>43973.0</v>
      </c>
      <c r="C807" s="6" t="s">
        <v>1178</v>
      </c>
      <c r="D807" s="7">
        <f t="shared" si="1"/>
        <v>80</v>
      </c>
      <c r="E807" s="8" t="str">
        <f t="shared" si="2"/>
        <v>https://resources.simonelectric.com/simon-material-formativo-vehiculo-electrico</v>
      </c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</row>
    <row r="808" ht="15.75" customHeight="1">
      <c r="A808" s="5" t="s">
        <v>1179</v>
      </c>
      <c r="B808" s="5">
        <v>43973.0</v>
      </c>
      <c r="C808" s="6" t="s">
        <v>1180</v>
      </c>
      <c r="D808" s="9">
        <f t="shared" si="1"/>
        <v>80</v>
      </c>
      <c r="E808" s="8" t="str">
        <f t="shared" si="2"/>
        <v>https://resources.simonelectric.com/simon-material-formativo-vehiculo-electrico</v>
      </c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</row>
    <row r="809" ht="15.75" customHeight="1">
      <c r="A809" s="5" t="s">
        <v>1181</v>
      </c>
      <c r="B809" s="5">
        <v>43973.0</v>
      </c>
      <c r="C809" s="6" t="s">
        <v>1182</v>
      </c>
      <c r="D809" s="9">
        <f t="shared" si="1"/>
        <v>80</v>
      </c>
      <c r="E809" s="8" t="str">
        <f t="shared" si="2"/>
        <v>https://resources.simonelectric.com/simon-material-formativo-vehiculo-electrico</v>
      </c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</row>
    <row r="810" ht="15.75" customHeight="1">
      <c r="A810" s="5" t="s">
        <v>669</v>
      </c>
      <c r="B810" s="5">
        <v>43973.0</v>
      </c>
      <c r="C810" s="6" t="s">
        <v>1183</v>
      </c>
      <c r="D810" s="9">
        <f t="shared" si="1"/>
        <v>80</v>
      </c>
      <c r="E810" s="8" t="str">
        <f t="shared" si="2"/>
        <v>https://resources.simonelectric.com/simon-material-formativo-vehiculo-electrico</v>
      </c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</row>
    <row r="811" ht="15.75" customHeight="1">
      <c r="A811" s="5" t="s">
        <v>1184</v>
      </c>
      <c r="B811" s="5">
        <v>43973.0</v>
      </c>
      <c r="C811" s="6" t="s">
        <v>1185</v>
      </c>
      <c r="D811" s="9">
        <f t="shared" si="1"/>
        <v>80</v>
      </c>
      <c r="E811" s="8" t="str">
        <f t="shared" si="2"/>
        <v>https://resources.simonelectric.com/simon-material-formativo-vehiculo-electrico</v>
      </c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</row>
    <row r="812" ht="15.75" customHeight="1">
      <c r="A812" s="5" t="s">
        <v>1186</v>
      </c>
      <c r="B812" s="5">
        <v>43973.0</v>
      </c>
      <c r="C812" s="6" t="s">
        <v>1187</v>
      </c>
      <c r="D812" s="9">
        <f t="shared" si="1"/>
        <v>80</v>
      </c>
      <c r="E812" s="8" t="str">
        <f t="shared" si="2"/>
        <v>https://resources.simonelectric.com/simon-material-formativo-vehiculo-electrico</v>
      </c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</row>
    <row r="813" ht="15.75" customHeight="1">
      <c r="A813" s="5" t="s">
        <v>1188</v>
      </c>
      <c r="B813" s="5">
        <v>43973.0</v>
      </c>
      <c r="C813" s="6" t="s">
        <v>1189</v>
      </c>
      <c r="D813" s="9">
        <f t="shared" si="1"/>
        <v>80</v>
      </c>
      <c r="E813" s="8" t="str">
        <f t="shared" si="2"/>
        <v>https://resources.simonelectric.com/simon-material-formativo-vehiculo-electrico</v>
      </c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</row>
    <row r="814" ht="15.75" customHeight="1">
      <c r="A814" s="5" t="s">
        <v>1190</v>
      </c>
      <c r="B814" s="5">
        <v>43973.0</v>
      </c>
      <c r="C814" s="6" t="s">
        <v>1191</v>
      </c>
      <c r="D814" s="9">
        <f t="shared" si="1"/>
        <v>80</v>
      </c>
      <c r="E814" s="8" t="str">
        <f t="shared" si="2"/>
        <v>https://resources.simonelectric.com/simon-material-formativo-vehiculo-electrico</v>
      </c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</row>
    <row r="815" ht="15.75" customHeight="1">
      <c r="A815" s="5" t="s">
        <v>1184</v>
      </c>
      <c r="B815" s="5">
        <v>43973.0</v>
      </c>
      <c r="C815" s="6" t="s">
        <v>1185</v>
      </c>
      <c r="D815" s="7">
        <f t="shared" si="1"/>
        <v>80</v>
      </c>
      <c r="E815" s="8" t="str">
        <f t="shared" si="2"/>
        <v>https://resources.simonelectric.com/simon-material-formativo-vehiculo-electrico</v>
      </c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</row>
    <row r="816" ht="15.75" customHeight="1">
      <c r="A816" s="5" t="s">
        <v>1192</v>
      </c>
      <c r="B816" s="5">
        <v>43973.0</v>
      </c>
      <c r="C816" s="6" t="s">
        <v>1193</v>
      </c>
      <c r="D816" s="9">
        <f t="shared" si="1"/>
        <v>80</v>
      </c>
      <c r="E816" s="8" t="str">
        <f t="shared" si="2"/>
        <v>https://resources.simonelectric.com/simon-material-formativo-vehiculo-electrico</v>
      </c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</row>
    <row r="817" ht="15.75" customHeight="1">
      <c r="A817" s="5" t="s">
        <v>744</v>
      </c>
      <c r="B817" s="5">
        <v>43973.0</v>
      </c>
      <c r="C817" s="6" t="s">
        <v>1194</v>
      </c>
      <c r="D817" s="9">
        <f t="shared" si="1"/>
        <v>80</v>
      </c>
      <c r="E817" s="8" t="str">
        <f t="shared" si="2"/>
        <v>https://resources.simonelectric.com/simon-material-formativo-vehiculo-electrico</v>
      </c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</row>
    <row r="818" ht="15.75" customHeight="1">
      <c r="A818" s="5" t="s">
        <v>1195</v>
      </c>
      <c r="B818" s="5">
        <v>43973.0</v>
      </c>
      <c r="C818" s="6" t="s">
        <v>1196</v>
      </c>
      <c r="D818" s="9">
        <f t="shared" si="1"/>
        <v>80</v>
      </c>
      <c r="E818" s="8" t="str">
        <f t="shared" si="2"/>
        <v>https://resources.simonelectric.com/simon-material-formativo-vehiculo-electrico</v>
      </c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</row>
    <row r="819" ht="15.75" customHeight="1">
      <c r="A819" s="5" t="s">
        <v>944</v>
      </c>
      <c r="B819" s="5">
        <v>43973.0</v>
      </c>
      <c r="C819" s="6" t="s">
        <v>1197</v>
      </c>
      <c r="D819" s="9">
        <f t="shared" si="1"/>
        <v>80</v>
      </c>
      <c r="E819" s="8" t="str">
        <f t="shared" si="2"/>
        <v>https://resources.simonelectric.com/simon-material-formativo-vehiculo-electrico</v>
      </c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</row>
    <row r="820" ht="15.75" customHeight="1">
      <c r="A820" s="5" t="s">
        <v>1198</v>
      </c>
      <c r="B820" s="5">
        <v>43973.0</v>
      </c>
      <c r="C820" s="6" t="s">
        <v>1199</v>
      </c>
      <c r="D820" s="9">
        <f t="shared" si="1"/>
        <v>80</v>
      </c>
      <c r="E820" s="8" t="str">
        <f t="shared" si="2"/>
        <v>https://resources.simonelectric.com/simon-material-formativo-vehiculo-electrico</v>
      </c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</row>
    <row r="821" ht="15.75" customHeight="1">
      <c r="A821" s="5" t="s">
        <v>1200</v>
      </c>
      <c r="B821" s="5">
        <v>43973.0</v>
      </c>
      <c r="C821" s="6" t="s">
        <v>1201</v>
      </c>
      <c r="D821" s="7">
        <f t="shared" si="1"/>
        <v>80</v>
      </c>
      <c r="E821" s="8" t="str">
        <f t="shared" si="2"/>
        <v>https://resources.simonelectric.com/simon-material-formativo-vehiculo-electrico</v>
      </c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</row>
    <row r="822" ht="15.75" customHeight="1">
      <c r="A822" s="5" t="s">
        <v>1202</v>
      </c>
      <c r="B822" s="5">
        <v>43973.0</v>
      </c>
      <c r="C822" s="6" t="s">
        <v>1203</v>
      </c>
      <c r="D822" s="9">
        <f t="shared" si="1"/>
        <v>80</v>
      </c>
      <c r="E822" s="8" t="str">
        <f t="shared" si="2"/>
        <v>https://resources.simonelectric.com/simon-material-formativo-vehiculo-electrico</v>
      </c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</row>
    <row r="823" ht="15.75" customHeight="1">
      <c r="A823" s="5" t="s">
        <v>1204</v>
      </c>
      <c r="B823" s="5">
        <v>43973.0</v>
      </c>
      <c r="C823" s="6" t="s">
        <v>1205</v>
      </c>
      <c r="D823" s="9">
        <f t="shared" si="1"/>
        <v>80</v>
      </c>
      <c r="E823" s="8" t="str">
        <f t="shared" si="2"/>
        <v>https://resources.simonelectric.com/simon-material-formativo-vehiculo-electrico</v>
      </c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</row>
    <row r="824" ht="15.75" customHeight="1">
      <c r="A824" s="5" t="s">
        <v>1065</v>
      </c>
      <c r="B824" s="5">
        <v>43973.0</v>
      </c>
      <c r="C824" s="6" t="s">
        <v>1206</v>
      </c>
      <c r="D824" s="9">
        <f t="shared" si="1"/>
        <v>80</v>
      </c>
      <c r="E824" s="8" t="str">
        <f t="shared" si="2"/>
        <v>https://resources.simonelectric.com/simon-material-formativo-vehiculo-electrico</v>
      </c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</row>
    <row r="825" ht="15.75" customHeight="1">
      <c r="A825" s="5" t="s">
        <v>1207</v>
      </c>
      <c r="B825" s="5">
        <v>43973.0</v>
      </c>
      <c r="C825" s="6" t="s">
        <v>1208</v>
      </c>
      <c r="D825" s="9">
        <f t="shared" si="1"/>
        <v>80</v>
      </c>
      <c r="E825" s="8" t="str">
        <f t="shared" si="2"/>
        <v>https://resources.simonelectric.com/simon-material-formativo-vehiculo-electrico</v>
      </c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</row>
    <row r="826" ht="15.75" customHeight="1">
      <c r="A826" s="5" t="s">
        <v>1209</v>
      </c>
      <c r="B826" s="5">
        <v>43973.0</v>
      </c>
      <c r="C826" s="6" t="s">
        <v>1210</v>
      </c>
      <c r="D826" s="9">
        <f t="shared" si="1"/>
        <v>80</v>
      </c>
      <c r="E826" s="8" t="str">
        <f t="shared" si="2"/>
        <v>https://resources.simonelectric.com/simon-material-formativo-vehiculo-electrico</v>
      </c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</row>
    <row r="827" ht="15.75" customHeight="1">
      <c r="A827" s="5" t="s">
        <v>1211</v>
      </c>
      <c r="B827" s="5">
        <v>43973.0</v>
      </c>
      <c r="C827" s="6" t="s">
        <v>1212</v>
      </c>
      <c r="D827" s="9">
        <f t="shared" si="1"/>
        <v>80</v>
      </c>
      <c r="E827" s="8" t="str">
        <f t="shared" si="2"/>
        <v>https://resources.simonelectric.com/simon-material-formativo-vehiculo-electrico</v>
      </c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</row>
    <row r="828" ht="15.75" customHeight="1">
      <c r="A828" s="5" t="s">
        <v>425</v>
      </c>
      <c r="B828" s="5">
        <v>43973.0</v>
      </c>
      <c r="C828" s="6" t="s">
        <v>1213</v>
      </c>
      <c r="D828" s="9">
        <f t="shared" si="1"/>
        <v>80</v>
      </c>
      <c r="E828" s="8" t="str">
        <f t="shared" si="2"/>
        <v>https://resources.simonelectric.com/simon-material-formativo-vehiculo-electrico</v>
      </c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</row>
    <row r="829" ht="15.75" customHeight="1">
      <c r="A829" s="5" t="s">
        <v>1214</v>
      </c>
      <c r="B829" s="5">
        <v>43973.0</v>
      </c>
      <c r="C829" s="6" t="s">
        <v>1215</v>
      </c>
      <c r="D829" s="9">
        <f t="shared" si="1"/>
        <v>80</v>
      </c>
      <c r="E829" s="8" t="str">
        <f t="shared" si="2"/>
        <v>https://resources.simonelectric.com/simon-material-formativo-vehiculo-electrico</v>
      </c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</row>
    <row r="830" ht="15.75" customHeight="1">
      <c r="A830" s="5" t="s">
        <v>1216</v>
      </c>
      <c r="B830" s="5">
        <v>43973.0</v>
      </c>
      <c r="C830" s="6" t="s">
        <v>1217</v>
      </c>
      <c r="D830" s="9">
        <f t="shared" si="1"/>
        <v>80</v>
      </c>
      <c r="E830" s="8" t="str">
        <f t="shared" si="2"/>
        <v>https://resources.simonelectric.com/simon-material-formativo-vehiculo-electrico</v>
      </c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</row>
    <row r="831" ht="15.75" customHeight="1">
      <c r="A831" s="5" t="s">
        <v>1218</v>
      </c>
      <c r="B831" s="5">
        <v>43973.0</v>
      </c>
      <c r="C831" s="6" t="s">
        <v>1219</v>
      </c>
      <c r="D831" s="9">
        <f t="shared" si="1"/>
        <v>80</v>
      </c>
      <c r="E831" s="8" t="str">
        <f t="shared" si="2"/>
        <v>https://resources.simonelectric.com/simon-material-formativo-vehiculo-electrico</v>
      </c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</row>
    <row r="832" ht="15.75" customHeight="1">
      <c r="A832" s="5" t="s">
        <v>1220</v>
      </c>
      <c r="B832" s="5">
        <v>43973.0</v>
      </c>
      <c r="C832" s="6" t="s">
        <v>1221</v>
      </c>
      <c r="D832" s="7">
        <f t="shared" si="1"/>
        <v>80</v>
      </c>
      <c r="E832" s="8" t="str">
        <f t="shared" si="2"/>
        <v>https://resources.simonelectric.com/simon-material-formativo-vehiculo-electrico</v>
      </c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</row>
    <row r="833" ht="15.75" customHeight="1">
      <c r="A833" s="5" t="s">
        <v>1222</v>
      </c>
      <c r="B833" s="5">
        <v>43973.0</v>
      </c>
      <c r="C833" s="6" t="s">
        <v>1223</v>
      </c>
      <c r="D833" s="7">
        <f t="shared" si="1"/>
        <v>80</v>
      </c>
      <c r="E833" s="8" t="str">
        <f t="shared" si="2"/>
        <v>https://resources.simonelectric.com/simon-material-formativo-vehiculo-electrico</v>
      </c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</row>
    <row r="834" ht="15.75" customHeight="1">
      <c r="A834" s="5" t="s">
        <v>402</v>
      </c>
      <c r="B834" s="5">
        <v>43973.0</v>
      </c>
      <c r="C834" s="6" t="s">
        <v>1224</v>
      </c>
      <c r="D834" s="9">
        <f t="shared" si="1"/>
        <v>80</v>
      </c>
      <c r="E834" s="8" t="str">
        <f t="shared" si="2"/>
        <v>https://resources.simonelectric.com/simon-material-formativo-vehiculo-electrico</v>
      </c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</row>
    <row r="835" ht="15.75" customHeight="1">
      <c r="A835" s="5" t="s">
        <v>927</v>
      </c>
      <c r="B835" s="5">
        <v>43973.0</v>
      </c>
      <c r="C835" s="6" t="s">
        <v>1225</v>
      </c>
      <c r="D835" s="9">
        <f t="shared" si="1"/>
        <v>80</v>
      </c>
      <c r="E835" s="8" t="str">
        <f t="shared" si="2"/>
        <v>https://resources.simonelectric.com/simon-material-formativo-vehiculo-electrico</v>
      </c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</row>
    <row r="836" ht="15.75" customHeight="1">
      <c r="A836" s="5" t="s">
        <v>1226</v>
      </c>
      <c r="B836" s="5">
        <v>43973.0</v>
      </c>
      <c r="C836" s="6" t="s">
        <v>1227</v>
      </c>
      <c r="D836" s="9">
        <f t="shared" si="1"/>
        <v>80</v>
      </c>
      <c r="E836" s="8" t="str">
        <f t="shared" si="2"/>
        <v>https://resources.simonelectric.com/simon-material-formativo-vehiculo-electrico</v>
      </c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</row>
    <row r="837" ht="15.75" customHeight="1">
      <c r="A837" s="5" t="s">
        <v>940</v>
      </c>
      <c r="B837" s="5">
        <v>43973.0</v>
      </c>
      <c r="C837" s="6" t="s">
        <v>1228</v>
      </c>
      <c r="D837" s="9">
        <f t="shared" si="1"/>
        <v>80</v>
      </c>
      <c r="E837" s="8" t="str">
        <f t="shared" si="2"/>
        <v>https://resources.simonelectric.com/simon-material-formativo-vehiculo-electrico</v>
      </c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</row>
    <row r="838" ht="15.75" customHeight="1">
      <c r="A838" s="5" t="s">
        <v>1229</v>
      </c>
      <c r="B838" s="5">
        <v>43973.0</v>
      </c>
      <c r="C838" s="6" t="s">
        <v>1230</v>
      </c>
      <c r="D838" s="9">
        <f t="shared" si="1"/>
        <v>80</v>
      </c>
      <c r="E838" s="8" t="str">
        <f t="shared" si="2"/>
        <v>https://resources.simonelectric.com/simon-material-formativo-vehiculo-electrico</v>
      </c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</row>
    <row r="839" ht="15.75" customHeight="1">
      <c r="A839" s="5" t="s">
        <v>1231</v>
      </c>
      <c r="B839" s="5">
        <v>43973.0</v>
      </c>
      <c r="C839" s="6" t="s">
        <v>1232</v>
      </c>
      <c r="D839" s="9">
        <f t="shared" si="1"/>
        <v>80</v>
      </c>
      <c r="E839" s="8" t="str">
        <f t="shared" si="2"/>
        <v>https://resources.simonelectric.com/simon-material-formativo-vehiculo-electrico</v>
      </c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</row>
    <row r="840" ht="15.75" customHeight="1">
      <c r="A840" s="5" t="s">
        <v>1233</v>
      </c>
      <c r="B840" s="5">
        <v>43973.0</v>
      </c>
      <c r="C840" s="6" t="s">
        <v>1234</v>
      </c>
      <c r="D840" s="9">
        <f t="shared" si="1"/>
        <v>80</v>
      </c>
      <c r="E840" s="8" t="str">
        <f t="shared" si="2"/>
        <v>https://resources.simonelectric.com/simon-material-formativo-vehiculo-electrico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</row>
    <row r="841" ht="15.75" customHeight="1">
      <c r="A841" s="5" t="s">
        <v>1235</v>
      </c>
      <c r="B841" s="5">
        <v>43973.0</v>
      </c>
      <c r="C841" s="6" t="s">
        <v>1236</v>
      </c>
      <c r="D841" s="9">
        <f t="shared" si="1"/>
        <v>80</v>
      </c>
      <c r="E841" s="8" t="str">
        <f t="shared" si="2"/>
        <v>https://resources.simonelectric.com/simon-material-formativo-vehiculo-electrico</v>
      </c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</row>
    <row r="842" ht="15.75" customHeight="1">
      <c r="A842" s="5" t="s">
        <v>911</v>
      </c>
      <c r="B842" s="5">
        <v>43973.0</v>
      </c>
      <c r="C842" s="6" t="s">
        <v>1237</v>
      </c>
      <c r="D842" s="9">
        <f t="shared" si="1"/>
        <v>80</v>
      </c>
      <c r="E842" s="8" t="str">
        <f t="shared" si="2"/>
        <v>https://resources.simonelectric.com/simon-material-formativo-vehiculo-electrico</v>
      </c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</row>
    <row r="843" ht="15.75" customHeight="1">
      <c r="A843" s="5" t="s">
        <v>1238</v>
      </c>
      <c r="B843" s="5">
        <v>43973.0</v>
      </c>
      <c r="C843" s="6" t="s">
        <v>1239</v>
      </c>
      <c r="D843" s="9">
        <f t="shared" si="1"/>
        <v>80</v>
      </c>
      <c r="E843" s="8" t="str">
        <f t="shared" si="2"/>
        <v>https://resources.simonelectric.com/simon-material-formativo-vehiculo-electrico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</row>
    <row r="844" ht="15.75" customHeight="1">
      <c r="A844" s="5" t="s">
        <v>1240</v>
      </c>
      <c r="B844" s="5">
        <v>43973.0</v>
      </c>
      <c r="C844" s="6" t="s">
        <v>1241</v>
      </c>
      <c r="D844" s="9">
        <f t="shared" si="1"/>
        <v>80</v>
      </c>
      <c r="E844" s="8" t="str">
        <f t="shared" si="2"/>
        <v>https://resources.simonelectric.com/simon-material-formativo-vehiculo-electrico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</row>
    <row r="845" ht="15.75" customHeight="1">
      <c r="A845" s="5" t="s">
        <v>1242</v>
      </c>
      <c r="B845" s="5">
        <v>43973.0</v>
      </c>
      <c r="C845" s="6" t="s">
        <v>1243</v>
      </c>
      <c r="D845" s="7">
        <f t="shared" si="1"/>
        <v>80</v>
      </c>
      <c r="E845" s="8" t="str">
        <f t="shared" si="2"/>
        <v>https://resources.simonelectric.com/simon-material-formativo-vehiculo-electrico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</row>
    <row r="846" ht="15.75" customHeight="1">
      <c r="A846" s="5" t="s">
        <v>1244</v>
      </c>
      <c r="B846" s="5">
        <v>43973.0</v>
      </c>
      <c r="C846" s="6" t="s">
        <v>1245</v>
      </c>
      <c r="D846" s="9">
        <f t="shared" si="1"/>
        <v>80</v>
      </c>
      <c r="E846" s="8" t="str">
        <f t="shared" si="2"/>
        <v>https://resources.simonelectric.com/simon-material-formativo-vehiculo-electrico</v>
      </c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</row>
    <row r="847" ht="15.75" customHeight="1">
      <c r="A847" s="5" t="s">
        <v>672</v>
      </c>
      <c r="B847" s="5">
        <v>43973.0</v>
      </c>
      <c r="C847" s="6" t="s">
        <v>1246</v>
      </c>
      <c r="D847" s="7">
        <f t="shared" si="1"/>
        <v>80</v>
      </c>
      <c r="E847" s="8" t="str">
        <f t="shared" si="2"/>
        <v>https://resources.simonelectric.com/simon-material-formativo-vehiculo-electrico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</row>
    <row r="848" ht="15.75" customHeight="1">
      <c r="A848" s="5" t="s">
        <v>608</v>
      </c>
      <c r="B848" s="5">
        <v>43973.0</v>
      </c>
      <c r="C848" s="6" t="s">
        <v>609</v>
      </c>
      <c r="D848" s="7">
        <f t="shared" si="1"/>
        <v>80</v>
      </c>
      <c r="E848" s="8" t="str">
        <f t="shared" si="2"/>
        <v>https://resources.simonelectric.com/simon-material-formativo-vehiculo-electrico</v>
      </c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</row>
    <row r="849" ht="15.75" customHeight="1">
      <c r="A849" s="5" t="s">
        <v>1247</v>
      </c>
      <c r="B849" s="5">
        <v>43973.0</v>
      </c>
      <c r="C849" s="6" t="s">
        <v>1248</v>
      </c>
      <c r="D849" s="9">
        <f t="shared" si="1"/>
        <v>80</v>
      </c>
      <c r="E849" s="8" t="str">
        <f t="shared" si="2"/>
        <v>https://resources.simonelectric.com/simon-material-formativo-vehiculo-electrico</v>
      </c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</row>
    <row r="850" ht="15.75" customHeight="1">
      <c r="A850" s="5" t="s">
        <v>1249</v>
      </c>
      <c r="B850" s="5">
        <v>43973.0</v>
      </c>
      <c r="C850" s="6" t="s">
        <v>55</v>
      </c>
      <c r="D850" s="9">
        <f t="shared" si="1"/>
        <v>71</v>
      </c>
      <c r="E850" s="8" t="str">
        <f t="shared" si="2"/>
        <v>https://resources.simonelectric.com/simon-ebook-vehiculo-electrico-ppc</v>
      </c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</row>
    <row r="851" ht="15.75" customHeight="1">
      <c r="A851" s="5" t="s">
        <v>1250</v>
      </c>
      <c r="B851" s="5">
        <v>43973.0</v>
      </c>
      <c r="C851" s="6" t="s">
        <v>596</v>
      </c>
      <c r="D851" s="9">
        <f t="shared" si="1"/>
        <v>67</v>
      </c>
      <c r="E851" s="8" t="str">
        <f t="shared" si="2"/>
        <v>https://resources.simonelectric.com/simon-ebook-vehiculo-electrico</v>
      </c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</row>
    <row r="852" ht="15.75" customHeight="1">
      <c r="A852" s="5" t="s">
        <v>1251</v>
      </c>
      <c r="B852" s="5">
        <v>43972.0</v>
      </c>
      <c r="C852" s="6" t="s">
        <v>55</v>
      </c>
      <c r="D852" s="9">
        <f t="shared" si="1"/>
        <v>71</v>
      </c>
      <c r="E852" s="8" t="str">
        <f t="shared" si="2"/>
        <v>https://resources.simonelectric.com/simon-ebook-vehiculo-electrico-ppc</v>
      </c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</row>
    <row r="853" ht="15.75" customHeight="1">
      <c r="A853" s="5" t="s">
        <v>1252</v>
      </c>
      <c r="B853" s="5">
        <v>43972.0</v>
      </c>
      <c r="C853" s="6" t="s">
        <v>1253</v>
      </c>
      <c r="D853" s="9">
        <f t="shared" si="1"/>
        <v>70</v>
      </c>
      <c r="E853" s="8" t="str">
        <f t="shared" si="2"/>
        <v>https://resources.simonelectric.com/simon-catalogo-vehiculo-electrico</v>
      </c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</row>
    <row r="854" ht="15.75" customHeight="1">
      <c r="A854" s="5" t="s">
        <v>1254</v>
      </c>
      <c r="B854" s="5">
        <v>43972.0</v>
      </c>
      <c r="C854" s="6" t="s">
        <v>75</v>
      </c>
      <c r="D854" s="9">
        <f t="shared" si="1"/>
        <v>67</v>
      </c>
      <c r="E854" s="8" t="str">
        <f t="shared" si="2"/>
        <v>https://resources.simonelectric.com/simon-ebook-vehiculo-electrico</v>
      </c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</row>
    <row r="855" ht="15.75" customHeight="1">
      <c r="A855" s="5" t="s">
        <v>723</v>
      </c>
      <c r="B855" s="5">
        <v>43972.0</v>
      </c>
      <c r="C855" s="6" t="s">
        <v>1255</v>
      </c>
      <c r="D855" s="9">
        <f t="shared" si="1"/>
        <v>70</v>
      </c>
      <c r="E855" s="8" t="str">
        <f t="shared" si="2"/>
        <v>https://resources.simonelectric.com/simon-catalogo-vehiculo-electrico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</row>
    <row r="856" ht="15.75" customHeight="1">
      <c r="A856" s="5" t="s">
        <v>565</v>
      </c>
      <c r="B856" s="5">
        <v>43972.0</v>
      </c>
      <c r="C856" s="6" t="s">
        <v>299</v>
      </c>
      <c r="D856" s="7" t="str">
        <f t="shared" si="1"/>
        <v>https://resources.simonelectric.com/simon-material-formativo-vehiculo-electrico</v>
      </c>
      <c r="E856" s="8" t="str">
        <f t="shared" si="2"/>
        <v>https://resources.simonelectric.com/simon-material-formativo-vehiculo-electrico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</row>
    <row r="857" ht="15.75" customHeight="1">
      <c r="A857" s="5" t="s">
        <v>1256</v>
      </c>
      <c r="B857" s="5">
        <v>43972.0</v>
      </c>
      <c r="C857" s="6" t="s">
        <v>1257</v>
      </c>
      <c r="D857" s="9">
        <f t="shared" si="1"/>
        <v>70</v>
      </c>
      <c r="E857" s="8" t="str">
        <f t="shared" si="2"/>
        <v>https://resources.simonelectric.com/simon-catalogo-vehiculo-electrico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</row>
    <row r="858" ht="15.75" customHeight="1">
      <c r="A858" s="5" t="s">
        <v>1258</v>
      </c>
      <c r="B858" s="5">
        <v>43972.0</v>
      </c>
      <c r="C858" s="6" t="s">
        <v>299</v>
      </c>
      <c r="D858" s="7" t="str">
        <f t="shared" si="1"/>
        <v>https://resources.simonelectric.com/simon-material-formativo-vehiculo-electrico</v>
      </c>
      <c r="E858" s="8" t="str">
        <f t="shared" si="2"/>
        <v>https://resources.simonelectric.com/simon-material-formativo-vehiculo-electrico</v>
      </c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</row>
    <row r="859" ht="15.75" customHeight="1">
      <c r="A859" s="5" t="s">
        <v>1043</v>
      </c>
      <c r="B859" s="5">
        <v>43972.0</v>
      </c>
      <c r="C859" s="6" t="s">
        <v>28</v>
      </c>
      <c r="D859" s="7" t="str">
        <f t="shared" si="1"/>
        <v>https://resources.simonelectric.com/simon-ebook-vehiculo-electrico</v>
      </c>
      <c r="E859" s="8" t="str">
        <f t="shared" si="2"/>
        <v>https://resources.simonelectric.com/simon-ebook-vehiculo-electrico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</row>
    <row r="860" ht="15.75" customHeight="1">
      <c r="A860" s="5" t="s">
        <v>875</v>
      </c>
      <c r="B860" s="5">
        <v>43972.0</v>
      </c>
      <c r="C860" s="6" t="s">
        <v>1259</v>
      </c>
      <c r="D860" s="9">
        <f t="shared" si="1"/>
        <v>70</v>
      </c>
      <c r="E860" s="8" t="str">
        <f t="shared" si="2"/>
        <v>https://resources.simonelectric.com/simon-catalogo-vehiculo-electrico</v>
      </c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</row>
    <row r="861" ht="15.75" customHeight="1">
      <c r="A861" s="5" t="s">
        <v>1260</v>
      </c>
      <c r="B861" s="5">
        <v>43972.0</v>
      </c>
      <c r="C861" s="6" t="s">
        <v>8</v>
      </c>
      <c r="D861" s="9">
        <f t="shared" si="1"/>
        <v>67</v>
      </c>
      <c r="E861" s="8" t="str">
        <f t="shared" si="2"/>
        <v>https://resources.simonelectric.com/simon-ebook-vehiculo-electrico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</row>
    <row r="862" ht="15.75" customHeight="1">
      <c r="A862" s="5" t="s">
        <v>1261</v>
      </c>
      <c r="B862" s="5">
        <v>43972.0</v>
      </c>
      <c r="C862" s="6" t="s">
        <v>28</v>
      </c>
      <c r="D862" s="7" t="str">
        <f t="shared" si="1"/>
        <v>https://resources.simonelectric.com/simon-ebook-vehiculo-electrico</v>
      </c>
      <c r="E862" s="8" t="str">
        <f t="shared" si="2"/>
        <v>https://resources.simonelectric.com/simon-ebook-vehiculo-electrico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</row>
    <row r="863" ht="15.75" customHeight="1">
      <c r="A863" s="5" t="s">
        <v>991</v>
      </c>
      <c r="B863" s="5">
        <v>43972.0</v>
      </c>
      <c r="C863" s="6" t="s">
        <v>1262</v>
      </c>
      <c r="D863" s="9">
        <f t="shared" si="1"/>
        <v>70</v>
      </c>
      <c r="E863" s="8" t="str">
        <f t="shared" si="2"/>
        <v>https://resources.simonelectric.com/simon-catalogo-vehiculo-electrico</v>
      </c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</row>
    <row r="864" ht="15.75" customHeight="1">
      <c r="A864" s="5" t="s">
        <v>1099</v>
      </c>
      <c r="B864" s="5">
        <v>43972.0</v>
      </c>
      <c r="C864" s="6" t="s">
        <v>1263</v>
      </c>
      <c r="D864" s="9">
        <f t="shared" si="1"/>
        <v>70</v>
      </c>
      <c r="E864" s="8" t="str">
        <f t="shared" si="2"/>
        <v>https://resources.simonelectric.com/simon-catalogo-vehiculo-electrico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</row>
    <row r="865" ht="15.75" customHeight="1">
      <c r="A865" s="5" t="s">
        <v>1264</v>
      </c>
      <c r="B865" s="5">
        <v>43972.0</v>
      </c>
      <c r="C865" s="6" t="s">
        <v>28</v>
      </c>
      <c r="D865" s="7" t="str">
        <f t="shared" si="1"/>
        <v>https://resources.simonelectric.com/simon-ebook-vehiculo-electrico</v>
      </c>
      <c r="E865" s="8" t="str">
        <f t="shared" si="2"/>
        <v>https://resources.simonelectric.com/simon-ebook-vehiculo-electrico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</row>
    <row r="866" ht="15.75" customHeight="1">
      <c r="A866" s="5" t="s">
        <v>1265</v>
      </c>
      <c r="B866" s="5">
        <v>43972.0</v>
      </c>
      <c r="C866" s="6" t="s">
        <v>28</v>
      </c>
      <c r="D866" s="7" t="str">
        <f t="shared" si="1"/>
        <v>https://resources.simonelectric.com/simon-ebook-vehiculo-electrico</v>
      </c>
      <c r="E866" s="8" t="str">
        <f t="shared" si="2"/>
        <v>https://resources.simonelectric.com/simon-ebook-vehiculo-electrico</v>
      </c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</row>
    <row r="867" ht="15.75" customHeight="1">
      <c r="A867" s="5" t="s">
        <v>1266</v>
      </c>
      <c r="B867" s="5">
        <v>43972.0</v>
      </c>
      <c r="C867" s="6" t="s">
        <v>28</v>
      </c>
      <c r="D867" s="7" t="str">
        <f t="shared" si="1"/>
        <v>https://resources.simonelectric.com/simon-ebook-vehiculo-electrico</v>
      </c>
      <c r="E867" s="8" t="str">
        <f t="shared" si="2"/>
        <v>https://resources.simonelectric.com/simon-ebook-vehiculo-electrico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</row>
    <row r="868" ht="15.75" customHeight="1">
      <c r="A868" s="5" t="s">
        <v>1267</v>
      </c>
      <c r="B868" s="5">
        <v>43972.0</v>
      </c>
      <c r="C868" s="6" t="s">
        <v>1268</v>
      </c>
      <c r="D868" s="9">
        <f t="shared" si="1"/>
        <v>70</v>
      </c>
      <c r="E868" s="8" t="str">
        <f t="shared" si="2"/>
        <v>https://resources.simonelectric.com/simon-catalogo-vehiculo-electrico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</row>
    <row r="869" ht="15.75" customHeight="1">
      <c r="A869" s="5" t="s">
        <v>1269</v>
      </c>
      <c r="B869" s="5">
        <v>43972.0</v>
      </c>
      <c r="C869" s="6" t="s">
        <v>28</v>
      </c>
      <c r="D869" s="7" t="str">
        <f t="shared" si="1"/>
        <v>https://resources.simonelectric.com/simon-ebook-vehiculo-electrico</v>
      </c>
      <c r="E869" s="8" t="str">
        <f t="shared" si="2"/>
        <v>https://resources.simonelectric.com/simon-ebook-vehiculo-electrico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</row>
    <row r="870" ht="15.75" customHeight="1">
      <c r="A870" s="5" t="s">
        <v>1269</v>
      </c>
      <c r="B870" s="5">
        <v>43972.0</v>
      </c>
      <c r="C870" s="6" t="s">
        <v>28</v>
      </c>
      <c r="D870" s="7" t="str">
        <f t="shared" si="1"/>
        <v>https://resources.simonelectric.com/simon-ebook-vehiculo-electrico</v>
      </c>
      <c r="E870" s="8" t="str">
        <f t="shared" si="2"/>
        <v>https://resources.simonelectric.com/simon-ebook-vehiculo-electrico</v>
      </c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</row>
    <row r="871" ht="15.75" customHeight="1">
      <c r="A871" s="5" t="s">
        <v>1270</v>
      </c>
      <c r="B871" s="5">
        <v>43972.0</v>
      </c>
      <c r="C871" s="6" t="s">
        <v>1271</v>
      </c>
      <c r="D871" s="9">
        <f t="shared" si="1"/>
        <v>70</v>
      </c>
      <c r="E871" s="8" t="str">
        <f t="shared" si="2"/>
        <v>https://resources.simonelectric.com/simon-catalogo-vehiculo-electrico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</row>
    <row r="872" ht="15.75" customHeight="1">
      <c r="A872" s="5" t="s">
        <v>1272</v>
      </c>
      <c r="B872" s="5">
        <v>43972.0</v>
      </c>
      <c r="C872" s="6" t="s">
        <v>1273</v>
      </c>
      <c r="D872" s="9">
        <f t="shared" si="1"/>
        <v>67</v>
      </c>
      <c r="E872" s="8" t="str">
        <f t="shared" si="2"/>
        <v>https://resources.simonelectric.com/simon-ebook-vehiculo-electrico</v>
      </c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</row>
    <row r="873" ht="15.75" customHeight="1">
      <c r="A873" s="5" t="s">
        <v>1274</v>
      </c>
      <c r="B873" s="5">
        <v>43972.0</v>
      </c>
      <c r="C873" s="6" t="s">
        <v>1275</v>
      </c>
      <c r="D873" s="9">
        <f t="shared" si="1"/>
        <v>70</v>
      </c>
      <c r="E873" s="8" t="str">
        <f t="shared" si="2"/>
        <v>https://resources.simonelectric.com/simon-catalogo-vehiculo-electrico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</row>
    <row r="874" ht="15.75" customHeight="1">
      <c r="A874" s="5" t="s">
        <v>1274</v>
      </c>
      <c r="B874" s="5">
        <v>43972.0</v>
      </c>
      <c r="C874" s="6" t="s">
        <v>28</v>
      </c>
      <c r="D874" s="7" t="str">
        <f t="shared" si="1"/>
        <v>https://resources.simonelectric.com/simon-ebook-vehiculo-electrico</v>
      </c>
      <c r="E874" s="8" t="str">
        <f t="shared" si="2"/>
        <v>https://resources.simonelectric.com/simon-ebook-vehiculo-electrico</v>
      </c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</row>
    <row r="875" ht="15.75" customHeight="1">
      <c r="A875" s="5" t="s">
        <v>1276</v>
      </c>
      <c r="B875" s="5">
        <v>43972.0</v>
      </c>
      <c r="C875" s="6" t="s">
        <v>1277</v>
      </c>
      <c r="D875" s="9">
        <f t="shared" si="1"/>
        <v>70</v>
      </c>
      <c r="E875" s="8" t="str">
        <f t="shared" si="2"/>
        <v>https://resources.simonelectric.com/simon-catalogo-vehiculo-electrico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</row>
    <row r="876" ht="15.75" customHeight="1">
      <c r="A876" s="5" t="s">
        <v>1046</v>
      </c>
      <c r="B876" s="5">
        <v>43972.0</v>
      </c>
      <c r="C876" s="6" t="s">
        <v>8</v>
      </c>
      <c r="D876" s="9">
        <f t="shared" si="1"/>
        <v>67</v>
      </c>
      <c r="E876" s="8" t="str">
        <f t="shared" si="2"/>
        <v>https://resources.simonelectric.com/simon-ebook-vehiculo-electrico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</row>
    <row r="877" ht="15.75" customHeight="1">
      <c r="A877" s="5" t="s">
        <v>1278</v>
      </c>
      <c r="B877" s="5">
        <v>43972.0</v>
      </c>
      <c r="C877" s="6" t="s">
        <v>28</v>
      </c>
      <c r="D877" s="7" t="str">
        <f t="shared" si="1"/>
        <v>https://resources.simonelectric.com/simon-ebook-vehiculo-electrico</v>
      </c>
      <c r="E877" s="8" t="str">
        <f t="shared" si="2"/>
        <v>https://resources.simonelectric.com/simon-ebook-vehiculo-electrico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</row>
    <row r="878" ht="15.75" customHeight="1">
      <c r="A878" s="5" t="s">
        <v>1198</v>
      </c>
      <c r="B878" s="5">
        <v>43972.0</v>
      </c>
      <c r="C878" s="6" t="s">
        <v>28</v>
      </c>
      <c r="D878" s="7" t="str">
        <f t="shared" si="1"/>
        <v>https://resources.simonelectric.com/simon-ebook-vehiculo-electrico</v>
      </c>
      <c r="E878" s="8" t="str">
        <f t="shared" si="2"/>
        <v>https://resources.simonelectric.com/simon-ebook-vehiculo-electrico</v>
      </c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</row>
    <row r="879" ht="15.75" customHeight="1">
      <c r="A879" s="5" t="s">
        <v>1279</v>
      </c>
      <c r="B879" s="5">
        <v>43972.0</v>
      </c>
      <c r="C879" s="6" t="s">
        <v>28</v>
      </c>
      <c r="D879" s="7" t="str">
        <f t="shared" si="1"/>
        <v>https://resources.simonelectric.com/simon-ebook-vehiculo-electrico</v>
      </c>
      <c r="E879" s="8" t="str">
        <f t="shared" si="2"/>
        <v>https://resources.simonelectric.com/simon-ebook-vehiculo-electrico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</row>
    <row r="880" ht="15.75" customHeight="1">
      <c r="A880" s="5" t="s">
        <v>1058</v>
      </c>
      <c r="B880" s="5">
        <v>43972.0</v>
      </c>
      <c r="C880" s="6" t="s">
        <v>1280</v>
      </c>
      <c r="D880" s="9">
        <f t="shared" si="1"/>
        <v>70</v>
      </c>
      <c r="E880" s="8" t="str">
        <f t="shared" si="2"/>
        <v>https://resources.simonelectric.com/simon-catalogo-vehiculo-electrico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</row>
    <row r="881" ht="15.75" customHeight="1">
      <c r="A881" s="5" t="s">
        <v>1048</v>
      </c>
      <c r="B881" s="5">
        <v>43972.0</v>
      </c>
      <c r="C881" s="6" t="s">
        <v>28</v>
      </c>
      <c r="D881" s="7" t="str">
        <f t="shared" si="1"/>
        <v>https://resources.simonelectric.com/simon-ebook-vehiculo-electrico</v>
      </c>
      <c r="E881" s="8" t="str">
        <f t="shared" si="2"/>
        <v>https://resources.simonelectric.com/simon-ebook-vehiculo-electrico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</row>
    <row r="882" ht="15.75" customHeight="1">
      <c r="A882" s="5" t="s">
        <v>1281</v>
      </c>
      <c r="B882" s="5">
        <v>43972.0</v>
      </c>
      <c r="C882" s="6" t="s">
        <v>28</v>
      </c>
      <c r="D882" s="7" t="str">
        <f t="shared" si="1"/>
        <v>https://resources.simonelectric.com/simon-ebook-vehiculo-electrico</v>
      </c>
      <c r="E882" s="8" t="str">
        <f t="shared" si="2"/>
        <v>https://resources.simonelectric.com/simon-ebook-vehiculo-electrico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</row>
    <row r="883" ht="15.75" customHeight="1">
      <c r="A883" s="5" t="s">
        <v>1282</v>
      </c>
      <c r="B883" s="5">
        <v>43972.0</v>
      </c>
      <c r="C883" s="6" t="s">
        <v>28</v>
      </c>
      <c r="D883" s="7" t="str">
        <f t="shared" si="1"/>
        <v>https://resources.simonelectric.com/simon-ebook-vehiculo-electrico</v>
      </c>
      <c r="E883" s="8" t="str">
        <f t="shared" si="2"/>
        <v>https://resources.simonelectric.com/simon-ebook-vehiculo-electrico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</row>
    <row r="884" ht="15.75" customHeight="1">
      <c r="A884" s="5" t="s">
        <v>1283</v>
      </c>
      <c r="B884" s="5">
        <v>43972.0</v>
      </c>
      <c r="C884" s="6" t="s">
        <v>28</v>
      </c>
      <c r="D884" s="7" t="str">
        <f t="shared" si="1"/>
        <v>https://resources.simonelectric.com/simon-ebook-vehiculo-electrico</v>
      </c>
      <c r="E884" s="8" t="str">
        <f t="shared" si="2"/>
        <v>https://resources.simonelectric.com/simon-ebook-vehiculo-electrico</v>
      </c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</row>
    <row r="885" ht="15.75" customHeight="1">
      <c r="A885" s="5" t="s">
        <v>1284</v>
      </c>
      <c r="B885" s="5">
        <v>43972.0</v>
      </c>
      <c r="C885" s="6" t="s">
        <v>28</v>
      </c>
      <c r="D885" s="7" t="str">
        <f t="shared" si="1"/>
        <v>https://resources.simonelectric.com/simon-ebook-vehiculo-electrico</v>
      </c>
      <c r="E885" s="8" t="str">
        <f t="shared" si="2"/>
        <v>https://resources.simonelectric.com/simon-ebook-vehiculo-electrico</v>
      </c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</row>
    <row r="886" ht="15.75" customHeight="1">
      <c r="A886" s="5" t="s">
        <v>1285</v>
      </c>
      <c r="B886" s="5">
        <v>43972.0</v>
      </c>
      <c r="C886" s="6" t="s">
        <v>1286</v>
      </c>
      <c r="D886" s="9">
        <f t="shared" si="1"/>
        <v>70</v>
      </c>
      <c r="E886" s="8" t="str">
        <f t="shared" si="2"/>
        <v>https://resources.simonelectric.com/simon-catalogo-vehiculo-electrico</v>
      </c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</row>
    <row r="887" ht="15.75" customHeight="1">
      <c r="A887" s="5" t="s">
        <v>1129</v>
      </c>
      <c r="B887" s="5">
        <v>43972.0</v>
      </c>
      <c r="C887" s="6" t="s">
        <v>28</v>
      </c>
      <c r="D887" s="7" t="str">
        <f t="shared" si="1"/>
        <v>https://resources.simonelectric.com/simon-ebook-vehiculo-electrico</v>
      </c>
      <c r="E887" s="8" t="str">
        <f t="shared" si="2"/>
        <v>https://resources.simonelectric.com/simon-ebook-vehiculo-electrico</v>
      </c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</row>
    <row r="888" ht="15.75" customHeight="1">
      <c r="A888" s="5" t="s">
        <v>1179</v>
      </c>
      <c r="B888" s="5">
        <v>43972.0</v>
      </c>
      <c r="C888" s="6" t="s">
        <v>28</v>
      </c>
      <c r="D888" s="7" t="str">
        <f t="shared" si="1"/>
        <v>https://resources.simonelectric.com/simon-ebook-vehiculo-electrico</v>
      </c>
      <c r="E888" s="8" t="str">
        <f t="shared" si="2"/>
        <v>https://resources.simonelectric.com/simon-ebook-vehiculo-electrico</v>
      </c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</row>
    <row r="889" ht="15.75" customHeight="1">
      <c r="A889" s="5" t="s">
        <v>1287</v>
      </c>
      <c r="B889" s="5">
        <v>43972.0</v>
      </c>
      <c r="C889" s="6" t="s">
        <v>28</v>
      </c>
      <c r="D889" s="7" t="str">
        <f t="shared" si="1"/>
        <v>https://resources.simonelectric.com/simon-ebook-vehiculo-electrico</v>
      </c>
      <c r="E889" s="8" t="str">
        <f t="shared" si="2"/>
        <v>https://resources.simonelectric.com/simon-ebook-vehiculo-electrico</v>
      </c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</row>
    <row r="890" ht="15.75" customHeight="1">
      <c r="A890" s="5" t="s">
        <v>1288</v>
      </c>
      <c r="B890" s="5">
        <v>43972.0</v>
      </c>
      <c r="C890" s="6" t="s">
        <v>28</v>
      </c>
      <c r="D890" s="7" t="str">
        <f t="shared" si="1"/>
        <v>https://resources.simonelectric.com/simon-ebook-vehiculo-electrico</v>
      </c>
      <c r="E890" s="8" t="str">
        <f t="shared" si="2"/>
        <v>https://resources.simonelectric.com/simon-ebook-vehiculo-electrico</v>
      </c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</row>
    <row r="891" ht="15.75" customHeight="1">
      <c r="A891" s="5" t="s">
        <v>1289</v>
      </c>
      <c r="B891" s="5">
        <v>43972.0</v>
      </c>
      <c r="C891" s="6" t="s">
        <v>1290</v>
      </c>
      <c r="D891" s="9">
        <f t="shared" si="1"/>
        <v>70</v>
      </c>
      <c r="E891" s="8" t="str">
        <f t="shared" si="2"/>
        <v>https://resources.simonelectric.com/simon-catalogo-vehiculo-electrico</v>
      </c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</row>
    <row r="892" ht="15.75" customHeight="1">
      <c r="A892" s="5" t="s">
        <v>1291</v>
      </c>
      <c r="B892" s="5">
        <v>43972.0</v>
      </c>
      <c r="C892" s="6" t="s">
        <v>10</v>
      </c>
      <c r="D892" s="7" t="str">
        <f t="shared" si="1"/>
        <v>https://resources.simonelectric.com/simon-catalogo-vehiculo-electrico</v>
      </c>
      <c r="E892" s="8" t="str">
        <f t="shared" si="2"/>
        <v>https://resources.simonelectric.com/simon-catalogo-vehiculo-electrico</v>
      </c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</row>
    <row r="893" ht="15.75" customHeight="1">
      <c r="A893" s="5" t="s">
        <v>1292</v>
      </c>
      <c r="B893" s="5">
        <v>43972.0</v>
      </c>
      <c r="C893" s="6" t="s">
        <v>1293</v>
      </c>
      <c r="D893" s="9">
        <f t="shared" si="1"/>
        <v>70</v>
      </c>
      <c r="E893" s="8" t="str">
        <f t="shared" si="2"/>
        <v>https://resources.simonelectric.com/simon-catalogo-vehiculo-electrico</v>
      </c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</row>
    <row r="894" ht="15.75" customHeight="1">
      <c r="A894" s="5" t="s">
        <v>1294</v>
      </c>
      <c r="B894" s="5">
        <v>43972.0</v>
      </c>
      <c r="C894" s="6" t="s">
        <v>28</v>
      </c>
      <c r="D894" s="7" t="str">
        <f t="shared" si="1"/>
        <v>https://resources.simonelectric.com/simon-ebook-vehiculo-electrico</v>
      </c>
      <c r="E894" s="8" t="str">
        <f t="shared" si="2"/>
        <v>https://resources.simonelectric.com/simon-ebook-vehiculo-electrico</v>
      </c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</row>
    <row r="895" ht="15.75" customHeight="1">
      <c r="A895" s="5" t="s">
        <v>1295</v>
      </c>
      <c r="B895" s="5">
        <v>43972.0</v>
      </c>
      <c r="C895" s="6" t="s">
        <v>28</v>
      </c>
      <c r="D895" s="7" t="str">
        <f t="shared" si="1"/>
        <v>https://resources.simonelectric.com/simon-ebook-vehiculo-electrico</v>
      </c>
      <c r="E895" s="8" t="str">
        <f t="shared" si="2"/>
        <v>https://resources.simonelectric.com/simon-ebook-vehiculo-electrico</v>
      </c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</row>
    <row r="896" ht="15.75" customHeight="1">
      <c r="A896" s="5" t="s">
        <v>1296</v>
      </c>
      <c r="B896" s="5">
        <v>43972.0</v>
      </c>
      <c r="C896" s="6" t="s">
        <v>1297</v>
      </c>
      <c r="D896" s="9">
        <f t="shared" si="1"/>
        <v>70</v>
      </c>
      <c r="E896" s="8" t="str">
        <f t="shared" si="2"/>
        <v>https://resources.simonelectric.com/simon-catalogo-vehiculo-electrico</v>
      </c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</row>
    <row r="897" ht="15.75" customHeight="1">
      <c r="A897" s="5" t="s">
        <v>1298</v>
      </c>
      <c r="B897" s="5">
        <v>43972.0</v>
      </c>
      <c r="C897" s="6" t="s">
        <v>28</v>
      </c>
      <c r="D897" s="7" t="str">
        <f t="shared" si="1"/>
        <v>https://resources.simonelectric.com/simon-ebook-vehiculo-electrico</v>
      </c>
      <c r="E897" s="8" t="str">
        <f t="shared" si="2"/>
        <v>https://resources.simonelectric.com/simon-ebook-vehiculo-electrico</v>
      </c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</row>
    <row r="898" ht="15.75" customHeight="1">
      <c r="A898" s="5" t="s">
        <v>1299</v>
      </c>
      <c r="B898" s="5">
        <v>43972.0</v>
      </c>
      <c r="C898" s="6" t="s">
        <v>1300</v>
      </c>
      <c r="D898" s="9">
        <f t="shared" si="1"/>
        <v>70</v>
      </c>
      <c r="E898" s="8" t="str">
        <f t="shared" si="2"/>
        <v>https://resources.simonelectric.com/simon-catalogo-vehiculo-electrico</v>
      </c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</row>
    <row r="899" ht="15.75" customHeight="1">
      <c r="A899" s="5" t="s">
        <v>640</v>
      </c>
      <c r="B899" s="5">
        <v>43972.0</v>
      </c>
      <c r="C899" s="6" t="s">
        <v>28</v>
      </c>
      <c r="D899" s="7" t="str">
        <f t="shared" si="1"/>
        <v>https://resources.simonelectric.com/simon-ebook-vehiculo-electrico</v>
      </c>
      <c r="E899" s="8" t="str">
        <f t="shared" si="2"/>
        <v>https://resources.simonelectric.com/simon-ebook-vehiculo-electrico</v>
      </c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</row>
    <row r="900" ht="15.75" customHeight="1">
      <c r="A900" s="5" t="s">
        <v>1299</v>
      </c>
      <c r="B900" s="5">
        <v>43972.0</v>
      </c>
      <c r="C900" s="6" t="s">
        <v>28</v>
      </c>
      <c r="D900" s="7" t="str">
        <f t="shared" si="1"/>
        <v>https://resources.simonelectric.com/simon-ebook-vehiculo-electrico</v>
      </c>
      <c r="E900" s="8" t="str">
        <f t="shared" si="2"/>
        <v>https://resources.simonelectric.com/simon-ebook-vehiculo-electrico</v>
      </c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</row>
    <row r="901" ht="15.75" customHeight="1">
      <c r="A901" s="5" t="s">
        <v>1301</v>
      </c>
      <c r="B901" s="5">
        <v>43972.0</v>
      </c>
      <c r="C901" s="6" t="s">
        <v>299</v>
      </c>
      <c r="D901" s="7" t="str">
        <f t="shared" si="1"/>
        <v>https://resources.simonelectric.com/simon-material-formativo-vehiculo-electrico</v>
      </c>
      <c r="E901" s="8" t="str">
        <f t="shared" si="2"/>
        <v>https://resources.simonelectric.com/simon-material-formativo-vehiculo-electrico</v>
      </c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</row>
    <row r="902" ht="15.75" customHeight="1">
      <c r="A902" s="5" t="s">
        <v>1127</v>
      </c>
      <c r="B902" s="5">
        <v>43972.0</v>
      </c>
      <c r="C902" s="6" t="s">
        <v>28</v>
      </c>
      <c r="D902" s="7" t="str">
        <f t="shared" si="1"/>
        <v>https://resources.simonelectric.com/simon-ebook-vehiculo-electrico</v>
      </c>
      <c r="E902" s="8" t="str">
        <f t="shared" si="2"/>
        <v>https://resources.simonelectric.com/simon-ebook-vehiculo-electrico</v>
      </c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</row>
    <row r="903" ht="15.75" customHeight="1">
      <c r="A903" s="5" t="s">
        <v>1302</v>
      </c>
      <c r="B903" s="5">
        <v>43972.0</v>
      </c>
      <c r="C903" s="6" t="s">
        <v>28</v>
      </c>
      <c r="D903" s="7" t="str">
        <f t="shared" si="1"/>
        <v>https://resources.simonelectric.com/simon-ebook-vehiculo-electrico</v>
      </c>
      <c r="E903" s="8" t="str">
        <f t="shared" si="2"/>
        <v>https://resources.simonelectric.com/simon-ebook-vehiculo-electrico</v>
      </c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</row>
    <row r="904" ht="15.75" customHeight="1">
      <c r="A904" s="5" t="s">
        <v>1303</v>
      </c>
      <c r="B904" s="5">
        <v>43972.0</v>
      </c>
      <c r="C904" s="6" t="s">
        <v>28</v>
      </c>
      <c r="D904" s="7" t="str">
        <f t="shared" si="1"/>
        <v>https://resources.simonelectric.com/simon-ebook-vehiculo-electrico</v>
      </c>
      <c r="E904" s="8" t="str">
        <f t="shared" si="2"/>
        <v>https://resources.simonelectric.com/simon-ebook-vehiculo-electrico</v>
      </c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</row>
    <row r="905" ht="15.75" customHeight="1">
      <c r="A905" s="5" t="s">
        <v>795</v>
      </c>
      <c r="B905" s="5">
        <v>43972.0</v>
      </c>
      <c r="C905" s="6" t="s">
        <v>28</v>
      </c>
      <c r="D905" s="7" t="str">
        <f t="shared" si="1"/>
        <v>https://resources.simonelectric.com/simon-ebook-vehiculo-electrico</v>
      </c>
      <c r="E905" s="8" t="str">
        <f t="shared" si="2"/>
        <v>https://resources.simonelectric.com/simon-ebook-vehiculo-electrico</v>
      </c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</row>
    <row r="906" ht="15.75" customHeight="1">
      <c r="A906" s="5" t="s">
        <v>1304</v>
      </c>
      <c r="B906" s="5">
        <v>43972.0</v>
      </c>
      <c r="C906" s="6" t="s">
        <v>1305</v>
      </c>
      <c r="D906" s="9">
        <f t="shared" si="1"/>
        <v>70</v>
      </c>
      <c r="E906" s="8" t="str">
        <f t="shared" si="2"/>
        <v>https://resources.simonelectric.com/simon-catalogo-vehiculo-electrico</v>
      </c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</row>
    <row r="907" ht="15.75" customHeight="1">
      <c r="A907" s="5" t="s">
        <v>1306</v>
      </c>
      <c r="B907" s="5">
        <v>43972.0</v>
      </c>
      <c r="C907" s="6" t="s">
        <v>1307</v>
      </c>
      <c r="D907" s="9">
        <f t="shared" si="1"/>
        <v>70</v>
      </c>
      <c r="E907" s="8" t="str">
        <f t="shared" si="2"/>
        <v>https://resources.simonelectric.com/simon-catalogo-vehiculo-electrico</v>
      </c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</row>
    <row r="908" ht="15.75" customHeight="1">
      <c r="A908" s="5" t="s">
        <v>1134</v>
      </c>
      <c r="B908" s="5">
        <v>43972.0</v>
      </c>
      <c r="C908" s="6" t="s">
        <v>28</v>
      </c>
      <c r="D908" s="7" t="str">
        <f t="shared" si="1"/>
        <v>https://resources.simonelectric.com/simon-ebook-vehiculo-electrico</v>
      </c>
      <c r="E908" s="8" t="str">
        <f t="shared" si="2"/>
        <v>https://resources.simonelectric.com/simon-ebook-vehiculo-electrico</v>
      </c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</row>
    <row r="909" ht="15.75" customHeight="1">
      <c r="A909" s="5" t="s">
        <v>1308</v>
      </c>
      <c r="B909" s="5">
        <v>43972.0</v>
      </c>
      <c r="C909" s="6" t="s">
        <v>1309</v>
      </c>
      <c r="D909" s="7">
        <f t="shared" si="1"/>
        <v>70</v>
      </c>
      <c r="E909" s="8" t="str">
        <f t="shared" si="2"/>
        <v>https://resources.simonelectric.com/simon-catalogo-vehiculo-electrico</v>
      </c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</row>
    <row r="910" ht="15.75" customHeight="1">
      <c r="A910" s="5" t="s">
        <v>1310</v>
      </c>
      <c r="B910" s="5">
        <v>43972.0</v>
      </c>
      <c r="C910" s="6" t="s">
        <v>28</v>
      </c>
      <c r="D910" s="7" t="str">
        <f t="shared" si="1"/>
        <v>https://resources.simonelectric.com/simon-ebook-vehiculo-electrico</v>
      </c>
      <c r="E910" s="8" t="str">
        <f t="shared" si="2"/>
        <v>https://resources.simonelectric.com/simon-ebook-vehiculo-electrico</v>
      </c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</row>
    <row r="911" ht="15.75" customHeight="1">
      <c r="A911" s="5" t="s">
        <v>1311</v>
      </c>
      <c r="B911" s="5">
        <v>43972.0</v>
      </c>
      <c r="C911" s="6" t="s">
        <v>28</v>
      </c>
      <c r="D911" s="7" t="str">
        <f t="shared" si="1"/>
        <v>https://resources.simonelectric.com/simon-ebook-vehiculo-electrico</v>
      </c>
      <c r="E911" s="8" t="str">
        <f t="shared" si="2"/>
        <v>https://resources.simonelectric.com/simon-ebook-vehiculo-electrico</v>
      </c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</row>
    <row r="912" ht="15.75" customHeight="1">
      <c r="A912" s="5" t="s">
        <v>1312</v>
      </c>
      <c r="B912" s="5">
        <v>43972.0</v>
      </c>
      <c r="C912" s="6" t="s">
        <v>1313</v>
      </c>
      <c r="D912" s="9">
        <f t="shared" si="1"/>
        <v>70</v>
      </c>
      <c r="E912" s="8" t="str">
        <f t="shared" si="2"/>
        <v>https://resources.simonelectric.com/simon-catalogo-vehiculo-electrico</v>
      </c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</row>
    <row r="913" ht="15.75" customHeight="1">
      <c r="A913" s="5" t="s">
        <v>1152</v>
      </c>
      <c r="B913" s="5">
        <v>43972.0</v>
      </c>
      <c r="C913" s="6" t="s">
        <v>1314</v>
      </c>
      <c r="D913" s="9">
        <f t="shared" si="1"/>
        <v>70</v>
      </c>
      <c r="E913" s="8" t="str">
        <f t="shared" si="2"/>
        <v>https://resources.simonelectric.com/simon-catalogo-vehiculo-electrico</v>
      </c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</row>
    <row r="914" ht="15.75" customHeight="1">
      <c r="A914" s="5" t="s">
        <v>1315</v>
      </c>
      <c r="B914" s="5">
        <v>43972.0</v>
      </c>
      <c r="C914" s="6" t="s">
        <v>1316</v>
      </c>
      <c r="D914" s="9">
        <f t="shared" si="1"/>
        <v>70</v>
      </c>
      <c r="E914" s="8" t="str">
        <f t="shared" si="2"/>
        <v>https://resources.simonelectric.com/simon-catalogo-vehiculo-electrico</v>
      </c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</row>
    <row r="915" ht="15.75" customHeight="1">
      <c r="A915" s="5" t="s">
        <v>1192</v>
      </c>
      <c r="B915" s="5">
        <v>43972.0</v>
      </c>
      <c r="C915" s="6" t="s">
        <v>1317</v>
      </c>
      <c r="D915" s="9">
        <f t="shared" si="1"/>
        <v>70</v>
      </c>
      <c r="E915" s="8" t="str">
        <f t="shared" si="2"/>
        <v>https://resources.simonelectric.com/simon-catalogo-vehiculo-electrico</v>
      </c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</row>
    <row r="916" ht="15.75" customHeight="1">
      <c r="A916" s="5" t="s">
        <v>1318</v>
      </c>
      <c r="B916" s="5">
        <v>43972.0</v>
      </c>
      <c r="C916" s="6" t="s">
        <v>1319</v>
      </c>
      <c r="D916" s="9">
        <f t="shared" si="1"/>
        <v>70</v>
      </c>
      <c r="E916" s="8" t="str">
        <f t="shared" si="2"/>
        <v>https://resources.simonelectric.com/simon-catalogo-vehiculo-electrico</v>
      </c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</row>
    <row r="917" ht="15.75" customHeight="1">
      <c r="A917" s="5" t="s">
        <v>1320</v>
      </c>
      <c r="B917" s="5">
        <v>43972.0</v>
      </c>
      <c r="C917" s="6" t="s">
        <v>1321</v>
      </c>
      <c r="D917" s="9">
        <f t="shared" si="1"/>
        <v>70</v>
      </c>
      <c r="E917" s="8" t="str">
        <f t="shared" si="2"/>
        <v>https://resources.simonelectric.com/simon-catalogo-vehiculo-electrico</v>
      </c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</row>
    <row r="918" ht="15.75" customHeight="1">
      <c r="A918" s="5" t="s">
        <v>1322</v>
      </c>
      <c r="B918" s="5">
        <v>43972.0</v>
      </c>
      <c r="C918" s="6" t="s">
        <v>1323</v>
      </c>
      <c r="D918" s="9">
        <f t="shared" si="1"/>
        <v>70</v>
      </c>
      <c r="E918" s="8" t="str">
        <f t="shared" si="2"/>
        <v>https://resources.simonelectric.com/simon-catalogo-vehiculo-electrico</v>
      </c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</row>
    <row r="919" ht="15.75" customHeight="1">
      <c r="A919" s="5" t="s">
        <v>1324</v>
      </c>
      <c r="B919" s="5">
        <v>43972.0</v>
      </c>
      <c r="C919" s="6" t="s">
        <v>1325</v>
      </c>
      <c r="D919" s="9">
        <f t="shared" si="1"/>
        <v>70</v>
      </c>
      <c r="E919" s="8" t="str">
        <f t="shared" si="2"/>
        <v>https://resources.simonelectric.com/simon-catalogo-vehiculo-electrico</v>
      </c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</row>
    <row r="920" ht="15.75" customHeight="1">
      <c r="A920" s="5" t="s">
        <v>1326</v>
      </c>
      <c r="B920" s="5">
        <v>43972.0</v>
      </c>
      <c r="C920" s="6" t="s">
        <v>1327</v>
      </c>
      <c r="D920" s="7">
        <f t="shared" si="1"/>
        <v>70</v>
      </c>
      <c r="E920" s="8" t="str">
        <f t="shared" si="2"/>
        <v>https://resources.simonelectric.com/simon-catalogo-vehiculo-electrico</v>
      </c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</row>
    <row r="921" ht="15.75" customHeight="1">
      <c r="A921" s="5" t="s">
        <v>1328</v>
      </c>
      <c r="B921" s="5">
        <v>43972.0</v>
      </c>
      <c r="C921" s="6" t="s">
        <v>28</v>
      </c>
      <c r="D921" s="7" t="str">
        <f t="shared" si="1"/>
        <v>https://resources.simonelectric.com/simon-ebook-vehiculo-electrico</v>
      </c>
      <c r="E921" s="8" t="str">
        <f t="shared" si="2"/>
        <v>https://resources.simonelectric.com/simon-ebook-vehiculo-electrico</v>
      </c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</row>
    <row r="922" ht="15.75" customHeight="1">
      <c r="A922" s="5" t="s">
        <v>1329</v>
      </c>
      <c r="B922" s="5">
        <v>43972.0</v>
      </c>
      <c r="C922" s="6" t="s">
        <v>1330</v>
      </c>
      <c r="D922" s="9">
        <f t="shared" si="1"/>
        <v>70</v>
      </c>
      <c r="E922" s="8" t="str">
        <f t="shared" si="2"/>
        <v>https://resources.simonelectric.com/simon-catalogo-vehiculo-electrico</v>
      </c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</row>
    <row r="923" ht="15.75" customHeight="1">
      <c r="A923" s="5" t="s">
        <v>1331</v>
      </c>
      <c r="B923" s="5">
        <v>43972.0</v>
      </c>
      <c r="C923" s="6" t="s">
        <v>299</v>
      </c>
      <c r="D923" s="7" t="str">
        <f t="shared" si="1"/>
        <v>https://resources.simonelectric.com/simon-material-formativo-vehiculo-electrico</v>
      </c>
      <c r="E923" s="8" t="str">
        <f t="shared" si="2"/>
        <v>https://resources.simonelectric.com/simon-material-formativo-vehiculo-electrico</v>
      </c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</row>
    <row r="924" ht="15.75" customHeight="1">
      <c r="A924" s="5" t="s">
        <v>997</v>
      </c>
      <c r="B924" s="5">
        <v>43972.0</v>
      </c>
      <c r="C924" s="6" t="s">
        <v>1332</v>
      </c>
      <c r="D924" s="9">
        <f t="shared" si="1"/>
        <v>70</v>
      </c>
      <c r="E924" s="8" t="str">
        <f t="shared" si="2"/>
        <v>https://resources.simonelectric.com/simon-catalogo-vehiculo-electrico</v>
      </c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</row>
    <row r="925" ht="15.75" customHeight="1">
      <c r="A925" s="5" t="s">
        <v>1333</v>
      </c>
      <c r="B925" s="5">
        <v>43972.0</v>
      </c>
      <c r="C925" s="6" t="s">
        <v>1334</v>
      </c>
      <c r="D925" s="9">
        <f t="shared" si="1"/>
        <v>67</v>
      </c>
      <c r="E925" s="8" t="str">
        <f t="shared" si="2"/>
        <v>https://resources.simonelectric.com/simon-ebook-vehiculo-electrico</v>
      </c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</row>
    <row r="926" ht="15.75" customHeight="1">
      <c r="A926" s="5" t="s">
        <v>1335</v>
      </c>
      <c r="B926" s="5">
        <v>43972.0</v>
      </c>
      <c r="C926" s="6" t="s">
        <v>1336</v>
      </c>
      <c r="D926" s="9">
        <f t="shared" si="1"/>
        <v>70</v>
      </c>
      <c r="E926" s="8" t="str">
        <f t="shared" si="2"/>
        <v>https://resources.simonelectric.com/simon-catalogo-vehiculo-electrico</v>
      </c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</row>
    <row r="927" ht="15.75" customHeight="1">
      <c r="A927" s="5" t="s">
        <v>851</v>
      </c>
      <c r="B927" s="5">
        <v>43972.0</v>
      </c>
      <c r="C927" s="6" t="s">
        <v>1337</v>
      </c>
      <c r="D927" s="9">
        <f t="shared" si="1"/>
        <v>67</v>
      </c>
      <c r="E927" s="8" t="str">
        <f t="shared" si="2"/>
        <v>https://resources.simonelectric.com/simon-ebook-vehiculo-electrico</v>
      </c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</row>
    <row r="928" ht="15.75" customHeight="1">
      <c r="A928" s="5" t="s">
        <v>1184</v>
      </c>
      <c r="B928" s="5">
        <v>43972.0</v>
      </c>
      <c r="C928" s="6" t="s">
        <v>1338</v>
      </c>
      <c r="D928" s="9">
        <f t="shared" si="1"/>
        <v>67</v>
      </c>
      <c r="E928" s="8" t="str">
        <f t="shared" si="2"/>
        <v>https://resources.simonelectric.com/simon-ebook-vehiculo-electrico</v>
      </c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</row>
    <row r="929" ht="15.75" customHeight="1">
      <c r="A929" s="5" t="s">
        <v>1024</v>
      </c>
      <c r="B929" s="5">
        <v>43972.0</v>
      </c>
      <c r="C929" s="6" t="s">
        <v>28</v>
      </c>
      <c r="D929" s="7" t="str">
        <f t="shared" si="1"/>
        <v>https://resources.simonelectric.com/simon-ebook-vehiculo-electrico</v>
      </c>
      <c r="E929" s="8" t="str">
        <f t="shared" si="2"/>
        <v>https://resources.simonelectric.com/simon-ebook-vehiculo-electrico</v>
      </c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</row>
    <row r="930" ht="15.75" customHeight="1">
      <c r="A930" s="5" t="s">
        <v>1024</v>
      </c>
      <c r="B930" s="5">
        <v>43972.0</v>
      </c>
      <c r="C930" s="6" t="s">
        <v>1339</v>
      </c>
      <c r="D930" s="9">
        <f t="shared" si="1"/>
        <v>70</v>
      </c>
      <c r="E930" s="8" t="str">
        <f t="shared" si="2"/>
        <v>https://resources.simonelectric.com/simon-catalogo-vehiculo-electrico</v>
      </c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</row>
    <row r="931" ht="15.75" customHeight="1">
      <c r="A931" s="5" t="s">
        <v>1340</v>
      </c>
      <c r="B931" s="5">
        <v>43971.0</v>
      </c>
      <c r="C931" s="6" t="s">
        <v>1341</v>
      </c>
      <c r="D931" s="9">
        <f t="shared" si="1"/>
        <v>70</v>
      </c>
      <c r="E931" s="8" t="str">
        <f t="shared" si="2"/>
        <v>https://resources.simonelectric.com/simon-catalogo-vehiculo-electrico</v>
      </c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</row>
    <row r="932" ht="15.75" customHeight="1">
      <c r="A932" s="5" t="s">
        <v>1342</v>
      </c>
      <c r="B932" s="5">
        <v>43971.0</v>
      </c>
      <c r="C932" s="6" t="s">
        <v>1343</v>
      </c>
      <c r="D932" s="7">
        <f t="shared" si="1"/>
        <v>69</v>
      </c>
      <c r="E932" s="8" t="str">
        <f t="shared" si="2"/>
        <v>https://resources.simonelectric.com/simon-ebook-vehiculo-electrico-0</v>
      </c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</row>
    <row r="933" ht="15.75" customHeight="1">
      <c r="A933" s="5" t="s">
        <v>1344</v>
      </c>
      <c r="B933" s="5">
        <v>43971.0</v>
      </c>
      <c r="C933" s="6" t="s">
        <v>1345</v>
      </c>
      <c r="D933" s="7">
        <f t="shared" si="1"/>
        <v>70</v>
      </c>
      <c r="E933" s="8" t="str">
        <f t="shared" si="2"/>
        <v>https://resources.simonelectric.com/simon-catalogo-vehiculo-electrico</v>
      </c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</row>
    <row r="934" ht="15.75" customHeight="1">
      <c r="A934" s="5" t="s">
        <v>897</v>
      </c>
      <c r="B934" s="5">
        <v>43971.0</v>
      </c>
      <c r="C934" s="6" t="s">
        <v>1346</v>
      </c>
      <c r="D934" s="9">
        <f t="shared" si="1"/>
        <v>70</v>
      </c>
      <c r="E934" s="8" t="str">
        <f t="shared" si="2"/>
        <v>https://resources.simonelectric.com/simon-catalogo-vehiculo-electrico</v>
      </c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</row>
    <row r="935" ht="15.75" customHeight="1">
      <c r="A935" s="5" t="s">
        <v>1347</v>
      </c>
      <c r="B935" s="5">
        <v>43971.0</v>
      </c>
      <c r="C935" s="6" t="s">
        <v>28</v>
      </c>
      <c r="D935" s="10" t="str">
        <f t="shared" si="1"/>
        <v>https://resources.simonelectric.com/simon-ebook-vehiculo-electrico</v>
      </c>
      <c r="E935" s="8" t="str">
        <f t="shared" si="2"/>
        <v>https://resources.simonelectric.com/simon-ebook-vehiculo-electrico</v>
      </c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</row>
    <row r="936" ht="15.75" customHeight="1">
      <c r="A936" s="5" t="s">
        <v>1348</v>
      </c>
      <c r="B936" s="5">
        <v>43971.0</v>
      </c>
      <c r="C936" s="6" t="s">
        <v>55</v>
      </c>
      <c r="D936" s="11">
        <f t="shared" si="1"/>
        <v>71</v>
      </c>
      <c r="E936" s="8" t="str">
        <f t="shared" si="2"/>
        <v>https://resources.simonelectric.com/simon-ebook-vehiculo-electrico-ppc</v>
      </c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</row>
    <row r="937" ht="15.75" customHeight="1">
      <c r="A937" s="5" t="s">
        <v>1349</v>
      </c>
      <c r="B937" s="5">
        <v>43971.0</v>
      </c>
      <c r="C937" s="6" t="s">
        <v>1350</v>
      </c>
      <c r="D937" s="11">
        <f t="shared" si="1"/>
        <v>70</v>
      </c>
      <c r="E937" s="8" t="str">
        <f t="shared" si="2"/>
        <v>https://resources.simonelectric.com/simon-catalogo-vehiculo-electrico</v>
      </c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</row>
    <row r="938" ht="15.75" customHeight="1">
      <c r="A938" s="5" t="s">
        <v>1351</v>
      </c>
      <c r="B938" s="5">
        <v>43971.0</v>
      </c>
      <c r="C938" s="6" t="s">
        <v>55</v>
      </c>
      <c r="D938" s="11">
        <f t="shared" si="1"/>
        <v>71</v>
      </c>
      <c r="E938" s="8" t="str">
        <f t="shared" si="2"/>
        <v>https://resources.simonelectric.com/simon-ebook-vehiculo-electrico-ppc</v>
      </c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</row>
    <row r="939" ht="15.75" customHeight="1">
      <c r="A939" s="5" t="s">
        <v>1352</v>
      </c>
      <c r="B939" s="5">
        <v>43971.0</v>
      </c>
      <c r="C939" s="6" t="s">
        <v>1353</v>
      </c>
      <c r="D939" s="11">
        <f t="shared" si="1"/>
        <v>70</v>
      </c>
      <c r="E939" s="8" t="str">
        <f t="shared" si="2"/>
        <v>https://resources.simonelectric.com/simon-catalogo-vehiculo-electrico</v>
      </c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</row>
    <row r="940" ht="15.75" customHeight="1">
      <c r="A940" s="5" t="s">
        <v>1354</v>
      </c>
      <c r="B940" s="5">
        <v>43971.0</v>
      </c>
      <c r="C940" s="6" t="s">
        <v>299</v>
      </c>
      <c r="D940" s="10" t="str">
        <f t="shared" si="1"/>
        <v>https://resources.simonelectric.com/simon-material-formativo-vehiculo-electrico</v>
      </c>
      <c r="E940" s="8" t="str">
        <f t="shared" si="2"/>
        <v>https://resources.simonelectric.com/simon-material-formativo-vehiculo-electrico</v>
      </c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</row>
    <row r="941" ht="15.75" customHeight="1">
      <c r="A941" s="5" t="s">
        <v>1355</v>
      </c>
      <c r="B941" s="5">
        <v>43971.0</v>
      </c>
      <c r="C941" s="6" t="s">
        <v>299</v>
      </c>
      <c r="D941" s="10" t="str">
        <f t="shared" si="1"/>
        <v>https://resources.simonelectric.com/simon-material-formativo-vehiculo-electrico</v>
      </c>
      <c r="E941" s="8" t="str">
        <f t="shared" si="2"/>
        <v>https://resources.simonelectric.com/simon-material-formativo-vehiculo-electrico</v>
      </c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</row>
    <row r="942" ht="15.75" customHeight="1">
      <c r="A942" s="5" t="s">
        <v>1356</v>
      </c>
      <c r="B942" s="5">
        <v>43971.0</v>
      </c>
      <c r="C942" s="6" t="s">
        <v>8</v>
      </c>
      <c r="D942" s="11">
        <f t="shared" si="1"/>
        <v>67</v>
      </c>
      <c r="E942" s="8" t="str">
        <f t="shared" si="2"/>
        <v>https://resources.simonelectric.com/simon-ebook-vehiculo-electrico</v>
      </c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</row>
    <row r="943" ht="15.75" customHeight="1">
      <c r="A943" s="5" t="s">
        <v>1039</v>
      </c>
      <c r="B943" s="5">
        <v>43971.0</v>
      </c>
      <c r="C943" s="6" t="s">
        <v>1357</v>
      </c>
      <c r="D943" s="11">
        <f t="shared" si="1"/>
        <v>70</v>
      </c>
      <c r="E943" s="8" t="str">
        <f t="shared" si="2"/>
        <v>https://resources.simonelectric.com/simon-catalogo-vehiculo-electrico</v>
      </c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</row>
    <row r="944" ht="15.75" customHeight="1">
      <c r="A944" s="5" t="s">
        <v>1358</v>
      </c>
      <c r="B944" s="5">
        <v>43971.0</v>
      </c>
      <c r="C944" s="6" t="s">
        <v>1359</v>
      </c>
      <c r="D944" s="11">
        <f t="shared" si="1"/>
        <v>70</v>
      </c>
      <c r="E944" s="8" t="str">
        <f t="shared" si="2"/>
        <v>https://resources.simonelectric.com/simon-catalogo-vehiculo-electrico</v>
      </c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</row>
    <row r="945" ht="15.75" customHeight="1">
      <c r="A945" s="5" t="s">
        <v>1358</v>
      </c>
      <c r="B945" s="5">
        <v>43971.0</v>
      </c>
      <c r="C945" s="6" t="s">
        <v>28</v>
      </c>
      <c r="D945" s="10" t="str">
        <f t="shared" si="1"/>
        <v>https://resources.simonelectric.com/simon-ebook-vehiculo-electrico</v>
      </c>
      <c r="E945" s="8" t="str">
        <f t="shared" si="2"/>
        <v>https://resources.simonelectric.com/simon-ebook-vehiculo-electrico</v>
      </c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</row>
    <row r="946" ht="15.75" customHeight="1">
      <c r="A946" s="5" t="s">
        <v>1360</v>
      </c>
      <c r="B946" s="5">
        <v>43971.0</v>
      </c>
      <c r="C946" s="6" t="s">
        <v>299</v>
      </c>
      <c r="D946" s="10" t="str">
        <f t="shared" si="1"/>
        <v>https://resources.simonelectric.com/simon-material-formativo-vehiculo-electrico</v>
      </c>
      <c r="E946" s="8" t="str">
        <f t="shared" si="2"/>
        <v>https://resources.simonelectric.com/simon-material-formativo-vehiculo-electrico</v>
      </c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</row>
    <row r="947" ht="15.75" customHeight="1">
      <c r="A947" s="5" t="s">
        <v>1231</v>
      </c>
      <c r="B947" s="5">
        <v>43971.0</v>
      </c>
      <c r="C947" s="6" t="s">
        <v>1361</v>
      </c>
      <c r="D947" s="11">
        <f t="shared" si="1"/>
        <v>70</v>
      </c>
      <c r="E947" s="8" t="str">
        <f t="shared" si="2"/>
        <v>https://resources.simonelectric.com/simon-catalogo-vehiculo-electrico</v>
      </c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</row>
    <row r="948" ht="15.75" customHeight="1">
      <c r="A948" s="5" t="s">
        <v>1033</v>
      </c>
      <c r="B948" s="5">
        <v>43971.0</v>
      </c>
      <c r="C948" s="6" t="s">
        <v>1361</v>
      </c>
      <c r="D948" s="11">
        <f t="shared" si="1"/>
        <v>70</v>
      </c>
      <c r="E948" s="8" t="str">
        <f t="shared" si="2"/>
        <v>https://resources.simonelectric.com/simon-catalogo-vehiculo-electrico</v>
      </c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</row>
    <row r="949" ht="15.75" customHeight="1">
      <c r="A949" s="5" t="s">
        <v>1362</v>
      </c>
      <c r="B949" s="5">
        <v>43971.0</v>
      </c>
      <c r="C949" s="6" t="s">
        <v>55</v>
      </c>
      <c r="D949" s="11">
        <f t="shared" si="1"/>
        <v>71</v>
      </c>
      <c r="E949" s="8" t="str">
        <f t="shared" si="2"/>
        <v>https://resources.simonelectric.com/simon-ebook-vehiculo-electrico-ppc</v>
      </c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</row>
    <row r="950" ht="15.75" customHeight="1">
      <c r="A950" s="5" t="s">
        <v>1363</v>
      </c>
      <c r="B950" s="5">
        <v>43971.0</v>
      </c>
      <c r="C950" s="6" t="s">
        <v>299</v>
      </c>
      <c r="D950" s="10" t="str">
        <f t="shared" si="1"/>
        <v>https://resources.simonelectric.com/simon-material-formativo-vehiculo-electrico</v>
      </c>
      <c r="E950" s="8" t="str">
        <f t="shared" si="2"/>
        <v>https://resources.simonelectric.com/simon-material-formativo-vehiculo-electrico</v>
      </c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</row>
    <row r="951" ht="15.75" customHeight="1">
      <c r="A951" s="5" t="s">
        <v>1364</v>
      </c>
      <c r="B951" s="5">
        <v>43971.0</v>
      </c>
      <c r="C951" s="6" t="s">
        <v>299</v>
      </c>
      <c r="D951" s="10" t="str">
        <f t="shared" si="1"/>
        <v>https://resources.simonelectric.com/simon-material-formativo-vehiculo-electrico</v>
      </c>
      <c r="E951" s="8" t="str">
        <f t="shared" si="2"/>
        <v>https://resources.simonelectric.com/simon-material-formativo-vehiculo-electrico</v>
      </c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</row>
    <row r="952" ht="15.75" customHeight="1">
      <c r="A952" s="5" t="s">
        <v>1181</v>
      </c>
      <c r="B952" s="5">
        <v>43971.0</v>
      </c>
      <c r="C952" s="6" t="s">
        <v>1365</v>
      </c>
      <c r="D952" s="11">
        <f t="shared" si="1"/>
        <v>70</v>
      </c>
      <c r="E952" s="8" t="str">
        <f t="shared" si="2"/>
        <v>https://resources.simonelectric.com/simon-catalogo-vehiculo-electrico</v>
      </c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</row>
    <row r="953" ht="15.75" customHeight="1">
      <c r="A953" s="5" t="s">
        <v>1242</v>
      </c>
      <c r="B953" s="5">
        <v>43971.0</v>
      </c>
      <c r="C953" s="6" t="s">
        <v>1366</v>
      </c>
      <c r="D953" s="10">
        <f t="shared" si="1"/>
        <v>70</v>
      </c>
      <c r="E953" s="8" t="str">
        <f t="shared" si="2"/>
        <v>https://resources.simonelectric.com/simon-catalogo-vehiculo-electrico</v>
      </c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</row>
    <row r="954" ht="15.75" customHeight="1">
      <c r="A954" s="5" t="s">
        <v>1367</v>
      </c>
      <c r="B954" s="5">
        <v>43971.0</v>
      </c>
      <c r="C954" s="6" t="s">
        <v>28</v>
      </c>
      <c r="D954" s="10" t="str">
        <f t="shared" si="1"/>
        <v>https://resources.simonelectric.com/simon-ebook-vehiculo-electrico</v>
      </c>
      <c r="E954" s="8" t="str">
        <f t="shared" si="2"/>
        <v>https://resources.simonelectric.com/simon-ebook-vehiculo-electrico</v>
      </c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</row>
    <row r="955" ht="15.75" customHeight="1">
      <c r="A955" s="5" t="s">
        <v>1368</v>
      </c>
      <c r="B955" s="5">
        <v>43971.0</v>
      </c>
      <c r="C955" s="6" t="s">
        <v>1369</v>
      </c>
      <c r="D955" s="10">
        <f t="shared" si="1"/>
        <v>70</v>
      </c>
      <c r="E955" s="8" t="str">
        <f t="shared" si="2"/>
        <v>https://resources.simonelectric.com/simon-catalogo-vehiculo-electrico</v>
      </c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</row>
    <row r="956" ht="15.75" customHeight="1">
      <c r="A956" s="5" t="s">
        <v>1370</v>
      </c>
      <c r="B956" s="5">
        <v>43971.0</v>
      </c>
      <c r="C956" s="6" t="s">
        <v>28</v>
      </c>
      <c r="D956" s="10" t="str">
        <f t="shared" si="1"/>
        <v>https://resources.simonelectric.com/simon-ebook-vehiculo-electrico</v>
      </c>
      <c r="E956" s="8" t="str">
        <f t="shared" si="2"/>
        <v>https://resources.simonelectric.com/simon-ebook-vehiculo-electrico</v>
      </c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</row>
    <row r="957" ht="15.75" customHeight="1">
      <c r="A957" s="5" t="s">
        <v>1370</v>
      </c>
      <c r="B957" s="5">
        <v>43971.0</v>
      </c>
      <c r="C957" s="6" t="s">
        <v>1371</v>
      </c>
      <c r="D957" s="11">
        <f t="shared" si="1"/>
        <v>70</v>
      </c>
      <c r="E957" s="8" t="str">
        <f t="shared" si="2"/>
        <v>https://resources.simonelectric.com/simon-catalogo-vehiculo-electrico</v>
      </c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</row>
    <row r="958" ht="15.75" customHeight="1">
      <c r="A958" s="5" t="s">
        <v>993</v>
      </c>
      <c r="B958" s="5">
        <v>43971.0</v>
      </c>
      <c r="C958" s="6" t="s">
        <v>1372</v>
      </c>
      <c r="D958" s="11">
        <f t="shared" si="1"/>
        <v>70</v>
      </c>
      <c r="E958" s="8" t="str">
        <f t="shared" si="2"/>
        <v>https://resources.simonelectric.com/simon-catalogo-vehiculo-electrico</v>
      </c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</row>
    <row r="959" ht="15.75" customHeight="1">
      <c r="A959" s="5" t="s">
        <v>1373</v>
      </c>
      <c r="B959" s="5">
        <v>43971.0</v>
      </c>
      <c r="C959" s="6" t="s">
        <v>1374</v>
      </c>
      <c r="D959" s="11">
        <f t="shared" si="1"/>
        <v>70</v>
      </c>
      <c r="E959" s="8" t="str">
        <f t="shared" si="2"/>
        <v>https://resources.simonelectric.com/simon-catalogo-vehiculo-electrico</v>
      </c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</row>
    <row r="960" ht="15.75" customHeight="1">
      <c r="A960" s="5" t="s">
        <v>1375</v>
      </c>
      <c r="B960" s="5">
        <v>43971.0</v>
      </c>
      <c r="C960" s="6" t="s">
        <v>75</v>
      </c>
      <c r="D960" s="11">
        <f t="shared" si="1"/>
        <v>67</v>
      </c>
      <c r="E960" s="8" t="str">
        <f t="shared" si="2"/>
        <v>https://resources.simonelectric.com/simon-ebook-vehiculo-electrico</v>
      </c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</row>
    <row r="961" ht="15.75" customHeight="1">
      <c r="A961" s="5" t="s">
        <v>1113</v>
      </c>
      <c r="B961" s="5">
        <v>43971.0</v>
      </c>
      <c r="C961" s="6" t="s">
        <v>1376</v>
      </c>
      <c r="D961" s="11">
        <f t="shared" si="1"/>
        <v>70</v>
      </c>
      <c r="E961" s="8" t="str">
        <f t="shared" si="2"/>
        <v>https://resources.simonelectric.com/simon-catalogo-vehiculo-electrico</v>
      </c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</row>
    <row r="962" ht="15.75" customHeight="1">
      <c r="A962" s="5" t="s">
        <v>1377</v>
      </c>
      <c r="B962" s="5">
        <v>43971.0</v>
      </c>
      <c r="C962" s="6" t="s">
        <v>1378</v>
      </c>
      <c r="D962" s="10">
        <f t="shared" si="1"/>
        <v>70</v>
      </c>
      <c r="E962" s="8" t="str">
        <f t="shared" si="2"/>
        <v>https://resources.simonelectric.com/simon-catalogo-vehiculo-electrico</v>
      </c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</row>
    <row r="963" ht="15.75" customHeight="1">
      <c r="A963" s="5" t="s">
        <v>1379</v>
      </c>
      <c r="B963" s="5">
        <v>43971.0</v>
      </c>
      <c r="C963" s="6" t="s">
        <v>1380</v>
      </c>
      <c r="D963" s="10">
        <f t="shared" si="1"/>
        <v>70</v>
      </c>
      <c r="E963" s="8" t="str">
        <f t="shared" si="2"/>
        <v>https://resources.simonelectric.com/simon-catalogo-vehiculo-electrico</v>
      </c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</row>
    <row r="964" ht="15.75" customHeight="1">
      <c r="A964" s="5" t="s">
        <v>1381</v>
      </c>
      <c r="B964" s="5">
        <v>43971.0</v>
      </c>
      <c r="C964" s="6" t="s">
        <v>28</v>
      </c>
      <c r="D964" s="10" t="str">
        <f t="shared" si="1"/>
        <v>https://resources.simonelectric.com/simon-ebook-vehiculo-electrico</v>
      </c>
      <c r="E964" s="8" t="str">
        <f t="shared" si="2"/>
        <v>https://resources.simonelectric.com/simon-ebook-vehiculo-electrico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</row>
    <row r="965" ht="15.75" customHeight="1">
      <c r="A965" s="5" t="s">
        <v>1103</v>
      </c>
      <c r="B965" s="5">
        <v>43971.0</v>
      </c>
      <c r="C965" s="6" t="s">
        <v>1382</v>
      </c>
      <c r="D965" s="10">
        <f t="shared" si="1"/>
        <v>70</v>
      </c>
      <c r="E965" s="8" t="str">
        <f t="shared" si="2"/>
        <v>https://resources.simonelectric.com/simon-catalogo-vehiculo-electrico</v>
      </c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</row>
    <row r="966" ht="15.75" customHeight="1">
      <c r="A966" s="5" t="s">
        <v>11</v>
      </c>
      <c r="B966" s="5">
        <v>43971.0</v>
      </c>
      <c r="C966" s="6" t="s">
        <v>1383</v>
      </c>
      <c r="D966" s="11">
        <f t="shared" si="1"/>
        <v>70</v>
      </c>
      <c r="E966" s="8" t="str">
        <f t="shared" si="2"/>
        <v>https://resources.simonelectric.com/simon-catalogo-vehiculo-electrico</v>
      </c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</row>
    <row r="967" ht="15.75" customHeight="1">
      <c r="A967" s="5" t="s">
        <v>685</v>
      </c>
      <c r="B967" s="5">
        <v>43971.0</v>
      </c>
      <c r="C967" s="6" t="s">
        <v>1384</v>
      </c>
      <c r="D967" s="11">
        <f t="shared" si="1"/>
        <v>70</v>
      </c>
      <c r="E967" s="8" t="str">
        <f t="shared" si="2"/>
        <v>https://resources.simonelectric.com/simon-catalogo-vehiculo-electrico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</row>
    <row r="968" ht="15.75" customHeight="1">
      <c r="A968" s="5" t="s">
        <v>1385</v>
      </c>
      <c r="B968" s="5">
        <v>43971.0</v>
      </c>
      <c r="C968" s="6" t="s">
        <v>1386</v>
      </c>
      <c r="D968" s="11">
        <f t="shared" si="1"/>
        <v>70</v>
      </c>
      <c r="E968" s="8" t="str">
        <f t="shared" si="2"/>
        <v>https://resources.simonelectric.com/simon-catalogo-vehiculo-electrico</v>
      </c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</row>
    <row r="969" ht="15.75" customHeight="1">
      <c r="A969" s="5" t="s">
        <v>1387</v>
      </c>
      <c r="B969" s="5">
        <v>43971.0</v>
      </c>
      <c r="C969" s="6" t="s">
        <v>1388</v>
      </c>
      <c r="D969" s="11">
        <f t="shared" si="1"/>
        <v>70</v>
      </c>
      <c r="E969" s="8" t="str">
        <f t="shared" si="2"/>
        <v>https://resources.simonelectric.com/simon-catalogo-vehiculo-electrico</v>
      </c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</row>
    <row r="970" ht="15.75" customHeight="1">
      <c r="A970" s="5" t="s">
        <v>1389</v>
      </c>
      <c r="B970" s="5">
        <v>43971.0</v>
      </c>
      <c r="C970" s="6" t="s">
        <v>299</v>
      </c>
      <c r="D970" s="10" t="str">
        <f t="shared" si="1"/>
        <v>https://resources.simonelectric.com/simon-material-formativo-vehiculo-electrico</v>
      </c>
      <c r="E970" s="8" t="str">
        <f t="shared" si="2"/>
        <v>https://resources.simonelectric.com/simon-material-formativo-vehiculo-electrico</v>
      </c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</row>
    <row r="971" ht="15.75" customHeight="1">
      <c r="A971" s="5" t="s">
        <v>1043</v>
      </c>
      <c r="B971" s="5">
        <v>43971.0</v>
      </c>
      <c r="C971" s="6" t="s">
        <v>1390</v>
      </c>
      <c r="D971" s="11">
        <f t="shared" si="1"/>
        <v>70</v>
      </c>
      <c r="E971" s="8" t="str">
        <f t="shared" si="2"/>
        <v>https://resources.simonelectric.com/simon-catalogo-vehiculo-electrico</v>
      </c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</row>
    <row r="972" ht="15.75" customHeight="1">
      <c r="A972" s="5" t="s">
        <v>1391</v>
      </c>
      <c r="B972" s="5">
        <v>43971.0</v>
      </c>
      <c r="C972" s="6" t="s">
        <v>1392</v>
      </c>
      <c r="D972" s="10">
        <f t="shared" si="1"/>
        <v>70</v>
      </c>
      <c r="E972" s="8" t="str">
        <f t="shared" si="2"/>
        <v>https://resources.simonelectric.com/simon-catalogo-vehiculo-electrico</v>
      </c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</row>
    <row r="973" ht="15.75" customHeight="1">
      <c r="A973" s="5" t="s">
        <v>1393</v>
      </c>
      <c r="B973" s="5">
        <v>43971.0</v>
      </c>
      <c r="C973" s="6" t="s">
        <v>1394</v>
      </c>
      <c r="D973" s="10">
        <f t="shared" si="1"/>
        <v>70</v>
      </c>
      <c r="E973" s="8" t="str">
        <f t="shared" si="2"/>
        <v>https://resources.simonelectric.com/simon-catalogo-vehiculo-electrico</v>
      </c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</row>
    <row r="974" ht="15.75" customHeight="1">
      <c r="A974" s="5" t="s">
        <v>1265</v>
      </c>
      <c r="B974" s="5">
        <v>43971.0</v>
      </c>
      <c r="C974" s="6" t="s">
        <v>1395</v>
      </c>
      <c r="D974" s="10">
        <f t="shared" si="1"/>
        <v>70</v>
      </c>
      <c r="E974" s="8" t="str">
        <f t="shared" si="2"/>
        <v>https://resources.simonelectric.com/simon-catalogo-vehiculo-electrico</v>
      </c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</row>
    <row r="975" ht="15.75" customHeight="1">
      <c r="A975" s="5" t="s">
        <v>1396</v>
      </c>
      <c r="B975" s="5">
        <v>43971.0</v>
      </c>
      <c r="C975" s="6" t="s">
        <v>28</v>
      </c>
      <c r="D975" s="10" t="str">
        <f t="shared" si="1"/>
        <v>https://resources.simonelectric.com/simon-ebook-vehiculo-electrico</v>
      </c>
      <c r="E975" s="8" t="str">
        <f t="shared" si="2"/>
        <v>https://resources.simonelectric.com/simon-ebook-vehiculo-electrico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</row>
    <row r="976" ht="15.75" customHeight="1">
      <c r="A976" s="5" t="s">
        <v>850</v>
      </c>
      <c r="B976" s="5">
        <v>43971.0</v>
      </c>
      <c r="C976" s="6" t="s">
        <v>1397</v>
      </c>
      <c r="D976" s="10">
        <f t="shared" si="1"/>
        <v>70</v>
      </c>
      <c r="E976" s="8" t="str">
        <f t="shared" si="2"/>
        <v>https://resources.simonelectric.com/simon-catalogo-vehiculo-electrico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</row>
    <row r="977" ht="15.75" customHeight="1">
      <c r="A977" s="5" t="s">
        <v>404</v>
      </c>
      <c r="B977" s="5">
        <v>43971.0</v>
      </c>
      <c r="C977" s="6" t="s">
        <v>1398</v>
      </c>
      <c r="D977" s="10">
        <f t="shared" si="1"/>
        <v>70</v>
      </c>
      <c r="E977" s="8" t="str">
        <f t="shared" si="2"/>
        <v>https://resources.simonelectric.com/simon-catalogo-vehiculo-electrico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</row>
    <row r="978" ht="15.75" customHeight="1">
      <c r="A978" s="5" t="s">
        <v>1399</v>
      </c>
      <c r="B978" s="5">
        <v>43971.0</v>
      </c>
      <c r="C978" s="6" t="s">
        <v>1400</v>
      </c>
      <c r="D978" s="10">
        <f t="shared" si="1"/>
        <v>70</v>
      </c>
      <c r="E978" s="8" t="str">
        <f t="shared" si="2"/>
        <v>https://resources.simonelectric.com/simon-catalogo-vehiculo-electrico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</row>
    <row r="979" ht="15.75" customHeight="1">
      <c r="A979" s="5" t="s">
        <v>1211</v>
      </c>
      <c r="B979" s="5">
        <v>43971.0</v>
      </c>
      <c r="C979" s="6" t="s">
        <v>1401</v>
      </c>
      <c r="D979" s="11">
        <f t="shared" si="1"/>
        <v>70</v>
      </c>
      <c r="E979" s="8" t="str">
        <f t="shared" si="2"/>
        <v>https://resources.simonelectric.com/simon-catalogo-vehiculo-electrico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</row>
    <row r="980" ht="15.75" customHeight="1">
      <c r="A980" s="5" t="s">
        <v>1402</v>
      </c>
      <c r="B980" s="5">
        <v>43971.0</v>
      </c>
      <c r="C980" s="6" t="s">
        <v>55</v>
      </c>
      <c r="D980" s="10">
        <f t="shared" si="1"/>
        <v>71</v>
      </c>
      <c r="E980" s="8" t="str">
        <f t="shared" si="2"/>
        <v>https://resources.simonelectric.com/simon-ebook-vehiculo-electrico-ppc</v>
      </c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</row>
    <row r="981" ht="15.75" customHeight="1">
      <c r="A981" s="5" t="s">
        <v>1035</v>
      </c>
      <c r="B981" s="5">
        <v>43970.0</v>
      </c>
      <c r="C981" s="6" t="s">
        <v>1403</v>
      </c>
      <c r="D981" s="11">
        <f t="shared" si="1"/>
        <v>70</v>
      </c>
      <c r="E981" s="8" t="str">
        <f t="shared" si="2"/>
        <v>https://resources.simonelectric.com/simon-catalogo-vehiculo-electrico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</row>
    <row r="982" ht="15.75" customHeight="1">
      <c r="A982" s="5" t="s">
        <v>1404</v>
      </c>
      <c r="B982" s="5">
        <v>43970.0</v>
      </c>
      <c r="C982" s="6" t="s">
        <v>1405</v>
      </c>
      <c r="D982" s="11">
        <f t="shared" si="1"/>
        <v>70</v>
      </c>
      <c r="E982" s="8" t="str">
        <f t="shared" si="2"/>
        <v>https://resources.simonelectric.com/simon-catalogo-vehiculo-electrico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</row>
    <row r="983" ht="15.75" customHeight="1">
      <c r="A983" s="5" t="s">
        <v>1406</v>
      </c>
      <c r="B983" s="5">
        <v>43970.0</v>
      </c>
      <c r="C983" s="6" t="s">
        <v>55</v>
      </c>
      <c r="D983" s="11">
        <f t="shared" si="1"/>
        <v>71</v>
      </c>
      <c r="E983" s="8" t="str">
        <f t="shared" si="2"/>
        <v>https://resources.simonelectric.com/simon-ebook-vehiculo-electrico-ppc</v>
      </c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</row>
    <row r="984" ht="15.75" customHeight="1">
      <c r="A984" s="5" t="s">
        <v>1407</v>
      </c>
      <c r="B984" s="5">
        <v>43970.0</v>
      </c>
      <c r="C984" s="6" t="s">
        <v>8</v>
      </c>
      <c r="D984" s="11">
        <f t="shared" si="1"/>
        <v>67</v>
      </c>
      <c r="E984" s="8" t="str">
        <f t="shared" si="2"/>
        <v>https://resources.simonelectric.com/simon-ebook-vehiculo-electrico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</row>
    <row r="985" ht="15.75" customHeight="1">
      <c r="A985" s="5" t="s">
        <v>1145</v>
      </c>
      <c r="B985" s="5">
        <v>43970.0</v>
      </c>
      <c r="C985" s="6" t="s">
        <v>28</v>
      </c>
      <c r="D985" s="10" t="str">
        <f t="shared" si="1"/>
        <v>https://resources.simonelectric.com/simon-ebook-vehiculo-electrico</v>
      </c>
      <c r="E985" s="8" t="str">
        <f t="shared" si="2"/>
        <v>https://resources.simonelectric.com/simon-ebook-vehiculo-electrico</v>
      </c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</row>
    <row r="986" ht="15.75" customHeight="1">
      <c r="A986" s="5" t="s">
        <v>1408</v>
      </c>
      <c r="B986" s="5">
        <v>43970.0</v>
      </c>
      <c r="C986" s="6" t="s">
        <v>55</v>
      </c>
      <c r="D986" s="11">
        <f t="shared" si="1"/>
        <v>71</v>
      </c>
      <c r="E986" s="8" t="str">
        <f t="shared" si="2"/>
        <v>https://resources.simonelectric.com/simon-ebook-vehiculo-electrico-ppc</v>
      </c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</row>
    <row r="987" ht="15.75" customHeight="1">
      <c r="A987" s="5" t="s">
        <v>1409</v>
      </c>
      <c r="B987" s="5">
        <v>43970.0</v>
      </c>
      <c r="C987" s="6" t="s">
        <v>1410</v>
      </c>
      <c r="D987" s="11">
        <f t="shared" si="1"/>
        <v>70</v>
      </c>
      <c r="E987" s="8" t="str">
        <f t="shared" si="2"/>
        <v>https://resources.simonelectric.com/simon-catalogo-vehiculo-electrico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</row>
    <row r="988" ht="15.75" customHeight="1">
      <c r="A988" s="5" t="s">
        <v>1409</v>
      </c>
      <c r="B988" s="5">
        <v>43970.0</v>
      </c>
      <c r="C988" s="6" t="s">
        <v>28</v>
      </c>
      <c r="D988" s="10" t="str">
        <f t="shared" si="1"/>
        <v>https://resources.simonelectric.com/simon-ebook-vehiculo-electrico</v>
      </c>
      <c r="E988" s="8" t="str">
        <f t="shared" si="2"/>
        <v>https://resources.simonelectric.com/simon-ebook-vehiculo-electrico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</row>
    <row r="989" ht="15.75" customHeight="1">
      <c r="A989" s="5" t="s">
        <v>1411</v>
      </c>
      <c r="B989" s="5">
        <v>43970.0</v>
      </c>
      <c r="C989" s="6" t="s">
        <v>28</v>
      </c>
      <c r="D989" s="10" t="str">
        <f t="shared" si="1"/>
        <v>https://resources.simonelectric.com/simon-ebook-vehiculo-electrico</v>
      </c>
      <c r="E989" s="8" t="str">
        <f t="shared" si="2"/>
        <v>https://resources.simonelectric.com/simon-ebook-vehiculo-electrico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</row>
    <row r="990" ht="15.75" customHeight="1">
      <c r="A990" s="5" t="s">
        <v>1412</v>
      </c>
      <c r="B990" s="5">
        <v>43970.0</v>
      </c>
      <c r="C990" s="6" t="s">
        <v>1413</v>
      </c>
      <c r="D990" s="11">
        <f t="shared" si="1"/>
        <v>70</v>
      </c>
      <c r="E990" s="8" t="str">
        <f t="shared" si="2"/>
        <v>https://resources.simonelectric.com/simon-catalogo-vehiculo-electrico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</row>
    <row r="991" ht="15.75" customHeight="1">
      <c r="A991" s="5" t="s">
        <v>1022</v>
      </c>
      <c r="B991" s="5">
        <v>43970.0</v>
      </c>
      <c r="C991" s="6" t="s">
        <v>1414</v>
      </c>
      <c r="D991" s="11">
        <f t="shared" si="1"/>
        <v>67</v>
      </c>
      <c r="E991" s="8" t="str">
        <f t="shared" si="2"/>
        <v>https://resources.simonelectric.com/simon-ebook-vehiculo-electrico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</row>
    <row r="992" ht="15.75" customHeight="1">
      <c r="A992" s="5" t="s">
        <v>1415</v>
      </c>
      <c r="B992" s="5">
        <v>43970.0</v>
      </c>
      <c r="C992" s="6" t="s">
        <v>1416</v>
      </c>
      <c r="D992" s="11">
        <f t="shared" si="1"/>
        <v>70</v>
      </c>
      <c r="E992" s="8" t="str">
        <f t="shared" si="2"/>
        <v>https://resources.simonelectric.com/simon-catalogo-vehiculo-electrico</v>
      </c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</row>
    <row r="993" ht="15.75" customHeight="1">
      <c r="A993" s="5" t="s">
        <v>1417</v>
      </c>
      <c r="B993" s="5">
        <v>43970.0</v>
      </c>
      <c r="C993" s="6" t="s">
        <v>1418</v>
      </c>
      <c r="D993" s="11">
        <f t="shared" si="1"/>
        <v>70</v>
      </c>
      <c r="E993" s="8" t="str">
        <f t="shared" si="2"/>
        <v>https://resources.simonelectric.com/simon-catalogo-vehiculo-electrico</v>
      </c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</row>
    <row r="994" ht="15.75" customHeight="1">
      <c r="A994" s="5" t="s">
        <v>1419</v>
      </c>
      <c r="B994" s="5">
        <v>43970.0</v>
      </c>
      <c r="C994" s="6" t="s">
        <v>8</v>
      </c>
      <c r="D994" s="11">
        <f t="shared" si="1"/>
        <v>67</v>
      </c>
      <c r="E994" s="8" t="str">
        <f t="shared" si="2"/>
        <v>https://resources.simonelectric.com/simon-ebook-vehiculo-electrico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</row>
    <row r="995" ht="15.75" customHeight="1">
      <c r="A995" s="5" t="s">
        <v>1420</v>
      </c>
      <c r="B995" s="5">
        <v>43970.0</v>
      </c>
      <c r="C995" s="6" t="s">
        <v>8</v>
      </c>
      <c r="D995" s="11">
        <f t="shared" si="1"/>
        <v>67</v>
      </c>
      <c r="E995" s="8" t="str">
        <f t="shared" si="2"/>
        <v>https://resources.simonelectric.com/simon-ebook-vehiculo-electrico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</row>
    <row r="996" ht="15.75" customHeight="1">
      <c r="A996" s="5" t="s">
        <v>1421</v>
      </c>
      <c r="B996" s="5">
        <v>43970.0</v>
      </c>
      <c r="C996" s="6" t="s">
        <v>1422</v>
      </c>
      <c r="D996" s="11">
        <f t="shared" si="1"/>
        <v>70</v>
      </c>
      <c r="E996" s="8" t="str">
        <f t="shared" si="2"/>
        <v>https://resources.simonelectric.com/simon-catalogo-vehiculo-electrico</v>
      </c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</row>
    <row r="997" ht="15.75" customHeight="1">
      <c r="A997" s="5" t="s">
        <v>1423</v>
      </c>
      <c r="B997" s="5">
        <v>43970.0</v>
      </c>
      <c r="C997" s="6" t="s">
        <v>28</v>
      </c>
      <c r="D997" s="10" t="str">
        <f t="shared" si="1"/>
        <v>https://resources.simonelectric.com/simon-ebook-vehiculo-electrico</v>
      </c>
      <c r="E997" s="8" t="str">
        <f t="shared" si="2"/>
        <v>https://resources.simonelectric.com/simon-ebook-vehiculo-electrico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</row>
    <row r="998" ht="15.75" customHeight="1">
      <c r="A998" s="5" t="s">
        <v>1424</v>
      </c>
      <c r="B998" s="5">
        <v>43970.0</v>
      </c>
      <c r="C998" s="6" t="s">
        <v>1425</v>
      </c>
      <c r="D998" s="11">
        <f t="shared" si="1"/>
        <v>70</v>
      </c>
      <c r="E998" s="8" t="str">
        <f t="shared" si="2"/>
        <v>https://resources.simonelectric.com/simon-catalogo-vehiculo-electrico</v>
      </c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</row>
    <row r="999" ht="15.75" customHeight="1">
      <c r="A999" s="5" t="s">
        <v>1426</v>
      </c>
      <c r="B999" s="5">
        <v>43969.0</v>
      </c>
      <c r="C999" s="6" t="s">
        <v>55</v>
      </c>
      <c r="D999" s="11">
        <f t="shared" si="1"/>
        <v>71</v>
      </c>
      <c r="E999" s="8" t="str">
        <f t="shared" si="2"/>
        <v>https://resources.simonelectric.com/simon-ebook-vehiculo-electrico-ppc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</row>
    <row r="1000" ht="15.75" customHeight="1">
      <c r="A1000" s="5" t="s">
        <v>1333</v>
      </c>
      <c r="B1000" s="5">
        <v>43969.0</v>
      </c>
      <c r="C1000" s="6" t="s">
        <v>1427</v>
      </c>
      <c r="D1000" s="11">
        <f t="shared" si="1"/>
        <v>70</v>
      </c>
      <c r="E1000" s="8" t="str">
        <f t="shared" si="2"/>
        <v>https://resources.simonelectric.com/simon-catalogo-vehiculo-electrico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</row>
    <row r="1001" ht="15.75" customHeight="1">
      <c r="A1001" s="5" t="s">
        <v>1428</v>
      </c>
      <c r="B1001" s="5">
        <v>43969.0</v>
      </c>
      <c r="C1001" s="6" t="s">
        <v>1429</v>
      </c>
      <c r="D1001" s="11">
        <f t="shared" si="1"/>
        <v>70</v>
      </c>
      <c r="E1001" s="8" t="str">
        <f t="shared" si="2"/>
        <v>https://resources.simonelectric.com/simon-catalogo-vehiculo-electrico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</row>
    <row r="1002" ht="15.75" customHeight="1">
      <c r="A1002" s="5" t="s">
        <v>1428</v>
      </c>
      <c r="B1002" s="5">
        <v>43969.0</v>
      </c>
      <c r="C1002" s="6" t="s">
        <v>48</v>
      </c>
      <c r="D1002" s="11">
        <f t="shared" si="1"/>
        <v>67</v>
      </c>
      <c r="E1002" s="8" t="str">
        <f t="shared" si="2"/>
        <v>https://resources.simonelectric.com/simon-ebook-vehiculo-electrico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</row>
    <row r="1003" ht="15.75" customHeight="1">
      <c r="A1003" s="5" t="s">
        <v>1430</v>
      </c>
      <c r="B1003" s="5">
        <v>43969.0</v>
      </c>
      <c r="C1003" s="6" t="s">
        <v>28</v>
      </c>
      <c r="D1003" s="10" t="str">
        <f t="shared" si="1"/>
        <v>https://resources.simonelectric.com/simon-ebook-vehiculo-electrico</v>
      </c>
      <c r="E1003" s="8" t="str">
        <f t="shared" si="2"/>
        <v>https://resources.simonelectric.com/simon-ebook-vehiculo-electrico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</row>
    <row r="1004" ht="15.75" customHeight="1">
      <c r="A1004" s="5" t="s">
        <v>1431</v>
      </c>
      <c r="B1004" s="5">
        <v>43969.0</v>
      </c>
      <c r="C1004" s="6" t="s">
        <v>8</v>
      </c>
      <c r="D1004" s="10">
        <f t="shared" si="1"/>
        <v>67</v>
      </c>
      <c r="E1004" s="8" t="str">
        <f t="shared" si="2"/>
        <v>https://resources.simonelectric.com/simon-ebook-vehiculo-electrico</v>
      </c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</row>
    <row r="1005" ht="15.75" customHeight="1">
      <c r="A1005" s="5" t="s">
        <v>1432</v>
      </c>
      <c r="B1005" s="5">
        <v>43969.0</v>
      </c>
      <c r="C1005" s="6" t="s">
        <v>1433</v>
      </c>
      <c r="D1005" s="11">
        <f t="shared" si="1"/>
        <v>70</v>
      </c>
      <c r="E1005" s="8" t="str">
        <f t="shared" si="2"/>
        <v>https://resources.simonelectric.com/simon-catalogo-vehiculo-electrico</v>
      </c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</row>
    <row r="1006" ht="15.75" customHeight="1">
      <c r="A1006" s="5" t="s">
        <v>1063</v>
      </c>
      <c r="B1006" s="5">
        <v>43969.0</v>
      </c>
      <c r="C1006" s="6" t="s">
        <v>1434</v>
      </c>
      <c r="D1006" s="10">
        <f t="shared" si="1"/>
        <v>70</v>
      </c>
      <c r="E1006" s="8" t="str">
        <f t="shared" si="2"/>
        <v>https://resources.simonelectric.com/simon-catalogo-vehiculo-electrico</v>
      </c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</row>
    <row r="1007" ht="15.75" customHeight="1">
      <c r="A1007" s="5" t="s">
        <v>1435</v>
      </c>
      <c r="B1007" s="5">
        <v>43969.0</v>
      </c>
      <c r="C1007" s="6" t="s">
        <v>8</v>
      </c>
      <c r="D1007" s="11">
        <f t="shared" si="1"/>
        <v>67</v>
      </c>
      <c r="E1007" s="8" t="str">
        <f t="shared" si="2"/>
        <v>https://resources.simonelectric.com/simon-ebook-vehiculo-electrico</v>
      </c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</row>
    <row r="1008" ht="15.75" customHeight="1">
      <c r="A1008" s="5" t="s">
        <v>1436</v>
      </c>
      <c r="B1008" s="5">
        <v>43969.0</v>
      </c>
      <c r="C1008" s="6" t="s">
        <v>1437</v>
      </c>
      <c r="D1008" s="11">
        <f t="shared" si="1"/>
        <v>70</v>
      </c>
      <c r="E1008" s="8" t="str">
        <f t="shared" si="2"/>
        <v>https://resources.simonelectric.com/simon-catalogo-vehiculo-electrico</v>
      </c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</row>
    <row r="1009" ht="15.75" customHeight="1">
      <c r="A1009" s="5" t="s">
        <v>1438</v>
      </c>
      <c r="B1009" s="5">
        <v>43969.0</v>
      </c>
      <c r="C1009" s="6" t="s">
        <v>75</v>
      </c>
      <c r="D1009" s="10">
        <f t="shared" si="1"/>
        <v>67</v>
      </c>
      <c r="E1009" s="8" t="str">
        <f t="shared" si="2"/>
        <v>https://resources.simonelectric.com/simon-ebook-vehiculo-electrico</v>
      </c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</row>
    <row r="1010" ht="15.75" customHeight="1">
      <c r="A1010" s="5" t="s">
        <v>1438</v>
      </c>
      <c r="B1010" s="5">
        <v>43969.0</v>
      </c>
      <c r="C1010" s="6" t="s">
        <v>1439</v>
      </c>
      <c r="D1010" s="11">
        <f t="shared" si="1"/>
        <v>67</v>
      </c>
      <c r="E1010" s="8" t="str">
        <f t="shared" si="2"/>
        <v>https://resources.simonelectric.com/simon-ebook-vehiculo-electrico</v>
      </c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</row>
    <row r="1011" ht="15.75" customHeight="1">
      <c r="A1011" s="5" t="s">
        <v>25</v>
      </c>
      <c r="B1011" s="5">
        <v>43969.0</v>
      </c>
      <c r="C1011" s="6" t="s">
        <v>1440</v>
      </c>
      <c r="D1011" s="11">
        <f t="shared" si="1"/>
        <v>70</v>
      </c>
      <c r="E1011" s="8" t="str">
        <f t="shared" si="2"/>
        <v>https://resources.simonelectric.com/simon-catalogo-vehiculo-electrico</v>
      </c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</row>
    <row r="1012" ht="15.75" customHeight="1">
      <c r="A1012" s="5" t="s">
        <v>1278</v>
      </c>
      <c r="B1012" s="5">
        <v>43969.0</v>
      </c>
      <c r="C1012" s="6" t="s">
        <v>1441</v>
      </c>
      <c r="D1012" s="11">
        <f t="shared" si="1"/>
        <v>70</v>
      </c>
      <c r="E1012" s="8" t="str">
        <f t="shared" si="2"/>
        <v>https://resources.simonelectric.com/simon-catalogo-vehiculo-electrico</v>
      </c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</row>
    <row r="1013" ht="15.75" customHeight="1">
      <c r="A1013" s="5" t="s">
        <v>1442</v>
      </c>
      <c r="B1013" s="5">
        <v>43969.0</v>
      </c>
      <c r="C1013" s="6" t="s">
        <v>1443</v>
      </c>
      <c r="D1013" s="11">
        <f t="shared" si="1"/>
        <v>70</v>
      </c>
      <c r="E1013" s="8" t="str">
        <f t="shared" si="2"/>
        <v>https://resources.simonelectric.com/simon-catalogo-vehiculo-electrico</v>
      </c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</row>
    <row r="1014" ht="15.75" customHeight="1">
      <c r="A1014" s="5" t="s">
        <v>1444</v>
      </c>
      <c r="B1014" s="5">
        <v>43969.0</v>
      </c>
      <c r="C1014" s="6" t="s">
        <v>10</v>
      </c>
      <c r="D1014" s="10" t="str">
        <f t="shared" si="1"/>
        <v>https://resources.simonelectric.com/simon-catalogo-vehiculo-electrico</v>
      </c>
      <c r="E1014" s="8" t="str">
        <f t="shared" si="2"/>
        <v>https://resources.simonelectric.com/simon-catalogo-vehiculo-electrico</v>
      </c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</row>
    <row r="1015" ht="15.75" customHeight="1">
      <c r="A1015" s="5" t="s">
        <v>1444</v>
      </c>
      <c r="B1015" s="5">
        <v>43969.0</v>
      </c>
      <c r="C1015" s="6" t="s">
        <v>28</v>
      </c>
      <c r="D1015" s="10" t="str">
        <f t="shared" si="1"/>
        <v>https://resources.simonelectric.com/simon-ebook-vehiculo-electrico</v>
      </c>
      <c r="E1015" s="8" t="str">
        <f t="shared" si="2"/>
        <v>https://resources.simonelectric.com/simon-ebook-vehiculo-electrico</v>
      </c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</row>
    <row r="1016" ht="15.75" customHeight="1">
      <c r="A1016" s="5" t="s">
        <v>1445</v>
      </c>
      <c r="B1016" s="5">
        <v>43969.0</v>
      </c>
      <c r="C1016" s="6" t="s">
        <v>1446</v>
      </c>
      <c r="D1016" s="11">
        <f t="shared" si="1"/>
        <v>70</v>
      </c>
      <c r="E1016" s="8" t="str">
        <f t="shared" si="2"/>
        <v>https://resources.simonelectric.com/simon-catalogo-vehiculo-electrico</v>
      </c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</row>
    <row r="1017" ht="15.75" customHeight="1">
      <c r="A1017" s="5" t="s">
        <v>1447</v>
      </c>
      <c r="B1017" s="5">
        <v>43969.0</v>
      </c>
      <c r="C1017" s="6" t="s">
        <v>1448</v>
      </c>
      <c r="D1017" s="11">
        <f t="shared" si="1"/>
        <v>70</v>
      </c>
      <c r="E1017" s="8" t="str">
        <f t="shared" si="2"/>
        <v>https://resources.simonelectric.com/simon-catalogo-vehiculo-electrico</v>
      </c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</row>
    <row r="1018" ht="15.75" customHeight="1">
      <c r="A1018" s="5" t="s">
        <v>1449</v>
      </c>
      <c r="B1018" s="5">
        <v>43969.0</v>
      </c>
      <c r="C1018" s="6" t="s">
        <v>1450</v>
      </c>
      <c r="D1018" s="10">
        <f t="shared" si="1"/>
        <v>70</v>
      </c>
      <c r="E1018" s="8" t="str">
        <f t="shared" si="2"/>
        <v>https://resources.simonelectric.com/simon-catalogo-vehiculo-electrico</v>
      </c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</row>
    <row r="1019" ht="15.75" customHeight="1">
      <c r="A1019" s="5" t="s">
        <v>1184</v>
      </c>
      <c r="B1019" s="5">
        <v>43969.0</v>
      </c>
      <c r="C1019" s="6" t="s">
        <v>1451</v>
      </c>
      <c r="D1019" s="11">
        <f t="shared" si="1"/>
        <v>70</v>
      </c>
      <c r="E1019" s="8" t="str">
        <f t="shared" si="2"/>
        <v>https://resources.simonelectric.com/simon-catalogo-vehiculo-electrico</v>
      </c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</row>
    <row r="1020" ht="15.75" customHeight="1">
      <c r="A1020" s="5" t="s">
        <v>1452</v>
      </c>
      <c r="B1020" s="5">
        <v>43969.0</v>
      </c>
      <c r="C1020" s="6" t="s">
        <v>1453</v>
      </c>
      <c r="D1020" s="11">
        <f t="shared" si="1"/>
        <v>70</v>
      </c>
      <c r="E1020" s="8" t="str">
        <f t="shared" si="2"/>
        <v>https://resources.simonelectric.com/simon-catalogo-vehiculo-electrico</v>
      </c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</row>
    <row r="1021" ht="15.75" customHeight="1">
      <c r="A1021" s="5" t="s">
        <v>1272</v>
      </c>
      <c r="B1021" s="5">
        <v>43969.0</v>
      </c>
      <c r="C1021" s="6" t="s">
        <v>1454</v>
      </c>
      <c r="D1021" s="11">
        <f t="shared" si="1"/>
        <v>70</v>
      </c>
      <c r="E1021" s="8" t="str">
        <f t="shared" si="2"/>
        <v>https://resources.simonelectric.com/simon-catalogo-vehiculo-electrico</v>
      </c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</row>
    <row r="1022" ht="15.75" customHeight="1">
      <c r="A1022" s="5" t="s">
        <v>851</v>
      </c>
      <c r="B1022" s="5">
        <v>43969.0</v>
      </c>
      <c r="C1022" s="6" t="s">
        <v>1455</v>
      </c>
      <c r="D1022" s="11">
        <f t="shared" si="1"/>
        <v>70</v>
      </c>
      <c r="E1022" s="8" t="str">
        <f t="shared" si="2"/>
        <v>https://resources.simonelectric.com/simon-catalogo-vehiculo-electrico</v>
      </c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</row>
    <row r="1023" ht="15.75" customHeight="1">
      <c r="A1023" s="5" t="s">
        <v>744</v>
      </c>
      <c r="B1023" s="5">
        <v>43969.0</v>
      </c>
      <c r="C1023" s="6" t="s">
        <v>1456</v>
      </c>
      <c r="D1023" s="10">
        <f t="shared" si="1"/>
        <v>70</v>
      </c>
      <c r="E1023" s="8" t="str">
        <f t="shared" si="2"/>
        <v>https://resources.simonelectric.com/simon-catalogo-vehiculo-electrico</v>
      </c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</row>
    <row r="1024" ht="15.75" customHeight="1">
      <c r="A1024" s="5" t="s">
        <v>1457</v>
      </c>
      <c r="B1024" s="5">
        <v>43969.0</v>
      </c>
      <c r="C1024" s="6" t="s">
        <v>1458</v>
      </c>
      <c r="D1024" s="11">
        <f t="shared" si="1"/>
        <v>70</v>
      </c>
      <c r="E1024" s="8" t="str">
        <f t="shared" si="2"/>
        <v>https://resources.simonelectric.com/simon-catalogo-vehiculo-electrico</v>
      </c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</row>
    <row r="1025" ht="15.75" customHeight="1">
      <c r="A1025" s="5" t="s">
        <v>1459</v>
      </c>
      <c r="B1025" s="5">
        <v>43969.0</v>
      </c>
      <c r="C1025" s="6" t="s">
        <v>1460</v>
      </c>
      <c r="D1025" s="11">
        <f t="shared" si="1"/>
        <v>70</v>
      </c>
      <c r="E1025" s="8" t="str">
        <f t="shared" si="2"/>
        <v>https://resources.simonelectric.com/simon-catalogo-vehiculo-electrico</v>
      </c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</row>
    <row r="1026" ht="15.75" customHeight="1">
      <c r="A1026" s="5" t="s">
        <v>1173</v>
      </c>
      <c r="B1026" s="5">
        <v>43969.0</v>
      </c>
      <c r="C1026" s="6" t="s">
        <v>1461</v>
      </c>
      <c r="D1026" s="11">
        <f t="shared" si="1"/>
        <v>70</v>
      </c>
      <c r="E1026" s="8" t="str">
        <f t="shared" si="2"/>
        <v>https://resources.simonelectric.com/simon-catalogo-vehiculo-electrico</v>
      </c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</row>
    <row r="1027" ht="15.75" customHeight="1">
      <c r="A1027" s="5" t="s">
        <v>1462</v>
      </c>
      <c r="B1027" s="5">
        <v>43969.0</v>
      </c>
      <c r="C1027" s="6" t="s">
        <v>28</v>
      </c>
      <c r="D1027" s="10" t="str">
        <f t="shared" si="1"/>
        <v>https://resources.simonelectric.com/simon-ebook-vehiculo-electrico</v>
      </c>
      <c r="E1027" s="8" t="str">
        <f t="shared" si="2"/>
        <v>https://resources.simonelectric.com/simon-ebook-vehiculo-electrico</v>
      </c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</row>
    <row r="1028" ht="15.75" customHeight="1">
      <c r="A1028" s="5" t="s">
        <v>1162</v>
      </c>
      <c r="B1028" s="5">
        <v>43969.0</v>
      </c>
      <c r="C1028" s="6" t="s">
        <v>1463</v>
      </c>
      <c r="D1028" s="11">
        <f t="shared" si="1"/>
        <v>70</v>
      </c>
      <c r="E1028" s="8" t="str">
        <f t="shared" si="2"/>
        <v>https://resources.simonelectric.com/simon-catalogo-vehiculo-electrico</v>
      </c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</row>
    <row r="1029" ht="15.75" customHeight="1">
      <c r="A1029" s="5" t="s">
        <v>1464</v>
      </c>
      <c r="B1029" s="5">
        <v>43969.0</v>
      </c>
      <c r="C1029" s="6" t="s">
        <v>1465</v>
      </c>
      <c r="D1029" s="10" t="str">
        <f t="shared" si="1"/>
        <v>https://resources.simonelectric.com/simon-ebook-vehiculo-electrico-ppc</v>
      </c>
      <c r="E1029" s="8" t="str">
        <f t="shared" si="2"/>
        <v>https://resources.simonelectric.com/simon-ebook-vehiculo-electrico-ppc</v>
      </c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</row>
    <row r="1030" ht="15.75" customHeight="1">
      <c r="A1030" s="5" t="s">
        <v>1462</v>
      </c>
      <c r="B1030" s="5">
        <v>43969.0</v>
      </c>
      <c r="C1030" s="6" t="s">
        <v>299</v>
      </c>
      <c r="D1030" s="10" t="str">
        <f t="shared" si="1"/>
        <v>https://resources.simonelectric.com/simon-material-formativo-vehiculo-electrico</v>
      </c>
      <c r="E1030" s="8" t="str">
        <f t="shared" si="2"/>
        <v>https://resources.simonelectric.com/simon-material-formativo-vehiculo-electrico</v>
      </c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</row>
    <row r="1031" ht="15.75" customHeight="1">
      <c r="A1031" s="5" t="s">
        <v>1466</v>
      </c>
      <c r="B1031" s="5">
        <v>43969.0</v>
      </c>
      <c r="C1031" s="6" t="s">
        <v>1467</v>
      </c>
      <c r="D1031" s="11">
        <f t="shared" si="1"/>
        <v>70</v>
      </c>
      <c r="E1031" s="8" t="str">
        <f t="shared" si="2"/>
        <v>https://resources.simonelectric.com/simon-catalogo-vehiculo-electrico</v>
      </c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</row>
    <row r="1032" ht="15.75" customHeight="1">
      <c r="A1032" s="5" t="s">
        <v>1468</v>
      </c>
      <c r="B1032" s="5">
        <v>43969.0</v>
      </c>
      <c r="C1032" s="6" t="s">
        <v>75</v>
      </c>
      <c r="D1032" s="11">
        <f t="shared" si="1"/>
        <v>67</v>
      </c>
      <c r="E1032" s="8" t="str">
        <f t="shared" si="2"/>
        <v>https://resources.simonelectric.com/simon-ebook-vehiculo-electrico</v>
      </c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</row>
    <row r="1033" ht="15.75" customHeight="1">
      <c r="A1033" s="5" t="s">
        <v>1469</v>
      </c>
      <c r="B1033" s="5">
        <v>43969.0</v>
      </c>
      <c r="C1033" s="6" t="s">
        <v>1470</v>
      </c>
      <c r="D1033" s="11">
        <f t="shared" si="1"/>
        <v>67</v>
      </c>
      <c r="E1033" s="8" t="str">
        <f t="shared" si="2"/>
        <v>https://resources.simonelectric.com/simon-ebook-vehiculo-electrico</v>
      </c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</row>
    <row r="1034" ht="15.75" customHeight="1">
      <c r="A1034" s="5" t="s">
        <v>1471</v>
      </c>
      <c r="B1034" s="5">
        <v>43969.0</v>
      </c>
      <c r="C1034" s="6" t="s">
        <v>1472</v>
      </c>
      <c r="D1034" s="11">
        <f t="shared" si="1"/>
        <v>67</v>
      </c>
      <c r="E1034" s="8" t="str">
        <f t="shared" si="2"/>
        <v>https://resources.simonelectric.com/simon-ebook-vehiculo-electrico</v>
      </c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</row>
    <row r="1035" ht="15.75" customHeight="1">
      <c r="A1035" s="5" t="s">
        <v>1473</v>
      </c>
      <c r="B1035" s="5">
        <v>43969.0</v>
      </c>
      <c r="C1035" s="6" t="s">
        <v>6</v>
      </c>
      <c r="D1035" s="11">
        <f t="shared" si="1"/>
        <v>67</v>
      </c>
      <c r="E1035" s="8" t="str">
        <f t="shared" si="2"/>
        <v>https://resources.simonelectric.com/simon-ebook-vehiculo-electrico</v>
      </c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</row>
    <row r="1036" ht="15.75" customHeight="1">
      <c r="A1036" s="5" t="s">
        <v>1474</v>
      </c>
      <c r="B1036" s="5">
        <v>43968.0</v>
      </c>
      <c r="C1036" s="6" t="s">
        <v>1475</v>
      </c>
      <c r="D1036" s="11">
        <f t="shared" si="1"/>
        <v>70</v>
      </c>
      <c r="E1036" s="8" t="str">
        <f t="shared" si="2"/>
        <v>https://resources.simonelectric.com/simon-catalogo-vehiculo-electrico</v>
      </c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</row>
    <row r="1037" ht="15.75" customHeight="1">
      <c r="A1037" s="5" t="s">
        <v>1476</v>
      </c>
      <c r="B1037" s="5">
        <v>43968.0</v>
      </c>
      <c r="C1037" s="6" t="s">
        <v>1477</v>
      </c>
      <c r="D1037" s="11">
        <f t="shared" si="1"/>
        <v>69</v>
      </c>
      <c r="E1037" s="8" t="str">
        <f t="shared" si="2"/>
        <v>https://resources.simonelectric.com/simon-ebook-vehiculo-electrico-0</v>
      </c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</row>
    <row r="1038" ht="15.75" customHeight="1">
      <c r="A1038" s="5" t="s">
        <v>984</v>
      </c>
      <c r="B1038" s="5">
        <v>43968.0</v>
      </c>
      <c r="C1038" s="6" t="s">
        <v>1478</v>
      </c>
      <c r="D1038" s="11">
        <f t="shared" si="1"/>
        <v>70</v>
      </c>
      <c r="E1038" s="8" t="str">
        <f t="shared" si="2"/>
        <v>https://resources.simonelectric.com/simon-catalogo-vehiculo-electrico</v>
      </c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</row>
    <row r="1039" ht="15.75" customHeight="1">
      <c r="A1039" s="5" t="s">
        <v>816</v>
      </c>
      <c r="B1039" s="5">
        <v>43968.0</v>
      </c>
      <c r="C1039" s="6" t="s">
        <v>55</v>
      </c>
      <c r="D1039" s="11">
        <f t="shared" si="1"/>
        <v>71</v>
      </c>
      <c r="E1039" s="8" t="str">
        <f t="shared" si="2"/>
        <v>https://resources.simonelectric.com/simon-ebook-vehiculo-electrico-ppc</v>
      </c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</row>
    <row r="1040" ht="15.75" customHeight="1">
      <c r="A1040" s="5" t="s">
        <v>1479</v>
      </c>
      <c r="B1040" s="5">
        <v>43968.0</v>
      </c>
      <c r="C1040" s="6" t="s">
        <v>55</v>
      </c>
      <c r="D1040" s="11">
        <f t="shared" si="1"/>
        <v>71</v>
      </c>
      <c r="E1040" s="8" t="str">
        <f t="shared" si="2"/>
        <v>https://resources.simonelectric.com/simon-ebook-vehiculo-electrico-ppc</v>
      </c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</row>
    <row r="1041" ht="15.75" customHeight="1">
      <c r="A1041" s="5" t="s">
        <v>1480</v>
      </c>
      <c r="B1041" s="5">
        <v>43968.0</v>
      </c>
      <c r="C1041" s="6" t="s">
        <v>55</v>
      </c>
      <c r="D1041" s="11">
        <f t="shared" si="1"/>
        <v>71</v>
      </c>
      <c r="E1041" s="8" t="str">
        <f t="shared" si="2"/>
        <v>https://resources.simonelectric.com/simon-ebook-vehiculo-electrico-ppc</v>
      </c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</row>
    <row r="1042" ht="15.75" customHeight="1">
      <c r="A1042" s="5" t="s">
        <v>1481</v>
      </c>
      <c r="B1042" s="5">
        <v>43968.0</v>
      </c>
      <c r="C1042" s="6" t="s">
        <v>8</v>
      </c>
      <c r="D1042" s="11">
        <f t="shared" si="1"/>
        <v>67</v>
      </c>
      <c r="E1042" s="8" t="str">
        <f t="shared" si="2"/>
        <v>https://resources.simonelectric.com/simon-ebook-vehiculo-electrico</v>
      </c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</row>
    <row r="1043" ht="15.75" customHeight="1">
      <c r="A1043" s="5" t="s">
        <v>1482</v>
      </c>
      <c r="B1043" s="5">
        <v>43968.0</v>
      </c>
      <c r="C1043" s="6" t="s">
        <v>55</v>
      </c>
      <c r="D1043" s="11">
        <f t="shared" si="1"/>
        <v>71</v>
      </c>
      <c r="E1043" s="8" t="str">
        <f t="shared" si="2"/>
        <v>https://resources.simonelectric.com/simon-ebook-vehiculo-electrico-ppc</v>
      </c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</row>
    <row r="1044" ht="15.75" customHeight="1">
      <c r="A1044" s="5" t="s">
        <v>1022</v>
      </c>
      <c r="B1044" s="5">
        <v>43968.0</v>
      </c>
      <c r="C1044" s="6" t="s">
        <v>1483</v>
      </c>
      <c r="D1044" s="11">
        <f t="shared" si="1"/>
        <v>70</v>
      </c>
      <c r="E1044" s="8" t="str">
        <f t="shared" si="2"/>
        <v>https://resources.simonelectric.com/simon-catalogo-vehiculo-electrico</v>
      </c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</row>
    <row r="1045" ht="15.75" customHeight="1">
      <c r="A1045" s="5" t="s">
        <v>1484</v>
      </c>
      <c r="B1045" s="5">
        <v>43967.0</v>
      </c>
      <c r="C1045" s="6" t="s">
        <v>55</v>
      </c>
      <c r="D1045" s="11">
        <f t="shared" si="1"/>
        <v>71</v>
      </c>
      <c r="E1045" s="8" t="str">
        <f t="shared" si="2"/>
        <v>https://resources.simonelectric.com/simon-ebook-vehiculo-electrico-ppc</v>
      </c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</row>
    <row r="1046" ht="15.75" customHeight="1">
      <c r="A1046" s="5" t="s">
        <v>1070</v>
      </c>
      <c r="B1046" s="5">
        <v>43967.0</v>
      </c>
      <c r="C1046" s="6" t="s">
        <v>1485</v>
      </c>
      <c r="D1046" s="11">
        <f t="shared" si="1"/>
        <v>67</v>
      </c>
      <c r="E1046" s="8" t="str">
        <f t="shared" si="2"/>
        <v>https://resources.simonelectric.com/simon-ebook-vehiculo-electrico</v>
      </c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</row>
    <row r="1047" ht="15.75" customHeight="1">
      <c r="A1047" s="5" t="s">
        <v>1070</v>
      </c>
      <c r="B1047" s="5">
        <v>43967.0</v>
      </c>
      <c r="C1047" s="6" t="s">
        <v>1485</v>
      </c>
      <c r="D1047" s="11">
        <f t="shared" si="1"/>
        <v>67</v>
      </c>
      <c r="E1047" s="8" t="str">
        <f t="shared" si="2"/>
        <v>https://resources.simonelectric.com/simon-ebook-vehiculo-electrico</v>
      </c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</row>
    <row r="1048" ht="15.75" customHeight="1">
      <c r="A1048" s="5" t="s">
        <v>1070</v>
      </c>
      <c r="B1048" s="5">
        <v>43967.0</v>
      </c>
      <c r="C1048" s="6" t="s">
        <v>1485</v>
      </c>
      <c r="D1048" s="11">
        <f t="shared" si="1"/>
        <v>67</v>
      </c>
      <c r="E1048" s="8" t="str">
        <f t="shared" si="2"/>
        <v>https://resources.simonelectric.com/simon-ebook-vehiculo-electrico</v>
      </c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</row>
    <row r="1049" ht="15.75" customHeight="1">
      <c r="A1049" s="5" t="s">
        <v>1486</v>
      </c>
      <c r="B1049" s="5">
        <v>43967.0</v>
      </c>
      <c r="C1049" s="6" t="s">
        <v>28</v>
      </c>
      <c r="D1049" s="10" t="str">
        <f t="shared" si="1"/>
        <v>https://resources.simonelectric.com/simon-ebook-vehiculo-electrico</v>
      </c>
      <c r="E1049" s="8" t="str">
        <f t="shared" si="2"/>
        <v>https://resources.simonelectric.com/simon-ebook-vehiculo-electrico</v>
      </c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</row>
    <row r="1050" ht="15.75" customHeight="1">
      <c r="A1050" s="5" t="s">
        <v>1487</v>
      </c>
      <c r="B1050" s="5">
        <v>43967.0</v>
      </c>
      <c r="C1050" s="6" t="s">
        <v>1488</v>
      </c>
      <c r="D1050" s="11">
        <f t="shared" si="1"/>
        <v>70</v>
      </c>
      <c r="E1050" s="8" t="str">
        <f t="shared" si="2"/>
        <v>https://resources.simonelectric.com/simon-catalogo-vehiculo-electrico</v>
      </c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</row>
    <row r="1051" ht="15.75" customHeight="1">
      <c r="A1051" s="5" t="s">
        <v>1489</v>
      </c>
      <c r="B1051" s="5">
        <v>43967.0</v>
      </c>
      <c r="C1051" s="6" t="s">
        <v>8</v>
      </c>
      <c r="D1051" s="11">
        <f t="shared" si="1"/>
        <v>67</v>
      </c>
      <c r="E1051" s="8" t="str">
        <f t="shared" si="2"/>
        <v>https://resources.simonelectric.com/simon-ebook-vehiculo-electrico</v>
      </c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</row>
    <row r="1052" ht="15.75" customHeight="1">
      <c r="A1052" s="5" t="s">
        <v>1490</v>
      </c>
      <c r="B1052" s="5">
        <v>43967.0</v>
      </c>
      <c r="C1052" s="6" t="s">
        <v>28</v>
      </c>
      <c r="D1052" s="10" t="str">
        <f t="shared" si="1"/>
        <v>https://resources.simonelectric.com/simon-ebook-vehiculo-electrico</v>
      </c>
      <c r="E1052" s="8" t="str">
        <f t="shared" si="2"/>
        <v>https://resources.simonelectric.com/simon-ebook-vehiculo-electrico</v>
      </c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</row>
    <row r="1053" ht="15.75" customHeight="1">
      <c r="A1053" s="5" t="s">
        <v>1491</v>
      </c>
      <c r="B1053" s="5">
        <v>43967.0</v>
      </c>
      <c r="C1053" s="6" t="s">
        <v>1492</v>
      </c>
      <c r="D1053" s="11">
        <f t="shared" si="1"/>
        <v>70</v>
      </c>
      <c r="E1053" s="8" t="str">
        <f t="shared" si="2"/>
        <v>https://resources.simonelectric.com/simon-catalogo-vehiculo-electrico</v>
      </c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</row>
    <row r="1054" ht="15.75" customHeight="1">
      <c r="A1054" s="5" t="s">
        <v>1493</v>
      </c>
      <c r="B1054" s="5">
        <v>43967.0</v>
      </c>
      <c r="C1054" s="6" t="s">
        <v>55</v>
      </c>
      <c r="D1054" s="11">
        <f t="shared" si="1"/>
        <v>71</v>
      </c>
      <c r="E1054" s="8" t="str">
        <f t="shared" si="2"/>
        <v>https://resources.simonelectric.com/simon-ebook-vehiculo-electrico-ppc</v>
      </c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</row>
    <row r="1055" ht="15.75" customHeight="1">
      <c r="A1055" s="5" t="s">
        <v>1494</v>
      </c>
      <c r="B1055" s="5">
        <v>43967.0</v>
      </c>
      <c r="C1055" s="6" t="s">
        <v>1495</v>
      </c>
      <c r="D1055" s="11">
        <f t="shared" si="1"/>
        <v>69</v>
      </c>
      <c r="E1055" s="8" t="str">
        <f t="shared" si="2"/>
        <v>https://resources.simonelectric.com/simon-ebook-vehiculo-electrico-0</v>
      </c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</row>
    <row r="1056" ht="15.75" customHeight="1">
      <c r="A1056" s="5" t="s">
        <v>1496</v>
      </c>
      <c r="B1056" s="5">
        <v>43966.0</v>
      </c>
      <c r="C1056" s="6" t="s">
        <v>10</v>
      </c>
      <c r="D1056" s="10" t="str">
        <f t="shared" si="1"/>
        <v>https://resources.simonelectric.com/simon-catalogo-vehiculo-electrico</v>
      </c>
      <c r="E1056" s="8" t="str">
        <f t="shared" si="2"/>
        <v>https://resources.simonelectric.com/simon-catalogo-vehiculo-electrico</v>
      </c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</row>
    <row r="1057" ht="15.75" customHeight="1">
      <c r="A1057" s="5" t="s">
        <v>1497</v>
      </c>
      <c r="B1057" s="5">
        <v>43966.0</v>
      </c>
      <c r="C1057" s="6" t="s">
        <v>55</v>
      </c>
      <c r="D1057" s="11">
        <f t="shared" si="1"/>
        <v>71</v>
      </c>
      <c r="E1057" s="8" t="str">
        <f t="shared" si="2"/>
        <v>https://resources.simonelectric.com/simon-ebook-vehiculo-electrico-ppc</v>
      </c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</row>
    <row r="1058" ht="15.75" customHeight="1">
      <c r="A1058" s="5" t="s">
        <v>1498</v>
      </c>
      <c r="B1058" s="5">
        <v>43966.0</v>
      </c>
      <c r="C1058" s="6" t="s">
        <v>1499</v>
      </c>
      <c r="D1058" s="11">
        <f t="shared" si="1"/>
        <v>70</v>
      </c>
      <c r="E1058" s="8" t="str">
        <f t="shared" si="2"/>
        <v>https://resources.simonelectric.com/simon-catalogo-vehiculo-electrico</v>
      </c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</row>
    <row r="1059" ht="15.75" customHeight="1">
      <c r="A1059" s="5" t="s">
        <v>1500</v>
      </c>
      <c r="B1059" s="5">
        <v>43966.0</v>
      </c>
      <c r="C1059" s="6" t="s">
        <v>1501</v>
      </c>
      <c r="D1059" s="11">
        <f t="shared" si="1"/>
        <v>67</v>
      </c>
      <c r="E1059" s="8" t="str">
        <f t="shared" si="2"/>
        <v>https://resources.simonelectric.com/simon-ebook-vehiculo-electrico</v>
      </c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</row>
    <row r="1060" ht="15.75" customHeight="1">
      <c r="A1060" s="5" t="s">
        <v>773</v>
      </c>
      <c r="B1060" s="5">
        <v>43966.0</v>
      </c>
      <c r="C1060" s="6" t="s">
        <v>1502</v>
      </c>
      <c r="D1060" s="11">
        <f t="shared" si="1"/>
        <v>70</v>
      </c>
      <c r="E1060" s="8" t="str">
        <f t="shared" si="2"/>
        <v>https://resources.simonelectric.com/simon-catalogo-vehiculo-electrico</v>
      </c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</row>
    <row r="1061" ht="15.75" customHeight="1">
      <c r="A1061" s="5" t="s">
        <v>1503</v>
      </c>
      <c r="B1061" s="5">
        <v>43966.0</v>
      </c>
      <c r="C1061" s="6" t="s">
        <v>1504</v>
      </c>
      <c r="D1061" s="11">
        <f t="shared" si="1"/>
        <v>70</v>
      </c>
      <c r="E1061" s="8" t="str">
        <f t="shared" si="2"/>
        <v>https://resources.simonelectric.com/simon-catalogo-vehiculo-electrico</v>
      </c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</row>
    <row r="1062" ht="15.75" customHeight="1">
      <c r="A1062" s="5" t="s">
        <v>1505</v>
      </c>
      <c r="B1062" s="5">
        <v>43966.0</v>
      </c>
      <c r="C1062" s="6" t="s">
        <v>1506</v>
      </c>
      <c r="D1062" s="11">
        <f t="shared" si="1"/>
        <v>70</v>
      </c>
      <c r="E1062" s="8" t="str">
        <f t="shared" si="2"/>
        <v>https://resources.simonelectric.com/simon-catalogo-vehiculo-electrico</v>
      </c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</row>
    <row r="1063" ht="15.75" customHeight="1">
      <c r="A1063" s="5" t="s">
        <v>1507</v>
      </c>
      <c r="B1063" s="5">
        <v>43966.0</v>
      </c>
      <c r="C1063" s="6" t="s">
        <v>10</v>
      </c>
      <c r="D1063" s="10" t="str">
        <f t="shared" si="1"/>
        <v>https://resources.simonelectric.com/simon-catalogo-vehiculo-electrico</v>
      </c>
      <c r="E1063" s="8" t="str">
        <f t="shared" si="2"/>
        <v>https://resources.simonelectric.com/simon-catalogo-vehiculo-electrico</v>
      </c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</row>
    <row r="1064" ht="15.75" customHeight="1">
      <c r="A1064" s="5" t="s">
        <v>1508</v>
      </c>
      <c r="B1064" s="5">
        <v>43966.0</v>
      </c>
      <c r="C1064" s="6" t="s">
        <v>8</v>
      </c>
      <c r="D1064" s="11">
        <f t="shared" si="1"/>
        <v>67</v>
      </c>
      <c r="E1064" s="8" t="str">
        <f t="shared" si="2"/>
        <v>https://resources.simonelectric.com/simon-ebook-vehiculo-electrico</v>
      </c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</row>
    <row r="1065" ht="15.75" customHeight="1">
      <c r="A1065" s="5" t="s">
        <v>1509</v>
      </c>
      <c r="B1065" s="5">
        <v>43966.0</v>
      </c>
      <c r="C1065" s="6" t="s">
        <v>299</v>
      </c>
      <c r="D1065" s="10" t="str">
        <f t="shared" si="1"/>
        <v>https://resources.simonelectric.com/simon-material-formativo-vehiculo-electrico</v>
      </c>
      <c r="E1065" s="8" t="str">
        <f t="shared" si="2"/>
        <v>https://resources.simonelectric.com/simon-material-formativo-vehiculo-electrico</v>
      </c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</row>
    <row r="1066" ht="15.75" customHeight="1">
      <c r="A1066" s="5" t="s">
        <v>1510</v>
      </c>
      <c r="B1066" s="5">
        <v>43966.0</v>
      </c>
      <c r="C1066" s="6" t="s">
        <v>1511</v>
      </c>
      <c r="D1066" s="11">
        <f t="shared" si="1"/>
        <v>70</v>
      </c>
      <c r="E1066" s="8" t="str">
        <f t="shared" si="2"/>
        <v>https://resources.simonelectric.com/simon-catalogo-vehiculo-electrico</v>
      </c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</row>
    <row r="1067" ht="15.75" customHeight="1">
      <c r="A1067" s="5" t="s">
        <v>1512</v>
      </c>
      <c r="B1067" s="5">
        <v>43965.0</v>
      </c>
      <c r="C1067" s="6" t="s">
        <v>1513</v>
      </c>
      <c r="D1067" s="11">
        <f t="shared" si="1"/>
        <v>80</v>
      </c>
      <c r="E1067" s="8" t="str">
        <f t="shared" si="2"/>
        <v>https://resources.simonelectric.com/simon-material-formativo-vehiculo-electrico</v>
      </c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</row>
    <row r="1068" ht="15.75" customHeight="1">
      <c r="A1068" s="5" t="s">
        <v>1514</v>
      </c>
      <c r="B1068" s="5">
        <v>43965.0</v>
      </c>
      <c r="C1068" s="6" t="s">
        <v>1515</v>
      </c>
      <c r="D1068" s="11">
        <f t="shared" si="1"/>
        <v>67</v>
      </c>
      <c r="E1068" s="8" t="str">
        <f t="shared" si="2"/>
        <v>https://resources.simonelectric.com/simon-ebook-vehiculo-electrico</v>
      </c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</row>
    <row r="1069" ht="15.75" customHeight="1">
      <c r="A1069" s="5" t="s">
        <v>1516</v>
      </c>
      <c r="B1069" s="5">
        <v>43965.0</v>
      </c>
      <c r="C1069" s="6" t="s">
        <v>8</v>
      </c>
      <c r="D1069" s="11">
        <f t="shared" si="1"/>
        <v>67</v>
      </c>
      <c r="E1069" s="8" t="str">
        <f t="shared" si="2"/>
        <v>https://resources.simonelectric.com/simon-ebook-vehiculo-electrico</v>
      </c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</row>
    <row r="1070" ht="15.75" customHeight="1">
      <c r="A1070" s="5" t="s">
        <v>1517</v>
      </c>
      <c r="B1070" s="5">
        <v>43965.0</v>
      </c>
      <c r="C1070" s="6" t="s">
        <v>1518</v>
      </c>
      <c r="D1070" s="11">
        <f t="shared" si="1"/>
        <v>70</v>
      </c>
      <c r="E1070" s="8" t="str">
        <f t="shared" si="2"/>
        <v>https://resources.simonelectric.com/simon-catalogo-vehiculo-electrico</v>
      </c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</row>
    <row r="1071" ht="15.75" customHeight="1">
      <c r="A1071" s="5" t="s">
        <v>1517</v>
      </c>
      <c r="B1071" s="5">
        <v>43965.0</v>
      </c>
      <c r="C1071" s="6" t="s">
        <v>8</v>
      </c>
      <c r="D1071" s="11">
        <f t="shared" si="1"/>
        <v>67</v>
      </c>
      <c r="E1071" s="8" t="str">
        <f t="shared" si="2"/>
        <v>https://resources.simonelectric.com/simon-ebook-vehiculo-electrico</v>
      </c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</row>
    <row r="1072" ht="15.75" customHeight="1">
      <c r="A1072" s="5" t="s">
        <v>1519</v>
      </c>
      <c r="B1072" s="5">
        <v>43965.0</v>
      </c>
      <c r="C1072" s="6" t="s">
        <v>299</v>
      </c>
      <c r="D1072" s="10" t="str">
        <f t="shared" si="1"/>
        <v>https://resources.simonelectric.com/simon-material-formativo-vehiculo-electrico</v>
      </c>
      <c r="E1072" s="8" t="str">
        <f t="shared" si="2"/>
        <v>https://resources.simonelectric.com/simon-material-formativo-vehiculo-electrico</v>
      </c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</row>
    <row r="1073" ht="15.75" customHeight="1">
      <c r="A1073" s="5" t="s">
        <v>1125</v>
      </c>
      <c r="B1073" s="5">
        <v>43965.0</v>
      </c>
      <c r="C1073" s="6" t="s">
        <v>8</v>
      </c>
      <c r="D1073" s="11">
        <f t="shared" si="1"/>
        <v>67</v>
      </c>
      <c r="E1073" s="8" t="str">
        <f t="shared" si="2"/>
        <v>https://resources.simonelectric.com/simon-ebook-vehiculo-electrico</v>
      </c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</row>
    <row r="1074" ht="15.75" customHeight="1">
      <c r="A1074" s="5" t="s">
        <v>1520</v>
      </c>
      <c r="B1074" s="5">
        <v>43965.0</v>
      </c>
      <c r="C1074" s="6" t="s">
        <v>31</v>
      </c>
      <c r="D1074" s="11">
        <f t="shared" si="1"/>
        <v>67</v>
      </c>
      <c r="E1074" s="8" t="str">
        <f t="shared" si="2"/>
        <v>https://resources.simonelectric.com/simon-ebook-vehiculo-electrico</v>
      </c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</row>
    <row r="1075" ht="15.75" customHeight="1">
      <c r="A1075" s="5" t="s">
        <v>1521</v>
      </c>
      <c r="B1075" s="5">
        <v>43965.0</v>
      </c>
      <c r="C1075" s="6" t="s">
        <v>1522</v>
      </c>
      <c r="D1075" s="11">
        <f t="shared" si="1"/>
        <v>70</v>
      </c>
      <c r="E1075" s="8" t="str">
        <f t="shared" si="2"/>
        <v>https://resources.simonelectric.com/simon-catalogo-vehiculo-electrico</v>
      </c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</row>
    <row r="1076" ht="15.75" customHeight="1">
      <c r="A1076" s="5" t="s">
        <v>1523</v>
      </c>
      <c r="B1076" s="5">
        <v>43965.0</v>
      </c>
      <c r="C1076" s="6" t="s">
        <v>1524</v>
      </c>
      <c r="D1076" s="11">
        <f t="shared" si="1"/>
        <v>67</v>
      </c>
      <c r="E1076" s="8" t="str">
        <f t="shared" si="2"/>
        <v>https://resources.simonelectric.com/simon-ebook-vehiculo-electrico</v>
      </c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</row>
    <row r="1077" ht="15.75" customHeight="1">
      <c r="A1077" s="5" t="s">
        <v>1523</v>
      </c>
      <c r="B1077" s="5">
        <v>43965.0</v>
      </c>
      <c r="C1077" s="6" t="s">
        <v>28</v>
      </c>
      <c r="D1077" s="10" t="str">
        <f t="shared" si="1"/>
        <v>https://resources.simonelectric.com/simon-ebook-vehiculo-electrico</v>
      </c>
      <c r="E1077" s="8" t="str">
        <f t="shared" si="2"/>
        <v>https://resources.simonelectric.com/simon-ebook-vehiculo-electrico</v>
      </c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</row>
    <row r="1078" ht="15.75" customHeight="1">
      <c r="A1078" s="5" t="s">
        <v>1523</v>
      </c>
      <c r="B1078" s="5">
        <v>43965.0</v>
      </c>
      <c r="C1078" s="6" t="s">
        <v>8</v>
      </c>
      <c r="D1078" s="11">
        <f t="shared" si="1"/>
        <v>67</v>
      </c>
      <c r="E1078" s="8" t="str">
        <f t="shared" si="2"/>
        <v>https://resources.simonelectric.com/simon-ebook-vehiculo-electrico</v>
      </c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</row>
    <row r="1079" ht="15.75" customHeight="1">
      <c r="A1079" s="5" t="s">
        <v>1525</v>
      </c>
      <c r="B1079" s="5">
        <v>43964.0</v>
      </c>
      <c r="C1079" s="6" t="s">
        <v>1526</v>
      </c>
      <c r="D1079" s="11">
        <f t="shared" si="1"/>
        <v>70</v>
      </c>
      <c r="E1079" s="8" t="str">
        <f t="shared" si="2"/>
        <v>https://resources.simonelectric.com/simon-catalogo-vehiculo-electrico</v>
      </c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</row>
    <row r="1080" ht="15.75" customHeight="1">
      <c r="A1080" s="5" t="s">
        <v>1527</v>
      </c>
      <c r="B1080" s="5">
        <v>43964.0</v>
      </c>
      <c r="C1080" s="6" t="s">
        <v>55</v>
      </c>
      <c r="D1080" s="11">
        <f t="shared" si="1"/>
        <v>71</v>
      </c>
      <c r="E1080" s="8" t="str">
        <f t="shared" si="2"/>
        <v>https://resources.simonelectric.com/simon-ebook-vehiculo-electrico-ppc</v>
      </c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</row>
    <row r="1081" ht="15.75" customHeight="1">
      <c r="A1081" s="5" t="s">
        <v>1528</v>
      </c>
      <c r="B1081" s="5">
        <v>43964.0</v>
      </c>
      <c r="C1081" s="6" t="s">
        <v>1529</v>
      </c>
      <c r="D1081" s="11">
        <f t="shared" si="1"/>
        <v>69</v>
      </c>
      <c r="E1081" s="8" t="str">
        <f t="shared" si="2"/>
        <v>https://resources.simonelectric.com/simon-ebook-vehiculo-electrico-0</v>
      </c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</row>
    <row r="1082" ht="15.75" customHeight="1">
      <c r="A1082" s="5" t="s">
        <v>1055</v>
      </c>
      <c r="B1082" s="5">
        <v>43964.0</v>
      </c>
      <c r="C1082" s="6" t="s">
        <v>1530</v>
      </c>
      <c r="D1082" s="11">
        <f t="shared" si="1"/>
        <v>69</v>
      </c>
      <c r="E1082" s="8" t="str">
        <f t="shared" si="2"/>
        <v>https://resources.simonelectric.com/simon-ebook-vehiculo-electrico-0</v>
      </c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</row>
    <row r="1083" ht="15.75" customHeight="1">
      <c r="A1083" s="5" t="s">
        <v>1531</v>
      </c>
      <c r="B1083" s="5">
        <v>43964.0</v>
      </c>
      <c r="C1083" s="6" t="s">
        <v>55</v>
      </c>
      <c r="D1083" s="11">
        <f t="shared" si="1"/>
        <v>71</v>
      </c>
      <c r="E1083" s="8" t="str">
        <f t="shared" si="2"/>
        <v>https://resources.simonelectric.com/simon-ebook-vehiculo-electrico-ppc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</row>
    <row r="1084" ht="15.75" customHeight="1">
      <c r="A1084" s="5" t="s">
        <v>1086</v>
      </c>
      <c r="B1084" s="5">
        <v>43964.0</v>
      </c>
      <c r="C1084" s="6" t="s">
        <v>55</v>
      </c>
      <c r="D1084" s="11">
        <f t="shared" si="1"/>
        <v>71</v>
      </c>
      <c r="E1084" s="8" t="str">
        <f t="shared" si="2"/>
        <v>https://resources.simonelectric.com/simon-ebook-vehiculo-electrico-ppc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</row>
    <row r="1085" ht="15.75" customHeight="1">
      <c r="A1085" s="5" t="s">
        <v>1532</v>
      </c>
      <c r="B1085" s="5">
        <v>43964.0</v>
      </c>
      <c r="C1085" s="6" t="s">
        <v>1533</v>
      </c>
      <c r="D1085" s="11">
        <f t="shared" si="1"/>
        <v>70</v>
      </c>
      <c r="E1085" s="8" t="str">
        <f t="shared" si="2"/>
        <v>https://resources.simonelectric.com/simon-catalogo-vehiculo-electrico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</row>
    <row r="1086" ht="15.75" customHeight="1">
      <c r="A1086" s="5" t="s">
        <v>1534</v>
      </c>
      <c r="B1086" s="5">
        <v>43964.0</v>
      </c>
      <c r="C1086" s="6" t="s">
        <v>55</v>
      </c>
      <c r="D1086" s="11">
        <f t="shared" si="1"/>
        <v>71</v>
      </c>
      <c r="E1086" s="8" t="str">
        <f t="shared" si="2"/>
        <v>https://resources.simonelectric.com/simon-ebook-vehiculo-electrico-ppc</v>
      </c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</row>
    <row r="1087" ht="15.75" customHeight="1">
      <c r="A1087" s="5" t="s">
        <v>1535</v>
      </c>
      <c r="B1087" s="5">
        <v>43964.0</v>
      </c>
      <c r="C1087" s="6" t="s">
        <v>1536</v>
      </c>
      <c r="D1087" s="11">
        <f t="shared" si="1"/>
        <v>71</v>
      </c>
      <c r="E1087" s="8" t="str">
        <f t="shared" si="2"/>
        <v>https://resources.simonelectric.com/simon-ebook-vehiculo-electrico-ppc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</row>
    <row r="1088" ht="15.75" customHeight="1">
      <c r="A1088" s="5" t="s">
        <v>638</v>
      </c>
      <c r="B1088" s="5">
        <v>43964.0</v>
      </c>
      <c r="C1088" s="6" t="s">
        <v>55</v>
      </c>
      <c r="D1088" s="11">
        <f t="shared" si="1"/>
        <v>71</v>
      </c>
      <c r="E1088" s="8" t="str">
        <f t="shared" si="2"/>
        <v>https://resources.simonelectric.com/simon-ebook-vehiculo-electrico-ppc</v>
      </c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</row>
    <row r="1089" ht="15.75" customHeight="1">
      <c r="A1089" s="5" t="s">
        <v>1537</v>
      </c>
      <c r="B1089" s="5">
        <v>43964.0</v>
      </c>
      <c r="C1089" s="6" t="s">
        <v>1538</v>
      </c>
      <c r="D1089" s="11">
        <f t="shared" si="1"/>
        <v>67</v>
      </c>
      <c r="E1089" s="8" t="str">
        <f t="shared" si="2"/>
        <v>https://resources.simonelectric.com/simon-ebook-vehiculo-electrico</v>
      </c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</row>
    <row r="1090" ht="15.75" customHeight="1">
      <c r="A1090" s="5" t="s">
        <v>1539</v>
      </c>
      <c r="B1090" s="5">
        <v>43963.0</v>
      </c>
      <c r="C1090" s="6" t="s">
        <v>55</v>
      </c>
      <c r="D1090" s="11">
        <f t="shared" si="1"/>
        <v>71</v>
      </c>
      <c r="E1090" s="8" t="str">
        <f t="shared" si="2"/>
        <v>https://resources.simonelectric.com/simon-ebook-vehiculo-electrico-ppc</v>
      </c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</row>
    <row r="1091" ht="15.75" customHeight="1">
      <c r="A1091" s="5" t="s">
        <v>1540</v>
      </c>
      <c r="B1091" s="5">
        <v>43963.0</v>
      </c>
      <c r="C1091" s="6" t="s">
        <v>10</v>
      </c>
      <c r="D1091" s="10" t="str">
        <f t="shared" si="1"/>
        <v>https://resources.simonelectric.com/simon-catalogo-vehiculo-electrico</v>
      </c>
      <c r="E1091" s="8" t="str">
        <f t="shared" si="2"/>
        <v>https://resources.simonelectric.com/simon-catalogo-vehiculo-electrico</v>
      </c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</row>
    <row r="1092" ht="15.75" customHeight="1">
      <c r="A1092" s="5" t="s">
        <v>1541</v>
      </c>
      <c r="B1092" s="5">
        <v>43963.0</v>
      </c>
      <c r="C1092" s="6" t="s">
        <v>28</v>
      </c>
      <c r="D1092" s="10" t="str">
        <f t="shared" si="1"/>
        <v>https://resources.simonelectric.com/simon-ebook-vehiculo-electrico</v>
      </c>
      <c r="E1092" s="8" t="str">
        <f t="shared" si="2"/>
        <v>https://resources.simonelectric.com/simon-ebook-vehiculo-electrico</v>
      </c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</row>
    <row r="1093" ht="15.75" customHeight="1">
      <c r="A1093" s="5" t="s">
        <v>1542</v>
      </c>
      <c r="B1093" s="5">
        <v>43963.0</v>
      </c>
      <c r="C1093" s="6" t="s">
        <v>1543</v>
      </c>
      <c r="D1093" s="11">
        <f t="shared" si="1"/>
        <v>70</v>
      </c>
      <c r="E1093" s="8" t="str">
        <f t="shared" si="2"/>
        <v>https://resources.simonelectric.com/simon-catalogo-vehiculo-electrico</v>
      </c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</row>
    <row r="1094" ht="15.75" customHeight="1">
      <c r="A1094" s="5" t="s">
        <v>1544</v>
      </c>
      <c r="B1094" s="5">
        <v>43963.0</v>
      </c>
      <c r="C1094" s="6" t="s">
        <v>1545</v>
      </c>
      <c r="D1094" s="11">
        <f t="shared" si="1"/>
        <v>67</v>
      </c>
      <c r="E1094" s="8" t="str">
        <f t="shared" si="2"/>
        <v>https://resources.simonelectric.com/simon-ebook-vehiculo-electrico</v>
      </c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</row>
    <row r="1095" ht="15.75" customHeight="1">
      <c r="A1095" s="5" t="s">
        <v>1546</v>
      </c>
      <c r="B1095" s="5">
        <v>43963.0</v>
      </c>
      <c r="C1095" s="6" t="s">
        <v>1547</v>
      </c>
      <c r="D1095" s="11">
        <f t="shared" si="1"/>
        <v>70</v>
      </c>
      <c r="E1095" s="8" t="str">
        <f t="shared" si="2"/>
        <v>https://resources.simonelectric.com/simon-catalogo-vehiculo-electrico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</row>
    <row r="1096" ht="15.75" customHeight="1">
      <c r="A1096" s="5" t="s">
        <v>1548</v>
      </c>
      <c r="B1096" s="5">
        <v>43963.0</v>
      </c>
      <c r="C1096" s="6" t="s">
        <v>1549</v>
      </c>
      <c r="D1096" s="11">
        <f t="shared" si="1"/>
        <v>70</v>
      </c>
      <c r="E1096" s="8" t="str">
        <f t="shared" si="2"/>
        <v>https://resources.simonelectric.com/simon-catalogo-vehiculo-electrico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</row>
    <row r="1097" ht="15.75" customHeight="1">
      <c r="A1097" s="5" t="s">
        <v>1550</v>
      </c>
      <c r="B1097" s="5">
        <v>43963.0</v>
      </c>
      <c r="C1097" s="6" t="s">
        <v>55</v>
      </c>
      <c r="D1097" s="11">
        <f t="shared" si="1"/>
        <v>71</v>
      </c>
      <c r="E1097" s="8" t="str">
        <f t="shared" si="2"/>
        <v>https://resources.simonelectric.com/simon-ebook-vehiculo-electrico-ppc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</row>
    <row r="1098" ht="15.75" customHeight="1">
      <c r="A1098" s="5" t="s">
        <v>1551</v>
      </c>
      <c r="B1098" s="5">
        <v>43963.0</v>
      </c>
      <c r="C1098" s="6" t="s">
        <v>6</v>
      </c>
      <c r="D1098" s="11">
        <f t="shared" si="1"/>
        <v>67</v>
      </c>
      <c r="E1098" s="8" t="str">
        <f t="shared" si="2"/>
        <v>https://resources.simonelectric.com/simon-ebook-vehiculo-electrico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</row>
    <row r="1099" ht="15.75" customHeight="1">
      <c r="A1099" s="5" t="s">
        <v>1552</v>
      </c>
      <c r="B1099" s="5">
        <v>43962.0</v>
      </c>
      <c r="C1099" s="6" t="s">
        <v>1553</v>
      </c>
      <c r="D1099" s="11">
        <f t="shared" si="1"/>
        <v>70</v>
      </c>
      <c r="E1099" s="8" t="str">
        <f t="shared" si="2"/>
        <v>https://resources.simonelectric.com/simon-catalogo-vehiculo-electrico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</row>
    <row r="1100" ht="15.75" customHeight="1">
      <c r="A1100" s="5" t="s">
        <v>1554</v>
      </c>
      <c r="B1100" s="5">
        <v>43962.0</v>
      </c>
      <c r="C1100" s="6" t="s">
        <v>1555</v>
      </c>
      <c r="D1100" s="11">
        <f t="shared" si="1"/>
        <v>67</v>
      </c>
      <c r="E1100" s="8" t="str">
        <f t="shared" si="2"/>
        <v>https://resources.simonelectric.com/simon-ebook-vehiculo-electrico</v>
      </c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</row>
    <row r="1101" ht="15.75" customHeight="1">
      <c r="A1101" s="5" t="s">
        <v>1556</v>
      </c>
      <c r="B1101" s="5">
        <v>43962.0</v>
      </c>
      <c r="C1101" s="6" t="s">
        <v>1557</v>
      </c>
      <c r="D1101" s="11">
        <f t="shared" si="1"/>
        <v>70</v>
      </c>
      <c r="E1101" s="8" t="str">
        <f t="shared" si="2"/>
        <v>https://resources.simonelectric.com/simon-catalogo-vehiculo-electrico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</row>
    <row r="1102" ht="15.75" customHeight="1">
      <c r="A1102" s="5" t="s">
        <v>1558</v>
      </c>
      <c r="B1102" s="5">
        <v>43962.0</v>
      </c>
      <c r="C1102" s="6" t="s">
        <v>299</v>
      </c>
      <c r="D1102" s="10" t="str">
        <f t="shared" si="1"/>
        <v>https://resources.simonelectric.com/simon-material-formativo-vehiculo-electrico</v>
      </c>
      <c r="E1102" s="8" t="str">
        <f t="shared" si="2"/>
        <v>https://resources.simonelectric.com/simon-material-formativo-vehiculo-electrico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</row>
    <row r="1103" ht="15.75" customHeight="1">
      <c r="A1103" s="5" t="s">
        <v>1559</v>
      </c>
      <c r="B1103" s="5">
        <v>43962.0</v>
      </c>
      <c r="C1103" s="6" t="s">
        <v>1560</v>
      </c>
      <c r="D1103" s="11">
        <f t="shared" si="1"/>
        <v>67</v>
      </c>
      <c r="E1103" s="8" t="str">
        <f t="shared" si="2"/>
        <v>https://resources.simonelectric.com/simon-ebook-vehiculo-electrico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</row>
    <row r="1104" ht="15.75" customHeight="1">
      <c r="A1104" s="5" t="s">
        <v>1561</v>
      </c>
      <c r="B1104" s="5">
        <v>43962.0</v>
      </c>
      <c r="C1104" s="6" t="s">
        <v>1562</v>
      </c>
      <c r="D1104" s="11">
        <f t="shared" si="1"/>
        <v>70</v>
      </c>
      <c r="E1104" s="8" t="str">
        <f t="shared" si="2"/>
        <v>https://resources.simonelectric.com/simon-catalogo-vehiculo-electrico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</row>
    <row r="1105" ht="15.75" customHeight="1">
      <c r="A1105" s="5" t="s">
        <v>962</v>
      </c>
      <c r="B1105" s="5">
        <v>43962.0</v>
      </c>
      <c r="C1105" s="6" t="s">
        <v>8</v>
      </c>
      <c r="D1105" s="11">
        <f t="shared" si="1"/>
        <v>67</v>
      </c>
      <c r="E1105" s="8" t="str">
        <f t="shared" si="2"/>
        <v>https://resources.simonelectric.com/simon-ebook-vehiculo-electrico</v>
      </c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</row>
    <row r="1106" ht="15.75" customHeight="1">
      <c r="A1106" s="5" t="s">
        <v>1563</v>
      </c>
      <c r="B1106" s="5">
        <v>43962.0</v>
      </c>
      <c r="C1106" s="6" t="s">
        <v>8</v>
      </c>
      <c r="D1106" s="11">
        <f t="shared" si="1"/>
        <v>67</v>
      </c>
      <c r="E1106" s="8" t="str">
        <f t="shared" si="2"/>
        <v>https://resources.simonelectric.com/simon-ebook-vehiculo-electrico</v>
      </c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</row>
    <row r="1107" ht="15.75" customHeight="1">
      <c r="A1107" s="5" t="s">
        <v>1520</v>
      </c>
      <c r="B1107" s="5">
        <v>43962.0</v>
      </c>
      <c r="C1107" s="6" t="s">
        <v>1564</v>
      </c>
      <c r="D1107" s="11">
        <f t="shared" si="1"/>
        <v>67</v>
      </c>
      <c r="E1107" s="8" t="str">
        <f t="shared" si="2"/>
        <v>https://resources.simonelectric.com/simon-ebook-vehiculo-electrico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</row>
    <row r="1108" ht="15.75" customHeight="1">
      <c r="A1108" s="5" t="s">
        <v>1565</v>
      </c>
      <c r="B1108" s="5">
        <v>43962.0</v>
      </c>
      <c r="C1108" s="6" t="s">
        <v>75</v>
      </c>
      <c r="D1108" s="11">
        <f t="shared" si="1"/>
        <v>67</v>
      </c>
      <c r="E1108" s="8" t="str">
        <f t="shared" si="2"/>
        <v>https://resources.simonelectric.com/simon-ebook-vehiculo-electrico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</row>
    <row r="1109" ht="15.75" customHeight="1">
      <c r="A1109" s="5" t="s">
        <v>1566</v>
      </c>
      <c r="B1109" s="5">
        <v>43962.0</v>
      </c>
      <c r="C1109" s="6" t="s">
        <v>1567</v>
      </c>
      <c r="D1109" s="11">
        <f t="shared" si="1"/>
        <v>67</v>
      </c>
      <c r="E1109" s="8" t="str">
        <f t="shared" si="2"/>
        <v>https://resources.simonelectric.com/simon-ebook-vehiculo-electrico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</row>
    <row r="1110" ht="15.75" customHeight="1">
      <c r="A1110" s="5" t="s">
        <v>1568</v>
      </c>
      <c r="B1110" s="5">
        <v>43962.0</v>
      </c>
      <c r="C1110" s="6" t="s">
        <v>1569</v>
      </c>
      <c r="D1110" s="11">
        <f t="shared" si="1"/>
        <v>67</v>
      </c>
      <c r="E1110" s="8" t="str">
        <f t="shared" si="2"/>
        <v>https://resources.simonelectric.com/simon-ebook-vehiculo-electrico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</row>
    <row r="1111" ht="15.75" customHeight="1">
      <c r="A1111" s="5" t="s">
        <v>1570</v>
      </c>
      <c r="B1111" s="5">
        <v>43962.0</v>
      </c>
      <c r="C1111" s="6" t="s">
        <v>1571</v>
      </c>
      <c r="D1111" s="11">
        <f t="shared" si="1"/>
        <v>67</v>
      </c>
      <c r="E1111" s="8" t="str">
        <f t="shared" si="2"/>
        <v>https://resources.simonelectric.com/simon-ebook-vehiculo-electrico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</row>
    <row r="1112" ht="15.75" customHeight="1">
      <c r="A1112" s="5" t="s">
        <v>1572</v>
      </c>
      <c r="B1112" s="5">
        <v>43962.0</v>
      </c>
      <c r="C1112" s="6" t="s">
        <v>1573</v>
      </c>
      <c r="D1112" s="11">
        <f t="shared" si="1"/>
        <v>67</v>
      </c>
      <c r="E1112" s="8" t="str">
        <f t="shared" si="2"/>
        <v>https://resources.simonelectric.com/simon-ebook-vehiculo-electrico</v>
      </c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</row>
    <row r="1113" ht="15.75" customHeight="1">
      <c r="A1113" s="5" t="s">
        <v>1574</v>
      </c>
      <c r="B1113" s="5">
        <v>43962.0</v>
      </c>
      <c r="C1113" s="6" t="s">
        <v>1575</v>
      </c>
      <c r="D1113" s="11">
        <f t="shared" si="1"/>
        <v>67</v>
      </c>
      <c r="E1113" s="8" t="str">
        <f t="shared" si="2"/>
        <v>https://resources.simonelectric.com/simon-ebook-vehiculo-electrico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</row>
    <row r="1114" ht="15.75" customHeight="1">
      <c r="A1114" s="5" t="s">
        <v>1576</v>
      </c>
      <c r="B1114" s="5">
        <v>43962.0</v>
      </c>
      <c r="C1114" s="6" t="s">
        <v>299</v>
      </c>
      <c r="D1114" s="10" t="str">
        <f t="shared" si="1"/>
        <v>https://resources.simonelectric.com/simon-material-formativo-vehiculo-electrico</v>
      </c>
      <c r="E1114" s="8" t="str">
        <f t="shared" si="2"/>
        <v>https://resources.simonelectric.com/simon-material-formativo-vehiculo-electrico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</row>
    <row r="1115" ht="15.75" customHeight="1">
      <c r="A1115" s="5" t="s">
        <v>298</v>
      </c>
      <c r="B1115" s="5">
        <v>43962.0</v>
      </c>
      <c r="C1115" s="6" t="s">
        <v>299</v>
      </c>
      <c r="D1115" s="10" t="str">
        <f t="shared" si="1"/>
        <v>https://resources.simonelectric.com/simon-material-formativo-vehiculo-electrico</v>
      </c>
      <c r="E1115" s="8" t="str">
        <f t="shared" si="2"/>
        <v>https://resources.simonelectric.com/simon-material-formativo-vehiculo-electrico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</row>
    <row r="1116" ht="15.75" customHeight="1">
      <c r="A1116" s="5" t="s">
        <v>1577</v>
      </c>
      <c r="B1116" s="5">
        <v>43962.0</v>
      </c>
      <c r="C1116" s="6" t="s">
        <v>1578</v>
      </c>
      <c r="D1116" s="11">
        <f t="shared" si="1"/>
        <v>67</v>
      </c>
      <c r="E1116" s="8" t="str">
        <f t="shared" si="2"/>
        <v>https://resources.simonelectric.com/simon-ebook-vehiculo-electrico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</row>
    <row r="1117" ht="15.75" customHeight="1">
      <c r="A1117" s="5" t="s">
        <v>1579</v>
      </c>
      <c r="B1117" s="5">
        <v>43962.0</v>
      </c>
      <c r="C1117" s="6" t="s">
        <v>1580</v>
      </c>
      <c r="D1117" s="11">
        <f t="shared" si="1"/>
        <v>67</v>
      </c>
      <c r="E1117" s="8" t="str">
        <f t="shared" si="2"/>
        <v>https://resources.simonelectric.com/simon-ebook-vehiculo-electrico</v>
      </c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</row>
    <row r="1118" ht="15.75" customHeight="1">
      <c r="A1118" s="5" t="s">
        <v>630</v>
      </c>
      <c r="B1118" s="5">
        <v>43962.0</v>
      </c>
      <c r="C1118" s="6" t="s">
        <v>1581</v>
      </c>
      <c r="D1118" s="11">
        <f t="shared" si="1"/>
        <v>67</v>
      </c>
      <c r="E1118" s="8" t="str">
        <f t="shared" si="2"/>
        <v>https://resources.simonelectric.com/simon-ebook-vehiculo-electrico</v>
      </c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</row>
    <row r="1119" ht="15.75" customHeight="1">
      <c r="A1119" s="5" t="s">
        <v>1582</v>
      </c>
      <c r="B1119" s="5">
        <v>43962.0</v>
      </c>
      <c r="C1119" s="6" t="s">
        <v>55</v>
      </c>
      <c r="D1119" s="11">
        <f t="shared" si="1"/>
        <v>71</v>
      </c>
      <c r="E1119" s="8" t="str">
        <f t="shared" si="2"/>
        <v>https://resources.simonelectric.com/simon-ebook-vehiculo-electrico-ppc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</row>
    <row r="1120" ht="15.75" customHeight="1">
      <c r="A1120" s="5" t="s">
        <v>1583</v>
      </c>
      <c r="B1120" s="5">
        <v>43961.0</v>
      </c>
      <c r="C1120" s="6" t="s">
        <v>1584</v>
      </c>
      <c r="D1120" s="11">
        <f t="shared" si="1"/>
        <v>70</v>
      </c>
      <c r="E1120" s="8" t="str">
        <f t="shared" si="2"/>
        <v>https://resources.simonelectric.com/simon-catalogo-vehiculo-electrico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</row>
    <row r="1121" ht="15.75" customHeight="1">
      <c r="A1121" s="5" t="s">
        <v>698</v>
      </c>
      <c r="B1121" s="5">
        <v>43961.0</v>
      </c>
      <c r="C1121" s="6" t="s">
        <v>1585</v>
      </c>
      <c r="D1121" s="11">
        <f t="shared" si="1"/>
        <v>69</v>
      </c>
      <c r="E1121" s="8" t="str">
        <f t="shared" si="2"/>
        <v>https://resources.simonelectric.com/simon-ebook-vehiculo-electrico-0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</row>
    <row r="1122" ht="15.75" customHeight="1">
      <c r="A1122" s="5" t="s">
        <v>1586</v>
      </c>
      <c r="B1122" s="5">
        <v>43961.0</v>
      </c>
      <c r="C1122" s="6" t="s">
        <v>75</v>
      </c>
      <c r="D1122" s="11">
        <f t="shared" si="1"/>
        <v>67</v>
      </c>
      <c r="E1122" s="8" t="str">
        <f t="shared" si="2"/>
        <v>https://resources.simonelectric.com/simon-ebook-vehiculo-electrico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</row>
    <row r="1123" ht="15.75" customHeight="1">
      <c r="A1123" s="5" t="s">
        <v>1587</v>
      </c>
      <c r="B1123" s="5">
        <v>43961.0</v>
      </c>
      <c r="C1123" s="6" t="s">
        <v>55</v>
      </c>
      <c r="D1123" s="11">
        <f t="shared" si="1"/>
        <v>71</v>
      </c>
      <c r="E1123" s="8" t="str">
        <f t="shared" si="2"/>
        <v>https://resources.simonelectric.com/simon-ebook-vehiculo-electrico-ppc</v>
      </c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</row>
    <row r="1124" ht="15.75" customHeight="1">
      <c r="A1124" s="5" t="s">
        <v>1588</v>
      </c>
      <c r="B1124" s="5">
        <v>43961.0</v>
      </c>
      <c r="C1124" s="6" t="s">
        <v>1589</v>
      </c>
      <c r="D1124" s="11">
        <f t="shared" si="1"/>
        <v>70</v>
      </c>
      <c r="E1124" s="8" t="str">
        <f t="shared" si="2"/>
        <v>https://resources.simonelectric.com/simon-catalogo-vehiculo-electrico</v>
      </c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</row>
    <row r="1125" ht="15.75" customHeight="1">
      <c r="A1125" s="5" t="s">
        <v>1590</v>
      </c>
      <c r="B1125" s="5">
        <v>43961.0</v>
      </c>
      <c r="C1125" s="6" t="s">
        <v>55</v>
      </c>
      <c r="D1125" s="11">
        <f t="shared" si="1"/>
        <v>71</v>
      </c>
      <c r="E1125" s="8" t="str">
        <f t="shared" si="2"/>
        <v>https://resources.simonelectric.com/simon-ebook-vehiculo-electrico-ppc</v>
      </c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</row>
    <row r="1126" ht="15.75" customHeight="1">
      <c r="A1126" s="5" t="s">
        <v>1514</v>
      </c>
      <c r="B1126" s="5">
        <v>43961.0</v>
      </c>
      <c r="C1126" s="6" t="s">
        <v>1591</v>
      </c>
      <c r="D1126" s="11">
        <f t="shared" si="1"/>
        <v>70</v>
      </c>
      <c r="E1126" s="8" t="str">
        <f t="shared" si="2"/>
        <v>https://resources.simonelectric.com/simon-catalogo-vehiculo-electrico</v>
      </c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</row>
    <row r="1127" ht="15.75" customHeight="1">
      <c r="A1127" s="5" t="s">
        <v>1592</v>
      </c>
      <c r="B1127" s="5">
        <v>43961.0</v>
      </c>
      <c r="C1127" s="6" t="s">
        <v>55</v>
      </c>
      <c r="D1127" s="11">
        <f t="shared" si="1"/>
        <v>71</v>
      </c>
      <c r="E1127" s="8" t="str">
        <f t="shared" si="2"/>
        <v>https://resources.simonelectric.com/simon-ebook-vehiculo-electrico-ppc</v>
      </c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</row>
    <row r="1128" ht="15.75" customHeight="1">
      <c r="A1128" s="5" t="s">
        <v>1593</v>
      </c>
      <c r="B1128" s="5">
        <v>43961.0</v>
      </c>
      <c r="C1128" s="6" t="s">
        <v>10</v>
      </c>
      <c r="D1128" s="10" t="str">
        <f t="shared" si="1"/>
        <v>https://resources.simonelectric.com/simon-catalogo-vehiculo-electrico</v>
      </c>
      <c r="E1128" s="8" t="str">
        <f t="shared" si="2"/>
        <v>https://resources.simonelectric.com/simon-catalogo-vehiculo-electrico</v>
      </c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</row>
    <row r="1129" ht="15.75" customHeight="1">
      <c r="A1129" s="5" t="s">
        <v>1594</v>
      </c>
      <c r="B1129" s="5">
        <v>43961.0</v>
      </c>
      <c r="C1129" s="6" t="s">
        <v>55</v>
      </c>
      <c r="D1129" s="11">
        <f t="shared" si="1"/>
        <v>71</v>
      </c>
      <c r="E1129" s="8" t="str">
        <f t="shared" si="2"/>
        <v>https://resources.simonelectric.com/simon-ebook-vehiculo-electrico-ppc</v>
      </c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</row>
    <row r="1130" ht="15.75" customHeight="1">
      <c r="A1130" s="5" t="s">
        <v>1595</v>
      </c>
      <c r="B1130" s="5">
        <v>43961.0</v>
      </c>
      <c r="C1130" s="6" t="s">
        <v>55</v>
      </c>
      <c r="D1130" s="11">
        <f t="shared" si="1"/>
        <v>71</v>
      </c>
      <c r="E1130" s="8" t="str">
        <f t="shared" si="2"/>
        <v>https://resources.simonelectric.com/simon-ebook-vehiculo-electrico-ppc</v>
      </c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</row>
    <row r="1131" ht="15.75" customHeight="1">
      <c r="A1131" s="5" t="s">
        <v>1596</v>
      </c>
      <c r="B1131" s="5">
        <v>43961.0</v>
      </c>
      <c r="C1131" s="6" t="s">
        <v>55</v>
      </c>
      <c r="D1131" s="11">
        <f t="shared" si="1"/>
        <v>71</v>
      </c>
      <c r="E1131" s="8" t="str">
        <f t="shared" si="2"/>
        <v>https://resources.simonelectric.com/simon-ebook-vehiculo-electrico-ppc</v>
      </c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</row>
    <row r="1132" ht="15.75" customHeight="1">
      <c r="A1132" s="5" t="s">
        <v>1597</v>
      </c>
      <c r="B1132" s="5">
        <v>43961.0</v>
      </c>
      <c r="C1132" s="6" t="s">
        <v>28</v>
      </c>
      <c r="D1132" s="10" t="str">
        <f t="shared" si="1"/>
        <v>https://resources.simonelectric.com/simon-ebook-vehiculo-electrico</v>
      </c>
      <c r="E1132" s="8" t="str">
        <f t="shared" si="2"/>
        <v>https://resources.simonelectric.com/simon-ebook-vehiculo-electrico</v>
      </c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</row>
    <row r="1133" ht="15.75" customHeight="1">
      <c r="A1133" s="5" t="s">
        <v>1598</v>
      </c>
      <c r="B1133" s="5">
        <v>43961.0</v>
      </c>
      <c r="C1133" s="6" t="s">
        <v>8</v>
      </c>
      <c r="D1133" s="11">
        <f t="shared" si="1"/>
        <v>67</v>
      </c>
      <c r="E1133" s="8" t="str">
        <f t="shared" si="2"/>
        <v>https://resources.simonelectric.com/simon-ebook-vehiculo-electrico</v>
      </c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</row>
    <row r="1134" ht="15.75" customHeight="1">
      <c r="A1134" s="5" t="s">
        <v>1599</v>
      </c>
      <c r="B1134" s="5">
        <v>43960.0</v>
      </c>
      <c r="C1134" s="6" t="s">
        <v>1600</v>
      </c>
      <c r="D1134" s="11">
        <f t="shared" si="1"/>
        <v>69</v>
      </c>
      <c r="E1134" s="8" t="str">
        <f t="shared" si="2"/>
        <v>https://resources.simonelectric.com/simon-ebook-vehiculo-electrico-0</v>
      </c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</row>
    <row r="1135" ht="15.75" customHeight="1">
      <c r="A1135" s="5" t="s">
        <v>1601</v>
      </c>
      <c r="B1135" s="5">
        <v>43960.0</v>
      </c>
      <c r="C1135" s="6" t="s">
        <v>299</v>
      </c>
      <c r="D1135" s="10" t="str">
        <f t="shared" si="1"/>
        <v>https://resources.simonelectric.com/simon-material-formativo-vehiculo-electrico</v>
      </c>
      <c r="E1135" s="8" t="str">
        <f t="shared" si="2"/>
        <v>https://resources.simonelectric.com/simon-material-formativo-vehiculo-electrico</v>
      </c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</row>
    <row r="1136" ht="15.75" customHeight="1">
      <c r="A1136" s="5" t="s">
        <v>1602</v>
      </c>
      <c r="B1136" s="5">
        <v>43960.0</v>
      </c>
      <c r="C1136" s="6" t="s">
        <v>55</v>
      </c>
      <c r="D1136" s="11">
        <f t="shared" si="1"/>
        <v>71</v>
      </c>
      <c r="E1136" s="8" t="str">
        <f t="shared" si="2"/>
        <v>https://resources.simonelectric.com/simon-ebook-vehiculo-electrico-ppc</v>
      </c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</row>
    <row r="1137" ht="15.75" customHeight="1">
      <c r="A1137" s="5" t="s">
        <v>835</v>
      </c>
      <c r="B1137" s="5">
        <v>43960.0</v>
      </c>
      <c r="C1137" s="6" t="s">
        <v>28</v>
      </c>
      <c r="D1137" s="10" t="str">
        <f t="shared" si="1"/>
        <v>https://resources.simonelectric.com/simon-ebook-vehiculo-electrico</v>
      </c>
      <c r="E1137" s="8" t="str">
        <f t="shared" si="2"/>
        <v>https://resources.simonelectric.com/simon-ebook-vehiculo-electrico</v>
      </c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</row>
    <row r="1138" ht="15.75" customHeight="1">
      <c r="A1138" s="5" t="s">
        <v>1603</v>
      </c>
      <c r="B1138" s="5">
        <v>43960.0</v>
      </c>
      <c r="C1138" s="6" t="s">
        <v>1604</v>
      </c>
      <c r="D1138" s="11">
        <f t="shared" si="1"/>
        <v>70</v>
      </c>
      <c r="E1138" s="8" t="str">
        <f t="shared" si="2"/>
        <v>https://resources.simonelectric.com/simon-catalogo-vehiculo-electrico</v>
      </c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</row>
    <row r="1139" ht="15.75" customHeight="1">
      <c r="A1139" s="5" t="s">
        <v>1605</v>
      </c>
      <c r="B1139" s="5">
        <v>43959.0</v>
      </c>
      <c r="C1139" s="6" t="s">
        <v>1606</v>
      </c>
      <c r="D1139" s="11">
        <f t="shared" si="1"/>
        <v>70</v>
      </c>
      <c r="E1139" s="8" t="str">
        <f t="shared" si="2"/>
        <v>https://resources.simonelectric.com/simon-catalogo-vehiculo-electrico</v>
      </c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</row>
    <row r="1140" ht="15.75" customHeight="1">
      <c r="A1140" s="5" t="s">
        <v>1607</v>
      </c>
      <c r="B1140" s="5">
        <v>43959.0</v>
      </c>
      <c r="C1140" s="6" t="s">
        <v>8</v>
      </c>
      <c r="D1140" s="11">
        <f t="shared" si="1"/>
        <v>67</v>
      </c>
      <c r="E1140" s="8" t="str">
        <f t="shared" si="2"/>
        <v>https://resources.simonelectric.com/simon-ebook-vehiculo-electrico</v>
      </c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</row>
    <row r="1141" ht="15.75" customHeight="1">
      <c r="A1141" s="5" t="s">
        <v>1608</v>
      </c>
      <c r="B1141" s="5">
        <v>43959.0</v>
      </c>
      <c r="C1141" s="6" t="s">
        <v>1609</v>
      </c>
      <c r="D1141" s="10">
        <f t="shared" si="1"/>
        <v>70</v>
      </c>
      <c r="E1141" s="8" t="str">
        <f t="shared" si="2"/>
        <v>https://resources.simonelectric.com/simon-catalogo-vehiculo-electrico</v>
      </c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</row>
    <row r="1142" ht="15.75" customHeight="1">
      <c r="A1142" s="5" t="s">
        <v>1610</v>
      </c>
      <c r="B1142" s="5">
        <v>43959.0</v>
      </c>
      <c r="C1142" s="6" t="s">
        <v>1611</v>
      </c>
      <c r="D1142" s="11">
        <f t="shared" si="1"/>
        <v>70</v>
      </c>
      <c r="E1142" s="8" t="str">
        <f t="shared" si="2"/>
        <v>https://resources.simonelectric.com/simon-catalogo-vehiculo-electrico</v>
      </c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</row>
    <row r="1143" ht="15.75" customHeight="1">
      <c r="A1143" s="5" t="s">
        <v>1612</v>
      </c>
      <c r="B1143" s="5">
        <v>43959.0</v>
      </c>
      <c r="C1143" s="6" t="s">
        <v>55</v>
      </c>
      <c r="D1143" s="11">
        <f t="shared" si="1"/>
        <v>71</v>
      </c>
      <c r="E1143" s="8" t="str">
        <f t="shared" si="2"/>
        <v>https://resources.simonelectric.com/simon-ebook-vehiculo-electrico-ppc</v>
      </c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</row>
    <row r="1144" ht="15.75" customHeight="1">
      <c r="A1144" s="5" t="s">
        <v>1613</v>
      </c>
      <c r="B1144" s="5">
        <v>43959.0</v>
      </c>
      <c r="C1144" s="6" t="s">
        <v>299</v>
      </c>
      <c r="D1144" s="10" t="str">
        <f t="shared" si="1"/>
        <v>https://resources.simonelectric.com/simon-material-formativo-vehiculo-electrico</v>
      </c>
      <c r="E1144" s="8" t="str">
        <f t="shared" si="2"/>
        <v>https://resources.simonelectric.com/simon-material-formativo-vehiculo-electrico</v>
      </c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</row>
    <row r="1145" ht="15.75" customHeight="1">
      <c r="A1145" s="5" t="s">
        <v>1614</v>
      </c>
      <c r="B1145" s="5">
        <v>43959.0</v>
      </c>
      <c r="C1145" s="6" t="s">
        <v>10</v>
      </c>
      <c r="D1145" s="10" t="str">
        <f t="shared" si="1"/>
        <v>https://resources.simonelectric.com/simon-catalogo-vehiculo-electrico</v>
      </c>
      <c r="E1145" s="8" t="str">
        <f t="shared" si="2"/>
        <v>https://resources.simonelectric.com/simon-catalogo-vehiculo-electrico</v>
      </c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</row>
    <row r="1146" ht="15.75" customHeight="1">
      <c r="A1146" s="5" t="s">
        <v>1615</v>
      </c>
      <c r="B1146" s="5">
        <v>43959.0</v>
      </c>
      <c r="C1146" s="6" t="s">
        <v>75</v>
      </c>
      <c r="D1146" s="11">
        <f t="shared" si="1"/>
        <v>67</v>
      </c>
      <c r="E1146" s="8" t="str">
        <f t="shared" si="2"/>
        <v>https://resources.simonelectric.com/simon-ebook-vehiculo-electrico</v>
      </c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</row>
    <row r="1147" ht="15.75" customHeight="1">
      <c r="A1147" s="5" t="s">
        <v>1616</v>
      </c>
      <c r="B1147" s="5">
        <v>43959.0</v>
      </c>
      <c r="C1147" s="6" t="s">
        <v>299</v>
      </c>
      <c r="D1147" s="10" t="str">
        <f t="shared" si="1"/>
        <v>https://resources.simonelectric.com/simon-material-formativo-vehiculo-electrico</v>
      </c>
      <c r="E1147" s="8" t="str">
        <f t="shared" si="2"/>
        <v>https://resources.simonelectric.com/simon-material-formativo-vehiculo-electrico</v>
      </c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</row>
    <row r="1148" ht="15.75" customHeight="1">
      <c r="A1148" s="5" t="s">
        <v>1617</v>
      </c>
      <c r="B1148" s="5">
        <v>43959.0</v>
      </c>
      <c r="C1148" s="6" t="s">
        <v>1618</v>
      </c>
      <c r="D1148" s="11">
        <f t="shared" si="1"/>
        <v>70</v>
      </c>
      <c r="E1148" s="8" t="str">
        <f t="shared" si="2"/>
        <v>https://resources.simonelectric.com/simon-catalogo-vehiculo-electrico</v>
      </c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</row>
    <row r="1149" ht="15.75" customHeight="1">
      <c r="A1149" s="5" t="s">
        <v>1619</v>
      </c>
      <c r="B1149" s="5">
        <v>43959.0</v>
      </c>
      <c r="C1149" s="6" t="s">
        <v>31</v>
      </c>
      <c r="D1149" s="11">
        <f t="shared" si="1"/>
        <v>67</v>
      </c>
      <c r="E1149" s="8" t="str">
        <f t="shared" si="2"/>
        <v>https://resources.simonelectric.com/simon-ebook-vehiculo-electrico</v>
      </c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</row>
    <row r="1150" ht="15.75" customHeight="1">
      <c r="A1150" s="5" t="s">
        <v>1620</v>
      </c>
      <c r="B1150" s="5">
        <v>43959.0</v>
      </c>
      <c r="C1150" s="6" t="s">
        <v>75</v>
      </c>
      <c r="D1150" s="11">
        <f t="shared" si="1"/>
        <v>67</v>
      </c>
      <c r="E1150" s="8" t="str">
        <f t="shared" si="2"/>
        <v>https://resources.simonelectric.com/simon-ebook-vehiculo-electrico</v>
      </c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</row>
    <row r="1151" ht="15.75" customHeight="1">
      <c r="A1151" s="5" t="s">
        <v>1621</v>
      </c>
      <c r="B1151" s="5">
        <v>43959.0</v>
      </c>
      <c r="C1151" s="6" t="s">
        <v>1622</v>
      </c>
      <c r="D1151" s="11">
        <f t="shared" si="1"/>
        <v>70</v>
      </c>
      <c r="E1151" s="8" t="str">
        <f t="shared" si="2"/>
        <v>https://resources.simonelectric.com/simon-catalogo-vehiculo-electrico</v>
      </c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</row>
    <row r="1152" ht="15.75" customHeight="1">
      <c r="A1152" s="5" t="s">
        <v>1623</v>
      </c>
      <c r="B1152" s="5">
        <v>43959.0</v>
      </c>
      <c r="C1152" s="6" t="s">
        <v>1624</v>
      </c>
      <c r="D1152" s="11">
        <f t="shared" si="1"/>
        <v>70</v>
      </c>
      <c r="E1152" s="8" t="str">
        <f t="shared" si="2"/>
        <v>https://resources.simonelectric.com/simon-catalogo-vehiculo-electrico</v>
      </c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</row>
    <row r="1153" ht="15.75" customHeight="1">
      <c r="A1153" s="5" t="s">
        <v>1621</v>
      </c>
      <c r="B1153" s="5">
        <v>43959.0</v>
      </c>
      <c r="C1153" s="6" t="s">
        <v>1625</v>
      </c>
      <c r="D1153" s="11">
        <f t="shared" si="1"/>
        <v>70</v>
      </c>
      <c r="E1153" s="8" t="str">
        <f t="shared" si="2"/>
        <v>https://resources.simonelectric.com/simon-catalogo-vehiculo-electrico</v>
      </c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</row>
    <row r="1154" ht="15.75" customHeight="1">
      <c r="A1154" s="5" t="s">
        <v>1626</v>
      </c>
      <c r="B1154" s="5">
        <v>43959.0</v>
      </c>
      <c r="C1154" s="6" t="s">
        <v>299</v>
      </c>
      <c r="D1154" s="10" t="str">
        <f t="shared" si="1"/>
        <v>https://resources.simonelectric.com/simon-material-formativo-vehiculo-electrico</v>
      </c>
      <c r="E1154" s="8" t="str">
        <f t="shared" si="2"/>
        <v>https://resources.simonelectric.com/simon-material-formativo-vehiculo-electrico</v>
      </c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</row>
    <row r="1155" ht="15.75" customHeight="1">
      <c r="A1155" s="5" t="s">
        <v>1568</v>
      </c>
      <c r="B1155" s="5">
        <v>43959.0</v>
      </c>
      <c r="C1155" s="6" t="s">
        <v>299</v>
      </c>
      <c r="D1155" s="10" t="str">
        <f t="shared" si="1"/>
        <v>https://resources.simonelectric.com/simon-material-formativo-vehiculo-electrico</v>
      </c>
      <c r="E1155" s="8" t="str">
        <f t="shared" si="2"/>
        <v>https://resources.simonelectric.com/simon-material-formativo-vehiculo-electrico</v>
      </c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</row>
    <row r="1156" ht="15.75" customHeight="1">
      <c r="A1156" s="5" t="s">
        <v>1577</v>
      </c>
      <c r="B1156" s="5">
        <v>43959.0</v>
      </c>
      <c r="C1156" s="6" t="s">
        <v>299</v>
      </c>
      <c r="D1156" s="10" t="str">
        <f t="shared" si="1"/>
        <v>https://resources.simonelectric.com/simon-material-formativo-vehiculo-electrico</v>
      </c>
      <c r="E1156" s="8" t="str">
        <f t="shared" si="2"/>
        <v>https://resources.simonelectric.com/simon-material-formativo-vehiculo-electrico</v>
      </c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</row>
    <row r="1157" ht="15.75" customHeight="1">
      <c r="A1157" s="5" t="s">
        <v>1572</v>
      </c>
      <c r="B1157" s="5">
        <v>43959.0</v>
      </c>
      <c r="C1157" s="6" t="s">
        <v>299</v>
      </c>
      <c r="D1157" s="10" t="str">
        <f t="shared" si="1"/>
        <v>https://resources.simonelectric.com/simon-material-formativo-vehiculo-electrico</v>
      </c>
      <c r="E1157" s="8" t="str">
        <f t="shared" si="2"/>
        <v>https://resources.simonelectric.com/simon-material-formativo-vehiculo-electrico</v>
      </c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</row>
    <row r="1158" ht="15.75" customHeight="1">
      <c r="A1158" s="5" t="s">
        <v>1627</v>
      </c>
      <c r="B1158" s="5">
        <v>43959.0</v>
      </c>
      <c r="C1158" s="6" t="s">
        <v>299</v>
      </c>
      <c r="D1158" s="10" t="str">
        <f t="shared" si="1"/>
        <v>https://resources.simonelectric.com/simon-material-formativo-vehiculo-electrico</v>
      </c>
      <c r="E1158" s="8" t="str">
        <f t="shared" si="2"/>
        <v>https://resources.simonelectric.com/simon-material-formativo-vehiculo-electrico</v>
      </c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</row>
    <row r="1159" ht="15.75" customHeight="1">
      <c r="A1159" s="5" t="s">
        <v>1579</v>
      </c>
      <c r="B1159" s="5">
        <v>43959.0</v>
      </c>
      <c r="C1159" s="6" t="s">
        <v>299</v>
      </c>
      <c r="D1159" s="10" t="str">
        <f t="shared" si="1"/>
        <v>https://resources.simonelectric.com/simon-material-formativo-vehiculo-electrico</v>
      </c>
      <c r="E1159" s="8" t="str">
        <f t="shared" si="2"/>
        <v>https://resources.simonelectric.com/simon-material-formativo-vehiculo-electrico</v>
      </c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</row>
    <row r="1160" ht="15.75" customHeight="1">
      <c r="A1160" s="5" t="s">
        <v>1172</v>
      </c>
      <c r="B1160" s="5">
        <v>43959.0</v>
      </c>
      <c r="C1160" s="6" t="s">
        <v>299</v>
      </c>
      <c r="D1160" s="10" t="str">
        <f t="shared" si="1"/>
        <v>https://resources.simonelectric.com/simon-material-formativo-vehiculo-electrico</v>
      </c>
      <c r="E1160" s="8" t="str">
        <f t="shared" si="2"/>
        <v>https://resources.simonelectric.com/simon-material-formativo-vehiculo-electrico</v>
      </c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</row>
    <row r="1161" ht="15.75" customHeight="1">
      <c r="A1161" s="5" t="s">
        <v>1628</v>
      </c>
      <c r="B1161" s="5">
        <v>43959.0</v>
      </c>
      <c r="C1161" s="6" t="s">
        <v>1629</v>
      </c>
      <c r="D1161" s="10">
        <f t="shared" si="1"/>
        <v>71</v>
      </c>
      <c r="E1161" s="8" t="str">
        <f t="shared" si="2"/>
        <v>https://resources.simonelectric.com/simon-ebook-vehiculo-electrico-ppc</v>
      </c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</row>
    <row r="1162" ht="15.75" customHeight="1">
      <c r="A1162" s="5" t="s">
        <v>1630</v>
      </c>
      <c r="B1162" s="5">
        <v>43959.0</v>
      </c>
      <c r="C1162" s="6" t="s">
        <v>10</v>
      </c>
      <c r="D1162" s="10" t="str">
        <f t="shared" si="1"/>
        <v>https://resources.simonelectric.com/simon-catalogo-vehiculo-electrico</v>
      </c>
      <c r="E1162" s="8" t="str">
        <f t="shared" si="2"/>
        <v>https://resources.simonelectric.com/simon-catalogo-vehiculo-electrico</v>
      </c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</row>
    <row r="1163" ht="15.75" customHeight="1">
      <c r="A1163" s="5" t="s">
        <v>1630</v>
      </c>
      <c r="B1163" s="5">
        <v>43959.0</v>
      </c>
      <c r="C1163" s="6" t="s">
        <v>8</v>
      </c>
      <c r="D1163" s="11">
        <f t="shared" si="1"/>
        <v>67</v>
      </c>
      <c r="E1163" s="8" t="str">
        <f t="shared" si="2"/>
        <v>https://resources.simonelectric.com/simon-ebook-vehiculo-electrico</v>
      </c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</row>
    <row r="1164" ht="15.75" customHeight="1">
      <c r="A1164" s="5" t="s">
        <v>1631</v>
      </c>
      <c r="B1164" s="5">
        <v>43959.0</v>
      </c>
      <c r="C1164" s="6" t="s">
        <v>1632</v>
      </c>
      <c r="D1164" s="11">
        <f t="shared" si="1"/>
        <v>70</v>
      </c>
      <c r="E1164" s="8" t="str">
        <f t="shared" si="2"/>
        <v>https://resources.simonelectric.com/simon-catalogo-vehiculo-electrico</v>
      </c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</row>
    <row r="1165" ht="15.75" customHeight="1">
      <c r="A1165" s="5" t="s">
        <v>1633</v>
      </c>
      <c r="B1165" s="5">
        <v>43959.0</v>
      </c>
      <c r="C1165" s="6" t="s">
        <v>1634</v>
      </c>
      <c r="D1165" s="11">
        <f t="shared" si="1"/>
        <v>67</v>
      </c>
      <c r="E1165" s="8" t="str">
        <f t="shared" si="2"/>
        <v>https://resources.simonelectric.com/simon-ebook-vehiculo-electrico</v>
      </c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</row>
    <row r="1166" ht="15.75" customHeight="1">
      <c r="A1166" s="5" t="s">
        <v>1635</v>
      </c>
      <c r="B1166" s="5">
        <v>43959.0</v>
      </c>
      <c r="C1166" s="6" t="s">
        <v>75</v>
      </c>
      <c r="D1166" s="11">
        <f t="shared" si="1"/>
        <v>67</v>
      </c>
      <c r="E1166" s="8" t="str">
        <f t="shared" si="2"/>
        <v>https://resources.simonelectric.com/simon-ebook-vehiculo-electrico</v>
      </c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</row>
    <row r="1167" ht="15.75" customHeight="1">
      <c r="A1167" s="5" t="s">
        <v>1636</v>
      </c>
      <c r="B1167" s="5">
        <v>43958.0</v>
      </c>
      <c r="C1167" s="6" t="s">
        <v>1637</v>
      </c>
      <c r="D1167" s="10">
        <f t="shared" si="1"/>
        <v>70</v>
      </c>
      <c r="E1167" s="8" t="str">
        <f t="shared" si="2"/>
        <v>https://resources.simonelectric.com/simon-catalogo-vehiculo-electrico</v>
      </c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</row>
    <row r="1168" ht="15.75" customHeight="1">
      <c r="A1168" s="5" t="s">
        <v>1638</v>
      </c>
      <c r="B1168" s="5">
        <v>43958.0</v>
      </c>
      <c r="C1168" s="6" t="s">
        <v>75</v>
      </c>
      <c r="D1168" s="11">
        <f t="shared" si="1"/>
        <v>67</v>
      </c>
      <c r="E1168" s="8" t="str">
        <f t="shared" si="2"/>
        <v>https://resources.simonelectric.com/simon-ebook-vehiculo-electrico</v>
      </c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</row>
    <row r="1169" ht="15.75" customHeight="1">
      <c r="A1169" s="5" t="s">
        <v>1639</v>
      </c>
      <c r="B1169" s="5">
        <v>43958.0</v>
      </c>
      <c r="C1169" s="6" t="s">
        <v>31</v>
      </c>
      <c r="D1169" s="11">
        <f t="shared" si="1"/>
        <v>67</v>
      </c>
      <c r="E1169" s="8" t="str">
        <f t="shared" si="2"/>
        <v>https://resources.simonelectric.com/simon-ebook-vehiculo-electrico</v>
      </c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</row>
    <row r="1170" ht="15.75" customHeight="1">
      <c r="A1170" s="5" t="s">
        <v>1640</v>
      </c>
      <c r="B1170" s="5">
        <v>43958.0</v>
      </c>
      <c r="C1170" s="6" t="s">
        <v>1641</v>
      </c>
      <c r="D1170" s="11">
        <f t="shared" si="1"/>
        <v>67</v>
      </c>
      <c r="E1170" s="8" t="str">
        <f t="shared" si="2"/>
        <v>https://resources.simonelectric.com/simon-ebook-vehiculo-electrico</v>
      </c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</row>
    <row r="1171" ht="15.75" customHeight="1">
      <c r="A1171" s="5" t="s">
        <v>1642</v>
      </c>
      <c r="B1171" s="5">
        <v>43958.0</v>
      </c>
      <c r="C1171" s="6" t="s">
        <v>28</v>
      </c>
      <c r="D1171" s="10" t="str">
        <f t="shared" si="1"/>
        <v>https://resources.simonelectric.com/simon-ebook-vehiculo-electrico</v>
      </c>
      <c r="E1171" s="8" t="str">
        <f t="shared" si="2"/>
        <v>https://resources.simonelectric.com/simon-ebook-vehiculo-electrico</v>
      </c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</row>
    <row r="1172" ht="15.75" customHeight="1">
      <c r="A1172" s="5" t="s">
        <v>1643</v>
      </c>
      <c r="B1172" s="5">
        <v>43958.0</v>
      </c>
      <c r="C1172" s="6" t="s">
        <v>55</v>
      </c>
      <c r="D1172" s="11">
        <f t="shared" si="1"/>
        <v>71</v>
      </c>
      <c r="E1172" s="8" t="str">
        <f t="shared" si="2"/>
        <v>https://resources.simonelectric.com/simon-ebook-vehiculo-electrico-ppc</v>
      </c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</row>
    <row r="1173" ht="15.75" customHeight="1">
      <c r="A1173" s="5" t="s">
        <v>1644</v>
      </c>
      <c r="B1173" s="5">
        <v>43958.0</v>
      </c>
      <c r="C1173" s="6" t="s">
        <v>1645</v>
      </c>
      <c r="D1173" s="11">
        <f t="shared" si="1"/>
        <v>70</v>
      </c>
      <c r="E1173" s="8" t="str">
        <f t="shared" si="2"/>
        <v>https://resources.simonelectric.com/simon-catalogo-vehiculo-electrico</v>
      </c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</row>
    <row r="1174" ht="15.75" customHeight="1">
      <c r="A1174" s="5" t="s">
        <v>1646</v>
      </c>
      <c r="B1174" s="5">
        <v>43958.0</v>
      </c>
      <c r="C1174" s="6" t="s">
        <v>1647</v>
      </c>
      <c r="D1174" s="11">
        <f t="shared" si="1"/>
        <v>67</v>
      </c>
      <c r="E1174" s="8" t="str">
        <f t="shared" si="2"/>
        <v>https://resources.simonelectric.com/simon-ebook-vehiculo-electrico</v>
      </c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</row>
    <row r="1175" ht="15.75" customHeight="1">
      <c r="A1175" s="5" t="s">
        <v>1648</v>
      </c>
      <c r="B1175" s="5">
        <v>43958.0</v>
      </c>
      <c r="C1175" s="6" t="s">
        <v>75</v>
      </c>
      <c r="D1175" s="11">
        <f t="shared" si="1"/>
        <v>67</v>
      </c>
      <c r="E1175" s="8" t="str">
        <f t="shared" si="2"/>
        <v>https://resources.simonelectric.com/simon-ebook-vehiculo-electrico</v>
      </c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</row>
    <row r="1176" ht="15.75" customHeight="1">
      <c r="A1176" s="5" t="s">
        <v>1649</v>
      </c>
      <c r="B1176" s="5">
        <v>43958.0</v>
      </c>
      <c r="C1176" s="6" t="s">
        <v>1650</v>
      </c>
      <c r="D1176" s="11">
        <f t="shared" si="1"/>
        <v>70</v>
      </c>
      <c r="E1176" s="8" t="str">
        <f t="shared" si="2"/>
        <v>https://resources.simonelectric.com/simon-catalogo-vehiculo-electrico</v>
      </c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</row>
    <row r="1177" ht="15.75" customHeight="1">
      <c r="A1177" s="5" t="s">
        <v>1651</v>
      </c>
      <c r="B1177" s="5">
        <v>43958.0</v>
      </c>
      <c r="C1177" s="6" t="s">
        <v>1652</v>
      </c>
      <c r="D1177" s="11">
        <f t="shared" si="1"/>
        <v>70</v>
      </c>
      <c r="E1177" s="8" t="str">
        <f t="shared" si="2"/>
        <v>https://resources.simonelectric.com/simon-catalogo-vehiculo-electrico</v>
      </c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</row>
    <row r="1178" ht="15.75" customHeight="1">
      <c r="A1178" s="5" t="s">
        <v>1653</v>
      </c>
      <c r="B1178" s="5">
        <v>43958.0</v>
      </c>
      <c r="C1178" s="6" t="s">
        <v>75</v>
      </c>
      <c r="D1178" s="11">
        <f t="shared" si="1"/>
        <v>67</v>
      </c>
      <c r="E1178" s="8" t="str">
        <f t="shared" si="2"/>
        <v>https://resources.simonelectric.com/simon-ebook-vehiculo-electrico</v>
      </c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</row>
    <row r="1179" ht="15.75" customHeight="1">
      <c r="A1179" s="5" t="s">
        <v>1654</v>
      </c>
      <c r="B1179" s="5">
        <v>43958.0</v>
      </c>
      <c r="C1179" s="6" t="s">
        <v>1655</v>
      </c>
      <c r="D1179" s="11">
        <f t="shared" si="1"/>
        <v>70</v>
      </c>
      <c r="E1179" s="8" t="str">
        <f t="shared" si="2"/>
        <v>https://resources.simonelectric.com/simon-catalogo-vehiculo-electrico</v>
      </c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</row>
    <row r="1180" ht="15.75" customHeight="1">
      <c r="A1180" s="5" t="s">
        <v>1656</v>
      </c>
      <c r="B1180" s="5">
        <v>43958.0</v>
      </c>
      <c r="C1180" s="6" t="s">
        <v>75</v>
      </c>
      <c r="D1180" s="11">
        <f t="shared" si="1"/>
        <v>67</v>
      </c>
      <c r="E1180" s="8" t="str">
        <f t="shared" si="2"/>
        <v>https://resources.simonelectric.com/simon-ebook-vehiculo-electrico</v>
      </c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</row>
    <row r="1181" ht="15.75" customHeight="1">
      <c r="A1181" s="5" t="s">
        <v>1301</v>
      </c>
      <c r="B1181" s="5">
        <v>43958.0</v>
      </c>
      <c r="C1181" s="6" t="s">
        <v>1657</v>
      </c>
      <c r="D1181" s="11">
        <f t="shared" si="1"/>
        <v>70</v>
      </c>
      <c r="E1181" s="8" t="str">
        <f t="shared" si="2"/>
        <v>https://resources.simonelectric.com/simon-catalogo-vehiculo-electrico</v>
      </c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</row>
    <row r="1182" ht="15.75" customHeight="1">
      <c r="A1182" s="5" t="s">
        <v>1658</v>
      </c>
      <c r="B1182" s="5">
        <v>43958.0</v>
      </c>
      <c r="C1182" s="6" t="s">
        <v>55</v>
      </c>
      <c r="D1182" s="11">
        <f t="shared" si="1"/>
        <v>71</v>
      </c>
      <c r="E1182" s="8" t="str">
        <f t="shared" si="2"/>
        <v>https://resources.simonelectric.com/simon-ebook-vehiculo-electrico-ppc</v>
      </c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</row>
    <row r="1183" ht="15.75" customHeight="1">
      <c r="A1183" s="5" t="s">
        <v>1658</v>
      </c>
      <c r="B1183" s="5">
        <v>43958.0</v>
      </c>
      <c r="C1183" s="6" t="s">
        <v>55</v>
      </c>
      <c r="D1183" s="11">
        <f t="shared" si="1"/>
        <v>71</v>
      </c>
      <c r="E1183" s="8" t="str">
        <f t="shared" si="2"/>
        <v>https://resources.simonelectric.com/simon-ebook-vehiculo-electrico-ppc</v>
      </c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</row>
    <row r="1184" ht="15.75" customHeight="1">
      <c r="A1184" s="5" t="s">
        <v>1659</v>
      </c>
      <c r="B1184" s="5">
        <v>43958.0</v>
      </c>
      <c r="C1184" s="6" t="s">
        <v>8</v>
      </c>
      <c r="D1184" s="11">
        <f t="shared" si="1"/>
        <v>67</v>
      </c>
      <c r="E1184" s="8" t="str">
        <f t="shared" si="2"/>
        <v>https://resources.simonelectric.com/simon-ebook-vehiculo-electrico</v>
      </c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</row>
    <row r="1185" ht="15.75" customHeight="1">
      <c r="A1185" s="5" t="s">
        <v>1660</v>
      </c>
      <c r="B1185" s="5">
        <v>43957.0</v>
      </c>
      <c r="C1185" s="6" t="s">
        <v>10</v>
      </c>
      <c r="D1185" s="10" t="str">
        <f t="shared" si="1"/>
        <v>https://resources.simonelectric.com/simon-catalogo-vehiculo-electrico</v>
      </c>
      <c r="E1185" s="8" t="str">
        <f t="shared" si="2"/>
        <v>https://resources.simonelectric.com/simon-catalogo-vehiculo-electrico</v>
      </c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</row>
    <row r="1186" ht="15.75" customHeight="1">
      <c r="A1186" s="5" t="s">
        <v>1661</v>
      </c>
      <c r="B1186" s="5">
        <v>43957.0</v>
      </c>
      <c r="C1186" s="6" t="s">
        <v>10</v>
      </c>
      <c r="D1186" s="10" t="str">
        <f t="shared" si="1"/>
        <v>https://resources.simonelectric.com/simon-catalogo-vehiculo-electrico</v>
      </c>
      <c r="E1186" s="8" t="str">
        <f t="shared" si="2"/>
        <v>https://resources.simonelectric.com/simon-catalogo-vehiculo-electrico</v>
      </c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</row>
    <row r="1187" ht="15.75" customHeight="1">
      <c r="A1187" s="5" t="s">
        <v>1662</v>
      </c>
      <c r="B1187" s="5">
        <v>43957.0</v>
      </c>
      <c r="C1187" s="6" t="s">
        <v>55</v>
      </c>
      <c r="D1187" s="11">
        <f t="shared" si="1"/>
        <v>71</v>
      </c>
      <c r="E1187" s="8" t="str">
        <f t="shared" si="2"/>
        <v>https://resources.simonelectric.com/simon-ebook-vehiculo-electrico-ppc</v>
      </c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</row>
    <row r="1188" ht="15.75" customHeight="1">
      <c r="A1188" s="5" t="s">
        <v>1663</v>
      </c>
      <c r="B1188" s="5">
        <v>43957.0</v>
      </c>
      <c r="C1188" s="6" t="s">
        <v>28</v>
      </c>
      <c r="D1188" s="10" t="str">
        <f t="shared" si="1"/>
        <v>https://resources.simonelectric.com/simon-ebook-vehiculo-electrico</v>
      </c>
      <c r="E1188" s="8" t="str">
        <f t="shared" si="2"/>
        <v>https://resources.simonelectric.com/simon-ebook-vehiculo-electrico</v>
      </c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</row>
    <row r="1189" ht="15.75" customHeight="1">
      <c r="A1189" s="5" t="s">
        <v>1663</v>
      </c>
      <c r="B1189" s="5">
        <v>43957.0</v>
      </c>
      <c r="C1189" s="6" t="s">
        <v>1664</v>
      </c>
      <c r="D1189" s="11">
        <f t="shared" si="1"/>
        <v>70</v>
      </c>
      <c r="E1189" s="8" t="str">
        <f t="shared" si="2"/>
        <v>https://resources.simonelectric.com/simon-catalogo-vehiculo-electrico</v>
      </c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</row>
    <row r="1190" ht="15.75" customHeight="1">
      <c r="A1190" s="5" t="s">
        <v>1665</v>
      </c>
      <c r="B1190" s="5">
        <v>43957.0</v>
      </c>
      <c r="C1190" s="6" t="s">
        <v>55</v>
      </c>
      <c r="D1190" s="11">
        <f t="shared" si="1"/>
        <v>71</v>
      </c>
      <c r="E1190" s="8" t="str">
        <f t="shared" si="2"/>
        <v>https://resources.simonelectric.com/simon-ebook-vehiculo-electrico-ppc</v>
      </c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</row>
    <row r="1191" ht="15.75" customHeight="1">
      <c r="A1191" s="5" t="s">
        <v>1666</v>
      </c>
      <c r="B1191" s="5">
        <v>43957.0</v>
      </c>
      <c r="C1191" s="6" t="s">
        <v>28</v>
      </c>
      <c r="D1191" s="10" t="str">
        <f t="shared" si="1"/>
        <v>https://resources.simonelectric.com/simon-ebook-vehiculo-electrico</v>
      </c>
      <c r="E1191" s="8" t="str">
        <f t="shared" si="2"/>
        <v>https://resources.simonelectric.com/simon-ebook-vehiculo-electrico</v>
      </c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</row>
    <row r="1192" ht="15.75" customHeight="1">
      <c r="A1192" s="5" t="s">
        <v>1667</v>
      </c>
      <c r="B1192" s="5">
        <v>43957.0</v>
      </c>
      <c r="C1192" s="6" t="s">
        <v>55</v>
      </c>
      <c r="D1192" s="11">
        <f t="shared" si="1"/>
        <v>71</v>
      </c>
      <c r="E1192" s="8" t="str">
        <f t="shared" si="2"/>
        <v>https://resources.simonelectric.com/simon-ebook-vehiculo-electrico-ppc</v>
      </c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</row>
    <row r="1193" ht="15.75" customHeight="1">
      <c r="A1193" s="5" t="s">
        <v>1668</v>
      </c>
      <c r="B1193" s="5">
        <v>43957.0</v>
      </c>
      <c r="C1193" s="6" t="s">
        <v>1669</v>
      </c>
      <c r="D1193" s="11">
        <f t="shared" si="1"/>
        <v>70</v>
      </c>
      <c r="E1193" s="8" t="str">
        <f t="shared" si="2"/>
        <v>https://resources.simonelectric.com/simon-catalogo-vehiculo-electrico</v>
      </c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</row>
    <row r="1194" ht="15.75" customHeight="1">
      <c r="A1194" s="5" t="s">
        <v>1670</v>
      </c>
      <c r="B1194" s="5">
        <v>43957.0</v>
      </c>
      <c r="C1194" s="6" t="s">
        <v>1671</v>
      </c>
      <c r="D1194" s="11">
        <f t="shared" si="1"/>
        <v>70</v>
      </c>
      <c r="E1194" s="8" t="str">
        <f t="shared" si="2"/>
        <v>https://resources.simonelectric.com/simon-catalogo-vehiculo-electrico</v>
      </c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</row>
    <row r="1195" ht="15.75" customHeight="1">
      <c r="A1195" s="5" t="s">
        <v>1672</v>
      </c>
      <c r="B1195" s="5">
        <v>43957.0</v>
      </c>
      <c r="C1195" s="6" t="s">
        <v>31</v>
      </c>
      <c r="D1195" s="11">
        <f t="shared" si="1"/>
        <v>67</v>
      </c>
      <c r="E1195" s="8" t="str">
        <f t="shared" si="2"/>
        <v>https://resources.simonelectric.com/simon-ebook-vehiculo-electrico</v>
      </c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</row>
    <row r="1196" ht="15.75" customHeight="1">
      <c r="A1196" s="5" t="s">
        <v>1673</v>
      </c>
      <c r="B1196" s="5">
        <v>43957.0</v>
      </c>
      <c r="C1196" s="6" t="s">
        <v>1674</v>
      </c>
      <c r="D1196" s="10">
        <f t="shared" si="1"/>
        <v>70</v>
      </c>
      <c r="E1196" s="8" t="str">
        <f t="shared" si="2"/>
        <v>https://resources.simonelectric.com/simon-catalogo-vehiculo-electrico</v>
      </c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</row>
    <row r="1197" ht="15.75" customHeight="1">
      <c r="A1197" s="5" t="s">
        <v>1675</v>
      </c>
      <c r="B1197" s="5">
        <v>43957.0</v>
      </c>
      <c r="C1197" s="6" t="s">
        <v>1676</v>
      </c>
      <c r="D1197" s="11">
        <f t="shared" si="1"/>
        <v>70</v>
      </c>
      <c r="E1197" s="8" t="str">
        <f t="shared" si="2"/>
        <v>https://resources.simonelectric.com/simon-catalogo-vehiculo-electrico</v>
      </c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</row>
    <row r="1198" ht="15.75" customHeight="1">
      <c r="A1198" s="5" t="s">
        <v>901</v>
      </c>
      <c r="B1198" s="5">
        <v>43957.0</v>
      </c>
      <c r="C1198" s="6" t="s">
        <v>1677</v>
      </c>
      <c r="D1198" s="11">
        <f t="shared" si="1"/>
        <v>71</v>
      </c>
      <c r="E1198" s="8" t="str">
        <f t="shared" si="2"/>
        <v>https://resources.simonelectric.com/simon-ebook-vehiculo-electrico-ppc</v>
      </c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</row>
    <row r="1199" ht="15.75" customHeight="1">
      <c r="A1199" s="5" t="s">
        <v>1678</v>
      </c>
      <c r="B1199" s="5">
        <v>43957.0</v>
      </c>
      <c r="C1199" s="6" t="s">
        <v>1679</v>
      </c>
      <c r="D1199" s="11">
        <f t="shared" si="1"/>
        <v>70</v>
      </c>
      <c r="E1199" s="8" t="str">
        <f t="shared" si="2"/>
        <v>https://resources.simonelectric.com/simon-catalogo-vehiculo-electrico</v>
      </c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</row>
    <row r="1200" ht="15.75" customHeight="1">
      <c r="A1200" s="5" t="s">
        <v>1678</v>
      </c>
      <c r="B1200" s="5">
        <v>43957.0</v>
      </c>
      <c r="C1200" s="6" t="s">
        <v>28</v>
      </c>
      <c r="D1200" s="10" t="str">
        <f t="shared" si="1"/>
        <v>https://resources.simonelectric.com/simon-ebook-vehiculo-electrico</v>
      </c>
      <c r="E1200" s="8" t="str">
        <f t="shared" si="2"/>
        <v>https://resources.simonelectric.com/simon-ebook-vehiculo-electrico</v>
      </c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</row>
    <row r="1201" ht="15.75" customHeight="1">
      <c r="A1201" s="5" t="s">
        <v>1680</v>
      </c>
      <c r="B1201" s="5">
        <v>43957.0</v>
      </c>
      <c r="C1201" s="6" t="s">
        <v>1681</v>
      </c>
      <c r="D1201" s="11">
        <f t="shared" si="1"/>
        <v>71</v>
      </c>
      <c r="E1201" s="8" t="str">
        <f t="shared" si="2"/>
        <v>https://resources.simonelectric.com/simon-ebook-vehiculo-electrico-ppc</v>
      </c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</row>
    <row r="1202" ht="15.75" customHeight="1">
      <c r="A1202" s="5" t="s">
        <v>1682</v>
      </c>
      <c r="B1202" s="5">
        <v>43957.0</v>
      </c>
      <c r="C1202" s="6" t="s">
        <v>1683</v>
      </c>
      <c r="D1202" s="11">
        <f t="shared" si="1"/>
        <v>70</v>
      </c>
      <c r="E1202" s="8" t="str">
        <f t="shared" si="2"/>
        <v>https://resources.simonelectric.com/simon-catalogo-vehiculo-electrico</v>
      </c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</row>
    <row r="1203" ht="15.75" customHeight="1">
      <c r="A1203" s="5" t="s">
        <v>1684</v>
      </c>
      <c r="B1203" s="5">
        <v>43957.0</v>
      </c>
      <c r="C1203" s="6" t="s">
        <v>1685</v>
      </c>
      <c r="D1203" s="11">
        <f t="shared" si="1"/>
        <v>71</v>
      </c>
      <c r="E1203" s="8" t="str">
        <f t="shared" si="2"/>
        <v>https://resources.simonelectric.com/simon-ebook-vehiculo-electrico-ppc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</row>
    <row r="1204" ht="15.75" customHeight="1">
      <c r="A1204" s="5" t="s">
        <v>1686</v>
      </c>
      <c r="B1204" s="5">
        <v>43956.0</v>
      </c>
      <c r="C1204" s="6" t="s">
        <v>1687</v>
      </c>
      <c r="D1204" s="11">
        <f t="shared" si="1"/>
        <v>67</v>
      </c>
      <c r="E1204" s="8" t="str">
        <f t="shared" si="2"/>
        <v>https://resources.simonelectric.com/simon-ebook-vehiculo-electrico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</row>
    <row r="1205" ht="15.75" customHeight="1">
      <c r="A1205" s="5" t="s">
        <v>1688</v>
      </c>
      <c r="B1205" s="5">
        <v>43956.0</v>
      </c>
      <c r="C1205" s="6" t="s">
        <v>10</v>
      </c>
      <c r="D1205" s="10" t="str">
        <f t="shared" si="1"/>
        <v>https://resources.simonelectric.com/simon-catalogo-vehiculo-electrico</v>
      </c>
      <c r="E1205" s="8" t="str">
        <f t="shared" si="2"/>
        <v>https://resources.simonelectric.com/simon-catalogo-vehiculo-electrico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</row>
    <row r="1206" ht="15.75" customHeight="1">
      <c r="A1206" s="5" t="s">
        <v>1689</v>
      </c>
      <c r="B1206" s="5">
        <v>43956.0</v>
      </c>
      <c r="C1206" s="6" t="s">
        <v>1690</v>
      </c>
      <c r="D1206" s="11">
        <f t="shared" si="1"/>
        <v>71</v>
      </c>
      <c r="E1206" s="8" t="str">
        <f t="shared" si="2"/>
        <v>https://resources.simonelectric.com/simon-ebook-vehiculo-electrico-ppc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</row>
    <row r="1207" ht="15.75" customHeight="1">
      <c r="A1207" s="5" t="s">
        <v>1691</v>
      </c>
      <c r="B1207" s="5">
        <v>43956.0</v>
      </c>
      <c r="C1207" s="6" t="s">
        <v>1692</v>
      </c>
      <c r="D1207" s="11">
        <f t="shared" si="1"/>
        <v>70</v>
      </c>
      <c r="E1207" s="8" t="str">
        <f t="shared" si="2"/>
        <v>https://resources.simonelectric.com/simon-catalogo-vehiculo-electrico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</row>
    <row r="1208" ht="15.75" customHeight="1">
      <c r="A1208" s="5" t="s">
        <v>1693</v>
      </c>
      <c r="B1208" s="5">
        <v>43956.0</v>
      </c>
      <c r="C1208" s="6" t="s">
        <v>8</v>
      </c>
      <c r="D1208" s="11">
        <f t="shared" si="1"/>
        <v>67</v>
      </c>
      <c r="E1208" s="8" t="str">
        <f t="shared" si="2"/>
        <v>https://resources.simonelectric.com/simon-ebook-vehiculo-electrico</v>
      </c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</row>
    <row r="1209" ht="15.75" customHeight="1">
      <c r="A1209" s="5" t="s">
        <v>1694</v>
      </c>
      <c r="B1209" s="5">
        <v>43956.0</v>
      </c>
      <c r="C1209" s="6" t="s">
        <v>1695</v>
      </c>
      <c r="D1209" s="11">
        <f t="shared" si="1"/>
        <v>69</v>
      </c>
      <c r="E1209" s="8" t="str">
        <f t="shared" si="2"/>
        <v>https://resources.simonelectric.com/simon-ebook-vehiculo-electrico-0</v>
      </c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</row>
    <row r="1210" ht="15.75" customHeight="1">
      <c r="A1210" s="5" t="s">
        <v>1696</v>
      </c>
      <c r="B1210" s="5">
        <v>43956.0</v>
      </c>
      <c r="C1210" s="6" t="s">
        <v>1697</v>
      </c>
      <c r="D1210" s="11">
        <f t="shared" si="1"/>
        <v>70</v>
      </c>
      <c r="E1210" s="8" t="str">
        <f t="shared" si="2"/>
        <v>https://resources.simonelectric.com/simon-catalogo-vehiculo-electrico</v>
      </c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</row>
    <row r="1211" ht="15.75" customHeight="1">
      <c r="A1211" s="5" t="s">
        <v>1698</v>
      </c>
      <c r="B1211" s="5">
        <v>43956.0</v>
      </c>
      <c r="C1211" s="6" t="s">
        <v>55</v>
      </c>
      <c r="D1211" s="11">
        <f t="shared" si="1"/>
        <v>71</v>
      </c>
      <c r="E1211" s="8" t="str">
        <f t="shared" si="2"/>
        <v>https://resources.simonelectric.com/simon-ebook-vehiculo-electrico-ppc</v>
      </c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</row>
    <row r="1212" ht="15.75" customHeight="1">
      <c r="A1212" s="5" t="s">
        <v>1699</v>
      </c>
      <c r="B1212" s="5">
        <v>43956.0</v>
      </c>
      <c r="C1212" s="6" t="s">
        <v>1700</v>
      </c>
      <c r="D1212" s="11">
        <f t="shared" si="1"/>
        <v>67</v>
      </c>
      <c r="E1212" s="8" t="str">
        <f t="shared" si="2"/>
        <v>https://resources.simonelectric.com/simon-ebook-vehiculo-electrico</v>
      </c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</row>
    <row r="1213" ht="15.75" customHeight="1">
      <c r="A1213" s="5" t="s">
        <v>1701</v>
      </c>
      <c r="B1213" s="5">
        <v>43956.0</v>
      </c>
      <c r="C1213" s="6" t="s">
        <v>1702</v>
      </c>
      <c r="D1213" s="11">
        <f t="shared" si="1"/>
        <v>70</v>
      </c>
      <c r="E1213" s="8" t="str">
        <f t="shared" si="2"/>
        <v>https://resources.simonelectric.com/simon-catalogo-vehiculo-electrico</v>
      </c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</row>
    <row r="1214" ht="15.75" customHeight="1">
      <c r="A1214" s="5" t="s">
        <v>1703</v>
      </c>
      <c r="B1214" s="5">
        <v>43956.0</v>
      </c>
      <c r="C1214" s="6" t="s">
        <v>1704</v>
      </c>
      <c r="D1214" s="11">
        <f t="shared" si="1"/>
        <v>70</v>
      </c>
      <c r="E1214" s="8" t="str">
        <f t="shared" si="2"/>
        <v>https://resources.simonelectric.com/simon-catalogo-vehiculo-electrico</v>
      </c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</row>
    <row r="1215" ht="15.75" customHeight="1">
      <c r="A1215" s="5" t="s">
        <v>1705</v>
      </c>
      <c r="B1215" s="5">
        <v>43956.0</v>
      </c>
      <c r="C1215" s="6" t="s">
        <v>1706</v>
      </c>
      <c r="D1215" s="11">
        <f t="shared" si="1"/>
        <v>70</v>
      </c>
      <c r="E1215" s="8" t="str">
        <f t="shared" si="2"/>
        <v>https://resources.simonelectric.com/simon-catalogo-vehiculo-electrico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</row>
    <row r="1216" ht="15.75" customHeight="1">
      <c r="A1216" s="5" t="s">
        <v>1707</v>
      </c>
      <c r="B1216" s="5">
        <v>43956.0</v>
      </c>
      <c r="C1216" s="6" t="s">
        <v>1708</v>
      </c>
      <c r="D1216" s="11">
        <f t="shared" si="1"/>
        <v>67</v>
      </c>
      <c r="E1216" s="8" t="str">
        <f t="shared" si="2"/>
        <v>https://resources.simonelectric.com/simon-ebook-vehiculo-electrico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</row>
    <row r="1217" ht="15.75" customHeight="1">
      <c r="A1217" s="5" t="s">
        <v>1709</v>
      </c>
      <c r="B1217" s="5">
        <v>43956.0</v>
      </c>
      <c r="C1217" s="6" t="s">
        <v>75</v>
      </c>
      <c r="D1217" s="11">
        <f t="shared" si="1"/>
        <v>67</v>
      </c>
      <c r="E1217" s="8" t="str">
        <f t="shared" si="2"/>
        <v>https://resources.simonelectric.com/simon-ebook-vehiculo-electrico</v>
      </c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</row>
    <row r="1218" ht="15.75" customHeight="1">
      <c r="A1218" s="5" t="s">
        <v>1693</v>
      </c>
      <c r="B1218" s="5">
        <v>43956.0</v>
      </c>
      <c r="C1218" s="6" t="s">
        <v>75</v>
      </c>
      <c r="D1218" s="11">
        <f t="shared" si="1"/>
        <v>67</v>
      </c>
      <c r="E1218" s="8" t="str">
        <f t="shared" si="2"/>
        <v>https://resources.simonelectric.com/simon-ebook-vehiculo-electrico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</row>
    <row r="1219" ht="15.75" customHeight="1">
      <c r="A1219" s="5" t="s">
        <v>1653</v>
      </c>
      <c r="B1219" s="5">
        <v>43956.0</v>
      </c>
      <c r="C1219" s="6" t="s">
        <v>75</v>
      </c>
      <c r="D1219" s="11">
        <f t="shared" si="1"/>
        <v>67</v>
      </c>
      <c r="E1219" s="8" t="str">
        <f t="shared" si="2"/>
        <v>https://resources.simonelectric.com/simon-ebook-vehiculo-electrico</v>
      </c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</row>
    <row r="1220" ht="15.75" customHeight="1">
      <c r="A1220" s="5" t="s">
        <v>694</v>
      </c>
      <c r="B1220" s="5">
        <v>43956.0</v>
      </c>
      <c r="C1220" s="6" t="s">
        <v>75</v>
      </c>
      <c r="D1220" s="11">
        <f t="shared" si="1"/>
        <v>67</v>
      </c>
      <c r="E1220" s="8" t="str">
        <f t="shared" si="2"/>
        <v>https://resources.simonelectric.com/simon-ebook-vehiculo-electrico</v>
      </c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</row>
    <row r="1221" ht="15.75" customHeight="1">
      <c r="A1221" s="5" t="s">
        <v>1570</v>
      </c>
      <c r="B1221" s="5">
        <v>43956.0</v>
      </c>
      <c r="C1221" s="6" t="s">
        <v>75</v>
      </c>
      <c r="D1221" s="11">
        <f t="shared" si="1"/>
        <v>67</v>
      </c>
      <c r="E1221" s="8" t="str">
        <f t="shared" si="2"/>
        <v>https://resources.simonelectric.com/simon-ebook-vehiculo-electrico</v>
      </c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</row>
    <row r="1222" ht="15.75" customHeight="1">
      <c r="A1222" s="5" t="s">
        <v>1710</v>
      </c>
      <c r="B1222" s="5">
        <v>43956.0</v>
      </c>
      <c r="C1222" s="6" t="s">
        <v>1711</v>
      </c>
      <c r="D1222" s="11">
        <f t="shared" si="1"/>
        <v>70</v>
      </c>
      <c r="E1222" s="8" t="str">
        <f t="shared" si="2"/>
        <v>https://resources.simonelectric.com/simon-catalogo-vehiculo-electrico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</row>
    <row r="1223" ht="15.75" customHeight="1">
      <c r="A1223" s="5" t="s">
        <v>1710</v>
      </c>
      <c r="B1223" s="5">
        <v>43956.0</v>
      </c>
      <c r="C1223" s="6" t="s">
        <v>75</v>
      </c>
      <c r="D1223" s="11">
        <f t="shared" si="1"/>
        <v>67</v>
      </c>
      <c r="E1223" s="8" t="str">
        <f t="shared" si="2"/>
        <v>https://resources.simonelectric.com/simon-ebook-vehiculo-electrico</v>
      </c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</row>
    <row r="1224" ht="15.75" customHeight="1">
      <c r="A1224" s="5" t="s">
        <v>1712</v>
      </c>
      <c r="B1224" s="5">
        <v>43956.0</v>
      </c>
      <c r="C1224" s="6" t="s">
        <v>31</v>
      </c>
      <c r="D1224" s="11">
        <f t="shared" si="1"/>
        <v>67</v>
      </c>
      <c r="E1224" s="8" t="str">
        <f t="shared" si="2"/>
        <v>https://resources.simonelectric.com/simon-ebook-vehiculo-electrico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</row>
    <row r="1225" ht="15.75" customHeight="1">
      <c r="A1225" s="5" t="s">
        <v>1713</v>
      </c>
      <c r="B1225" s="5">
        <v>43956.0</v>
      </c>
      <c r="C1225" s="6" t="s">
        <v>31</v>
      </c>
      <c r="D1225" s="11">
        <f t="shared" si="1"/>
        <v>67</v>
      </c>
      <c r="E1225" s="8" t="str">
        <f t="shared" si="2"/>
        <v>https://resources.simonelectric.com/simon-ebook-vehiculo-electrico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</row>
    <row r="1226" ht="15.75" customHeight="1">
      <c r="A1226" s="5" t="s">
        <v>1714</v>
      </c>
      <c r="B1226" s="5">
        <v>43956.0</v>
      </c>
      <c r="C1226" s="6" t="s">
        <v>1715</v>
      </c>
      <c r="D1226" s="11">
        <f t="shared" si="1"/>
        <v>70</v>
      </c>
      <c r="E1226" s="8" t="str">
        <f t="shared" si="2"/>
        <v>https://resources.simonelectric.com/simon-catalogo-vehiculo-electrico</v>
      </c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</row>
    <row r="1227" ht="15.75" customHeight="1">
      <c r="A1227" s="5" t="s">
        <v>1716</v>
      </c>
      <c r="B1227" s="5">
        <v>43956.0</v>
      </c>
      <c r="C1227" s="6" t="s">
        <v>1717</v>
      </c>
      <c r="D1227" s="11">
        <f t="shared" si="1"/>
        <v>70</v>
      </c>
      <c r="E1227" s="8" t="str">
        <f t="shared" si="2"/>
        <v>https://resources.simonelectric.com/simon-catalogo-vehiculo-electrico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</row>
    <row r="1228" ht="15.75" customHeight="1">
      <c r="A1228" s="5" t="s">
        <v>1718</v>
      </c>
      <c r="B1228" s="5">
        <v>43956.0</v>
      </c>
      <c r="C1228" s="6" t="s">
        <v>1719</v>
      </c>
      <c r="D1228" s="11">
        <f t="shared" si="1"/>
        <v>70</v>
      </c>
      <c r="E1228" s="8" t="str">
        <f t="shared" si="2"/>
        <v>https://resources.simonelectric.com/simon-catalogo-vehiculo-electrico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</row>
    <row r="1229" ht="15.75" customHeight="1">
      <c r="A1229" s="5" t="s">
        <v>1720</v>
      </c>
      <c r="B1229" s="5">
        <v>43956.0</v>
      </c>
      <c r="C1229" s="6" t="s">
        <v>1721</v>
      </c>
      <c r="D1229" s="11">
        <f t="shared" si="1"/>
        <v>70</v>
      </c>
      <c r="E1229" s="8" t="str">
        <f t="shared" si="2"/>
        <v>https://resources.simonelectric.com/simon-catalogo-vehiculo-electrico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</row>
    <row r="1230" ht="15.75" customHeight="1">
      <c r="A1230" s="5" t="s">
        <v>1722</v>
      </c>
      <c r="B1230" s="5">
        <v>43956.0</v>
      </c>
      <c r="C1230" s="6" t="s">
        <v>1723</v>
      </c>
      <c r="D1230" s="11">
        <f t="shared" si="1"/>
        <v>70</v>
      </c>
      <c r="E1230" s="8" t="str">
        <f t="shared" si="2"/>
        <v>https://resources.simonelectric.com/simon-catalogo-vehiculo-electrico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</row>
    <row r="1231" ht="15.75" customHeight="1">
      <c r="A1231" s="5" t="s">
        <v>1724</v>
      </c>
      <c r="B1231" s="5">
        <v>43956.0</v>
      </c>
      <c r="C1231" s="6" t="s">
        <v>1725</v>
      </c>
      <c r="D1231" s="11">
        <f t="shared" si="1"/>
        <v>67</v>
      </c>
      <c r="E1231" s="8" t="str">
        <f t="shared" si="2"/>
        <v>https://resources.simonelectric.com/simon-ebook-vehiculo-electrico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</row>
    <row r="1232" ht="15.75" customHeight="1">
      <c r="A1232" s="5" t="s">
        <v>1726</v>
      </c>
      <c r="B1232" s="5">
        <v>43956.0</v>
      </c>
      <c r="C1232" s="6" t="s">
        <v>1727</v>
      </c>
      <c r="D1232" s="11">
        <f t="shared" si="1"/>
        <v>70</v>
      </c>
      <c r="E1232" s="8" t="str">
        <f t="shared" si="2"/>
        <v>https://resources.simonelectric.com/simon-catalogo-vehiculo-electrico</v>
      </c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</row>
    <row r="1233" ht="15.75" customHeight="1">
      <c r="A1233" s="5" t="s">
        <v>1728</v>
      </c>
      <c r="B1233" s="5">
        <v>43956.0</v>
      </c>
      <c r="C1233" s="6" t="s">
        <v>55</v>
      </c>
      <c r="D1233" s="11">
        <f t="shared" si="1"/>
        <v>71</v>
      </c>
      <c r="E1233" s="8" t="str">
        <f t="shared" si="2"/>
        <v>https://resources.simonelectric.com/simon-ebook-vehiculo-electrico-ppc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</row>
    <row r="1234" ht="15.75" customHeight="1">
      <c r="A1234" s="5" t="s">
        <v>1729</v>
      </c>
      <c r="B1234" s="5">
        <v>43956.0</v>
      </c>
      <c r="C1234" s="6" t="s">
        <v>1730</v>
      </c>
      <c r="D1234" s="11">
        <f t="shared" si="1"/>
        <v>67</v>
      </c>
      <c r="E1234" s="8" t="str">
        <f t="shared" si="2"/>
        <v>https://resources.simonelectric.com/simon-ebook-vehiculo-electrico</v>
      </c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</row>
    <row r="1235" ht="15.75" customHeight="1">
      <c r="A1235" s="5" t="s">
        <v>1731</v>
      </c>
      <c r="B1235" s="5">
        <v>43955.0</v>
      </c>
      <c r="C1235" s="6" t="s">
        <v>55</v>
      </c>
      <c r="D1235" s="11">
        <f t="shared" si="1"/>
        <v>71</v>
      </c>
      <c r="E1235" s="8" t="str">
        <f t="shared" si="2"/>
        <v>https://resources.simonelectric.com/simon-ebook-vehiculo-electrico-ppc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</row>
    <row r="1236" ht="15.75" customHeight="1">
      <c r="A1236" s="5" t="s">
        <v>1732</v>
      </c>
      <c r="B1236" s="5">
        <v>43955.0</v>
      </c>
      <c r="C1236" s="6" t="s">
        <v>1733</v>
      </c>
      <c r="D1236" s="11">
        <f t="shared" si="1"/>
        <v>67</v>
      </c>
      <c r="E1236" s="8" t="str">
        <f t="shared" si="2"/>
        <v>https://resources.simonelectric.com/simon-ebook-vehiculo-electrico</v>
      </c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</row>
    <row r="1237" ht="15.75" customHeight="1">
      <c r="A1237" s="5" t="s">
        <v>1734</v>
      </c>
      <c r="B1237" s="5">
        <v>43955.0</v>
      </c>
      <c r="C1237" s="6" t="s">
        <v>1735</v>
      </c>
      <c r="D1237" s="11">
        <f t="shared" si="1"/>
        <v>70</v>
      </c>
      <c r="E1237" s="8" t="str">
        <f t="shared" si="2"/>
        <v>https://resources.simonelectric.com/simon-catalogo-vehiculo-electrico</v>
      </c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</row>
    <row r="1238" ht="15.75" customHeight="1">
      <c r="A1238" s="5" t="s">
        <v>580</v>
      </c>
      <c r="B1238" s="5">
        <v>43955.0</v>
      </c>
      <c r="C1238" s="6" t="s">
        <v>1736</v>
      </c>
      <c r="D1238" s="11">
        <f t="shared" si="1"/>
        <v>67</v>
      </c>
      <c r="E1238" s="8" t="str">
        <f t="shared" si="2"/>
        <v>https://resources.simonelectric.com/simon-ebook-vehiculo-electrico</v>
      </c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</row>
    <row r="1239" ht="15.75" customHeight="1">
      <c r="A1239" s="5" t="s">
        <v>1737</v>
      </c>
      <c r="B1239" s="5">
        <v>43955.0</v>
      </c>
      <c r="C1239" s="6" t="s">
        <v>1738</v>
      </c>
      <c r="D1239" s="11">
        <f t="shared" si="1"/>
        <v>67</v>
      </c>
      <c r="E1239" s="8" t="str">
        <f t="shared" si="2"/>
        <v>https://resources.simonelectric.com/simon-ebook-vehiculo-electrico</v>
      </c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</row>
    <row r="1240" ht="15.75" customHeight="1">
      <c r="A1240" s="5" t="s">
        <v>1739</v>
      </c>
      <c r="B1240" s="5">
        <v>43955.0</v>
      </c>
      <c r="C1240" s="6" t="s">
        <v>1740</v>
      </c>
      <c r="D1240" s="11">
        <f t="shared" si="1"/>
        <v>70</v>
      </c>
      <c r="E1240" s="8" t="str">
        <f t="shared" si="2"/>
        <v>https://resources.simonelectric.com/simon-catalogo-vehiculo-electrico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</row>
    <row r="1241" ht="15.75" customHeight="1">
      <c r="A1241" s="5" t="s">
        <v>1741</v>
      </c>
      <c r="B1241" s="5">
        <v>43955.0</v>
      </c>
      <c r="C1241" s="6" t="s">
        <v>1742</v>
      </c>
      <c r="D1241" s="11">
        <f t="shared" si="1"/>
        <v>67</v>
      </c>
      <c r="E1241" s="8" t="str">
        <f t="shared" si="2"/>
        <v>https://resources.simonelectric.com/simon-ebook-vehiculo-electrico</v>
      </c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</row>
    <row r="1242" ht="15.75" customHeight="1">
      <c r="A1242" s="5" t="s">
        <v>1743</v>
      </c>
      <c r="B1242" s="5">
        <v>43955.0</v>
      </c>
      <c r="C1242" s="6" t="s">
        <v>1744</v>
      </c>
      <c r="D1242" s="11">
        <f t="shared" si="1"/>
        <v>70</v>
      </c>
      <c r="E1242" s="8" t="str">
        <f t="shared" si="2"/>
        <v>https://resources.simonelectric.com/simon-catalogo-vehiculo-electrico</v>
      </c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</row>
    <row r="1243" ht="15.75" customHeight="1">
      <c r="A1243" s="5" t="s">
        <v>1745</v>
      </c>
      <c r="B1243" s="5">
        <v>43955.0</v>
      </c>
      <c r="C1243" s="6" t="s">
        <v>1746</v>
      </c>
      <c r="D1243" s="11">
        <f t="shared" si="1"/>
        <v>67</v>
      </c>
      <c r="E1243" s="8" t="str">
        <f t="shared" si="2"/>
        <v>https://resources.simonelectric.com/simon-ebook-vehiculo-electrico</v>
      </c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</row>
    <row r="1244" ht="15.75" customHeight="1">
      <c r="A1244" s="5" t="s">
        <v>1101</v>
      </c>
      <c r="B1244" s="5">
        <v>43955.0</v>
      </c>
      <c r="C1244" s="6" t="s">
        <v>1747</v>
      </c>
      <c r="D1244" s="11">
        <f t="shared" si="1"/>
        <v>70</v>
      </c>
      <c r="E1244" s="8" t="str">
        <f t="shared" si="2"/>
        <v>https://resources.simonelectric.com/simon-catalogo-vehiculo-electrico</v>
      </c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</row>
    <row r="1245" ht="15.75" customHeight="1">
      <c r="A1245" s="5" t="s">
        <v>1748</v>
      </c>
      <c r="B1245" s="5">
        <v>43955.0</v>
      </c>
      <c r="C1245" s="6" t="s">
        <v>1749</v>
      </c>
      <c r="D1245" s="11">
        <f t="shared" si="1"/>
        <v>70</v>
      </c>
      <c r="E1245" s="8" t="str">
        <f t="shared" si="2"/>
        <v>https://resources.simonelectric.com/simon-catalogo-vehiculo-electrico</v>
      </c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</row>
    <row r="1246" ht="15.75" customHeight="1">
      <c r="A1246" s="5" t="s">
        <v>1750</v>
      </c>
      <c r="B1246" s="5">
        <v>43955.0</v>
      </c>
      <c r="C1246" s="6" t="s">
        <v>1751</v>
      </c>
      <c r="D1246" s="11">
        <f t="shared" si="1"/>
        <v>69</v>
      </c>
      <c r="E1246" s="8" t="str">
        <f t="shared" si="2"/>
        <v>https://resources.simonelectric.com/simon-ebook-vehiculo-electrico-0</v>
      </c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</row>
    <row r="1247" ht="15.75" customHeight="1">
      <c r="A1247" s="5" t="s">
        <v>1752</v>
      </c>
      <c r="B1247" s="5">
        <v>43955.0</v>
      </c>
      <c r="C1247" s="6" t="s">
        <v>1753</v>
      </c>
      <c r="D1247" s="11">
        <f t="shared" si="1"/>
        <v>70</v>
      </c>
      <c r="E1247" s="8" t="str">
        <f t="shared" si="2"/>
        <v>https://resources.simonelectric.com/simon-catalogo-vehiculo-electrico</v>
      </c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</row>
    <row r="1248" ht="15.75" customHeight="1">
      <c r="A1248" s="5" t="s">
        <v>1754</v>
      </c>
      <c r="B1248" s="5">
        <v>43955.0</v>
      </c>
      <c r="C1248" s="6" t="s">
        <v>1755</v>
      </c>
      <c r="D1248" s="11">
        <f t="shared" si="1"/>
        <v>70</v>
      </c>
      <c r="E1248" s="8" t="str">
        <f t="shared" si="2"/>
        <v>https://resources.simonelectric.com/simon-catalogo-vehiculo-electrico</v>
      </c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</row>
    <row r="1249" ht="15.75" customHeight="1">
      <c r="A1249" s="5" t="s">
        <v>1756</v>
      </c>
      <c r="B1249" s="5">
        <v>43955.0</v>
      </c>
      <c r="C1249" s="6" t="s">
        <v>1757</v>
      </c>
      <c r="D1249" s="11">
        <f t="shared" si="1"/>
        <v>67</v>
      </c>
      <c r="E1249" s="8" t="str">
        <f t="shared" si="2"/>
        <v>https://resources.simonelectric.com/simon-ebook-vehiculo-electrico</v>
      </c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</row>
    <row r="1250" ht="15.75" customHeight="1">
      <c r="A1250" s="5" t="s">
        <v>1758</v>
      </c>
      <c r="B1250" s="5">
        <v>43955.0</v>
      </c>
      <c r="C1250" s="6" t="s">
        <v>1759</v>
      </c>
      <c r="D1250" s="11">
        <f t="shared" si="1"/>
        <v>67</v>
      </c>
      <c r="E1250" s="8" t="str">
        <f t="shared" si="2"/>
        <v>https://resources.simonelectric.com/simon-ebook-vehiculo-electrico</v>
      </c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</row>
    <row r="1251" ht="15.75" customHeight="1">
      <c r="A1251" s="5" t="s">
        <v>1760</v>
      </c>
      <c r="B1251" s="5">
        <v>43955.0</v>
      </c>
      <c r="C1251" s="6" t="s">
        <v>1761</v>
      </c>
      <c r="D1251" s="11">
        <f t="shared" si="1"/>
        <v>67</v>
      </c>
      <c r="E1251" s="8" t="str">
        <f t="shared" si="2"/>
        <v>https://resources.simonelectric.com/simon-ebook-vehiculo-electrico</v>
      </c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</row>
    <row r="1252" ht="15.75" customHeight="1">
      <c r="A1252" s="5" t="s">
        <v>1762</v>
      </c>
      <c r="B1252" s="5">
        <v>43955.0</v>
      </c>
      <c r="C1252" s="6" t="s">
        <v>1763</v>
      </c>
      <c r="D1252" s="11">
        <f t="shared" si="1"/>
        <v>67</v>
      </c>
      <c r="E1252" s="8" t="str">
        <f t="shared" si="2"/>
        <v>https://resources.simonelectric.com/simon-ebook-vehiculo-electrico</v>
      </c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</row>
    <row r="1253" ht="15.75" customHeight="1">
      <c r="A1253" s="5" t="s">
        <v>1764</v>
      </c>
      <c r="B1253" s="5">
        <v>43955.0</v>
      </c>
      <c r="C1253" s="6" t="s">
        <v>1765</v>
      </c>
      <c r="D1253" s="11">
        <f t="shared" si="1"/>
        <v>70</v>
      </c>
      <c r="E1253" s="8" t="str">
        <f t="shared" si="2"/>
        <v>https://resources.simonelectric.com/simon-catalogo-vehiculo-electrico</v>
      </c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</row>
    <row r="1254" ht="15.75" customHeight="1">
      <c r="A1254" s="5" t="s">
        <v>1766</v>
      </c>
      <c r="B1254" s="5">
        <v>43955.0</v>
      </c>
      <c r="C1254" s="6" t="s">
        <v>1767</v>
      </c>
      <c r="D1254" s="11">
        <f t="shared" si="1"/>
        <v>70</v>
      </c>
      <c r="E1254" s="8" t="str">
        <f t="shared" si="2"/>
        <v>https://resources.simonelectric.com/simon-catalogo-vehiculo-electrico</v>
      </c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</row>
    <row r="1255" ht="15.75" customHeight="1">
      <c r="A1255" s="5" t="s">
        <v>1768</v>
      </c>
      <c r="B1255" s="5">
        <v>43955.0</v>
      </c>
      <c r="C1255" s="6" t="s">
        <v>1769</v>
      </c>
      <c r="D1255" s="11">
        <f t="shared" si="1"/>
        <v>67</v>
      </c>
      <c r="E1255" s="8" t="str">
        <f t="shared" si="2"/>
        <v>https://resources.simonelectric.com/simon-ebook-vehiculo-electrico</v>
      </c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</row>
    <row r="1256" ht="15.75" customHeight="1">
      <c r="A1256" s="5" t="s">
        <v>1770</v>
      </c>
      <c r="B1256" s="5">
        <v>43955.0</v>
      </c>
      <c r="C1256" s="6" t="s">
        <v>1771</v>
      </c>
      <c r="D1256" s="11">
        <f t="shared" si="1"/>
        <v>70</v>
      </c>
      <c r="E1256" s="8" t="str">
        <f t="shared" si="2"/>
        <v>https://resources.simonelectric.com/simon-catalogo-vehiculo-electrico</v>
      </c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</row>
    <row r="1257" ht="15.75" customHeight="1">
      <c r="A1257" s="5" t="s">
        <v>1772</v>
      </c>
      <c r="B1257" s="5">
        <v>43955.0</v>
      </c>
      <c r="C1257" s="6" t="s">
        <v>1773</v>
      </c>
      <c r="D1257" s="11">
        <f t="shared" si="1"/>
        <v>71</v>
      </c>
      <c r="E1257" s="8" t="str">
        <f t="shared" si="2"/>
        <v>https://resources.simonelectric.com/simon-ebook-vehiculo-electrico-ppc</v>
      </c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</row>
    <row r="1258" ht="15.75" customHeight="1">
      <c r="A1258" s="5" t="s">
        <v>1774</v>
      </c>
      <c r="B1258" s="5">
        <v>43955.0</v>
      </c>
      <c r="C1258" s="6" t="s">
        <v>75</v>
      </c>
      <c r="D1258" s="11">
        <f t="shared" si="1"/>
        <v>67</v>
      </c>
      <c r="E1258" s="8" t="str">
        <f t="shared" si="2"/>
        <v>https://resources.simonelectric.com/simon-ebook-vehiculo-electrico</v>
      </c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</row>
    <row r="1259" ht="15.75" customHeight="1">
      <c r="A1259" s="5" t="s">
        <v>1775</v>
      </c>
      <c r="B1259" s="5">
        <v>43955.0</v>
      </c>
      <c r="C1259" s="6" t="s">
        <v>1776</v>
      </c>
      <c r="D1259" s="11">
        <f t="shared" si="1"/>
        <v>67</v>
      </c>
      <c r="E1259" s="8" t="str">
        <f t="shared" si="2"/>
        <v>https://resources.simonelectric.com/simon-ebook-vehiculo-electrico</v>
      </c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</row>
    <row r="1260" ht="15.75" customHeight="1">
      <c r="A1260" s="5" t="s">
        <v>1777</v>
      </c>
      <c r="B1260" s="5">
        <v>43955.0</v>
      </c>
      <c r="C1260" s="6" t="s">
        <v>1778</v>
      </c>
      <c r="D1260" s="11">
        <f t="shared" si="1"/>
        <v>70</v>
      </c>
      <c r="E1260" s="8" t="str">
        <f t="shared" si="2"/>
        <v>https://resources.simonelectric.com/simon-catalogo-vehiculo-electrico</v>
      </c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</row>
    <row r="1261" ht="15.75" customHeight="1">
      <c r="A1261" s="5" t="s">
        <v>1779</v>
      </c>
      <c r="B1261" s="5">
        <v>43955.0</v>
      </c>
      <c r="C1261" s="6" t="s">
        <v>1780</v>
      </c>
      <c r="D1261" s="11">
        <f t="shared" si="1"/>
        <v>70</v>
      </c>
      <c r="E1261" s="8" t="str">
        <f t="shared" si="2"/>
        <v>https://resources.simonelectric.com/simon-catalogo-vehiculo-electrico</v>
      </c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</row>
    <row r="1262" ht="15.75" customHeight="1">
      <c r="A1262" s="5" t="s">
        <v>1646</v>
      </c>
      <c r="B1262" s="5">
        <v>43955.0</v>
      </c>
      <c r="C1262" s="6" t="s">
        <v>1781</v>
      </c>
      <c r="D1262" s="11">
        <f t="shared" si="1"/>
        <v>70</v>
      </c>
      <c r="E1262" s="8" t="str">
        <f t="shared" si="2"/>
        <v>https://resources.simonelectric.com/simon-catalogo-vehiculo-electrico</v>
      </c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</row>
    <row r="1263" ht="15.75" customHeight="1">
      <c r="A1263" s="5" t="s">
        <v>1782</v>
      </c>
      <c r="B1263" s="5">
        <v>43955.0</v>
      </c>
      <c r="C1263" s="6" t="s">
        <v>1783</v>
      </c>
      <c r="D1263" s="11">
        <f t="shared" si="1"/>
        <v>67</v>
      </c>
      <c r="E1263" s="8" t="str">
        <f t="shared" si="2"/>
        <v>https://resources.simonelectric.com/simon-ebook-vehiculo-electrico</v>
      </c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</row>
    <row r="1264" ht="15.75" customHeight="1">
      <c r="A1264" s="5" t="s">
        <v>1204</v>
      </c>
      <c r="B1264" s="5">
        <v>43955.0</v>
      </c>
      <c r="C1264" s="6" t="s">
        <v>1784</v>
      </c>
      <c r="D1264" s="11">
        <f t="shared" si="1"/>
        <v>67</v>
      </c>
      <c r="E1264" s="8" t="str">
        <f t="shared" si="2"/>
        <v>https://resources.simonelectric.com/simon-ebook-vehiculo-electrico</v>
      </c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</row>
    <row r="1265" ht="15.75" customHeight="1">
      <c r="A1265" s="5" t="s">
        <v>1785</v>
      </c>
      <c r="B1265" s="5">
        <v>43955.0</v>
      </c>
      <c r="C1265" s="6" t="s">
        <v>1786</v>
      </c>
      <c r="D1265" s="11">
        <f t="shared" si="1"/>
        <v>67</v>
      </c>
      <c r="E1265" s="8" t="str">
        <f t="shared" si="2"/>
        <v>https://resources.simonelectric.com/simon-ebook-vehiculo-electrico</v>
      </c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</row>
    <row r="1266" ht="15.75" customHeight="1">
      <c r="A1266" s="5" t="s">
        <v>1500</v>
      </c>
      <c r="B1266" s="5">
        <v>43955.0</v>
      </c>
      <c r="C1266" s="6" t="s">
        <v>1787</v>
      </c>
      <c r="D1266" s="11">
        <f t="shared" si="1"/>
        <v>70</v>
      </c>
      <c r="E1266" s="8" t="str">
        <f t="shared" si="2"/>
        <v>https://resources.simonelectric.com/simon-catalogo-vehiculo-electrico</v>
      </c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</row>
    <row r="1267" ht="15.75" customHeight="1">
      <c r="A1267" s="5" t="s">
        <v>1788</v>
      </c>
      <c r="B1267" s="5">
        <v>43955.0</v>
      </c>
      <c r="C1267" s="6" t="s">
        <v>1789</v>
      </c>
      <c r="D1267" s="11">
        <f t="shared" si="1"/>
        <v>67</v>
      </c>
      <c r="E1267" s="8" t="str">
        <f t="shared" si="2"/>
        <v>https://resources.simonelectric.com/simon-ebook-vehiculo-electrico</v>
      </c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</row>
    <row r="1268" ht="15.75" customHeight="1">
      <c r="A1268" s="5" t="s">
        <v>1790</v>
      </c>
      <c r="B1268" s="5">
        <v>43955.0</v>
      </c>
      <c r="C1268" s="6" t="s">
        <v>1791</v>
      </c>
      <c r="D1268" s="11">
        <f t="shared" si="1"/>
        <v>70</v>
      </c>
      <c r="E1268" s="8" t="str">
        <f t="shared" si="2"/>
        <v>https://resources.simonelectric.com/simon-catalogo-vehiculo-electrico</v>
      </c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</row>
    <row r="1269" ht="15.75" customHeight="1">
      <c r="A1269" s="5" t="s">
        <v>1792</v>
      </c>
      <c r="B1269" s="5">
        <v>43955.0</v>
      </c>
      <c r="C1269" s="6" t="s">
        <v>1793</v>
      </c>
      <c r="D1269" s="11">
        <f t="shared" si="1"/>
        <v>70</v>
      </c>
      <c r="E1269" s="8" t="str">
        <f t="shared" si="2"/>
        <v>https://resources.simonelectric.com/simon-catalogo-vehiculo-electrico</v>
      </c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</row>
    <row r="1270" ht="15.75" customHeight="1">
      <c r="A1270" s="5" t="s">
        <v>1794</v>
      </c>
      <c r="B1270" s="5">
        <v>43955.0</v>
      </c>
      <c r="C1270" s="6" t="s">
        <v>55</v>
      </c>
      <c r="D1270" s="11">
        <f t="shared" si="1"/>
        <v>71</v>
      </c>
      <c r="E1270" s="8" t="str">
        <f t="shared" si="2"/>
        <v>https://resources.simonelectric.com/simon-ebook-vehiculo-electrico-ppc</v>
      </c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</row>
    <row r="1271" ht="15.75" customHeight="1">
      <c r="A1271" s="5" t="s">
        <v>1795</v>
      </c>
      <c r="B1271" s="5">
        <v>43955.0</v>
      </c>
      <c r="C1271" s="6" t="s">
        <v>1796</v>
      </c>
      <c r="D1271" s="11">
        <f t="shared" si="1"/>
        <v>70</v>
      </c>
      <c r="E1271" s="8" t="str">
        <f t="shared" si="2"/>
        <v>https://resources.simonelectric.com/simon-catalogo-vehiculo-electrico</v>
      </c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</row>
    <row r="1272" ht="15.75" customHeight="1">
      <c r="A1272" s="5" t="s">
        <v>1797</v>
      </c>
      <c r="B1272" s="5">
        <v>43955.0</v>
      </c>
      <c r="C1272" s="6" t="s">
        <v>1798</v>
      </c>
      <c r="D1272" s="11">
        <f t="shared" si="1"/>
        <v>67</v>
      </c>
      <c r="E1272" s="8" t="str">
        <f t="shared" si="2"/>
        <v>https://resources.simonelectric.com/simon-ebook-vehiculo-electrico</v>
      </c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</row>
    <row r="1273" ht="15.75" customHeight="1">
      <c r="A1273" s="5" t="s">
        <v>1799</v>
      </c>
      <c r="B1273" s="5">
        <v>43955.0</v>
      </c>
      <c r="C1273" s="6" t="s">
        <v>10</v>
      </c>
      <c r="D1273" s="10" t="str">
        <f t="shared" si="1"/>
        <v>https://resources.simonelectric.com/simon-catalogo-vehiculo-electrico</v>
      </c>
      <c r="E1273" s="8" t="str">
        <f t="shared" si="2"/>
        <v>https://resources.simonelectric.com/simon-catalogo-vehiculo-electrico</v>
      </c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</row>
    <row r="1274" ht="15.75" customHeight="1">
      <c r="A1274" s="5" t="s">
        <v>1800</v>
      </c>
      <c r="B1274" s="5">
        <v>43955.0</v>
      </c>
      <c r="C1274" s="6" t="s">
        <v>1801</v>
      </c>
      <c r="D1274" s="11">
        <f t="shared" si="1"/>
        <v>67</v>
      </c>
      <c r="E1274" s="8" t="str">
        <f t="shared" si="2"/>
        <v>https://resources.simonelectric.com/simon-ebook-vehiculo-electrico</v>
      </c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</row>
    <row r="1275" ht="15.75" customHeight="1">
      <c r="A1275" s="5" t="s">
        <v>1802</v>
      </c>
      <c r="B1275" s="5">
        <v>43955.0</v>
      </c>
      <c r="C1275" s="6" t="s">
        <v>1803</v>
      </c>
      <c r="D1275" s="11">
        <f t="shared" si="1"/>
        <v>70</v>
      </c>
      <c r="E1275" s="8" t="str">
        <f t="shared" si="2"/>
        <v>https://resources.simonelectric.com/simon-catalogo-vehiculo-electrico</v>
      </c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</row>
    <row r="1276" ht="15.75" customHeight="1">
      <c r="A1276" s="5" t="s">
        <v>1804</v>
      </c>
      <c r="B1276" s="5">
        <v>43955.0</v>
      </c>
      <c r="C1276" s="6" t="s">
        <v>1805</v>
      </c>
      <c r="D1276" s="11">
        <f t="shared" si="1"/>
        <v>70</v>
      </c>
      <c r="E1276" s="8" t="str">
        <f t="shared" si="2"/>
        <v>https://resources.simonelectric.com/simon-catalogo-vehiculo-electrico</v>
      </c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</row>
    <row r="1277" ht="15.75" customHeight="1">
      <c r="A1277" s="5" t="s">
        <v>1806</v>
      </c>
      <c r="B1277" s="5">
        <v>43955.0</v>
      </c>
      <c r="C1277" s="6" t="s">
        <v>1807</v>
      </c>
      <c r="D1277" s="11">
        <f t="shared" si="1"/>
        <v>70</v>
      </c>
      <c r="E1277" s="8" t="str">
        <f t="shared" si="2"/>
        <v>https://resources.simonelectric.com/simon-catalogo-vehiculo-electrico</v>
      </c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</row>
    <row r="1278" ht="15.75" customHeight="1">
      <c r="A1278" s="5" t="s">
        <v>1808</v>
      </c>
      <c r="B1278" s="5">
        <v>43955.0</v>
      </c>
      <c r="C1278" s="6" t="s">
        <v>1809</v>
      </c>
      <c r="D1278" s="11">
        <f t="shared" si="1"/>
        <v>67</v>
      </c>
      <c r="E1278" s="8" t="str">
        <f t="shared" si="2"/>
        <v>https://resources.simonelectric.com/simon-ebook-vehiculo-electrico</v>
      </c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</row>
    <row r="1279" ht="15.75" customHeight="1">
      <c r="A1279" s="5" t="s">
        <v>1810</v>
      </c>
      <c r="B1279" s="5">
        <v>43955.0</v>
      </c>
      <c r="C1279" s="6" t="s">
        <v>1811</v>
      </c>
      <c r="D1279" s="11">
        <f t="shared" si="1"/>
        <v>67</v>
      </c>
      <c r="E1279" s="8" t="str">
        <f t="shared" si="2"/>
        <v>https://resources.simonelectric.com/simon-ebook-vehiculo-electrico</v>
      </c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</row>
    <row r="1280" ht="15.75" customHeight="1">
      <c r="A1280" s="5" t="s">
        <v>1812</v>
      </c>
      <c r="B1280" s="5">
        <v>43955.0</v>
      </c>
      <c r="C1280" s="6" t="s">
        <v>1813</v>
      </c>
      <c r="D1280" s="11">
        <f t="shared" si="1"/>
        <v>70</v>
      </c>
      <c r="E1280" s="8" t="str">
        <f t="shared" si="2"/>
        <v>https://resources.simonelectric.com/simon-catalogo-vehiculo-electrico</v>
      </c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</row>
    <row r="1281" ht="15.75" customHeight="1">
      <c r="A1281" s="5" t="s">
        <v>1814</v>
      </c>
      <c r="B1281" s="5">
        <v>43955.0</v>
      </c>
      <c r="C1281" s="6" t="s">
        <v>1815</v>
      </c>
      <c r="D1281" s="11">
        <f t="shared" si="1"/>
        <v>67</v>
      </c>
      <c r="E1281" s="8" t="str">
        <f t="shared" si="2"/>
        <v>https://resources.simonelectric.com/simon-ebook-vehiculo-electrico</v>
      </c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</row>
    <row r="1282" ht="15.75" customHeight="1">
      <c r="A1282" s="5" t="s">
        <v>1816</v>
      </c>
      <c r="B1282" s="5">
        <v>43955.0</v>
      </c>
      <c r="C1282" s="6" t="s">
        <v>1817</v>
      </c>
      <c r="D1282" s="11">
        <f t="shared" si="1"/>
        <v>67</v>
      </c>
      <c r="E1282" s="8" t="str">
        <f t="shared" si="2"/>
        <v>https://resources.simonelectric.com/simon-ebook-vehiculo-electrico</v>
      </c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</row>
    <row r="1283" ht="15.75" customHeight="1">
      <c r="A1283" s="5" t="s">
        <v>1818</v>
      </c>
      <c r="B1283" s="5">
        <v>43955.0</v>
      </c>
      <c r="C1283" s="6" t="s">
        <v>1819</v>
      </c>
      <c r="D1283" s="11">
        <f t="shared" si="1"/>
        <v>67</v>
      </c>
      <c r="E1283" s="8" t="str">
        <f t="shared" si="2"/>
        <v>https://resources.simonelectric.com/simon-ebook-vehiculo-electrico</v>
      </c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</row>
    <row r="1284" ht="15.75" customHeight="1">
      <c r="A1284" s="5" t="s">
        <v>1820</v>
      </c>
      <c r="B1284" s="5">
        <v>43955.0</v>
      </c>
      <c r="C1284" s="6" t="s">
        <v>1821</v>
      </c>
      <c r="D1284" s="11">
        <f t="shared" si="1"/>
        <v>70</v>
      </c>
      <c r="E1284" s="8" t="str">
        <f t="shared" si="2"/>
        <v>https://resources.simonelectric.com/simon-catalogo-vehiculo-electrico</v>
      </c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</row>
    <row r="1285" ht="15.75" customHeight="1">
      <c r="A1285" s="5" t="s">
        <v>1822</v>
      </c>
      <c r="B1285" s="5">
        <v>43955.0</v>
      </c>
      <c r="C1285" s="6" t="s">
        <v>1823</v>
      </c>
      <c r="D1285" s="11">
        <f t="shared" si="1"/>
        <v>67</v>
      </c>
      <c r="E1285" s="8" t="str">
        <f t="shared" si="2"/>
        <v>https://resources.simonelectric.com/simon-ebook-vehiculo-electrico</v>
      </c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</row>
    <row r="1286" ht="15.75" customHeight="1">
      <c r="A1286" s="5" t="s">
        <v>1824</v>
      </c>
      <c r="B1286" s="5">
        <v>43955.0</v>
      </c>
      <c r="C1286" s="6" t="s">
        <v>55</v>
      </c>
      <c r="D1286" s="11">
        <f t="shared" si="1"/>
        <v>71</v>
      </c>
      <c r="E1286" s="8" t="str">
        <f t="shared" si="2"/>
        <v>https://resources.simonelectric.com/simon-ebook-vehiculo-electrico-ppc</v>
      </c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</row>
    <row r="1287" ht="15.75" customHeight="1">
      <c r="A1287" s="5" t="s">
        <v>1825</v>
      </c>
      <c r="B1287" s="5">
        <v>43955.0</v>
      </c>
      <c r="C1287" s="6" t="s">
        <v>1826</v>
      </c>
      <c r="D1287" s="11">
        <f t="shared" si="1"/>
        <v>67</v>
      </c>
      <c r="E1287" s="8" t="str">
        <f t="shared" si="2"/>
        <v>https://resources.simonelectric.com/simon-ebook-vehiculo-electrico</v>
      </c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</row>
    <row r="1288" ht="15.75" customHeight="1">
      <c r="A1288" s="5" t="s">
        <v>1827</v>
      </c>
      <c r="B1288" s="5">
        <v>43955.0</v>
      </c>
      <c r="C1288" s="6" t="s">
        <v>1828</v>
      </c>
      <c r="D1288" s="11">
        <f t="shared" si="1"/>
        <v>67</v>
      </c>
      <c r="E1288" s="8" t="str">
        <f t="shared" si="2"/>
        <v>https://resources.simonelectric.com/simon-ebook-vehiculo-electrico</v>
      </c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</row>
    <row r="1289" ht="15.75" customHeight="1">
      <c r="A1289" s="5" t="s">
        <v>1829</v>
      </c>
      <c r="B1289" s="5">
        <v>43955.0</v>
      </c>
      <c r="C1289" s="6" t="s">
        <v>1830</v>
      </c>
      <c r="D1289" s="11">
        <f t="shared" si="1"/>
        <v>67</v>
      </c>
      <c r="E1289" s="8" t="str">
        <f t="shared" si="2"/>
        <v>https://resources.simonelectric.com/simon-ebook-vehiculo-electrico</v>
      </c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</row>
    <row r="1290" ht="15.75" customHeight="1">
      <c r="A1290" s="5" t="s">
        <v>1831</v>
      </c>
      <c r="B1290" s="5">
        <v>43955.0</v>
      </c>
      <c r="C1290" s="6" t="s">
        <v>1832</v>
      </c>
      <c r="D1290" s="11">
        <f t="shared" si="1"/>
        <v>67</v>
      </c>
      <c r="E1290" s="8" t="str">
        <f t="shared" si="2"/>
        <v>https://resources.simonelectric.com/simon-ebook-vehiculo-electrico</v>
      </c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</row>
    <row r="1291" ht="15.75" customHeight="1">
      <c r="A1291" s="5" t="s">
        <v>1833</v>
      </c>
      <c r="B1291" s="5">
        <v>43955.0</v>
      </c>
      <c r="C1291" s="6" t="s">
        <v>1834</v>
      </c>
      <c r="D1291" s="11">
        <f t="shared" si="1"/>
        <v>67</v>
      </c>
      <c r="E1291" s="8" t="str">
        <f t="shared" si="2"/>
        <v>https://resources.simonelectric.com/simon-ebook-vehiculo-electrico</v>
      </c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</row>
    <row r="1292" ht="15.75" customHeight="1">
      <c r="A1292" s="5" t="s">
        <v>1835</v>
      </c>
      <c r="B1292" s="5">
        <v>43955.0</v>
      </c>
      <c r="C1292" s="6" t="s">
        <v>1836</v>
      </c>
      <c r="D1292" s="11">
        <f t="shared" si="1"/>
        <v>67</v>
      </c>
      <c r="E1292" s="8" t="str">
        <f t="shared" si="2"/>
        <v>https://resources.simonelectric.com/simon-ebook-vehiculo-electrico</v>
      </c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</row>
    <row r="1293" ht="15.75" customHeight="1">
      <c r="A1293" s="5" t="s">
        <v>1837</v>
      </c>
      <c r="B1293" s="5">
        <v>43955.0</v>
      </c>
      <c r="C1293" s="6" t="s">
        <v>1838</v>
      </c>
      <c r="D1293" s="11">
        <f t="shared" si="1"/>
        <v>67</v>
      </c>
      <c r="E1293" s="8" t="str">
        <f t="shared" si="2"/>
        <v>https://resources.simonelectric.com/simon-ebook-vehiculo-electrico</v>
      </c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</row>
    <row r="1294" ht="15.75" customHeight="1">
      <c r="A1294" s="5" t="s">
        <v>1839</v>
      </c>
      <c r="B1294" s="5">
        <v>43955.0</v>
      </c>
      <c r="C1294" s="6" t="s">
        <v>1840</v>
      </c>
      <c r="D1294" s="11">
        <f t="shared" si="1"/>
        <v>70</v>
      </c>
      <c r="E1294" s="8" t="str">
        <f t="shared" si="2"/>
        <v>https://resources.simonelectric.com/simon-catalogo-vehiculo-electrico</v>
      </c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</row>
    <row r="1295" ht="15.75" customHeight="1">
      <c r="A1295" s="5" t="s">
        <v>1841</v>
      </c>
      <c r="B1295" s="5">
        <v>43955.0</v>
      </c>
      <c r="C1295" s="6" t="s">
        <v>1842</v>
      </c>
      <c r="D1295" s="11">
        <f t="shared" si="1"/>
        <v>70</v>
      </c>
      <c r="E1295" s="8" t="str">
        <f t="shared" si="2"/>
        <v>https://resources.simonelectric.com/simon-catalogo-vehiculo-electrico</v>
      </c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</row>
    <row r="1296" ht="15.75" customHeight="1">
      <c r="A1296" s="5" t="s">
        <v>593</v>
      </c>
      <c r="B1296" s="5">
        <v>43955.0</v>
      </c>
      <c r="C1296" s="6" t="s">
        <v>299</v>
      </c>
      <c r="D1296" s="10" t="str">
        <f t="shared" si="1"/>
        <v>https://resources.simonelectric.com/simon-material-formativo-vehiculo-electrico</v>
      </c>
      <c r="E1296" s="8" t="str">
        <f t="shared" si="2"/>
        <v>https://resources.simonelectric.com/simon-material-formativo-vehiculo-electrico</v>
      </c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</row>
    <row r="1297" ht="15.75" customHeight="1">
      <c r="A1297" s="5" t="s">
        <v>1843</v>
      </c>
      <c r="B1297" s="5">
        <v>43955.0</v>
      </c>
      <c r="C1297" s="6" t="s">
        <v>1844</v>
      </c>
      <c r="D1297" s="11">
        <f t="shared" si="1"/>
        <v>70</v>
      </c>
      <c r="E1297" s="8" t="str">
        <f t="shared" si="2"/>
        <v>https://resources.simonelectric.com/simon-catalogo-vehiculo-electrico</v>
      </c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</row>
    <row r="1298" ht="15.75" customHeight="1">
      <c r="A1298" s="5" t="s">
        <v>1466</v>
      </c>
      <c r="B1298" s="5">
        <v>43955.0</v>
      </c>
      <c r="C1298" s="6" t="s">
        <v>55</v>
      </c>
      <c r="D1298" s="11">
        <f t="shared" si="1"/>
        <v>71</v>
      </c>
      <c r="E1298" s="8" t="str">
        <f t="shared" si="2"/>
        <v>https://resources.simonelectric.com/simon-ebook-vehiculo-electrico-ppc</v>
      </c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</row>
    <row r="1299" ht="15.75" customHeight="1">
      <c r="A1299" s="5" t="s">
        <v>1633</v>
      </c>
      <c r="B1299" s="5">
        <v>43954.0</v>
      </c>
      <c r="C1299" s="6" t="s">
        <v>1845</v>
      </c>
      <c r="D1299" s="11">
        <f t="shared" si="1"/>
        <v>70</v>
      </c>
      <c r="E1299" s="8" t="str">
        <f t="shared" si="2"/>
        <v>https://resources.simonelectric.com/simon-catalogo-vehiculo-electrico</v>
      </c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</row>
    <row r="1300" ht="15.75" customHeight="1">
      <c r="A1300" s="5" t="s">
        <v>1846</v>
      </c>
      <c r="B1300" s="5">
        <v>43954.0</v>
      </c>
      <c r="C1300" s="6" t="s">
        <v>1847</v>
      </c>
      <c r="D1300" s="11">
        <f t="shared" si="1"/>
        <v>71</v>
      </c>
      <c r="E1300" s="8" t="str">
        <f t="shared" si="2"/>
        <v>https://resources.simonelectric.com/simon-ebook-vehiculo-electrico-ppc</v>
      </c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</row>
    <row r="1301" ht="15.75" customHeight="1">
      <c r="A1301" s="5" t="s">
        <v>1848</v>
      </c>
      <c r="B1301" s="5">
        <v>43954.0</v>
      </c>
      <c r="C1301" s="6" t="s">
        <v>1849</v>
      </c>
      <c r="D1301" s="11">
        <f t="shared" si="1"/>
        <v>70</v>
      </c>
      <c r="E1301" s="8" t="str">
        <f t="shared" si="2"/>
        <v>https://resources.simonelectric.com/simon-catalogo-vehiculo-electrico</v>
      </c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</row>
    <row r="1302" ht="15.75" customHeight="1">
      <c r="A1302" s="5" t="s">
        <v>1850</v>
      </c>
      <c r="B1302" s="5">
        <v>43954.0</v>
      </c>
      <c r="C1302" s="6" t="s">
        <v>75</v>
      </c>
      <c r="D1302" s="11">
        <f t="shared" si="1"/>
        <v>67</v>
      </c>
      <c r="E1302" s="8" t="str">
        <f t="shared" si="2"/>
        <v>https://resources.simonelectric.com/simon-ebook-vehiculo-electrico</v>
      </c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</row>
    <row r="1303" ht="15.75" customHeight="1">
      <c r="A1303" s="5" t="s">
        <v>1851</v>
      </c>
      <c r="B1303" s="5">
        <v>43954.0</v>
      </c>
      <c r="C1303" s="6" t="s">
        <v>31</v>
      </c>
      <c r="D1303" s="11">
        <f t="shared" si="1"/>
        <v>67</v>
      </c>
      <c r="E1303" s="8" t="str">
        <f t="shared" si="2"/>
        <v>https://resources.simonelectric.com/simon-ebook-vehiculo-electrico</v>
      </c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</row>
    <row r="1304" ht="15.75" customHeight="1">
      <c r="A1304" s="5" t="s">
        <v>1852</v>
      </c>
      <c r="B1304" s="5">
        <v>43954.0</v>
      </c>
      <c r="C1304" s="6" t="s">
        <v>1853</v>
      </c>
      <c r="D1304" s="11">
        <f t="shared" si="1"/>
        <v>71</v>
      </c>
      <c r="E1304" s="8" t="str">
        <f t="shared" si="2"/>
        <v>https://resources.simonelectric.com/simon-ebook-vehiculo-electrico-ppc</v>
      </c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</row>
    <row r="1305" ht="15.75" customHeight="1">
      <c r="A1305" s="5" t="s">
        <v>1854</v>
      </c>
      <c r="B1305" s="5">
        <v>43954.0</v>
      </c>
      <c r="C1305" s="6" t="s">
        <v>1855</v>
      </c>
      <c r="D1305" s="11">
        <f t="shared" si="1"/>
        <v>71</v>
      </c>
      <c r="E1305" s="8" t="str">
        <f t="shared" si="2"/>
        <v>https://resources.simonelectric.com/simon-ebook-vehiculo-electrico-ppc</v>
      </c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</row>
    <row r="1306" ht="15.75" customHeight="1">
      <c r="A1306" s="5" t="s">
        <v>1856</v>
      </c>
      <c r="B1306" s="5">
        <v>43954.0</v>
      </c>
      <c r="C1306" s="6" t="s">
        <v>55</v>
      </c>
      <c r="D1306" s="11">
        <f t="shared" si="1"/>
        <v>71</v>
      </c>
      <c r="E1306" s="8" t="str">
        <f t="shared" si="2"/>
        <v>https://resources.simonelectric.com/simon-ebook-vehiculo-electrico-ppc</v>
      </c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</row>
    <row r="1307" ht="15.75" customHeight="1">
      <c r="A1307" s="5" t="s">
        <v>1857</v>
      </c>
      <c r="B1307" s="5">
        <v>43954.0</v>
      </c>
      <c r="C1307" s="6" t="s">
        <v>55</v>
      </c>
      <c r="D1307" s="11">
        <f t="shared" si="1"/>
        <v>71</v>
      </c>
      <c r="E1307" s="8" t="str">
        <f t="shared" si="2"/>
        <v>https://resources.simonelectric.com/simon-ebook-vehiculo-electrico-ppc</v>
      </c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</row>
    <row r="1308" ht="15.75" customHeight="1">
      <c r="A1308" s="5" t="s">
        <v>978</v>
      </c>
      <c r="B1308" s="5">
        <v>43954.0</v>
      </c>
      <c r="C1308" s="6" t="s">
        <v>1858</v>
      </c>
      <c r="D1308" s="11">
        <f t="shared" si="1"/>
        <v>70</v>
      </c>
      <c r="E1308" s="8" t="str">
        <f t="shared" si="2"/>
        <v>https://resources.simonelectric.com/simon-catalogo-vehiculo-electrico</v>
      </c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</row>
    <row r="1309" ht="15.75" customHeight="1">
      <c r="A1309" s="5" t="s">
        <v>1859</v>
      </c>
      <c r="B1309" s="5">
        <v>43954.0</v>
      </c>
      <c r="C1309" s="6" t="s">
        <v>1860</v>
      </c>
      <c r="D1309" s="11">
        <f t="shared" si="1"/>
        <v>70</v>
      </c>
      <c r="E1309" s="8" t="str">
        <f t="shared" si="2"/>
        <v>https://resources.simonelectric.com/simon-catalogo-vehiculo-electrico</v>
      </c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</row>
    <row r="1310" ht="15.75" customHeight="1">
      <c r="A1310" s="5" t="s">
        <v>1861</v>
      </c>
      <c r="B1310" s="5">
        <v>43954.0</v>
      </c>
      <c r="C1310" s="6" t="s">
        <v>55</v>
      </c>
      <c r="D1310" s="11">
        <f t="shared" si="1"/>
        <v>71</v>
      </c>
      <c r="E1310" s="8" t="str">
        <f t="shared" si="2"/>
        <v>https://resources.simonelectric.com/simon-ebook-vehiculo-electrico-ppc</v>
      </c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</row>
    <row r="1311" ht="15.75" customHeight="1">
      <c r="A1311" s="5" t="s">
        <v>1862</v>
      </c>
      <c r="B1311" s="5">
        <v>43954.0</v>
      </c>
      <c r="C1311" s="6" t="s">
        <v>55</v>
      </c>
      <c r="D1311" s="11">
        <f t="shared" si="1"/>
        <v>71</v>
      </c>
      <c r="E1311" s="8" t="str">
        <f t="shared" si="2"/>
        <v>https://resources.simonelectric.com/simon-ebook-vehiculo-electrico-ppc</v>
      </c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</row>
    <row r="1312" ht="15.75" customHeight="1">
      <c r="A1312" s="5" t="s">
        <v>1863</v>
      </c>
      <c r="B1312" s="5">
        <v>43954.0</v>
      </c>
      <c r="C1312" s="6" t="s">
        <v>1864</v>
      </c>
      <c r="D1312" s="11">
        <f t="shared" si="1"/>
        <v>70</v>
      </c>
      <c r="E1312" s="8" t="str">
        <f t="shared" si="2"/>
        <v>https://resources.simonelectric.com/simon-catalogo-vehiculo-electrico</v>
      </c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</row>
    <row r="1313" ht="15.75" customHeight="1">
      <c r="A1313" s="5" t="s">
        <v>1865</v>
      </c>
      <c r="B1313" s="5">
        <v>43954.0</v>
      </c>
      <c r="C1313" s="6" t="s">
        <v>55</v>
      </c>
      <c r="D1313" s="11">
        <f t="shared" si="1"/>
        <v>71</v>
      </c>
      <c r="E1313" s="8" t="str">
        <f t="shared" si="2"/>
        <v>https://resources.simonelectric.com/simon-ebook-vehiculo-electrico-ppc</v>
      </c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</row>
    <row r="1314" ht="15.75" customHeight="1">
      <c r="A1314" s="5" t="s">
        <v>1866</v>
      </c>
      <c r="B1314" s="5">
        <v>43953.0</v>
      </c>
      <c r="C1314" s="6" t="s">
        <v>1867</v>
      </c>
      <c r="D1314" s="11">
        <f t="shared" si="1"/>
        <v>70</v>
      </c>
      <c r="E1314" s="8" t="str">
        <f t="shared" si="2"/>
        <v>https://resources.simonelectric.com/simon-catalogo-vehiculo-electrico</v>
      </c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</row>
    <row r="1315" ht="15.75" customHeight="1">
      <c r="A1315" s="5" t="s">
        <v>1868</v>
      </c>
      <c r="B1315" s="5">
        <v>43953.0</v>
      </c>
      <c r="C1315" s="6" t="s">
        <v>1869</v>
      </c>
      <c r="D1315" s="11">
        <f t="shared" si="1"/>
        <v>70</v>
      </c>
      <c r="E1315" s="8" t="str">
        <f t="shared" si="2"/>
        <v>https://resources.simonelectric.com/simon-catalogo-vehiculo-electrico</v>
      </c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</row>
    <row r="1316" ht="15.75" customHeight="1">
      <c r="A1316" s="5" t="s">
        <v>1870</v>
      </c>
      <c r="B1316" s="5">
        <v>43953.0</v>
      </c>
      <c r="C1316" s="6" t="s">
        <v>1871</v>
      </c>
      <c r="D1316" s="11">
        <f t="shared" si="1"/>
        <v>70</v>
      </c>
      <c r="E1316" s="8" t="str">
        <f t="shared" si="2"/>
        <v>https://resources.simonelectric.com/simon-catalogo-vehiculo-electrico</v>
      </c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</row>
    <row r="1317" ht="15.75" customHeight="1">
      <c r="A1317" s="5" t="s">
        <v>1872</v>
      </c>
      <c r="B1317" s="5">
        <v>43953.0</v>
      </c>
      <c r="C1317" s="6" t="s">
        <v>55</v>
      </c>
      <c r="D1317" s="11">
        <f t="shared" si="1"/>
        <v>71</v>
      </c>
      <c r="E1317" s="8" t="str">
        <f t="shared" si="2"/>
        <v>https://resources.simonelectric.com/simon-ebook-vehiculo-electrico-ppc</v>
      </c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</row>
    <row r="1318" ht="15.75" customHeight="1">
      <c r="A1318" s="5" t="s">
        <v>1873</v>
      </c>
      <c r="B1318" s="5">
        <v>43953.0</v>
      </c>
      <c r="C1318" s="6" t="s">
        <v>1874</v>
      </c>
      <c r="D1318" s="11">
        <f t="shared" si="1"/>
        <v>70</v>
      </c>
      <c r="E1318" s="8" t="str">
        <f t="shared" si="2"/>
        <v>https://resources.simonelectric.com/simon-catalogo-vehiculo-electrico</v>
      </c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</row>
    <row r="1319" ht="15.75" customHeight="1">
      <c r="A1319" s="5" t="s">
        <v>632</v>
      </c>
      <c r="B1319" s="5">
        <v>43953.0</v>
      </c>
      <c r="C1319" s="6" t="s">
        <v>1875</v>
      </c>
      <c r="D1319" s="11">
        <f t="shared" si="1"/>
        <v>70</v>
      </c>
      <c r="E1319" s="8" t="str">
        <f t="shared" si="2"/>
        <v>https://resources.simonelectric.com/simon-catalogo-vehiculo-electrico</v>
      </c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</row>
    <row r="1320" ht="15.75" customHeight="1">
      <c r="A1320" s="5" t="s">
        <v>1876</v>
      </c>
      <c r="B1320" s="5">
        <v>43953.0</v>
      </c>
      <c r="C1320" s="6" t="s">
        <v>55</v>
      </c>
      <c r="D1320" s="11">
        <f t="shared" si="1"/>
        <v>71</v>
      </c>
      <c r="E1320" s="8" t="str">
        <f t="shared" si="2"/>
        <v>https://resources.simonelectric.com/simon-ebook-vehiculo-electrico-ppc</v>
      </c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</row>
    <row r="1321" ht="15.75" customHeight="1">
      <c r="A1321" s="5" t="s">
        <v>1877</v>
      </c>
      <c r="B1321" s="5">
        <v>43953.0</v>
      </c>
      <c r="C1321" s="6" t="s">
        <v>1878</v>
      </c>
      <c r="D1321" s="11">
        <f t="shared" si="1"/>
        <v>70</v>
      </c>
      <c r="E1321" s="8" t="str">
        <f t="shared" si="2"/>
        <v>https://resources.simonelectric.com/simon-catalogo-vehiculo-electrico</v>
      </c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</row>
    <row r="1322" ht="15.75" customHeight="1">
      <c r="A1322" s="5" t="s">
        <v>1879</v>
      </c>
      <c r="B1322" s="5">
        <v>43953.0</v>
      </c>
      <c r="C1322" s="6" t="s">
        <v>1880</v>
      </c>
      <c r="D1322" s="11">
        <f t="shared" si="1"/>
        <v>69</v>
      </c>
      <c r="E1322" s="8" t="str">
        <f t="shared" si="2"/>
        <v>https://resources.simonelectric.com/simon-ebook-vehiculo-electrico-0</v>
      </c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</row>
    <row r="1323" ht="15.75" customHeight="1">
      <c r="A1323" s="5" t="s">
        <v>1881</v>
      </c>
      <c r="B1323" s="5">
        <v>43953.0</v>
      </c>
      <c r="C1323" s="6" t="s">
        <v>10</v>
      </c>
      <c r="D1323" s="10" t="str">
        <f t="shared" si="1"/>
        <v>https://resources.simonelectric.com/simon-catalogo-vehiculo-electrico</v>
      </c>
      <c r="E1323" s="8" t="str">
        <f t="shared" si="2"/>
        <v>https://resources.simonelectric.com/simon-catalogo-vehiculo-electrico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</row>
    <row r="1324" ht="15.75" customHeight="1">
      <c r="A1324" s="5" t="s">
        <v>1882</v>
      </c>
      <c r="B1324" s="5">
        <v>43953.0</v>
      </c>
      <c r="C1324" s="6" t="s">
        <v>1883</v>
      </c>
      <c r="D1324" s="11">
        <f t="shared" si="1"/>
        <v>69</v>
      </c>
      <c r="E1324" s="8" t="str">
        <f t="shared" si="2"/>
        <v>https://resources.simonelectric.com/simon-ebook-vehiculo-electrico-0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</row>
    <row r="1325" ht="15.75" customHeight="1">
      <c r="A1325" s="5" t="s">
        <v>1884</v>
      </c>
      <c r="B1325" s="5">
        <v>43953.0</v>
      </c>
      <c r="C1325" s="6" t="s">
        <v>1885</v>
      </c>
      <c r="D1325" s="11">
        <f t="shared" si="1"/>
        <v>69</v>
      </c>
      <c r="E1325" s="8" t="str">
        <f t="shared" si="2"/>
        <v>https://resources.simonelectric.com/simon-ebook-vehiculo-electrico-0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</row>
    <row r="1326" ht="15.75" customHeight="1">
      <c r="A1326" s="5" t="s">
        <v>1886</v>
      </c>
      <c r="B1326" s="5">
        <v>43953.0</v>
      </c>
      <c r="C1326" s="6" t="s">
        <v>1887</v>
      </c>
      <c r="D1326" s="11">
        <f t="shared" si="1"/>
        <v>70</v>
      </c>
      <c r="E1326" s="8" t="str">
        <f t="shared" si="2"/>
        <v>https://resources.simonelectric.com/simon-catalogo-vehiculo-electrico</v>
      </c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</row>
    <row r="1327" ht="15.75" customHeight="1">
      <c r="A1327" s="5" t="s">
        <v>1888</v>
      </c>
      <c r="B1327" s="5">
        <v>43953.0</v>
      </c>
      <c r="C1327" s="6" t="s">
        <v>1889</v>
      </c>
      <c r="D1327" s="11">
        <f t="shared" si="1"/>
        <v>70</v>
      </c>
      <c r="E1327" s="8" t="str">
        <f t="shared" si="2"/>
        <v>https://resources.simonelectric.com/simon-catalogo-vehiculo-electrico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</row>
    <row r="1328" ht="15.75" customHeight="1">
      <c r="A1328" s="5" t="s">
        <v>1732</v>
      </c>
      <c r="B1328" s="5">
        <v>43953.0</v>
      </c>
      <c r="C1328" s="6" t="s">
        <v>1890</v>
      </c>
      <c r="D1328" s="11">
        <f t="shared" si="1"/>
        <v>70</v>
      </c>
      <c r="E1328" s="8" t="str">
        <f t="shared" si="2"/>
        <v>https://resources.simonelectric.com/simon-catalogo-vehiculo-electrico</v>
      </c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</row>
    <row r="1329" ht="15.75" customHeight="1">
      <c r="A1329" s="5" t="s">
        <v>1891</v>
      </c>
      <c r="B1329" s="5">
        <v>43953.0</v>
      </c>
      <c r="C1329" s="6" t="s">
        <v>1892</v>
      </c>
      <c r="D1329" s="11">
        <f t="shared" si="1"/>
        <v>70</v>
      </c>
      <c r="E1329" s="8" t="str">
        <f t="shared" si="2"/>
        <v>https://resources.simonelectric.com/simon-catalogo-vehiculo-electrico</v>
      </c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</row>
    <row r="1330" ht="15.75" customHeight="1">
      <c r="A1330" s="5" t="s">
        <v>1782</v>
      </c>
      <c r="B1330" s="5">
        <v>43952.0</v>
      </c>
      <c r="C1330" s="6" t="s">
        <v>1893</v>
      </c>
      <c r="D1330" s="11">
        <f t="shared" si="1"/>
        <v>70</v>
      </c>
      <c r="E1330" s="8" t="str">
        <f t="shared" si="2"/>
        <v>https://resources.simonelectric.com/simon-catalogo-vehiculo-electrico</v>
      </c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</row>
    <row r="1331" ht="15.75" customHeight="1">
      <c r="A1331" s="5" t="s">
        <v>1894</v>
      </c>
      <c r="B1331" s="5">
        <v>43952.0</v>
      </c>
      <c r="C1331" s="6" t="s">
        <v>1895</v>
      </c>
      <c r="D1331" s="11">
        <f t="shared" si="1"/>
        <v>70</v>
      </c>
      <c r="E1331" s="8" t="str">
        <f t="shared" si="2"/>
        <v>https://resources.simonelectric.com/simon-catalogo-vehiculo-electrico</v>
      </c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</row>
    <row r="1332" ht="15.75" customHeight="1">
      <c r="A1332" s="5" t="s">
        <v>1896</v>
      </c>
      <c r="B1332" s="5">
        <v>43952.0</v>
      </c>
      <c r="C1332" s="6" t="s">
        <v>1897</v>
      </c>
      <c r="D1332" s="11">
        <f t="shared" si="1"/>
        <v>70</v>
      </c>
      <c r="E1332" s="8" t="str">
        <f t="shared" si="2"/>
        <v>https://resources.simonelectric.com/simon-catalogo-vehiculo-electrico</v>
      </c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</row>
    <row r="1333" ht="15.75" customHeight="1">
      <c r="A1333" s="5" t="s">
        <v>1898</v>
      </c>
      <c r="B1333" s="5">
        <v>43952.0</v>
      </c>
      <c r="C1333" s="6" t="s">
        <v>1899</v>
      </c>
      <c r="D1333" s="11">
        <f t="shared" si="1"/>
        <v>70</v>
      </c>
      <c r="E1333" s="8" t="str">
        <f t="shared" si="2"/>
        <v>https://resources.simonelectric.com/simon-catalogo-vehiculo-electrico</v>
      </c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</row>
    <row r="1334" ht="15.75" customHeight="1">
      <c r="A1334" s="5" t="s">
        <v>1900</v>
      </c>
      <c r="B1334" s="5">
        <v>43952.0</v>
      </c>
      <c r="C1334" s="6" t="s">
        <v>1901</v>
      </c>
      <c r="D1334" s="11">
        <f t="shared" si="1"/>
        <v>71</v>
      </c>
      <c r="E1334" s="8" t="str">
        <f t="shared" si="2"/>
        <v>https://resources.simonelectric.com/simon-ebook-vehiculo-electrico-ppc</v>
      </c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</row>
    <row r="1335" ht="15.75" customHeight="1">
      <c r="A1335" s="5" t="s">
        <v>1902</v>
      </c>
      <c r="B1335" s="5">
        <v>43952.0</v>
      </c>
      <c r="C1335" s="6" t="s">
        <v>1903</v>
      </c>
      <c r="D1335" s="11">
        <f t="shared" si="1"/>
        <v>70</v>
      </c>
      <c r="E1335" s="8" t="str">
        <f t="shared" si="2"/>
        <v>https://resources.simonelectric.com/simon-catalogo-vehiculo-electrico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</row>
    <row r="1336" ht="15.75" customHeight="1">
      <c r="A1336" s="5" t="s">
        <v>1904</v>
      </c>
      <c r="B1336" s="5">
        <v>43952.0</v>
      </c>
      <c r="C1336" s="6" t="s">
        <v>1905</v>
      </c>
      <c r="D1336" s="11">
        <f t="shared" si="1"/>
        <v>70</v>
      </c>
      <c r="E1336" s="8" t="str">
        <f t="shared" si="2"/>
        <v>https://resources.simonelectric.com/simon-catalogo-vehiculo-electrico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</row>
    <row r="1337" ht="15.75" customHeight="1">
      <c r="A1337" s="5" t="s">
        <v>1906</v>
      </c>
      <c r="B1337" s="5">
        <v>43952.0</v>
      </c>
      <c r="C1337" s="6" t="s">
        <v>1907</v>
      </c>
      <c r="D1337" s="11">
        <f t="shared" si="1"/>
        <v>70</v>
      </c>
      <c r="E1337" s="8" t="str">
        <f t="shared" si="2"/>
        <v>https://resources.simonelectric.com/simon-catalogo-vehiculo-electrico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</row>
    <row r="1338" ht="15.75" customHeight="1">
      <c r="A1338" s="5" t="s">
        <v>1908</v>
      </c>
      <c r="B1338" s="5">
        <v>43952.0</v>
      </c>
      <c r="C1338" s="6" t="s">
        <v>1909</v>
      </c>
      <c r="D1338" s="11">
        <f t="shared" si="1"/>
        <v>70</v>
      </c>
      <c r="E1338" s="8" t="str">
        <f t="shared" si="2"/>
        <v>https://resources.simonelectric.com/simon-catalogo-vehiculo-electrico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</row>
    <row r="1339" ht="15.75" customHeight="1">
      <c r="A1339" s="5" t="s">
        <v>1775</v>
      </c>
      <c r="B1339" s="5">
        <v>43952.0</v>
      </c>
      <c r="C1339" s="6" t="s">
        <v>1910</v>
      </c>
      <c r="D1339" s="11">
        <f t="shared" si="1"/>
        <v>70</v>
      </c>
      <c r="E1339" s="8" t="str">
        <f t="shared" si="2"/>
        <v>https://resources.simonelectric.com/simon-catalogo-vehiculo-electrico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</row>
    <row r="1340" ht="15.75" customHeight="1">
      <c r="A1340" s="5" t="s">
        <v>1911</v>
      </c>
      <c r="B1340" s="5">
        <v>43952.0</v>
      </c>
      <c r="C1340" s="6" t="s">
        <v>1912</v>
      </c>
      <c r="D1340" s="11">
        <f t="shared" si="1"/>
        <v>70</v>
      </c>
      <c r="E1340" s="8" t="str">
        <f t="shared" si="2"/>
        <v>https://resources.simonelectric.com/simon-catalogo-vehiculo-electrico</v>
      </c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</row>
    <row r="1341" ht="15.75" customHeight="1">
      <c r="A1341" s="5" t="s">
        <v>1756</v>
      </c>
      <c r="B1341" s="5">
        <v>43952.0</v>
      </c>
      <c r="C1341" s="6" t="s">
        <v>10</v>
      </c>
      <c r="D1341" s="10" t="str">
        <f t="shared" si="1"/>
        <v>https://resources.simonelectric.com/simon-catalogo-vehiculo-electrico</v>
      </c>
      <c r="E1341" s="8" t="str">
        <f t="shared" si="2"/>
        <v>https://resources.simonelectric.com/simon-catalogo-vehiculo-electrico</v>
      </c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</row>
    <row r="1342" ht="15.75" customHeight="1">
      <c r="A1342" s="5" t="s">
        <v>1913</v>
      </c>
      <c r="B1342" s="5">
        <v>43952.0</v>
      </c>
      <c r="C1342" s="6" t="s">
        <v>1914</v>
      </c>
      <c r="D1342" s="11">
        <f t="shared" si="1"/>
        <v>70</v>
      </c>
      <c r="E1342" s="8" t="str">
        <f t="shared" si="2"/>
        <v>https://resources.simonelectric.com/simon-catalogo-vehiculo-electrico</v>
      </c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</row>
    <row r="1343" ht="15.75" customHeight="1">
      <c r="A1343" s="5" t="s">
        <v>1915</v>
      </c>
      <c r="B1343" s="5">
        <v>43952.0</v>
      </c>
      <c r="C1343" s="6" t="s">
        <v>10</v>
      </c>
      <c r="D1343" s="10" t="str">
        <f t="shared" si="1"/>
        <v>https://resources.simonelectric.com/simon-catalogo-vehiculo-electrico</v>
      </c>
      <c r="E1343" s="8" t="str">
        <f t="shared" si="2"/>
        <v>https://resources.simonelectric.com/simon-catalogo-vehiculo-electrico</v>
      </c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</row>
    <row r="1344" ht="15.75" customHeight="1">
      <c r="A1344" s="5" t="s">
        <v>1916</v>
      </c>
      <c r="B1344" s="5">
        <v>43952.0</v>
      </c>
      <c r="C1344" s="6" t="s">
        <v>1917</v>
      </c>
      <c r="D1344" s="11">
        <f t="shared" si="1"/>
        <v>70</v>
      </c>
      <c r="E1344" s="8" t="str">
        <f t="shared" si="2"/>
        <v>https://resources.simonelectric.com/simon-catalogo-vehiculo-electrico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</row>
    <row r="1345" ht="15.75" customHeight="1">
      <c r="A1345" s="5" t="s">
        <v>1018</v>
      </c>
      <c r="B1345" s="5">
        <v>43952.0</v>
      </c>
      <c r="C1345" s="6" t="s">
        <v>1918</v>
      </c>
      <c r="D1345" s="11">
        <f t="shared" si="1"/>
        <v>70</v>
      </c>
      <c r="E1345" s="8" t="str">
        <f t="shared" si="2"/>
        <v>https://resources.simonelectric.com/simon-catalogo-vehiculo-electrico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</row>
    <row r="1346" ht="15.75" customHeight="1">
      <c r="A1346" s="5" t="s">
        <v>1919</v>
      </c>
      <c r="B1346" s="5">
        <v>43952.0</v>
      </c>
      <c r="C1346" s="6" t="s">
        <v>1920</v>
      </c>
      <c r="D1346" s="11">
        <f t="shared" si="1"/>
        <v>67</v>
      </c>
      <c r="E1346" s="8" t="str">
        <f t="shared" si="2"/>
        <v>https://resources.simonelectric.com/simon-ebook-vehiculo-electrico</v>
      </c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</row>
    <row r="1347" ht="15.75" customHeight="1">
      <c r="A1347" s="5" t="s">
        <v>1921</v>
      </c>
      <c r="B1347" s="5">
        <v>43952.0</v>
      </c>
      <c r="C1347" s="6" t="s">
        <v>1922</v>
      </c>
      <c r="D1347" s="11">
        <f t="shared" si="1"/>
        <v>70</v>
      </c>
      <c r="E1347" s="8" t="str">
        <f t="shared" si="2"/>
        <v>https://resources.simonelectric.com/simon-catalogo-vehiculo-electrico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</row>
    <row r="1348" ht="15.75" customHeight="1">
      <c r="A1348" s="5" t="s">
        <v>1505</v>
      </c>
      <c r="B1348" s="5">
        <v>43952.0</v>
      </c>
      <c r="C1348" s="6" t="s">
        <v>55</v>
      </c>
      <c r="D1348" s="11">
        <f t="shared" si="1"/>
        <v>71</v>
      </c>
      <c r="E1348" s="8" t="str">
        <f t="shared" si="2"/>
        <v>https://resources.simonelectric.com/simon-ebook-vehiculo-electrico-ppc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</row>
    <row r="1349" ht="15.75" customHeight="1">
      <c r="A1349" s="5" t="s">
        <v>1923</v>
      </c>
      <c r="B1349" s="5">
        <v>43952.0</v>
      </c>
      <c r="C1349" s="6" t="s">
        <v>10</v>
      </c>
      <c r="D1349" s="10" t="str">
        <f t="shared" si="1"/>
        <v>https://resources.simonelectric.com/simon-catalogo-vehiculo-electrico</v>
      </c>
      <c r="E1349" s="8" t="str">
        <f t="shared" si="2"/>
        <v>https://resources.simonelectric.com/simon-catalogo-vehiculo-electrico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</row>
    <row r="1350" ht="15.75" customHeight="1">
      <c r="A1350" s="5" t="s">
        <v>1924</v>
      </c>
      <c r="B1350" s="5">
        <v>43952.0</v>
      </c>
      <c r="C1350" s="6" t="s">
        <v>55</v>
      </c>
      <c r="D1350" s="11">
        <f t="shared" si="1"/>
        <v>71</v>
      </c>
      <c r="E1350" s="8" t="str">
        <f t="shared" si="2"/>
        <v>https://resources.simonelectric.com/simon-ebook-vehiculo-electrico-ppc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</row>
    <row r="1351" ht="15.75" customHeight="1">
      <c r="A1351" s="5" t="s">
        <v>1925</v>
      </c>
      <c r="B1351" s="5">
        <v>43952.0</v>
      </c>
      <c r="C1351" s="6" t="s">
        <v>55</v>
      </c>
      <c r="D1351" s="11">
        <f t="shared" si="1"/>
        <v>71</v>
      </c>
      <c r="E1351" s="8" t="str">
        <f t="shared" si="2"/>
        <v>https://resources.simonelectric.com/simon-ebook-vehiculo-electrico-ppc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</row>
    <row r="1352" ht="15.75" customHeight="1">
      <c r="A1352" s="5" t="s">
        <v>1926</v>
      </c>
      <c r="B1352" s="5">
        <v>43952.0</v>
      </c>
      <c r="C1352" s="6" t="s">
        <v>1927</v>
      </c>
      <c r="D1352" s="11">
        <f t="shared" si="1"/>
        <v>70</v>
      </c>
      <c r="E1352" s="8" t="str">
        <f t="shared" si="2"/>
        <v>https://resources.simonelectric.com/simon-catalogo-vehiculo-electrico</v>
      </c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</row>
    <row r="1353" ht="15.75" customHeight="1">
      <c r="A1353" s="5" t="s">
        <v>1928</v>
      </c>
      <c r="B1353" s="5">
        <v>43952.0</v>
      </c>
      <c r="C1353" s="6" t="s">
        <v>1929</v>
      </c>
      <c r="D1353" s="11">
        <f t="shared" si="1"/>
        <v>70</v>
      </c>
      <c r="E1353" s="8" t="str">
        <f t="shared" si="2"/>
        <v>https://resources.simonelectric.com/simon-catalogo-vehiculo-electrico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</row>
    <row r="1354" ht="15.75" customHeight="1">
      <c r="A1354" s="5" t="s">
        <v>1930</v>
      </c>
      <c r="B1354" s="5">
        <v>43952.0</v>
      </c>
      <c r="C1354" s="6" t="s">
        <v>1931</v>
      </c>
      <c r="D1354" s="11">
        <f t="shared" si="1"/>
        <v>70</v>
      </c>
      <c r="E1354" s="8" t="str">
        <f t="shared" si="2"/>
        <v>https://resources.simonelectric.com/simon-catalogo-vehiculo-electrico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</row>
    <row r="1355" ht="15.75" customHeight="1">
      <c r="A1355" s="5" t="s">
        <v>1930</v>
      </c>
      <c r="B1355" s="5">
        <v>43952.0</v>
      </c>
      <c r="C1355" s="6" t="s">
        <v>1932</v>
      </c>
      <c r="D1355" s="11">
        <f t="shared" si="1"/>
        <v>70</v>
      </c>
      <c r="E1355" s="8" t="str">
        <f t="shared" si="2"/>
        <v>https://resources.simonelectric.com/simon-catalogo-vehiculo-electrico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</row>
    <row r="1356" ht="15.75" customHeight="1">
      <c r="A1356" s="5" t="s">
        <v>1933</v>
      </c>
      <c r="B1356" s="5">
        <v>43952.0</v>
      </c>
      <c r="C1356" s="6" t="s">
        <v>1934</v>
      </c>
      <c r="D1356" s="11">
        <f t="shared" si="1"/>
        <v>70</v>
      </c>
      <c r="E1356" s="8" t="str">
        <f t="shared" si="2"/>
        <v>https://resources.simonelectric.com/simon-catalogo-vehiculo-electrico</v>
      </c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</row>
    <row r="1357" ht="15.75" customHeight="1">
      <c r="A1357" s="5" t="s">
        <v>1935</v>
      </c>
      <c r="B1357" s="5">
        <v>43952.0</v>
      </c>
      <c r="C1357" s="6" t="s">
        <v>8</v>
      </c>
      <c r="D1357" s="11">
        <f t="shared" si="1"/>
        <v>67</v>
      </c>
      <c r="E1357" s="8" t="str">
        <f t="shared" si="2"/>
        <v>https://resources.simonelectric.com/simon-ebook-vehiculo-electrico</v>
      </c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</row>
    <row r="1358" ht="15.75" customHeight="1">
      <c r="A1358" s="5" t="s">
        <v>1936</v>
      </c>
      <c r="B1358" s="5">
        <v>43952.0</v>
      </c>
      <c r="C1358" s="6" t="s">
        <v>1937</v>
      </c>
      <c r="D1358" s="11">
        <f t="shared" si="1"/>
        <v>69</v>
      </c>
      <c r="E1358" s="8" t="str">
        <f t="shared" si="2"/>
        <v>https://resources.simonelectric.com/simon-ebook-vehiculo-electrico-0</v>
      </c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</row>
    <row r="1359" ht="15.75" customHeight="1">
      <c r="A1359" s="5" t="s">
        <v>1487</v>
      </c>
      <c r="B1359" s="5">
        <v>43952.0</v>
      </c>
      <c r="C1359" s="6" t="s">
        <v>1938</v>
      </c>
      <c r="D1359" s="11">
        <f t="shared" si="1"/>
        <v>70</v>
      </c>
      <c r="E1359" s="8" t="str">
        <f t="shared" si="2"/>
        <v>https://resources.simonelectric.com/simon-catalogo-vehiculo-electrico</v>
      </c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</row>
    <row r="1360" ht="15.75" customHeight="1">
      <c r="A1360" s="5" t="s">
        <v>1939</v>
      </c>
      <c r="B1360" s="5">
        <v>43951.0</v>
      </c>
      <c r="C1360" s="6" t="s">
        <v>1940</v>
      </c>
      <c r="D1360" s="11">
        <f t="shared" si="1"/>
        <v>71</v>
      </c>
      <c r="E1360" s="8" t="str">
        <f t="shared" si="2"/>
        <v>https://resources.simonelectric.com/simon-ebook-vehiculo-electrico-ppc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</row>
    <row r="1361" ht="15.75" customHeight="1">
      <c r="A1361" s="5" t="s">
        <v>1941</v>
      </c>
      <c r="B1361" s="5">
        <v>43951.0</v>
      </c>
      <c r="C1361" s="6" t="s">
        <v>1942</v>
      </c>
      <c r="D1361" s="11">
        <f t="shared" si="1"/>
        <v>70</v>
      </c>
      <c r="E1361" s="8" t="str">
        <f t="shared" si="2"/>
        <v>https://resources.simonelectric.com/simon-catalogo-vehiculo-electrico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</row>
    <row r="1362" ht="15.75" customHeight="1">
      <c r="A1362" s="5" t="s">
        <v>1943</v>
      </c>
      <c r="B1362" s="5">
        <v>43951.0</v>
      </c>
      <c r="C1362" s="6" t="s">
        <v>1944</v>
      </c>
      <c r="D1362" s="11">
        <f t="shared" si="1"/>
        <v>70</v>
      </c>
      <c r="E1362" s="8" t="str">
        <f t="shared" si="2"/>
        <v>https://resources.simonelectric.com/simon-catalogo-vehiculo-electrico</v>
      </c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</row>
    <row r="1363" ht="15.75" customHeight="1">
      <c r="A1363" s="5" t="s">
        <v>1945</v>
      </c>
      <c r="B1363" s="5">
        <v>43951.0</v>
      </c>
      <c r="C1363" s="6" t="s">
        <v>1946</v>
      </c>
      <c r="D1363" s="11">
        <f t="shared" si="1"/>
        <v>70</v>
      </c>
      <c r="E1363" s="8" t="str">
        <f t="shared" si="2"/>
        <v>https://resources.simonelectric.com/simon-catalogo-vehiculo-electrico</v>
      </c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</row>
    <row r="1364" ht="15.75" customHeight="1">
      <c r="A1364" s="5" t="s">
        <v>1947</v>
      </c>
      <c r="B1364" s="5">
        <v>43951.0</v>
      </c>
      <c r="C1364" s="6" t="s">
        <v>1948</v>
      </c>
      <c r="D1364" s="11">
        <f t="shared" si="1"/>
        <v>70</v>
      </c>
      <c r="E1364" s="8" t="str">
        <f t="shared" si="2"/>
        <v>https://resources.simonelectric.com/simon-catalogo-vehiculo-electrico</v>
      </c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</row>
    <row r="1365" ht="15.75" customHeight="1">
      <c r="A1365" s="5" t="s">
        <v>1947</v>
      </c>
      <c r="B1365" s="5">
        <v>43951.0</v>
      </c>
      <c r="C1365" s="6" t="s">
        <v>1949</v>
      </c>
      <c r="D1365" s="11">
        <f t="shared" si="1"/>
        <v>70</v>
      </c>
      <c r="E1365" s="8" t="str">
        <f t="shared" si="2"/>
        <v>https://resources.simonelectric.com/simon-catalogo-vehiculo-electrico</v>
      </c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</row>
    <row r="1366" ht="15.75" customHeight="1">
      <c r="A1366" s="5" t="s">
        <v>1950</v>
      </c>
      <c r="B1366" s="5">
        <v>43951.0</v>
      </c>
      <c r="C1366" s="6" t="s">
        <v>1951</v>
      </c>
      <c r="D1366" s="11">
        <f t="shared" si="1"/>
        <v>70</v>
      </c>
      <c r="E1366" s="8" t="str">
        <f t="shared" si="2"/>
        <v>https://resources.simonelectric.com/simon-catalogo-vehiculo-electrico</v>
      </c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</row>
    <row r="1367" ht="15.75" customHeight="1">
      <c r="A1367" s="5" t="s">
        <v>1952</v>
      </c>
      <c r="B1367" s="5">
        <v>43951.0</v>
      </c>
      <c r="C1367" s="6" t="s">
        <v>55</v>
      </c>
      <c r="D1367" s="11">
        <f t="shared" si="1"/>
        <v>71</v>
      </c>
      <c r="E1367" s="8" t="str">
        <f t="shared" si="2"/>
        <v>https://resources.simonelectric.com/simon-ebook-vehiculo-electrico-ppc</v>
      </c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</row>
    <row r="1368" ht="15.75" customHeight="1">
      <c r="A1368" s="5" t="s">
        <v>1953</v>
      </c>
      <c r="B1368" s="5">
        <v>43951.0</v>
      </c>
      <c r="C1368" s="6" t="s">
        <v>28</v>
      </c>
      <c r="D1368" s="10" t="str">
        <f t="shared" si="1"/>
        <v>https://resources.simonelectric.com/simon-ebook-vehiculo-electrico</v>
      </c>
      <c r="E1368" s="8" t="str">
        <f t="shared" si="2"/>
        <v>https://resources.simonelectric.com/simon-ebook-vehiculo-electrico</v>
      </c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</row>
    <row r="1369" ht="15.75" customHeight="1">
      <c r="A1369" s="5" t="s">
        <v>1953</v>
      </c>
      <c r="B1369" s="5">
        <v>43951.0</v>
      </c>
      <c r="C1369" s="6" t="s">
        <v>1954</v>
      </c>
      <c r="D1369" s="11">
        <f t="shared" si="1"/>
        <v>70</v>
      </c>
      <c r="E1369" s="8" t="str">
        <f t="shared" si="2"/>
        <v>https://resources.simonelectric.com/simon-catalogo-vehiculo-electrico</v>
      </c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</row>
    <row r="1370" ht="15.75" customHeight="1">
      <c r="A1370" s="5" t="s">
        <v>1955</v>
      </c>
      <c r="B1370" s="5">
        <v>43951.0</v>
      </c>
      <c r="C1370" s="6" t="s">
        <v>1956</v>
      </c>
      <c r="D1370" s="11">
        <f t="shared" si="1"/>
        <v>70</v>
      </c>
      <c r="E1370" s="8" t="str">
        <f t="shared" si="2"/>
        <v>https://resources.simonelectric.com/simon-catalogo-vehiculo-electrico</v>
      </c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</row>
    <row r="1371" ht="15.75" customHeight="1">
      <c r="A1371" s="5" t="s">
        <v>1957</v>
      </c>
      <c r="B1371" s="5">
        <v>43951.0</v>
      </c>
      <c r="C1371" s="6" t="s">
        <v>1958</v>
      </c>
      <c r="D1371" s="11">
        <f t="shared" si="1"/>
        <v>70</v>
      </c>
      <c r="E1371" s="8" t="str">
        <f t="shared" si="2"/>
        <v>https://resources.simonelectric.com/simon-catalogo-vehiculo-electrico</v>
      </c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</row>
    <row r="1372" ht="15.75" customHeight="1">
      <c r="A1372" s="5" t="s">
        <v>1959</v>
      </c>
      <c r="B1372" s="5">
        <v>43951.0</v>
      </c>
      <c r="C1372" s="6" t="s">
        <v>689</v>
      </c>
      <c r="D1372" s="11">
        <f t="shared" si="1"/>
        <v>67</v>
      </c>
      <c r="E1372" s="8" t="str">
        <f t="shared" si="2"/>
        <v>https://resources.simonelectric.com/simon-ebook-vehiculo-electrico</v>
      </c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</row>
    <row r="1373" ht="15.75" customHeight="1">
      <c r="A1373" s="5" t="s">
        <v>1960</v>
      </c>
      <c r="B1373" s="5">
        <v>43951.0</v>
      </c>
      <c r="C1373" s="6" t="s">
        <v>1961</v>
      </c>
      <c r="D1373" s="11">
        <f t="shared" si="1"/>
        <v>70</v>
      </c>
      <c r="E1373" s="8" t="str">
        <f t="shared" si="2"/>
        <v>https://resources.simonelectric.com/simon-catalogo-vehiculo-electrico</v>
      </c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</row>
    <row r="1374" ht="15.75" customHeight="1">
      <c r="A1374" s="5" t="s">
        <v>1962</v>
      </c>
      <c r="B1374" s="5">
        <v>43951.0</v>
      </c>
      <c r="C1374" s="6" t="s">
        <v>1963</v>
      </c>
      <c r="D1374" s="11">
        <f t="shared" si="1"/>
        <v>70</v>
      </c>
      <c r="E1374" s="8" t="str">
        <f t="shared" si="2"/>
        <v>https://resources.simonelectric.com/simon-catalogo-vehiculo-electrico</v>
      </c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</row>
    <row r="1375" ht="15.75" customHeight="1">
      <c r="A1375" s="5" t="s">
        <v>1964</v>
      </c>
      <c r="B1375" s="5">
        <v>43951.0</v>
      </c>
      <c r="C1375" s="6" t="s">
        <v>1965</v>
      </c>
      <c r="D1375" s="11">
        <f t="shared" si="1"/>
        <v>70</v>
      </c>
      <c r="E1375" s="8" t="str">
        <f t="shared" si="2"/>
        <v>https://resources.simonelectric.com/simon-catalogo-vehiculo-electrico</v>
      </c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</row>
    <row r="1376" ht="15.75" customHeight="1">
      <c r="A1376" s="5" t="s">
        <v>1745</v>
      </c>
      <c r="B1376" s="5">
        <v>43951.0</v>
      </c>
      <c r="C1376" s="6" t="s">
        <v>1966</v>
      </c>
      <c r="D1376" s="11">
        <f t="shared" si="1"/>
        <v>70</v>
      </c>
      <c r="E1376" s="8" t="str">
        <f t="shared" si="2"/>
        <v>https://resources.simonelectric.com/simon-catalogo-vehiculo-electrico</v>
      </c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</row>
    <row r="1377" ht="15.75" customHeight="1">
      <c r="A1377" s="5" t="s">
        <v>1967</v>
      </c>
      <c r="B1377" s="5">
        <v>43951.0</v>
      </c>
      <c r="C1377" s="6" t="s">
        <v>1968</v>
      </c>
      <c r="D1377" s="11">
        <f t="shared" si="1"/>
        <v>70</v>
      </c>
      <c r="E1377" s="8" t="str">
        <f t="shared" si="2"/>
        <v>https://resources.simonelectric.com/simon-catalogo-vehiculo-electrico</v>
      </c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</row>
    <row r="1378" ht="15.75" customHeight="1">
      <c r="A1378" s="5" t="s">
        <v>1799</v>
      </c>
      <c r="B1378" s="5">
        <v>43951.0</v>
      </c>
      <c r="C1378" s="6" t="s">
        <v>10</v>
      </c>
      <c r="D1378" s="10" t="str">
        <f t="shared" si="1"/>
        <v>https://resources.simonelectric.com/simon-catalogo-vehiculo-electrico</v>
      </c>
      <c r="E1378" s="8" t="str">
        <f t="shared" si="2"/>
        <v>https://resources.simonelectric.com/simon-catalogo-vehiculo-electrico</v>
      </c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</row>
    <row r="1379" ht="15.75" customHeight="1">
      <c r="A1379" s="5" t="s">
        <v>1969</v>
      </c>
      <c r="B1379" s="5">
        <v>43951.0</v>
      </c>
      <c r="C1379" s="6" t="s">
        <v>1970</v>
      </c>
      <c r="D1379" s="11">
        <f t="shared" si="1"/>
        <v>70</v>
      </c>
      <c r="E1379" s="8" t="str">
        <f t="shared" si="2"/>
        <v>https://resources.simonelectric.com/simon-catalogo-vehiculo-electrico</v>
      </c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</row>
    <row r="1380" ht="15.75" customHeight="1">
      <c r="A1380" s="5" t="s">
        <v>1971</v>
      </c>
      <c r="B1380" s="5">
        <v>43951.0</v>
      </c>
      <c r="C1380" s="6" t="s">
        <v>1972</v>
      </c>
      <c r="D1380" s="11">
        <f t="shared" si="1"/>
        <v>70</v>
      </c>
      <c r="E1380" s="8" t="str">
        <f t="shared" si="2"/>
        <v>https://resources.simonelectric.com/simon-catalogo-vehiculo-electrico</v>
      </c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</row>
    <row r="1381" ht="15.75" customHeight="1">
      <c r="A1381" s="5" t="s">
        <v>1973</v>
      </c>
      <c r="B1381" s="5">
        <v>43951.0</v>
      </c>
      <c r="C1381" s="6" t="s">
        <v>1974</v>
      </c>
      <c r="D1381" s="11">
        <f t="shared" si="1"/>
        <v>70</v>
      </c>
      <c r="E1381" s="8" t="str">
        <f t="shared" si="2"/>
        <v>https://resources.simonelectric.com/simon-catalogo-vehiculo-electrico</v>
      </c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</row>
    <row r="1382" ht="15.75" customHeight="1">
      <c r="A1382" s="5" t="s">
        <v>1975</v>
      </c>
      <c r="B1382" s="5">
        <v>43951.0</v>
      </c>
      <c r="C1382" s="6" t="s">
        <v>1976</v>
      </c>
      <c r="D1382" s="11">
        <f t="shared" si="1"/>
        <v>69</v>
      </c>
      <c r="E1382" s="8" t="str">
        <f t="shared" si="2"/>
        <v>https://resources.simonelectric.com/simon-ebook-vehiculo-electrico-0</v>
      </c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</row>
    <row r="1383" ht="15.75" customHeight="1">
      <c r="A1383" s="5" t="s">
        <v>1977</v>
      </c>
      <c r="B1383" s="5">
        <v>43951.0</v>
      </c>
      <c r="C1383" s="6" t="s">
        <v>1978</v>
      </c>
      <c r="D1383" s="11">
        <f t="shared" si="1"/>
        <v>70</v>
      </c>
      <c r="E1383" s="8" t="str">
        <f t="shared" si="2"/>
        <v>https://resources.simonelectric.com/simon-catalogo-vehiculo-electrico</v>
      </c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</row>
    <row r="1384" ht="15.75" customHeight="1">
      <c r="A1384" s="5" t="s">
        <v>1979</v>
      </c>
      <c r="B1384" s="5">
        <v>43951.0</v>
      </c>
      <c r="C1384" s="6" t="s">
        <v>1980</v>
      </c>
      <c r="D1384" s="11">
        <f t="shared" si="1"/>
        <v>70</v>
      </c>
      <c r="E1384" s="8" t="str">
        <f t="shared" si="2"/>
        <v>https://resources.simonelectric.com/simon-catalogo-vehiculo-electrico</v>
      </c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</row>
    <row r="1385" ht="15.75" customHeight="1">
      <c r="A1385" s="5" t="s">
        <v>1981</v>
      </c>
      <c r="B1385" s="5">
        <v>43951.0</v>
      </c>
      <c r="C1385" s="6" t="s">
        <v>1982</v>
      </c>
      <c r="D1385" s="11">
        <f t="shared" si="1"/>
        <v>70</v>
      </c>
      <c r="E1385" s="8" t="str">
        <f t="shared" si="2"/>
        <v>https://resources.simonelectric.com/simon-catalogo-vehiculo-electrico</v>
      </c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</row>
    <row r="1386" ht="15.75" customHeight="1">
      <c r="A1386" s="5" t="s">
        <v>1983</v>
      </c>
      <c r="B1386" s="5">
        <v>43951.0</v>
      </c>
      <c r="C1386" s="6" t="s">
        <v>1984</v>
      </c>
      <c r="D1386" s="11">
        <f t="shared" si="1"/>
        <v>70</v>
      </c>
      <c r="E1386" s="8" t="str">
        <f t="shared" si="2"/>
        <v>https://resources.simonelectric.com/simon-catalogo-vehiculo-electrico</v>
      </c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</row>
    <row r="1387" ht="15.75" customHeight="1">
      <c r="A1387" s="5" t="s">
        <v>1985</v>
      </c>
      <c r="B1387" s="5">
        <v>43951.0</v>
      </c>
      <c r="C1387" s="6" t="s">
        <v>1986</v>
      </c>
      <c r="D1387" s="11">
        <f t="shared" si="1"/>
        <v>70</v>
      </c>
      <c r="E1387" s="8" t="str">
        <f t="shared" si="2"/>
        <v>https://resources.simonelectric.com/simon-catalogo-vehiculo-electrico</v>
      </c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</row>
    <row r="1388" ht="15.75" customHeight="1">
      <c r="A1388" s="5" t="s">
        <v>1987</v>
      </c>
      <c r="B1388" s="5">
        <v>43951.0</v>
      </c>
      <c r="C1388" s="6" t="s">
        <v>1988</v>
      </c>
      <c r="D1388" s="11">
        <f t="shared" si="1"/>
        <v>70</v>
      </c>
      <c r="E1388" s="8" t="str">
        <f t="shared" si="2"/>
        <v>https://resources.simonelectric.com/simon-catalogo-vehiculo-electrico</v>
      </c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</row>
    <row r="1389" ht="15.75" customHeight="1">
      <c r="A1389" s="5" t="s">
        <v>1989</v>
      </c>
      <c r="B1389" s="5">
        <v>43951.0</v>
      </c>
      <c r="C1389" s="6" t="s">
        <v>1990</v>
      </c>
      <c r="D1389" s="11">
        <f t="shared" si="1"/>
        <v>70</v>
      </c>
      <c r="E1389" s="8" t="str">
        <f t="shared" si="2"/>
        <v>https://resources.simonelectric.com/simon-catalogo-vehiculo-electrico</v>
      </c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</row>
    <row r="1390" ht="15.75" customHeight="1">
      <c r="A1390" s="5" t="s">
        <v>1991</v>
      </c>
      <c r="B1390" s="5">
        <v>43951.0</v>
      </c>
      <c r="C1390" s="6" t="s">
        <v>1992</v>
      </c>
      <c r="D1390" s="11">
        <f t="shared" si="1"/>
        <v>71</v>
      </c>
      <c r="E1390" s="8" t="str">
        <f t="shared" si="2"/>
        <v>https://resources.simonelectric.com/simon-ebook-vehiculo-electrico-ppc</v>
      </c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</row>
    <row r="1391" ht="15.75" customHeight="1">
      <c r="A1391" s="5" t="s">
        <v>1993</v>
      </c>
      <c r="B1391" s="5">
        <v>43951.0</v>
      </c>
      <c r="C1391" s="6" t="s">
        <v>1994</v>
      </c>
      <c r="D1391" s="11">
        <f t="shared" si="1"/>
        <v>70</v>
      </c>
      <c r="E1391" s="8" t="str">
        <f t="shared" si="2"/>
        <v>https://resources.simonelectric.com/simon-catalogo-vehiculo-electrico</v>
      </c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</row>
    <row r="1392" ht="15.75" customHeight="1">
      <c r="A1392" s="5" t="s">
        <v>1995</v>
      </c>
      <c r="B1392" s="5">
        <v>43951.0</v>
      </c>
      <c r="C1392" s="6" t="s">
        <v>75</v>
      </c>
      <c r="D1392" s="11">
        <f t="shared" si="1"/>
        <v>67</v>
      </c>
      <c r="E1392" s="8" t="str">
        <f t="shared" si="2"/>
        <v>https://resources.simonelectric.com/simon-ebook-vehiculo-electrico</v>
      </c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</row>
    <row r="1393" ht="15.75" customHeight="1">
      <c r="A1393" s="5" t="s">
        <v>1996</v>
      </c>
      <c r="B1393" s="5">
        <v>43951.0</v>
      </c>
      <c r="C1393" s="6" t="s">
        <v>1997</v>
      </c>
      <c r="D1393" s="11">
        <f t="shared" si="1"/>
        <v>70</v>
      </c>
      <c r="E1393" s="8" t="str">
        <f t="shared" si="2"/>
        <v>https://resources.simonelectric.com/simon-catalogo-vehiculo-electrico</v>
      </c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</row>
    <row r="1394" ht="15.75" customHeight="1">
      <c r="A1394" s="5" t="s">
        <v>1998</v>
      </c>
      <c r="B1394" s="5">
        <v>43951.0</v>
      </c>
      <c r="C1394" s="6" t="s">
        <v>1999</v>
      </c>
      <c r="D1394" s="11">
        <f t="shared" si="1"/>
        <v>70</v>
      </c>
      <c r="E1394" s="8" t="str">
        <f t="shared" si="2"/>
        <v>https://resources.simonelectric.com/simon-catalogo-vehiculo-electrico</v>
      </c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</row>
    <row r="1395" ht="15.75" customHeight="1">
      <c r="A1395" s="5" t="s">
        <v>1167</v>
      </c>
      <c r="B1395" s="5">
        <v>43951.0</v>
      </c>
      <c r="C1395" s="6" t="s">
        <v>2000</v>
      </c>
      <c r="D1395" s="11">
        <f t="shared" si="1"/>
        <v>70</v>
      </c>
      <c r="E1395" s="8" t="str">
        <f t="shared" si="2"/>
        <v>https://resources.simonelectric.com/simon-catalogo-vehiculo-electrico</v>
      </c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</row>
    <row r="1396" ht="15.75" customHeight="1">
      <c r="A1396" s="5" t="s">
        <v>2001</v>
      </c>
      <c r="B1396" s="5">
        <v>43951.0</v>
      </c>
      <c r="C1396" s="6" t="s">
        <v>2002</v>
      </c>
      <c r="D1396" s="11">
        <f t="shared" si="1"/>
        <v>70</v>
      </c>
      <c r="E1396" s="8" t="str">
        <f t="shared" si="2"/>
        <v>https://resources.simonelectric.com/simon-catalogo-vehiculo-electrico</v>
      </c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</row>
    <row r="1397" ht="15.75" customHeight="1">
      <c r="A1397" s="5" t="s">
        <v>2003</v>
      </c>
      <c r="B1397" s="5">
        <v>43951.0</v>
      </c>
      <c r="C1397" s="6" t="s">
        <v>2004</v>
      </c>
      <c r="D1397" s="11">
        <f t="shared" si="1"/>
        <v>70</v>
      </c>
      <c r="E1397" s="8" t="str">
        <f t="shared" si="2"/>
        <v>https://resources.simonelectric.com/simon-catalogo-vehiculo-electrico</v>
      </c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</row>
    <row r="1398" ht="15.75" customHeight="1">
      <c r="A1398" s="5" t="s">
        <v>2005</v>
      </c>
      <c r="B1398" s="5">
        <v>43951.0</v>
      </c>
      <c r="C1398" s="6" t="s">
        <v>2006</v>
      </c>
      <c r="D1398" s="11">
        <f t="shared" si="1"/>
        <v>70</v>
      </c>
      <c r="E1398" s="8" t="str">
        <f t="shared" si="2"/>
        <v>https://resources.simonelectric.com/simon-catalogo-vehiculo-electrico</v>
      </c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</row>
    <row r="1399" ht="15.75" customHeight="1">
      <c r="A1399" s="5" t="s">
        <v>2007</v>
      </c>
      <c r="B1399" s="5">
        <v>43951.0</v>
      </c>
      <c r="C1399" s="6" t="s">
        <v>75</v>
      </c>
      <c r="D1399" s="11">
        <f t="shared" si="1"/>
        <v>67</v>
      </c>
      <c r="E1399" s="8" t="str">
        <f t="shared" si="2"/>
        <v>https://resources.simonelectric.com/simon-ebook-vehiculo-electrico</v>
      </c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</row>
    <row r="1400" ht="15.75" customHeight="1">
      <c r="A1400" s="5" t="s">
        <v>2008</v>
      </c>
      <c r="B1400" s="5">
        <v>43951.0</v>
      </c>
      <c r="C1400" s="6" t="s">
        <v>2009</v>
      </c>
      <c r="D1400" s="11">
        <f t="shared" si="1"/>
        <v>70</v>
      </c>
      <c r="E1400" s="8" t="str">
        <f t="shared" si="2"/>
        <v>https://resources.simonelectric.com/simon-catalogo-vehiculo-electrico</v>
      </c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</row>
    <row r="1401" ht="15.75" customHeight="1">
      <c r="A1401" s="5" t="s">
        <v>2010</v>
      </c>
      <c r="B1401" s="5">
        <v>43951.0</v>
      </c>
      <c r="C1401" s="6" t="s">
        <v>2011</v>
      </c>
      <c r="D1401" s="11">
        <f t="shared" si="1"/>
        <v>70</v>
      </c>
      <c r="E1401" s="8" t="str">
        <f t="shared" si="2"/>
        <v>https://resources.simonelectric.com/simon-catalogo-vehiculo-electrico</v>
      </c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</row>
    <row r="1402" ht="15.75" customHeight="1">
      <c r="A1402" s="5" t="s">
        <v>2012</v>
      </c>
      <c r="B1402" s="5">
        <v>43951.0</v>
      </c>
      <c r="C1402" s="6" t="s">
        <v>2013</v>
      </c>
      <c r="D1402" s="11">
        <f t="shared" si="1"/>
        <v>70</v>
      </c>
      <c r="E1402" s="8" t="str">
        <f t="shared" si="2"/>
        <v>https://resources.simonelectric.com/simon-catalogo-vehiculo-electrico</v>
      </c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</row>
    <row r="1403" ht="15.75" customHeight="1">
      <c r="A1403" s="5" t="s">
        <v>2014</v>
      </c>
      <c r="B1403" s="5">
        <v>43951.0</v>
      </c>
      <c r="C1403" s="6" t="s">
        <v>2015</v>
      </c>
      <c r="D1403" s="11">
        <f t="shared" si="1"/>
        <v>70</v>
      </c>
      <c r="E1403" s="8" t="str">
        <f t="shared" si="2"/>
        <v>https://resources.simonelectric.com/simon-catalogo-vehiculo-electrico</v>
      </c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</row>
    <row r="1404" ht="15.75" customHeight="1">
      <c r="A1404" s="5" t="s">
        <v>406</v>
      </c>
      <c r="B1404" s="5">
        <v>43951.0</v>
      </c>
      <c r="C1404" s="6" t="s">
        <v>2016</v>
      </c>
      <c r="D1404" s="11">
        <f t="shared" si="1"/>
        <v>70</v>
      </c>
      <c r="E1404" s="8" t="str">
        <f t="shared" si="2"/>
        <v>https://resources.simonelectric.com/simon-catalogo-vehiculo-electrico</v>
      </c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</row>
    <row r="1405" ht="15.75" customHeight="1">
      <c r="A1405" s="5" t="s">
        <v>617</v>
      </c>
      <c r="B1405" s="5">
        <v>43951.0</v>
      </c>
      <c r="C1405" s="6" t="s">
        <v>2017</v>
      </c>
      <c r="D1405" s="11">
        <f t="shared" si="1"/>
        <v>69</v>
      </c>
      <c r="E1405" s="8" t="str">
        <f t="shared" si="2"/>
        <v>https://resources.simonelectric.com/simon-ebook-vehiculo-electrico-0</v>
      </c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</row>
    <row r="1406" ht="15.75" customHeight="1">
      <c r="A1406" s="5" t="s">
        <v>2018</v>
      </c>
      <c r="B1406" s="5">
        <v>43951.0</v>
      </c>
      <c r="C1406" s="6" t="s">
        <v>2019</v>
      </c>
      <c r="D1406" s="11">
        <f t="shared" si="1"/>
        <v>70</v>
      </c>
      <c r="E1406" s="8" t="str">
        <f t="shared" si="2"/>
        <v>https://resources.simonelectric.com/simon-catalogo-vehiculo-electrico</v>
      </c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</row>
    <row r="1407" ht="15.75" customHeight="1">
      <c r="A1407" s="5" t="s">
        <v>2020</v>
      </c>
      <c r="B1407" s="5">
        <v>43951.0</v>
      </c>
      <c r="C1407" s="6" t="s">
        <v>2021</v>
      </c>
      <c r="D1407" s="11">
        <f t="shared" si="1"/>
        <v>70</v>
      </c>
      <c r="E1407" s="8" t="str">
        <f t="shared" si="2"/>
        <v>https://resources.simonelectric.com/simon-catalogo-vehiculo-electrico</v>
      </c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</row>
    <row r="1408" ht="15.75" customHeight="1">
      <c r="A1408" s="5" t="s">
        <v>2022</v>
      </c>
      <c r="B1408" s="5">
        <v>43951.0</v>
      </c>
      <c r="C1408" s="6" t="s">
        <v>2023</v>
      </c>
      <c r="D1408" s="11">
        <f t="shared" si="1"/>
        <v>70</v>
      </c>
      <c r="E1408" s="8" t="str">
        <f t="shared" si="2"/>
        <v>https://resources.simonelectric.com/simon-catalogo-vehiculo-electrico</v>
      </c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</row>
    <row r="1409" ht="15.75" customHeight="1">
      <c r="A1409" s="5" t="s">
        <v>2024</v>
      </c>
      <c r="B1409" s="5">
        <v>43951.0</v>
      </c>
      <c r="C1409" s="6" t="s">
        <v>2025</v>
      </c>
      <c r="D1409" s="11">
        <f t="shared" si="1"/>
        <v>70</v>
      </c>
      <c r="E1409" s="8" t="str">
        <f t="shared" si="2"/>
        <v>https://resources.simonelectric.com/simon-catalogo-vehiculo-electrico</v>
      </c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</row>
    <row r="1410" ht="15.75" customHeight="1">
      <c r="A1410" s="5" t="s">
        <v>2026</v>
      </c>
      <c r="B1410" s="5">
        <v>43951.0</v>
      </c>
      <c r="C1410" s="6" t="s">
        <v>2027</v>
      </c>
      <c r="D1410" s="11">
        <f t="shared" si="1"/>
        <v>70</v>
      </c>
      <c r="E1410" s="8" t="str">
        <f t="shared" si="2"/>
        <v>https://resources.simonelectric.com/simon-catalogo-vehiculo-electrico</v>
      </c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</row>
    <row r="1411" ht="15.75" customHeight="1">
      <c r="A1411" s="5" t="s">
        <v>2028</v>
      </c>
      <c r="B1411" s="5">
        <v>43951.0</v>
      </c>
      <c r="C1411" s="6" t="s">
        <v>2029</v>
      </c>
      <c r="D1411" s="11">
        <f t="shared" si="1"/>
        <v>70</v>
      </c>
      <c r="E1411" s="8" t="str">
        <f t="shared" si="2"/>
        <v>https://resources.simonelectric.com/simon-catalogo-vehiculo-electrico</v>
      </c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</row>
    <row r="1412" ht="15.75" customHeight="1">
      <c r="A1412" s="5" t="s">
        <v>2030</v>
      </c>
      <c r="B1412" s="5">
        <v>43951.0</v>
      </c>
      <c r="C1412" s="6" t="s">
        <v>2031</v>
      </c>
      <c r="D1412" s="11">
        <f t="shared" si="1"/>
        <v>70</v>
      </c>
      <c r="E1412" s="8" t="str">
        <f t="shared" si="2"/>
        <v>https://resources.simonelectric.com/simon-catalogo-vehiculo-electrico</v>
      </c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</row>
    <row r="1413" ht="15.75" customHeight="1">
      <c r="A1413" s="5" t="s">
        <v>2032</v>
      </c>
      <c r="B1413" s="5">
        <v>43951.0</v>
      </c>
      <c r="C1413" s="6" t="s">
        <v>2033</v>
      </c>
      <c r="D1413" s="11">
        <f t="shared" si="1"/>
        <v>70</v>
      </c>
      <c r="E1413" s="8" t="str">
        <f t="shared" si="2"/>
        <v>https://resources.simonelectric.com/simon-catalogo-vehiculo-electrico</v>
      </c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</row>
    <row r="1414" ht="15.75" customHeight="1">
      <c r="A1414" s="5" t="s">
        <v>2034</v>
      </c>
      <c r="B1414" s="5">
        <v>43951.0</v>
      </c>
      <c r="C1414" s="6" t="s">
        <v>2035</v>
      </c>
      <c r="D1414" s="11">
        <f t="shared" si="1"/>
        <v>69</v>
      </c>
      <c r="E1414" s="8" t="str">
        <f t="shared" si="2"/>
        <v>https://resources.simonelectric.com/simon-ebook-vehiculo-electrico-0</v>
      </c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</row>
    <row r="1415" ht="15.75" customHeight="1">
      <c r="A1415" s="5" t="s">
        <v>2036</v>
      </c>
      <c r="B1415" s="5">
        <v>43951.0</v>
      </c>
      <c r="C1415" s="6" t="s">
        <v>2037</v>
      </c>
      <c r="D1415" s="11">
        <f t="shared" si="1"/>
        <v>70</v>
      </c>
      <c r="E1415" s="8" t="str">
        <f t="shared" si="2"/>
        <v>https://resources.simonelectric.com/simon-catalogo-vehiculo-electrico</v>
      </c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</row>
    <row r="1416" ht="15.75" customHeight="1">
      <c r="A1416" s="5" t="s">
        <v>2038</v>
      </c>
      <c r="B1416" s="5">
        <v>43951.0</v>
      </c>
      <c r="C1416" s="6" t="s">
        <v>2039</v>
      </c>
      <c r="D1416" s="11">
        <f t="shared" si="1"/>
        <v>70</v>
      </c>
      <c r="E1416" s="8" t="str">
        <f t="shared" si="2"/>
        <v>https://resources.simonelectric.com/simon-catalogo-vehiculo-electrico</v>
      </c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</row>
    <row r="1417" ht="15.75" customHeight="1">
      <c r="A1417" s="5" t="s">
        <v>2040</v>
      </c>
      <c r="B1417" s="5">
        <v>43951.0</v>
      </c>
      <c r="C1417" s="6" t="s">
        <v>2041</v>
      </c>
      <c r="D1417" s="11">
        <f t="shared" si="1"/>
        <v>70</v>
      </c>
      <c r="E1417" s="8" t="str">
        <f t="shared" si="2"/>
        <v>https://resources.simonelectric.com/simon-catalogo-vehiculo-electrico</v>
      </c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</row>
    <row r="1418" ht="15.75" customHeight="1">
      <c r="A1418" s="5" t="s">
        <v>2042</v>
      </c>
      <c r="B1418" s="5">
        <v>43951.0</v>
      </c>
      <c r="C1418" s="6" t="s">
        <v>2043</v>
      </c>
      <c r="D1418" s="11">
        <f t="shared" si="1"/>
        <v>70</v>
      </c>
      <c r="E1418" s="8" t="str">
        <f t="shared" si="2"/>
        <v>https://resources.simonelectric.com/simon-catalogo-vehiculo-electrico</v>
      </c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</row>
    <row r="1419" ht="15.75" customHeight="1">
      <c r="A1419" s="5" t="s">
        <v>2044</v>
      </c>
      <c r="B1419" s="5">
        <v>43951.0</v>
      </c>
      <c r="C1419" s="6" t="s">
        <v>2045</v>
      </c>
      <c r="D1419" s="11">
        <f t="shared" si="1"/>
        <v>70</v>
      </c>
      <c r="E1419" s="8" t="str">
        <f t="shared" si="2"/>
        <v>https://resources.simonelectric.com/simon-catalogo-vehiculo-electrico</v>
      </c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</row>
    <row r="1420" ht="15.75" customHeight="1">
      <c r="A1420" s="5" t="s">
        <v>2046</v>
      </c>
      <c r="B1420" s="5">
        <v>43951.0</v>
      </c>
      <c r="C1420" s="6" t="s">
        <v>2047</v>
      </c>
      <c r="D1420" s="11">
        <f t="shared" si="1"/>
        <v>70</v>
      </c>
      <c r="E1420" s="8" t="str">
        <f t="shared" si="2"/>
        <v>https://resources.simonelectric.com/simon-catalogo-vehiculo-electrico</v>
      </c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</row>
    <row r="1421" ht="15.75" customHeight="1">
      <c r="A1421" s="5" t="s">
        <v>2048</v>
      </c>
      <c r="B1421" s="5">
        <v>43951.0</v>
      </c>
      <c r="C1421" s="6" t="s">
        <v>2049</v>
      </c>
      <c r="D1421" s="11">
        <f t="shared" si="1"/>
        <v>70</v>
      </c>
      <c r="E1421" s="8" t="str">
        <f t="shared" si="2"/>
        <v>https://resources.simonelectric.com/simon-catalogo-vehiculo-electrico</v>
      </c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</row>
    <row r="1422" ht="15.75" customHeight="1">
      <c r="A1422" s="5" t="s">
        <v>2050</v>
      </c>
      <c r="B1422" s="5">
        <v>43951.0</v>
      </c>
      <c r="C1422" s="6" t="s">
        <v>2051</v>
      </c>
      <c r="D1422" s="11">
        <f t="shared" si="1"/>
        <v>70</v>
      </c>
      <c r="E1422" s="8" t="str">
        <f t="shared" si="2"/>
        <v>https://resources.simonelectric.com/simon-catalogo-vehiculo-electrico</v>
      </c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</row>
    <row r="1423" ht="15.75" customHeight="1">
      <c r="A1423" s="5" t="s">
        <v>2052</v>
      </c>
      <c r="B1423" s="5">
        <v>43951.0</v>
      </c>
      <c r="C1423" s="6" t="s">
        <v>2053</v>
      </c>
      <c r="D1423" s="11">
        <f t="shared" si="1"/>
        <v>70</v>
      </c>
      <c r="E1423" s="8" t="str">
        <f t="shared" si="2"/>
        <v>https://resources.simonelectric.com/simon-catalogo-vehiculo-electrico</v>
      </c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</row>
    <row r="1424" ht="15.75" customHeight="1">
      <c r="A1424" s="5" t="s">
        <v>2054</v>
      </c>
      <c r="B1424" s="5">
        <v>43951.0</v>
      </c>
      <c r="C1424" s="6" t="s">
        <v>2055</v>
      </c>
      <c r="D1424" s="11">
        <f t="shared" si="1"/>
        <v>70</v>
      </c>
      <c r="E1424" s="8" t="str">
        <f t="shared" si="2"/>
        <v>https://resources.simonelectric.com/simon-catalogo-vehiculo-electrico</v>
      </c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</row>
    <row r="1425" ht="15.75" customHeight="1">
      <c r="A1425" s="5" t="s">
        <v>2056</v>
      </c>
      <c r="B1425" s="5">
        <v>43951.0</v>
      </c>
      <c r="C1425" s="6" t="s">
        <v>2057</v>
      </c>
      <c r="D1425" s="11">
        <f t="shared" si="1"/>
        <v>70</v>
      </c>
      <c r="E1425" s="8" t="str">
        <f t="shared" si="2"/>
        <v>https://resources.simonelectric.com/simon-catalogo-vehiculo-electrico</v>
      </c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</row>
    <row r="1426" ht="15.75" customHeight="1">
      <c r="A1426" s="5" t="s">
        <v>2058</v>
      </c>
      <c r="B1426" s="5">
        <v>43951.0</v>
      </c>
      <c r="C1426" s="6" t="s">
        <v>2059</v>
      </c>
      <c r="D1426" s="11">
        <f t="shared" si="1"/>
        <v>70</v>
      </c>
      <c r="E1426" s="8" t="str">
        <f t="shared" si="2"/>
        <v>https://resources.simonelectric.com/simon-catalogo-vehiculo-electrico</v>
      </c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</row>
    <row r="1427" ht="15.75" customHeight="1">
      <c r="A1427" s="5" t="s">
        <v>2060</v>
      </c>
      <c r="B1427" s="5">
        <v>43951.0</v>
      </c>
      <c r="C1427" s="6" t="s">
        <v>2061</v>
      </c>
      <c r="D1427" s="11">
        <f t="shared" si="1"/>
        <v>70</v>
      </c>
      <c r="E1427" s="8" t="str">
        <f t="shared" si="2"/>
        <v>https://resources.simonelectric.com/simon-catalogo-vehiculo-electrico</v>
      </c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</row>
    <row r="1428" ht="15.75" customHeight="1">
      <c r="A1428" s="5" t="s">
        <v>2062</v>
      </c>
      <c r="B1428" s="5">
        <v>43951.0</v>
      </c>
      <c r="C1428" s="6" t="s">
        <v>2063</v>
      </c>
      <c r="D1428" s="11">
        <f t="shared" si="1"/>
        <v>67</v>
      </c>
      <c r="E1428" s="8" t="str">
        <f t="shared" si="2"/>
        <v>https://resources.simonelectric.com/simon-ebook-vehiculo-electrico</v>
      </c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</row>
    <row r="1429" ht="15.75" customHeight="1">
      <c r="A1429" s="5" t="s">
        <v>2064</v>
      </c>
      <c r="B1429" s="5">
        <v>43951.0</v>
      </c>
      <c r="C1429" s="6" t="s">
        <v>689</v>
      </c>
      <c r="D1429" s="11">
        <f t="shared" si="1"/>
        <v>67</v>
      </c>
      <c r="E1429" s="8" t="str">
        <f t="shared" si="2"/>
        <v>https://resources.simonelectric.com/simon-ebook-vehiculo-electrico</v>
      </c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</row>
    <row r="1430" ht="15.75" customHeight="1">
      <c r="A1430" s="5" t="s">
        <v>2062</v>
      </c>
      <c r="B1430" s="5">
        <v>43951.0</v>
      </c>
      <c r="C1430" s="6" t="s">
        <v>2065</v>
      </c>
      <c r="D1430" s="11">
        <f t="shared" si="1"/>
        <v>70</v>
      </c>
      <c r="E1430" s="8" t="str">
        <f t="shared" si="2"/>
        <v>https://resources.simonelectric.com/simon-catalogo-vehiculo-electrico</v>
      </c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</row>
    <row r="1431" ht="15.75" customHeight="1">
      <c r="A1431" s="5" t="s">
        <v>2066</v>
      </c>
      <c r="B1431" s="5">
        <v>43951.0</v>
      </c>
      <c r="C1431" s="6" t="s">
        <v>2067</v>
      </c>
      <c r="D1431" s="11">
        <f t="shared" si="1"/>
        <v>70</v>
      </c>
      <c r="E1431" s="8" t="str">
        <f t="shared" si="2"/>
        <v>https://resources.simonelectric.com/simon-catalogo-vehiculo-electrico</v>
      </c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</row>
    <row r="1432" ht="15.75" customHeight="1">
      <c r="A1432" s="5" t="s">
        <v>2068</v>
      </c>
      <c r="B1432" s="5">
        <v>43951.0</v>
      </c>
      <c r="C1432" s="6" t="s">
        <v>2069</v>
      </c>
      <c r="D1432" s="11">
        <f t="shared" si="1"/>
        <v>70</v>
      </c>
      <c r="E1432" s="8" t="str">
        <f t="shared" si="2"/>
        <v>https://resources.simonelectric.com/simon-catalogo-vehiculo-electrico</v>
      </c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</row>
    <row r="1433" ht="15.75" customHeight="1">
      <c r="A1433" s="5" t="s">
        <v>2070</v>
      </c>
      <c r="B1433" s="5">
        <v>43951.0</v>
      </c>
      <c r="C1433" s="6" t="s">
        <v>2071</v>
      </c>
      <c r="D1433" s="11">
        <f t="shared" si="1"/>
        <v>70</v>
      </c>
      <c r="E1433" s="8" t="str">
        <f t="shared" si="2"/>
        <v>https://resources.simonelectric.com/simon-catalogo-vehiculo-electrico</v>
      </c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</row>
    <row r="1434" ht="15.75" customHeight="1">
      <c r="A1434" s="5" t="s">
        <v>408</v>
      </c>
      <c r="B1434" s="5">
        <v>43951.0</v>
      </c>
      <c r="C1434" s="6" t="s">
        <v>2072</v>
      </c>
      <c r="D1434" s="11">
        <f t="shared" si="1"/>
        <v>70</v>
      </c>
      <c r="E1434" s="8" t="str">
        <f t="shared" si="2"/>
        <v>https://resources.simonelectric.com/simon-catalogo-vehiculo-electrico</v>
      </c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</row>
    <row r="1435" ht="15.75" customHeight="1">
      <c r="A1435" s="5" t="s">
        <v>2073</v>
      </c>
      <c r="B1435" s="5">
        <v>43951.0</v>
      </c>
      <c r="C1435" s="6" t="s">
        <v>2074</v>
      </c>
      <c r="D1435" s="11">
        <f t="shared" si="1"/>
        <v>70</v>
      </c>
      <c r="E1435" s="8" t="str">
        <f t="shared" si="2"/>
        <v>https://resources.simonelectric.com/simon-catalogo-vehiculo-electrico</v>
      </c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</row>
    <row r="1436" ht="15.75" customHeight="1">
      <c r="A1436" s="5" t="s">
        <v>2075</v>
      </c>
      <c r="B1436" s="5">
        <v>43951.0</v>
      </c>
      <c r="C1436" s="6" t="s">
        <v>2076</v>
      </c>
      <c r="D1436" s="11">
        <f t="shared" si="1"/>
        <v>70</v>
      </c>
      <c r="E1436" s="8" t="str">
        <f t="shared" si="2"/>
        <v>https://resources.simonelectric.com/simon-catalogo-vehiculo-electrico</v>
      </c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</row>
    <row r="1437" ht="15.75" customHeight="1">
      <c r="A1437" s="5" t="s">
        <v>2077</v>
      </c>
      <c r="B1437" s="5">
        <v>43951.0</v>
      </c>
      <c r="C1437" s="6" t="s">
        <v>2078</v>
      </c>
      <c r="D1437" s="11">
        <f t="shared" si="1"/>
        <v>70</v>
      </c>
      <c r="E1437" s="8" t="str">
        <f t="shared" si="2"/>
        <v>https://resources.simonelectric.com/simon-catalogo-vehiculo-electrico</v>
      </c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</row>
    <row r="1438" ht="15.75" customHeight="1">
      <c r="A1438" s="5" t="s">
        <v>2079</v>
      </c>
      <c r="B1438" s="5">
        <v>43951.0</v>
      </c>
      <c r="C1438" s="6" t="s">
        <v>2080</v>
      </c>
      <c r="D1438" s="11">
        <f t="shared" si="1"/>
        <v>70</v>
      </c>
      <c r="E1438" s="8" t="str">
        <f t="shared" si="2"/>
        <v>https://resources.simonelectric.com/simon-catalogo-vehiculo-electrico</v>
      </c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</row>
    <row r="1439" ht="15.75" customHeight="1">
      <c r="A1439" s="5" t="s">
        <v>2081</v>
      </c>
      <c r="B1439" s="5">
        <v>43951.0</v>
      </c>
      <c r="C1439" s="6" t="s">
        <v>2082</v>
      </c>
      <c r="D1439" s="11">
        <f t="shared" si="1"/>
        <v>70</v>
      </c>
      <c r="E1439" s="8" t="str">
        <f t="shared" si="2"/>
        <v>https://resources.simonelectric.com/simon-catalogo-vehiculo-electrico</v>
      </c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</row>
    <row r="1440" ht="15.75" customHeight="1">
      <c r="A1440" s="5" t="s">
        <v>2081</v>
      </c>
      <c r="B1440" s="5">
        <v>43951.0</v>
      </c>
      <c r="C1440" s="6" t="s">
        <v>2083</v>
      </c>
      <c r="D1440" s="11">
        <f t="shared" si="1"/>
        <v>70</v>
      </c>
      <c r="E1440" s="8" t="str">
        <f t="shared" si="2"/>
        <v>https://resources.simonelectric.com/simon-catalogo-vehiculo-electrico</v>
      </c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</row>
    <row r="1441" ht="15.75" customHeight="1">
      <c r="A1441" s="5" t="s">
        <v>2084</v>
      </c>
      <c r="B1441" s="5">
        <v>43951.0</v>
      </c>
      <c r="C1441" s="6" t="s">
        <v>2085</v>
      </c>
      <c r="D1441" s="11">
        <f t="shared" si="1"/>
        <v>70</v>
      </c>
      <c r="E1441" s="8" t="str">
        <f t="shared" si="2"/>
        <v>https://resources.simonelectric.com/simon-catalogo-vehiculo-electrico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</row>
    <row r="1442" ht="15.75" customHeight="1">
      <c r="A1442" s="5" t="s">
        <v>2086</v>
      </c>
      <c r="B1442" s="5">
        <v>43951.0</v>
      </c>
      <c r="C1442" s="6" t="s">
        <v>2087</v>
      </c>
      <c r="D1442" s="11">
        <f t="shared" si="1"/>
        <v>70</v>
      </c>
      <c r="E1442" s="8" t="str">
        <f t="shared" si="2"/>
        <v>https://resources.simonelectric.com/simon-catalogo-vehiculo-electrico</v>
      </c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</row>
    <row r="1443" ht="15.75" customHeight="1">
      <c r="A1443" s="5" t="s">
        <v>2088</v>
      </c>
      <c r="B1443" s="5">
        <v>43951.0</v>
      </c>
      <c r="C1443" s="6" t="s">
        <v>2089</v>
      </c>
      <c r="D1443" s="11">
        <f t="shared" si="1"/>
        <v>70</v>
      </c>
      <c r="E1443" s="8" t="str">
        <f t="shared" si="2"/>
        <v>https://resources.simonelectric.com/simon-catalogo-vehiculo-electrico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</row>
    <row r="1444" ht="15.75" customHeight="1">
      <c r="A1444" s="5" t="s">
        <v>2090</v>
      </c>
      <c r="B1444" s="5">
        <v>43951.0</v>
      </c>
      <c r="C1444" s="6" t="s">
        <v>2091</v>
      </c>
      <c r="D1444" s="11">
        <f t="shared" si="1"/>
        <v>70</v>
      </c>
      <c r="E1444" s="8" t="str">
        <f t="shared" si="2"/>
        <v>https://resources.simonelectric.com/simon-catalogo-vehiculo-electrico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</row>
    <row r="1445" ht="15.75" customHeight="1">
      <c r="A1445" s="5" t="s">
        <v>2092</v>
      </c>
      <c r="B1445" s="5">
        <v>43951.0</v>
      </c>
      <c r="C1445" s="6" t="s">
        <v>2093</v>
      </c>
      <c r="D1445" s="11">
        <f t="shared" si="1"/>
        <v>70</v>
      </c>
      <c r="E1445" s="8" t="str">
        <f t="shared" si="2"/>
        <v>https://resources.simonelectric.com/simon-catalogo-vehiculo-electrico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</row>
    <row r="1446" ht="15.75" customHeight="1">
      <c r="A1446" s="5" t="s">
        <v>2094</v>
      </c>
      <c r="B1446" s="5">
        <v>43951.0</v>
      </c>
      <c r="C1446" s="6" t="s">
        <v>2095</v>
      </c>
      <c r="D1446" s="11">
        <f t="shared" si="1"/>
        <v>70</v>
      </c>
      <c r="E1446" s="8" t="str">
        <f t="shared" si="2"/>
        <v>https://resources.simonelectric.com/simon-catalogo-vehiculo-electrico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</row>
    <row r="1447" ht="15.75" customHeight="1">
      <c r="A1447" s="5" t="s">
        <v>2096</v>
      </c>
      <c r="B1447" s="5">
        <v>43951.0</v>
      </c>
      <c r="C1447" s="6" t="s">
        <v>2097</v>
      </c>
      <c r="D1447" s="11">
        <f t="shared" si="1"/>
        <v>70</v>
      </c>
      <c r="E1447" s="8" t="str">
        <f t="shared" si="2"/>
        <v>https://resources.simonelectric.com/simon-catalogo-vehiculo-electrico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</row>
    <row r="1448" ht="15.75" customHeight="1">
      <c r="A1448" s="5" t="s">
        <v>2098</v>
      </c>
      <c r="B1448" s="5">
        <v>43951.0</v>
      </c>
      <c r="C1448" s="6" t="s">
        <v>2099</v>
      </c>
      <c r="D1448" s="11">
        <f t="shared" si="1"/>
        <v>70</v>
      </c>
      <c r="E1448" s="8" t="str">
        <f t="shared" si="2"/>
        <v>https://resources.simonelectric.com/simon-catalogo-vehiculo-electrico</v>
      </c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</row>
    <row r="1449" ht="15.75" customHeight="1">
      <c r="A1449" s="5" t="s">
        <v>2100</v>
      </c>
      <c r="B1449" s="5">
        <v>43951.0</v>
      </c>
      <c r="C1449" s="6" t="s">
        <v>2101</v>
      </c>
      <c r="D1449" s="11">
        <f t="shared" si="1"/>
        <v>70</v>
      </c>
      <c r="E1449" s="8" t="str">
        <f t="shared" si="2"/>
        <v>https://resources.simonelectric.com/simon-catalogo-vehiculo-electrico</v>
      </c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</row>
    <row r="1450" ht="15.75" customHeight="1">
      <c r="A1450" s="5" t="s">
        <v>2102</v>
      </c>
      <c r="B1450" s="5">
        <v>43951.0</v>
      </c>
      <c r="C1450" s="6" t="s">
        <v>2103</v>
      </c>
      <c r="D1450" s="11">
        <f t="shared" si="1"/>
        <v>70</v>
      </c>
      <c r="E1450" s="8" t="str">
        <f t="shared" si="2"/>
        <v>https://resources.simonelectric.com/simon-catalogo-vehiculo-electrico</v>
      </c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</row>
    <row r="1451" ht="15.75" customHeight="1">
      <c r="A1451" s="5" t="s">
        <v>1762</v>
      </c>
      <c r="B1451" s="5">
        <v>43951.0</v>
      </c>
      <c r="C1451" s="6" t="s">
        <v>2104</v>
      </c>
      <c r="D1451" s="11">
        <f t="shared" si="1"/>
        <v>70</v>
      </c>
      <c r="E1451" s="8" t="str">
        <f t="shared" si="2"/>
        <v>https://resources.simonelectric.com/simon-catalogo-vehiculo-electrico</v>
      </c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</row>
    <row r="1452" ht="15.75" customHeight="1">
      <c r="A1452" s="5" t="s">
        <v>2105</v>
      </c>
      <c r="B1452" s="5">
        <v>43951.0</v>
      </c>
      <c r="C1452" s="6" t="s">
        <v>2106</v>
      </c>
      <c r="D1452" s="11">
        <f t="shared" si="1"/>
        <v>70</v>
      </c>
      <c r="E1452" s="8" t="str">
        <f t="shared" si="2"/>
        <v>https://resources.simonelectric.com/simon-catalogo-vehiculo-electrico</v>
      </c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</row>
    <row r="1453" ht="15.75" customHeight="1">
      <c r="A1453" s="5" t="s">
        <v>2107</v>
      </c>
      <c r="B1453" s="5">
        <v>43951.0</v>
      </c>
      <c r="C1453" s="6" t="s">
        <v>2108</v>
      </c>
      <c r="D1453" s="11">
        <f t="shared" si="1"/>
        <v>70</v>
      </c>
      <c r="E1453" s="8" t="str">
        <f t="shared" si="2"/>
        <v>https://resources.simonelectric.com/simon-catalogo-vehiculo-electrico</v>
      </c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</row>
    <row r="1454" ht="15.75" customHeight="1">
      <c r="A1454" s="5" t="s">
        <v>2109</v>
      </c>
      <c r="B1454" s="5">
        <v>43951.0</v>
      </c>
      <c r="C1454" s="6" t="s">
        <v>2110</v>
      </c>
      <c r="D1454" s="11">
        <f t="shared" si="1"/>
        <v>70</v>
      </c>
      <c r="E1454" s="8" t="str">
        <f t="shared" si="2"/>
        <v>https://resources.simonelectric.com/simon-catalogo-vehiculo-electrico</v>
      </c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</row>
    <row r="1455" ht="15.75" customHeight="1">
      <c r="A1455" s="5" t="s">
        <v>2111</v>
      </c>
      <c r="B1455" s="5">
        <v>43951.0</v>
      </c>
      <c r="C1455" s="6" t="s">
        <v>2112</v>
      </c>
      <c r="D1455" s="11">
        <f t="shared" si="1"/>
        <v>70</v>
      </c>
      <c r="E1455" s="8" t="str">
        <f t="shared" si="2"/>
        <v>https://resources.simonelectric.com/simon-catalogo-vehiculo-electrico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</row>
    <row r="1456" ht="15.75" customHeight="1">
      <c r="A1456" s="5" t="s">
        <v>2113</v>
      </c>
      <c r="B1456" s="5">
        <v>43951.0</v>
      </c>
      <c r="C1456" s="6" t="s">
        <v>2114</v>
      </c>
      <c r="D1456" s="11">
        <f t="shared" si="1"/>
        <v>70</v>
      </c>
      <c r="E1456" s="8" t="str">
        <f t="shared" si="2"/>
        <v>https://resources.simonelectric.com/simon-catalogo-vehiculo-electrico</v>
      </c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</row>
    <row r="1457" ht="15.75" customHeight="1">
      <c r="A1457" s="5" t="s">
        <v>659</v>
      </c>
      <c r="B1457" s="5">
        <v>43951.0</v>
      </c>
      <c r="C1457" s="6" t="s">
        <v>2115</v>
      </c>
      <c r="D1457" s="11">
        <f t="shared" si="1"/>
        <v>70</v>
      </c>
      <c r="E1457" s="8" t="str">
        <f t="shared" si="2"/>
        <v>https://resources.simonelectric.com/simon-catalogo-vehiculo-electrico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</row>
    <row r="1458" ht="15.75" customHeight="1">
      <c r="A1458" s="5" t="s">
        <v>2116</v>
      </c>
      <c r="B1458" s="5">
        <v>43951.0</v>
      </c>
      <c r="C1458" s="6" t="s">
        <v>2117</v>
      </c>
      <c r="D1458" s="11">
        <f t="shared" si="1"/>
        <v>70</v>
      </c>
      <c r="E1458" s="8" t="str">
        <f t="shared" si="2"/>
        <v>https://resources.simonelectric.com/simon-catalogo-vehiculo-electrico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</row>
    <row r="1459" ht="15.75" customHeight="1">
      <c r="A1459" s="5" t="s">
        <v>2118</v>
      </c>
      <c r="B1459" s="5">
        <v>43951.0</v>
      </c>
      <c r="C1459" s="6" t="s">
        <v>2119</v>
      </c>
      <c r="D1459" s="11">
        <f t="shared" si="1"/>
        <v>70</v>
      </c>
      <c r="E1459" s="8" t="str">
        <f t="shared" si="2"/>
        <v>https://resources.simonelectric.com/simon-catalogo-vehiculo-electrico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</row>
    <row r="1460" ht="15.75" customHeight="1">
      <c r="A1460" s="5" t="s">
        <v>2120</v>
      </c>
      <c r="B1460" s="5">
        <v>43951.0</v>
      </c>
      <c r="C1460" s="6" t="s">
        <v>2121</v>
      </c>
      <c r="D1460" s="11">
        <f t="shared" si="1"/>
        <v>70</v>
      </c>
      <c r="E1460" s="8" t="str">
        <f t="shared" si="2"/>
        <v>https://resources.simonelectric.com/simon-catalogo-vehiculo-electrico</v>
      </c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</row>
    <row r="1461" ht="15.75" customHeight="1">
      <c r="A1461" s="5" t="s">
        <v>2122</v>
      </c>
      <c r="B1461" s="5">
        <v>43951.0</v>
      </c>
      <c r="C1461" s="6" t="s">
        <v>2123</v>
      </c>
      <c r="D1461" s="11">
        <f t="shared" si="1"/>
        <v>70</v>
      </c>
      <c r="E1461" s="8" t="str">
        <f t="shared" si="2"/>
        <v>https://resources.simonelectric.com/simon-catalogo-vehiculo-electrico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</row>
    <row r="1462" ht="15.75" customHeight="1">
      <c r="A1462" s="5" t="s">
        <v>2124</v>
      </c>
      <c r="B1462" s="5">
        <v>43951.0</v>
      </c>
      <c r="C1462" s="6" t="s">
        <v>2125</v>
      </c>
      <c r="D1462" s="11">
        <f t="shared" si="1"/>
        <v>70</v>
      </c>
      <c r="E1462" s="8" t="str">
        <f t="shared" si="2"/>
        <v>https://resources.simonelectric.com/simon-catalogo-vehiculo-electrico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</row>
    <row r="1463" ht="15.75" customHeight="1">
      <c r="A1463" s="5" t="s">
        <v>2126</v>
      </c>
      <c r="B1463" s="5">
        <v>43951.0</v>
      </c>
      <c r="C1463" s="6" t="s">
        <v>2127</v>
      </c>
      <c r="D1463" s="11">
        <f t="shared" si="1"/>
        <v>70</v>
      </c>
      <c r="E1463" s="8" t="str">
        <f t="shared" si="2"/>
        <v>https://resources.simonelectric.com/simon-catalogo-vehiculo-electrico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</row>
    <row r="1464" ht="15.75" customHeight="1">
      <c r="A1464" s="5" t="s">
        <v>2128</v>
      </c>
      <c r="B1464" s="5">
        <v>43951.0</v>
      </c>
      <c r="C1464" s="6" t="s">
        <v>2129</v>
      </c>
      <c r="D1464" s="11">
        <f t="shared" si="1"/>
        <v>70</v>
      </c>
      <c r="E1464" s="8" t="str">
        <f t="shared" si="2"/>
        <v>https://resources.simonelectric.com/simon-catalogo-vehiculo-electrico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</row>
    <row r="1465" ht="15.75" customHeight="1">
      <c r="A1465" s="5" t="s">
        <v>2130</v>
      </c>
      <c r="B1465" s="5">
        <v>43951.0</v>
      </c>
      <c r="C1465" s="6" t="s">
        <v>2131</v>
      </c>
      <c r="D1465" s="11">
        <f t="shared" si="1"/>
        <v>70</v>
      </c>
      <c r="E1465" s="8" t="str">
        <f t="shared" si="2"/>
        <v>https://resources.simonelectric.com/simon-catalogo-vehiculo-electrico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</row>
    <row r="1466" ht="15.75" customHeight="1">
      <c r="A1466" s="5" t="s">
        <v>2132</v>
      </c>
      <c r="B1466" s="5">
        <v>43951.0</v>
      </c>
      <c r="C1466" s="6" t="s">
        <v>2133</v>
      </c>
      <c r="D1466" s="11">
        <f t="shared" si="1"/>
        <v>70</v>
      </c>
      <c r="E1466" s="8" t="str">
        <f t="shared" si="2"/>
        <v>https://resources.simonelectric.com/simon-catalogo-vehiculo-electrico</v>
      </c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</row>
    <row r="1467" ht="15.75" customHeight="1">
      <c r="A1467" s="5" t="s">
        <v>2134</v>
      </c>
      <c r="B1467" s="5">
        <v>43951.0</v>
      </c>
      <c r="C1467" s="6" t="s">
        <v>2135</v>
      </c>
      <c r="D1467" s="11">
        <f t="shared" si="1"/>
        <v>70</v>
      </c>
      <c r="E1467" s="8" t="str">
        <f t="shared" si="2"/>
        <v>https://resources.simonelectric.com/simon-catalogo-vehiculo-electrico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</row>
    <row r="1468" ht="15.75" customHeight="1">
      <c r="A1468" s="5" t="s">
        <v>2136</v>
      </c>
      <c r="B1468" s="5">
        <v>43951.0</v>
      </c>
      <c r="C1468" s="6" t="s">
        <v>2137</v>
      </c>
      <c r="D1468" s="11">
        <f t="shared" si="1"/>
        <v>70</v>
      </c>
      <c r="E1468" s="8" t="str">
        <f t="shared" si="2"/>
        <v>https://resources.simonelectric.com/simon-catalogo-vehiculo-electrico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</row>
    <row r="1469" ht="15.75" customHeight="1">
      <c r="A1469" s="5" t="s">
        <v>2138</v>
      </c>
      <c r="B1469" s="5">
        <v>43951.0</v>
      </c>
      <c r="C1469" s="6" t="s">
        <v>2139</v>
      </c>
      <c r="D1469" s="11">
        <f t="shared" si="1"/>
        <v>70</v>
      </c>
      <c r="E1469" s="8" t="str">
        <f t="shared" si="2"/>
        <v>https://resources.simonelectric.com/simon-catalogo-vehiculo-electrico</v>
      </c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</row>
    <row r="1470" ht="15.75" customHeight="1">
      <c r="A1470" s="5" t="s">
        <v>2140</v>
      </c>
      <c r="B1470" s="5">
        <v>43951.0</v>
      </c>
      <c r="C1470" s="6" t="s">
        <v>2141</v>
      </c>
      <c r="D1470" s="11">
        <f t="shared" si="1"/>
        <v>70</v>
      </c>
      <c r="E1470" s="8" t="str">
        <f t="shared" si="2"/>
        <v>https://resources.simonelectric.com/simon-catalogo-vehiculo-electrico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</row>
    <row r="1471" ht="15.75" customHeight="1">
      <c r="A1471" s="5" t="s">
        <v>1785</v>
      </c>
      <c r="B1471" s="5">
        <v>43951.0</v>
      </c>
      <c r="C1471" s="6" t="s">
        <v>2142</v>
      </c>
      <c r="D1471" s="11">
        <f t="shared" si="1"/>
        <v>70</v>
      </c>
      <c r="E1471" s="8" t="str">
        <f t="shared" si="2"/>
        <v>https://resources.simonelectric.com/simon-catalogo-vehiculo-electrico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</row>
    <row r="1472" ht="15.75" customHeight="1">
      <c r="A1472" s="5" t="s">
        <v>2143</v>
      </c>
      <c r="B1472" s="5">
        <v>43951.0</v>
      </c>
      <c r="C1472" s="6" t="s">
        <v>2144</v>
      </c>
      <c r="D1472" s="11">
        <f t="shared" si="1"/>
        <v>70</v>
      </c>
      <c r="E1472" s="8" t="str">
        <f t="shared" si="2"/>
        <v>https://resources.simonelectric.com/simon-catalogo-vehiculo-electrico</v>
      </c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</row>
    <row r="1473" ht="15.75" customHeight="1">
      <c r="A1473" s="5" t="s">
        <v>2145</v>
      </c>
      <c r="B1473" s="5">
        <v>43951.0</v>
      </c>
      <c r="C1473" s="6" t="s">
        <v>2146</v>
      </c>
      <c r="D1473" s="11">
        <f t="shared" si="1"/>
        <v>70</v>
      </c>
      <c r="E1473" s="8" t="str">
        <f t="shared" si="2"/>
        <v>https://resources.simonelectric.com/simon-catalogo-vehiculo-electrico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</row>
    <row r="1474" ht="15.75" customHeight="1">
      <c r="A1474" s="5" t="s">
        <v>2147</v>
      </c>
      <c r="B1474" s="5">
        <v>43951.0</v>
      </c>
      <c r="C1474" s="6" t="s">
        <v>2148</v>
      </c>
      <c r="D1474" s="11">
        <f t="shared" si="1"/>
        <v>70</v>
      </c>
      <c r="E1474" s="8" t="str">
        <f t="shared" si="2"/>
        <v>https://resources.simonelectric.com/simon-catalogo-vehiculo-electrico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</row>
    <row r="1475" ht="15.75" customHeight="1">
      <c r="A1475" s="5" t="s">
        <v>2149</v>
      </c>
      <c r="B1475" s="5">
        <v>43951.0</v>
      </c>
      <c r="C1475" s="6" t="s">
        <v>2150</v>
      </c>
      <c r="D1475" s="11">
        <f t="shared" si="1"/>
        <v>70</v>
      </c>
      <c r="E1475" s="8" t="str">
        <f t="shared" si="2"/>
        <v>https://resources.simonelectric.com/simon-catalogo-vehiculo-electrico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</row>
    <row r="1476" ht="15.75" customHeight="1">
      <c r="A1476" s="5" t="s">
        <v>2151</v>
      </c>
      <c r="B1476" s="5">
        <v>43951.0</v>
      </c>
      <c r="C1476" s="6" t="s">
        <v>2152</v>
      </c>
      <c r="D1476" s="11">
        <f t="shared" si="1"/>
        <v>70</v>
      </c>
      <c r="E1476" s="8" t="str">
        <f t="shared" si="2"/>
        <v>https://resources.simonelectric.com/simon-catalogo-vehiculo-electrico</v>
      </c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</row>
    <row r="1477" ht="15.75" customHeight="1">
      <c r="A1477" s="5" t="s">
        <v>2153</v>
      </c>
      <c r="B1477" s="5">
        <v>43951.0</v>
      </c>
      <c r="C1477" s="6" t="s">
        <v>2154</v>
      </c>
      <c r="D1477" s="11">
        <f t="shared" si="1"/>
        <v>70</v>
      </c>
      <c r="E1477" s="8" t="str">
        <f t="shared" si="2"/>
        <v>https://resources.simonelectric.com/simon-catalogo-vehiculo-electrico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</row>
    <row r="1478" ht="15.75" customHeight="1">
      <c r="A1478" s="5" t="s">
        <v>2155</v>
      </c>
      <c r="B1478" s="5">
        <v>43951.0</v>
      </c>
      <c r="C1478" s="6" t="s">
        <v>2156</v>
      </c>
      <c r="D1478" s="11">
        <f t="shared" si="1"/>
        <v>70</v>
      </c>
      <c r="E1478" s="8" t="str">
        <f t="shared" si="2"/>
        <v>https://resources.simonelectric.com/simon-catalogo-vehiculo-electrico</v>
      </c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</row>
    <row r="1479" ht="15.75" customHeight="1">
      <c r="A1479" s="5" t="s">
        <v>2157</v>
      </c>
      <c r="B1479" s="5">
        <v>43951.0</v>
      </c>
      <c r="C1479" s="6" t="s">
        <v>2158</v>
      </c>
      <c r="D1479" s="11">
        <f t="shared" si="1"/>
        <v>70</v>
      </c>
      <c r="E1479" s="8" t="str">
        <f t="shared" si="2"/>
        <v>https://resources.simonelectric.com/simon-catalogo-vehiculo-electrico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</row>
    <row r="1480" ht="15.75" customHeight="1">
      <c r="A1480" s="5" t="s">
        <v>2159</v>
      </c>
      <c r="B1480" s="5">
        <v>43951.0</v>
      </c>
      <c r="C1480" s="6" t="s">
        <v>55</v>
      </c>
      <c r="D1480" s="11">
        <f t="shared" si="1"/>
        <v>71</v>
      </c>
      <c r="E1480" s="8" t="str">
        <f t="shared" si="2"/>
        <v>https://resources.simonelectric.com/simon-ebook-vehiculo-electrico-ppc</v>
      </c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</row>
    <row r="1481" ht="15.75" customHeight="1">
      <c r="A1481" s="5" t="s">
        <v>2160</v>
      </c>
      <c r="B1481" s="5">
        <v>43951.0</v>
      </c>
      <c r="C1481" s="6" t="s">
        <v>55</v>
      </c>
      <c r="D1481" s="11">
        <f t="shared" si="1"/>
        <v>71</v>
      </c>
      <c r="E1481" s="8" t="str">
        <f t="shared" si="2"/>
        <v>https://resources.simonelectric.com/simon-ebook-vehiculo-electrico-ppc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</row>
    <row r="1482" ht="15.75" customHeight="1">
      <c r="A1482" s="5" t="s">
        <v>2161</v>
      </c>
      <c r="B1482" s="5">
        <v>43951.0</v>
      </c>
      <c r="C1482" s="6" t="s">
        <v>2162</v>
      </c>
      <c r="D1482" s="11">
        <f t="shared" si="1"/>
        <v>70</v>
      </c>
      <c r="E1482" s="8" t="str">
        <f t="shared" si="2"/>
        <v>https://resources.simonelectric.com/simon-catalogo-vehiculo-electrico</v>
      </c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</row>
    <row r="1483" ht="15.75" customHeight="1">
      <c r="A1483" s="5" t="s">
        <v>429</v>
      </c>
      <c r="B1483" s="5">
        <v>43951.0</v>
      </c>
      <c r="C1483" s="6" t="s">
        <v>2163</v>
      </c>
      <c r="D1483" s="11">
        <f t="shared" si="1"/>
        <v>70</v>
      </c>
      <c r="E1483" s="8" t="str">
        <f t="shared" si="2"/>
        <v>https://resources.simonelectric.com/simon-catalogo-vehiculo-electrico</v>
      </c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</row>
    <row r="1484" ht="15.75" customHeight="1">
      <c r="A1484" s="5" t="s">
        <v>2164</v>
      </c>
      <c r="B1484" s="5">
        <v>43951.0</v>
      </c>
      <c r="C1484" s="6" t="s">
        <v>2165</v>
      </c>
      <c r="D1484" s="11">
        <f t="shared" si="1"/>
        <v>70</v>
      </c>
      <c r="E1484" s="8" t="str">
        <f t="shared" si="2"/>
        <v>https://resources.simonelectric.com/simon-catalogo-vehiculo-electrico</v>
      </c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</row>
    <row r="1485" ht="15.75" customHeight="1">
      <c r="A1485" s="5" t="s">
        <v>2166</v>
      </c>
      <c r="B1485" s="5">
        <v>43951.0</v>
      </c>
      <c r="C1485" s="6" t="s">
        <v>2167</v>
      </c>
      <c r="D1485" s="11">
        <f t="shared" si="1"/>
        <v>70</v>
      </c>
      <c r="E1485" s="8" t="str">
        <f t="shared" si="2"/>
        <v>https://resources.simonelectric.com/simon-catalogo-vehiculo-electrico</v>
      </c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</row>
    <row r="1486" ht="15.75" customHeight="1">
      <c r="A1486" s="5" t="s">
        <v>2168</v>
      </c>
      <c r="B1486" s="5">
        <v>43950.0</v>
      </c>
      <c r="C1486" s="6" t="s">
        <v>2169</v>
      </c>
      <c r="D1486" s="11">
        <f t="shared" si="1"/>
        <v>70</v>
      </c>
      <c r="E1486" s="8" t="str">
        <f t="shared" si="2"/>
        <v>https://resources.simonelectric.com/simon-catalogo-vehiculo-electrico</v>
      </c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</row>
    <row r="1487" ht="15.75" customHeight="1">
      <c r="A1487" s="5" t="s">
        <v>2170</v>
      </c>
      <c r="B1487" s="5">
        <v>43950.0</v>
      </c>
      <c r="C1487" s="6" t="s">
        <v>2171</v>
      </c>
      <c r="D1487" s="11">
        <f t="shared" si="1"/>
        <v>70</v>
      </c>
      <c r="E1487" s="8" t="str">
        <f t="shared" si="2"/>
        <v>https://resources.simonelectric.com/simon-catalogo-vehiculo-electrico</v>
      </c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</row>
    <row r="1488" ht="15.75" customHeight="1">
      <c r="A1488" s="5" t="s">
        <v>2172</v>
      </c>
      <c r="B1488" s="5">
        <v>43950.0</v>
      </c>
      <c r="C1488" s="6" t="s">
        <v>2173</v>
      </c>
      <c r="D1488" s="11">
        <f t="shared" si="1"/>
        <v>70</v>
      </c>
      <c r="E1488" s="8" t="str">
        <f t="shared" si="2"/>
        <v>https://resources.simonelectric.com/simon-catalogo-vehiculo-electrico</v>
      </c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</row>
    <row r="1489" ht="15.75" customHeight="1">
      <c r="A1489" s="5" t="s">
        <v>2174</v>
      </c>
      <c r="B1489" s="5">
        <v>43950.0</v>
      </c>
      <c r="C1489" s="6" t="s">
        <v>2175</v>
      </c>
      <c r="D1489" s="11">
        <f t="shared" si="1"/>
        <v>70</v>
      </c>
      <c r="E1489" s="8" t="str">
        <f t="shared" si="2"/>
        <v>https://resources.simonelectric.com/simon-catalogo-vehiculo-electrico</v>
      </c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</row>
    <row r="1490" ht="15.75" customHeight="1">
      <c r="A1490" s="5" t="s">
        <v>2176</v>
      </c>
      <c r="B1490" s="5">
        <v>43950.0</v>
      </c>
      <c r="C1490" s="6" t="s">
        <v>2177</v>
      </c>
      <c r="D1490" s="11">
        <f t="shared" si="1"/>
        <v>70</v>
      </c>
      <c r="E1490" s="8" t="str">
        <f t="shared" si="2"/>
        <v>https://resources.simonelectric.com/simon-catalogo-vehiculo-electrico</v>
      </c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</row>
    <row r="1491" ht="15.75" customHeight="1">
      <c r="A1491" s="5" t="s">
        <v>2178</v>
      </c>
      <c r="B1491" s="5">
        <v>43950.0</v>
      </c>
      <c r="C1491" s="6" t="s">
        <v>2179</v>
      </c>
      <c r="D1491" s="11">
        <f t="shared" si="1"/>
        <v>70</v>
      </c>
      <c r="E1491" s="8" t="str">
        <f t="shared" si="2"/>
        <v>https://resources.simonelectric.com/simon-catalogo-vehiculo-electrico</v>
      </c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</row>
    <row r="1492" ht="15.75" customHeight="1">
      <c r="A1492" s="5" t="s">
        <v>2180</v>
      </c>
      <c r="B1492" s="5">
        <v>43950.0</v>
      </c>
      <c r="C1492" s="6" t="s">
        <v>2181</v>
      </c>
      <c r="D1492" s="11">
        <f t="shared" si="1"/>
        <v>70</v>
      </c>
      <c r="E1492" s="8" t="str">
        <f t="shared" si="2"/>
        <v>https://resources.simonelectric.com/simon-catalogo-vehiculo-electrico</v>
      </c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</row>
    <row r="1493" ht="15.75" customHeight="1">
      <c r="A1493" s="5" t="s">
        <v>2182</v>
      </c>
      <c r="B1493" s="5">
        <v>43950.0</v>
      </c>
      <c r="C1493" s="6" t="s">
        <v>2183</v>
      </c>
      <c r="D1493" s="11">
        <f t="shared" si="1"/>
        <v>70</v>
      </c>
      <c r="E1493" s="8" t="str">
        <f t="shared" si="2"/>
        <v>https://resources.simonelectric.com/simon-catalogo-vehiculo-electrico</v>
      </c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</row>
    <row r="1494" ht="15.75" customHeight="1">
      <c r="A1494" s="5" t="s">
        <v>2184</v>
      </c>
      <c r="B1494" s="5">
        <v>43950.0</v>
      </c>
      <c r="C1494" s="6" t="s">
        <v>2185</v>
      </c>
      <c r="D1494" s="11">
        <f t="shared" si="1"/>
        <v>70</v>
      </c>
      <c r="E1494" s="8" t="str">
        <f t="shared" si="2"/>
        <v>https://resources.simonelectric.com/simon-catalogo-vehiculo-electrico</v>
      </c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</row>
    <row r="1495" ht="15.75" customHeight="1">
      <c r="A1495" s="5" t="s">
        <v>2186</v>
      </c>
      <c r="B1495" s="5">
        <v>43950.0</v>
      </c>
      <c r="C1495" s="6" t="s">
        <v>2187</v>
      </c>
      <c r="D1495" s="11">
        <f t="shared" si="1"/>
        <v>70</v>
      </c>
      <c r="E1495" s="8" t="str">
        <f t="shared" si="2"/>
        <v>https://resources.simonelectric.com/simon-catalogo-vehiculo-electrico</v>
      </c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</row>
    <row r="1496" ht="15.75" customHeight="1">
      <c r="A1496" s="5" t="s">
        <v>2188</v>
      </c>
      <c r="B1496" s="5">
        <v>43950.0</v>
      </c>
      <c r="C1496" s="6" t="s">
        <v>2189</v>
      </c>
      <c r="D1496" s="11">
        <f t="shared" si="1"/>
        <v>70</v>
      </c>
      <c r="E1496" s="8" t="str">
        <f t="shared" si="2"/>
        <v>https://resources.simonelectric.com/simon-catalogo-vehiculo-electrico</v>
      </c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</row>
    <row r="1497" ht="15.75" customHeight="1">
      <c r="A1497" s="5" t="s">
        <v>2190</v>
      </c>
      <c r="B1497" s="5">
        <v>43950.0</v>
      </c>
      <c r="C1497" s="6" t="s">
        <v>2191</v>
      </c>
      <c r="D1497" s="11">
        <f t="shared" si="1"/>
        <v>70</v>
      </c>
      <c r="E1497" s="8" t="str">
        <f t="shared" si="2"/>
        <v>https://resources.simonelectric.com/simon-catalogo-vehiculo-electrico</v>
      </c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</row>
    <row r="1498" ht="15.75" customHeight="1">
      <c r="A1498" s="5" t="s">
        <v>2192</v>
      </c>
      <c r="B1498" s="5">
        <v>43950.0</v>
      </c>
      <c r="C1498" s="6" t="s">
        <v>2193</v>
      </c>
      <c r="D1498" s="11">
        <f t="shared" si="1"/>
        <v>70</v>
      </c>
      <c r="E1498" s="8" t="str">
        <f t="shared" si="2"/>
        <v>https://resources.simonelectric.com/simon-catalogo-vehiculo-electrico</v>
      </c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</row>
    <row r="1499" ht="15.75" customHeight="1">
      <c r="A1499" s="5" t="s">
        <v>2194</v>
      </c>
      <c r="B1499" s="5">
        <v>43950.0</v>
      </c>
      <c r="C1499" s="6" t="s">
        <v>2195</v>
      </c>
      <c r="D1499" s="11">
        <f t="shared" si="1"/>
        <v>70</v>
      </c>
      <c r="E1499" s="8" t="str">
        <f t="shared" si="2"/>
        <v>https://resources.simonelectric.com/simon-catalogo-vehiculo-electrico</v>
      </c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</row>
    <row r="1500" ht="15.75" customHeight="1">
      <c r="A1500" s="5" t="s">
        <v>2196</v>
      </c>
      <c r="B1500" s="5">
        <v>43950.0</v>
      </c>
      <c r="C1500" s="6" t="s">
        <v>2197</v>
      </c>
      <c r="D1500" s="11">
        <f t="shared" si="1"/>
        <v>70</v>
      </c>
      <c r="E1500" s="8" t="str">
        <f t="shared" si="2"/>
        <v>https://resources.simonelectric.com/simon-catalogo-vehiculo-electrico</v>
      </c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</row>
    <row r="1501" ht="15.75" customHeight="1">
      <c r="A1501" s="5" t="s">
        <v>2198</v>
      </c>
      <c r="B1501" s="5">
        <v>43950.0</v>
      </c>
      <c r="C1501" s="6" t="s">
        <v>2199</v>
      </c>
      <c r="D1501" s="11">
        <f t="shared" si="1"/>
        <v>70</v>
      </c>
      <c r="E1501" s="8" t="str">
        <f t="shared" si="2"/>
        <v>https://resources.simonelectric.com/simon-catalogo-vehiculo-electrico</v>
      </c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</row>
    <row r="1502" ht="15.75" customHeight="1">
      <c r="A1502" s="5" t="s">
        <v>2200</v>
      </c>
      <c r="B1502" s="5">
        <v>43950.0</v>
      </c>
      <c r="C1502" s="6" t="s">
        <v>2201</v>
      </c>
      <c r="D1502" s="11">
        <f t="shared" si="1"/>
        <v>70</v>
      </c>
      <c r="E1502" s="8" t="str">
        <f t="shared" si="2"/>
        <v>https://resources.simonelectric.com/simon-catalogo-vehiculo-electrico</v>
      </c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</row>
    <row r="1503" ht="15.75" customHeight="1">
      <c r="A1503" s="5" t="s">
        <v>2202</v>
      </c>
      <c r="B1503" s="5">
        <v>43950.0</v>
      </c>
      <c r="C1503" s="6" t="s">
        <v>2203</v>
      </c>
      <c r="D1503" s="11">
        <f t="shared" si="1"/>
        <v>70</v>
      </c>
      <c r="E1503" s="8" t="str">
        <f t="shared" si="2"/>
        <v>https://resources.simonelectric.com/simon-catalogo-vehiculo-electrico</v>
      </c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</row>
    <row r="1504" ht="15.75" customHeight="1">
      <c r="A1504" s="5" t="s">
        <v>2204</v>
      </c>
      <c r="B1504" s="5">
        <v>43950.0</v>
      </c>
      <c r="C1504" s="6" t="s">
        <v>2205</v>
      </c>
      <c r="D1504" s="11">
        <f t="shared" si="1"/>
        <v>70</v>
      </c>
      <c r="E1504" s="8" t="str">
        <f t="shared" si="2"/>
        <v>https://resources.simonelectric.com/simon-catalogo-vehiculo-electrico</v>
      </c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</row>
    <row r="1505" ht="15.75" customHeight="1">
      <c r="A1505" s="5" t="s">
        <v>2206</v>
      </c>
      <c r="B1505" s="5">
        <v>43950.0</v>
      </c>
      <c r="C1505" s="6" t="s">
        <v>2207</v>
      </c>
      <c r="D1505" s="11">
        <f t="shared" si="1"/>
        <v>70</v>
      </c>
      <c r="E1505" s="8" t="str">
        <f t="shared" si="2"/>
        <v>https://resources.simonelectric.com/simon-catalogo-vehiculo-electrico</v>
      </c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</row>
    <row r="1506" ht="15.75" customHeight="1">
      <c r="A1506" s="5" t="s">
        <v>2208</v>
      </c>
      <c r="B1506" s="5">
        <v>43950.0</v>
      </c>
      <c r="C1506" s="6" t="s">
        <v>2209</v>
      </c>
      <c r="D1506" s="11">
        <f t="shared" si="1"/>
        <v>70</v>
      </c>
      <c r="E1506" s="8" t="str">
        <f t="shared" si="2"/>
        <v>https://resources.simonelectric.com/simon-catalogo-vehiculo-electrico</v>
      </c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</row>
    <row r="1507" ht="15.75" customHeight="1">
      <c r="A1507" s="5" t="s">
        <v>2210</v>
      </c>
      <c r="B1507" s="5">
        <v>43950.0</v>
      </c>
      <c r="C1507" s="6" t="s">
        <v>2211</v>
      </c>
      <c r="D1507" s="11">
        <f t="shared" si="1"/>
        <v>70</v>
      </c>
      <c r="E1507" s="8" t="str">
        <f t="shared" si="2"/>
        <v>https://resources.simonelectric.com/simon-catalogo-vehiculo-electrico</v>
      </c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</row>
    <row r="1508" ht="15.75" customHeight="1">
      <c r="A1508" s="5" t="s">
        <v>2212</v>
      </c>
      <c r="B1508" s="5">
        <v>43950.0</v>
      </c>
      <c r="C1508" s="6" t="s">
        <v>2213</v>
      </c>
      <c r="D1508" s="11">
        <f t="shared" si="1"/>
        <v>70</v>
      </c>
      <c r="E1508" s="8" t="str">
        <f t="shared" si="2"/>
        <v>https://resources.simonelectric.com/simon-catalogo-vehiculo-electrico</v>
      </c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</row>
    <row r="1509" ht="15.75" customHeight="1">
      <c r="A1509" s="5" t="s">
        <v>1512</v>
      </c>
      <c r="B1509" s="5">
        <v>43950.0</v>
      </c>
      <c r="C1509" s="6" t="s">
        <v>2214</v>
      </c>
      <c r="D1509" s="11">
        <f t="shared" si="1"/>
        <v>70</v>
      </c>
      <c r="E1509" s="8" t="str">
        <f t="shared" si="2"/>
        <v>https://resources.simonelectric.com/simon-catalogo-vehiculo-electrico</v>
      </c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</row>
    <row r="1510" ht="15.75" customHeight="1">
      <c r="A1510" s="5" t="s">
        <v>2215</v>
      </c>
      <c r="B1510" s="5">
        <v>43950.0</v>
      </c>
      <c r="C1510" s="6" t="s">
        <v>2216</v>
      </c>
      <c r="D1510" s="11">
        <f t="shared" si="1"/>
        <v>70</v>
      </c>
      <c r="E1510" s="8" t="str">
        <f t="shared" si="2"/>
        <v>https://resources.simonelectric.com/simon-catalogo-vehiculo-electrico</v>
      </c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</row>
    <row r="1511" ht="15.75" customHeight="1">
      <c r="A1511" s="5" t="s">
        <v>2217</v>
      </c>
      <c r="B1511" s="5">
        <v>43950.0</v>
      </c>
      <c r="C1511" s="6" t="s">
        <v>2218</v>
      </c>
      <c r="D1511" s="11">
        <f t="shared" si="1"/>
        <v>70</v>
      </c>
      <c r="E1511" s="8" t="str">
        <f t="shared" si="2"/>
        <v>https://resources.simonelectric.com/simon-catalogo-vehiculo-electrico</v>
      </c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</row>
    <row r="1512" ht="15.75" customHeight="1">
      <c r="A1512" s="5" t="s">
        <v>2219</v>
      </c>
      <c r="B1512" s="5">
        <v>43950.0</v>
      </c>
      <c r="C1512" s="6" t="s">
        <v>2220</v>
      </c>
      <c r="D1512" s="11">
        <f t="shared" si="1"/>
        <v>70</v>
      </c>
      <c r="E1512" s="8" t="str">
        <f t="shared" si="2"/>
        <v>https://resources.simonelectric.com/simon-catalogo-vehiculo-electrico</v>
      </c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</row>
    <row r="1513" ht="15.75" customHeight="1">
      <c r="A1513" s="5" t="s">
        <v>2221</v>
      </c>
      <c r="B1513" s="5">
        <v>43950.0</v>
      </c>
      <c r="C1513" s="6" t="s">
        <v>2222</v>
      </c>
      <c r="D1513" s="11">
        <f t="shared" si="1"/>
        <v>70</v>
      </c>
      <c r="E1513" s="8" t="str">
        <f t="shared" si="2"/>
        <v>https://resources.simonelectric.com/simon-catalogo-vehiculo-electrico</v>
      </c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</row>
    <row r="1514" ht="15.75" customHeight="1">
      <c r="A1514" s="5" t="s">
        <v>2223</v>
      </c>
      <c r="B1514" s="5">
        <v>43950.0</v>
      </c>
      <c r="C1514" s="6" t="s">
        <v>2224</v>
      </c>
      <c r="D1514" s="11">
        <f t="shared" si="1"/>
        <v>70</v>
      </c>
      <c r="E1514" s="8" t="str">
        <f t="shared" si="2"/>
        <v>https://resources.simonelectric.com/simon-catalogo-vehiculo-electrico</v>
      </c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</row>
    <row r="1515" ht="15.75" customHeight="1">
      <c r="A1515" s="5" t="s">
        <v>2225</v>
      </c>
      <c r="B1515" s="5">
        <v>43950.0</v>
      </c>
      <c r="C1515" s="6" t="s">
        <v>2226</v>
      </c>
      <c r="D1515" s="11">
        <f t="shared" si="1"/>
        <v>70</v>
      </c>
      <c r="E1515" s="8" t="str">
        <f t="shared" si="2"/>
        <v>https://resources.simonelectric.com/simon-catalogo-vehiculo-electrico</v>
      </c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</row>
    <row r="1516" ht="15.75" customHeight="1">
      <c r="A1516" s="5" t="s">
        <v>2227</v>
      </c>
      <c r="B1516" s="5">
        <v>43950.0</v>
      </c>
      <c r="C1516" s="6" t="s">
        <v>2228</v>
      </c>
      <c r="D1516" s="11">
        <f t="shared" si="1"/>
        <v>70</v>
      </c>
      <c r="E1516" s="8" t="str">
        <f t="shared" si="2"/>
        <v>https://resources.simonelectric.com/simon-catalogo-vehiculo-electrico</v>
      </c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</row>
    <row r="1517" ht="15.75" customHeight="1">
      <c r="A1517" s="5" t="s">
        <v>2221</v>
      </c>
      <c r="B1517" s="5">
        <v>43950.0</v>
      </c>
      <c r="C1517" s="6" t="s">
        <v>2229</v>
      </c>
      <c r="D1517" s="11">
        <f t="shared" si="1"/>
        <v>70</v>
      </c>
      <c r="E1517" s="8" t="str">
        <f t="shared" si="2"/>
        <v>https://resources.simonelectric.com/simon-catalogo-vehiculo-electrico</v>
      </c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</row>
    <row r="1518" ht="15.75" customHeight="1">
      <c r="A1518" s="5" t="s">
        <v>2230</v>
      </c>
      <c r="B1518" s="5">
        <v>43950.0</v>
      </c>
      <c r="C1518" s="6" t="s">
        <v>2231</v>
      </c>
      <c r="D1518" s="11">
        <f t="shared" si="1"/>
        <v>70</v>
      </c>
      <c r="E1518" s="8" t="str">
        <f t="shared" si="2"/>
        <v>https://resources.simonelectric.com/simon-catalogo-vehiculo-electrico</v>
      </c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</row>
    <row r="1519" ht="15.75" customHeight="1">
      <c r="A1519" s="5" t="s">
        <v>2232</v>
      </c>
      <c r="B1519" s="5">
        <v>43950.0</v>
      </c>
      <c r="C1519" s="6" t="s">
        <v>2233</v>
      </c>
      <c r="D1519" s="11">
        <f t="shared" si="1"/>
        <v>70</v>
      </c>
      <c r="E1519" s="8" t="str">
        <f t="shared" si="2"/>
        <v>https://resources.simonelectric.com/simon-catalogo-vehiculo-electrico</v>
      </c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</row>
    <row r="1520" ht="15.75" customHeight="1">
      <c r="A1520" s="5" t="s">
        <v>2234</v>
      </c>
      <c r="B1520" s="5">
        <v>43950.0</v>
      </c>
      <c r="C1520" s="6" t="s">
        <v>2235</v>
      </c>
      <c r="D1520" s="11">
        <f t="shared" si="1"/>
        <v>70</v>
      </c>
      <c r="E1520" s="8" t="str">
        <f t="shared" si="2"/>
        <v>https://resources.simonelectric.com/simon-catalogo-vehiculo-electrico</v>
      </c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</row>
    <row r="1521" ht="15.75" customHeight="1">
      <c r="A1521" s="5" t="s">
        <v>2236</v>
      </c>
      <c r="B1521" s="5">
        <v>43950.0</v>
      </c>
      <c r="C1521" s="6" t="s">
        <v>2237</v>
      </c>
      <c r="D1521" s="11">
        <f t="shared" si="1"/>
        <v>70</v>
      </c>
      <c r="E1521" s="8" t="str">
        <f t="shared" si="2"/>
        <v>https://resources.simonelectric.com/simon-catalogo-vehiculo-electrico</v>
      </c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</row>
    <row r="1522" ht="15.75" customHeight="1">
      <c r="A1522" s="5" t="s">
        <v>681</v>
      </c>
      <c r="B1522" s="5">
        <v>43950.0</v>
      </c>
      <c r="C1522" s="6" t="s">
        <v>2238</v>
      </c>
      <c r="D1522" s="11">
        <f t="shared" si="1"/>
        <v>70</v>
      </c>
      <c r="E1522" s="8" t="str">
        <f t="shared" si="2"/>
        <v>https://resources.simonelectric.com/simon-catalogo-vehiculo-electrico</v>
      </c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</row>
    <row r="1523" ht="15.75" customHeight="1">
      <c r="A1523" s="5" t="s">
        <v>2239</v>
      </c>
      <c r="B1523" s="5">
        <v>43950.0</v>
      </c>
      <c r="C1523" s="6" t="s">
        <v>2240</v>
      </c>
      <c r="D1523" s="11">
        <f t="shared" si="1"/>
        <v>70</v>
      </c>
      <c r="E1523" s="8" t="str">
        <f t="shared" si="2"/>
        <v>https://resources.simonelectric.com/simon-catalogo-vehiculo-electrico</v>
      </c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</row>
    <row r="1524" ht="15.75" customHeight="1">
      <c r="A1524" s="5" t="s">
        <v>2241</v>
      </c>
      <c r="B1524" s="5">
        <v>43950.0</v>
      </c>
      <c r="C1524" s="6" t="s">
        <v>2242</v>
      </c>
      <c r="D1524" s="11">
        <f t="shared" si="1"/>
        <v>70</v>
      </c>
      <c r="E1524" s="8" t="str">
        <f t="shared" si="2"/>
        <v>https://resources.simonelectric.com/simon-catalogo-vehiculo-electrico</v>
      </c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</row>
    <row r="1525" ht="15.75" customHeight="1">
      <c r="A1525" s="5" t="s">
        <v>2243</v>
      </c>
      <c r="B1525" s="5">
        <v>43950.0</v>
      </c>
      <c r="C1525" s="6" t="s">
        <v>2244</v>
      </c>
      <c r="D1525" s="11">
        <f t="shared" si="1"/>
        <v>70</v>
      </c>
      <c r="E1525" s="8" t="str">
        <f t="shared" si="2"/>
        <v>https://resources.simonelectric.com/simon-catalogo-vehiculo-electrico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</row>
    <row r="1526" ht="15.75" customHeight="1">
      <c r="A1526" s="5" t="s">
        <v>2245</v>
      </c>
      <c r="B1526" s="5">
        <v>43950.0</v>
      </c>
      <c r="C1526" s="6" t="s">
        <v>2246</v>
      </c>
      <c r="D1526" s="11">
        <f t="shared" si="1"/>
        <v>70</v>
      </c>
      <c r="E1526" s="8" t="str">
        <f t="shared" si="2"/>
        <v>https://resources.simonelectric.com/simon-catalogo-vehiculo-electrico</v>
      </c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</row>
    <row r="1527" ht="15.75" customHeight="1">
      <c r="A1527" s="5" t="s">
        <v>2247</v>
      </c>
      <c r="B1527" s="5">
        <v>43950.0</v>
      </c>
      <c r="C1527" s="6" t="s">
        <v>2248</v>
      </c>
      <c r="D1527" s="11">
        <f t="shared" si="1"/>
        <v>70</v>
      </c>
      <c r="E1527" s="8" t="str">
        <f t="shared" si="2"/>
        <v>https://resources.simonelectric.com/simon-catalogo-vehiculo-electrico</v>
      </c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</row>
    <row r="1528" ht="15.75" customHeight="1">
      <c r="A1528" s="5" t="s">
        <v>2247</v>
      </c>
      <c r="B1528" s="5">
        <v>43950.0</v>
      </c>
      <c r="C1528" s="6" t="s">
        <v>2249</v>
      </c>
      <c r="D1528" s="11">
        <f t="shared" si="1"/>
        <v>70</v>
      </c>
      <c r="E1528" s="8" t="str">
        <f t="shared" si="2"/>
        <v>https://resources.simonelectric.com/simon-catalogo-vehiculo-electrico</v>
      </c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</row>
    <row r="1529" ht="15.75" customHeight="1">
      <c r="A1529" s="5" t="s">
        <v>2250</v>
      </c>
      <c r="B1529" s="5">
        <v>43950.0</v>
      </c>
      <c r="C1529" s="6" t="s">
        <v>2251</v>
      </c>
      <c r="D1529" s="11">
        <f t="shared" si="1"/>
        <v>70</v>
      </c>
      <c r="E1529" s="8" t="str">
        <f t="shared" si="2"/>
        <v>https://resources.simonelectric.com/simon-catalogo-vehiculo-electrico</v>
      </c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</row>
    <row r="1530" ht="15.75" customHeight="1">
      <c r="A1530" s="5" t="s">
        <v>2252</v>
      </c>
      <c r="B1530" s="5">
        <v>43950.0</v>
      </c>
      <c r="C1530" s="6" t="s">
        <v>2253</v>
      </c>
      <c r="D1530" s="11">
        <f t="shared" si="1"/>
        <v>70</v>
      </c>
      <c r="E1530" s="8" t="str">
        <f t="shared" si="2"/>
        <v>https://resources.simonelectric.com/simon-catalogo-vehiculo-electrico</v>
      </c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</row>
    <row r="1531" ht="15.75" customHeight="1">
      <c r="A1531" s="5" t="s">
        <v>2254</v>
      </c>
      <c r="B1531" s="5">
        <v>43950.0</v>
      </c>
      <c r="C1531" s="6" t="s">
        <v>2255</v>
      </c>
      <c r="D1531" s="11">
        <f t="shared" si="1"/>
        <v>70</v>
      </c>
      <c r="E1531" s="8" t="str">
        <f t="shared" si="2"/>
        <v>https://resources.simonelectric.com/simon-catalogo-vehiculo-electrico</v>
      </c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</row>
    <row r="1532" ht="15.75" customHeight="1">
      <c r="A1532" s="5" t="s">
        <v>2256</v>
      </c>
      <c r="B1532" s="5">
        <v>43950.0</v>
      </c>
      <c r="C1532" s="6" t="s">
        <v>2257</v>
      </c>
      <c r="D1532" s="11">
        <f t="shared" si="1"/>
        <v>70</v>
      </c>
      <c r="E1532" s="8" t="str">
        <f t="shared" si="2"/>
        <v>https://resources.simonelectric.com/simon-catalogo-vehiculo-electrico</v>
      </c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</row>
    <row r="1533" ht="15.75" customHeight="1">
      <c r="A1533" s="5" t="s">
        <v>65</v>
      </c>
      <c r="B1533" s="5">
        <v>43950.0</v>
      </c>
      <c r="C1533" s="6" t="s">
        <v>2258</v>
      </c>
      <c r="D1533" s="11">
        <f t="shared" si="1"/>
        <v>70</v>
      </c>
      <c r="E1533" s="8" t="str">
        <f t="shared" si="2"/>
        <v>https://resources.simonelectric.com/simon-catalogo-vehiculo-electrico</v>
      </c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</row>
    <row r="1534" ht="15.75" customHeight="1">
      <c r="A1534" s="5" t="s">
        <v>2259</v>
      </c>
      <c r="B1534" s="5">
        <v>43950.0</v>
      </c>
      <c r="C1534" s="6" t="s">
        <v>2260</v>
      </c>
      <c r="D1534" s="11">
        <f t="shared" si="1"/>
        <v>70</v>
      </c>
      <c r="E1534" s="8" t="str">
        <f t="shared" si="2"/>
        <v>https://resources.simonelectric.com/simon-catalogo-vehiculo-electrico</v>
      </c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</row>
    <row r="1535" ht="15.75" customHeight="1">
      <c r="A1535" s="5" t="s">
        <v>2261</v>
      </c>
      <c r="B1535" s="5">
        <v>43950.0</v>
      </c>
      <c r="C1535" s="6" t="s">
        <v>2262</v>
      </c>
      <c r="D1535" s="11">
        <f t="shared" si="1"/>
        <v>70</v>
      </c>
      <c r="E1535" s="8" t="str">
        <f t="shared" si="2"/>
        <v>https://resources.simonelectric.com/simon-catalogo-vehiculo-electrico</v>
      </c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</row>
    <row r="1536" ht="15.75" customHeight="1">
      <c r="A1536" s="5" t="s">
        <v>2263</v>
      </c>
      <c r="B1536" s="5">
        <v>43950.0</v>
      </c>
      <c r="C1536" s="6" t="s">
        <v>2264</v>
      </c>
      <c r="D1536" s="11">
        <f t="shared" si="1"/>
        <v>70</v>
      </c>
      <c r="E1536" s="8" t="str">
        <f t="shared" si="2"/>
        <v>https://resources.simonelectric.com/simon-catalogo-vehiculo-electrico</v>
      </c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</row>
    <row r="1537" ht="15.75" customHeight="1">
      <c r="A1537" s="5" t="s">
        <v>2265</v>
      </c>
      <c r="B1537" s="5">
        <v>43950.0</v>
      </c>
      <c r="C1537" s="6" t="s">
        <v>2266</v>
      </c>
      <c r="D1537" s="11">
        <f t="shared" si="1"/>
        <v>70</v>
      </c>
      <c r="E1537" s="8" t="str">
        <f t="shared" si="2"/>
        <v>https://resources.simonelectric.com/simon-catalogo-vehiculo-electrico</v>
      </c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</row>
    <row r="1538" ht="15.75" customHeight="1">
      <c r="A1538" s="5" t="s">
        <v>2267</v>
      </c>
      <c r="B1538" s="5">
        <v>43950.0</v>
      </c>
      <c r="C1538" s="6" t="s">
        <v>2268</v>
      </c>
      <c r="D1538" s="11">
        <f t="shared" si="1"/>
        <v>70</v>
      </c>
      <c r="E1538" s="8" t="str">
        <f t="shared" si="2"/>
        <v>https://resources.simonelectric.com/simon-catalogo-vehiculo-electrico</v>
      </c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</row>
    <row r="1539" ht="15.75" customHeight="1">
      <c r="A1539" s="5" t="s">
        <v>2269</v>
      </c>
      <c r="B1539" s="5">
        <v>43950.0</v>
      </c>
      <c r="C1539" s="6" t="s">
        <v>2270</v>
      </c>
      <c r="D1539" s="11">
        <f t="shared" si="1"/>
        <v>70</v>
      </c>
      <c r="E1539" s="8" t="str">
        <f t="shared" si="2"/>
        <v>https://resources.simonelectric.com/simon-catalogo-vehiculo-electrico</v>
      </c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</row>
    <row r="1540" ht="15.75" customHeight="1">
      <c r="A1540" s="5" t="s">
        <v>2271</v>
      </c>
      <c r="B1540" s="5">
        <v>43950.0</v>
      </c>
      <c r="C1540" s="6" t="s">
        <v>2272</v>
      </c>
      <c r="D1540" s="11">
        <f t="shared" si="1"/>
        <v>70</v>
      </c>
      <c r="E1540" s="8" t="str">
        <f t="shared" si="2"/>
        <v>https://resources.simonelectric.com/simon-catalogo-vehiculo-electrico</v>
      </c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</row>
    <row r="1541" ht="15.75" customHeight="1">
      <c r="A1541" s="5" t="s">
        <v>2273</v>
      </c>
      <c r="B1541" s="5">
        <v>43950.0</v>
      </c>
      <c r="C1541" s="6" t="s">
        <v>2274</v>
      </c>
      <c r="D1541" s="11">
        <f t="shared" si="1"/>
        <v>70</v>
      </c>
      <c r="E1541" s="8" t="str">
        <f t="shared" si="2"/>
        <v>https://resources.simonelectric.com/simon-catalogo-vehiculo-electrico</v>
      </c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</row>
    <row r="1542" ht="15.75" customHeight="1">
      <c r="A1542" s="5" t="s">
        <v>2275</v>
      </c>
      <c r="B1542" s="5">
        <v>43950.0</v>
      </c>
      <c r="C1542" s="6" t="s">
        <v>2276</v>
      </c>
      <c r="D1542" s="11">
        <f t="shared" si="1"/>
        <v>70</v>
      </c>
      <c r="E1542" s="8" t="str">
        <f t="shared" si="2"/>
        <v>https://resources.simonelectric.com/simon-catalogo-vehiculo-electrico</v>
      </c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</row>
    <row r="1543" ht="15.75" customHeight="1">
      <c r="A1543" s="5" t="s">
        <v>2277</v>
      </c>
      <c r="B1543" s="5">
        <v>43950.0</v>
      </c>
      <c r="C1543" s="6" t="s">
        <v>2278</v>
      </c>
      <c r="D1543" s="11">
        <f t="shared" si="1"/>
        <v>70</v>
      </c>
      <c r="E1543" s="8" t="str">
        <f t="shared" si="2"/>
        <v>https://resources.simonelectric.com/simon-catalogo-vehiculo-electrico</v>
      </c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</row>
    <row r="1544" ht="15.75" customHeight="1">
      <c r="A1544" s="5" t="s">
        <v>2279</v>
      </c>
      <c r="B1544" s="5">
        <v>43950.0</v>
      </c>
      <c r="C1544" s="6" t="s">
        <v>2280</v>
      </c>
      <c r="D1544" s="11">
        <f t="shared" si="1"/>
        <v>70</v>
      </c>
      <c r="E1544" s="8" t="str">
        <f t="shared" si="2"/>
        <v>https://resources.simonelectric.com/simon-catalogo-vehiculo-electrico</v>
      </c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</row>
    <row r="1545" ht="15.75" customHeight="1">
      <c r="A1545" s="5" t="s">
        <v>2281</v>
      </c>
      <c r="B1545" s="5">
        <v>43950.0</v>
      </c>
      <c r="C1545" s="6" t="s">
        <v>2282</v>
      </c>
      <c r="D1545" s="11">
        <f t="shared" si="1"/>
        <v>70</v>
      </c>
      <c r="E1545" s="8" t="str">
        <f t="shared" si="2"/>
        <v>https://resources.simonelectric.com/simon-catalogo-vehiculo-electrico</v>
      </c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</row>
    <row r="1546" ht="15.75" customHeight="1">
      <c r="A1546" s="5" t="s">
        <v>2283</v>
      </c>
      <c r="B1546" s="5">
        <v>43950.0</v>
      </c>
      <c r="C1546" s="6" t="s">
        <v>55</v>
      </c>
      <c r="D1546" s="11">
        <f t="shared" si="1"/>
        <v>71</v>
      </c>
      <c r="E1546" s="8" t="str">
        <f t="shared" si="2"/>
        <v>https://resources.simonelectric.com/simon-ebook-vehiculo-electrico-ppc</v>
      </c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</row>
    <row r="1547" ht="15.75" customHeight="1">
      <c r="A1547" s="5" t="s">
        <v>2284</v>
      </c>
      <c r="B1547" s="5">
        <v>43950.0</v>
      </c>
      <c r="C1547" s="6" t="s">
        <v>2285</v>
      </c>
      <c r="D1547" s="11">
        <f t="shared" si="1"/>
        <v>70</v>
      </c>
      <c r="E1547" s="8" t="str">
        <f t="shared" si="2"/>
        <v>https://resources.simonelectric.com/simon-catalogo-vehiculo-electrico</v>
      </c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</row>
    <row r="1548" ht="15.75" customHeight="1">
      <c r="A1548" s="5" t="s">
        <v>2286</v>
      </c>
      <c r="B1548" s="5">
        <v>43950.0</v>
      </c>
      <c r="C1548" s="6" t="s">
        <v>2287</v>
      </c>
      <c r="D1548" s="11">
        <f t="shared" si="1"/>
        <v>70</v>
      </c>
      <c r="E1548" s="8" t="str">
        <f t="shared" si="2"/>
        <v>https://resources.simonelectric.com/simon-catalogo-vehiculo-electrico</v>
      </c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</row>
    <row r="1549" ht="15.75" customHeight="1">
      <c r="A1549" s="5" t="s">
        <v>2288</v>
      </c>
      <c r="B1549" s="5">
        <v>43950.0</v>
      </c>
      <c r="C1549" s="6" t="s">
        <v>2289</v>
      </c>
      <c r="D1549" s="11">
        <f t="shared" si="1"/>
        <v>70</v>
      </c>
      <c r="E1549" s="8" t="str">
        <f t="shared" si="2"/>
        <v>https://resources.simonelectric.com/simon-catalogo-vehiculo-electrico</v>
      </c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</row>
    <row r="1550" ht="15.75" customHeight="1">
      <c r="A1550" s="5" t="s">
        <v>2290</v>
      </c>
      <c r="B1550" s="5">
        <v>43950.0</v>
      </c>
      <c r="C1550" s="6" t="s">
        <v>2291</v>
      </c>
      <c r="D1550" s="11">
        <f t="shared" si="1"/>
        <v>70</v>
      </c>
      <c r="E1550" s="8" t="str">
        <f t="shared" si="2"/>
        <v>https://resources.simonelectric.com/simon-catalogo-vehiculo-electrico</v>
      </c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</row>
    <row r="1551" ht="15.75" customHeight="1">
      <c r="A1551" s="5" t="s">
        <v>2292</v>
      </c>
      <c r="B1551" s="5">
        <v>43950.0</v>
      </c>
      <c r="C1551" s="6" t="s">
        <v>2293</v>
      </c>
      <c r="D1551" s="11">
        <f t="shared" si="1"/>
        <v>70</v>
      </c>
      <c r="E1551" s="8" t="str">
        <f t="shared" si="2"/>
        <v>https://resources.simonelectric.com/simon-catalogo-vehiculo-electrico</v>
      </c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</row>
    <row r="1552" ht="15.75" customHeight="1">
      <c r="A1552" s="5" t="s">
        <v>2294</v>
      </c>
      <c r="B1552" s="5">
        <v>43950.0</v>
      </c>
      <c r="C1552" s="6" t="s">
        <v>2295</v>
      </c>
      <c r="D1552" s="11">
        <f t="shared" si="1"/>
        <v>70</v>
      </c>
      <c r="E1552" s="8" t="str">
        <f t="shared" si="2"/>
        <v>https://resources.simonelectric.com/simon-catalogo-vehiculo-electrico</v>
      </c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</row>
    <row r="1553" ht="15.75" customHeight="1">
      <c r="A1553" s="5" t="s">
        <v>1095</v>
      </c>
      <c r="B1553" s="5">
        <v>43950.0</v>
      </c>
      <c r="C1553" s="6" t="s">
        <v>2296</v>
      </c>
      <c r="D1553" s="11">
        <f t="shared" si="1"/>
        <v>70</v>
      </c>
      <c r="E1553" s="8" t="str">
        <f t="shared" si="2"/>
        <v>https://resources.simonelectric.com/simon-catalogo-vehiculo-electrico</v>
      </c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</row>
    <row r="1554" ht="15.75" customHeight="1">
      <c r="A1554" s="5" t="s">
        <v>2292</v>
      </c>
      <c r="B1554" s="5">
        <v>43950.0</v>
      </c>
      <c r="C1554" s="6" t="s">
        <v>2297</v>
      </c>
      <c r="D1554" s="11">
        <f t="shared" si="1"/>
        <v>70</v>
      </c>
      <c r="E1554" s="8" t="str">
        <f t="shared" si="2"/>
        <v>https://resources.simonelectric.com/simon-catalogo-vehiculo-electrico</v>
      </c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</row>
    <row r="1555" ht="15.75" customHeight="1">
      <c r="A1555" s="5" t="s">
        <v>2298</v>
      </c>
      <c r="B1555" s="5">
        <v>43950.0</v>
      </c>
      <c r="C1555" s="6" t="s">
        <v>2299</v>
      </c>
      <c r="D1555" s="11">
        <f t="shared" si="1"/>
        <v>70</v>
      </c>
      <c r="E1555" s="8" t="str">
        <f t="shared" si="2"/>
        <v>https://resources.simonelectric.com/simon-catalogo-vehiculo-electrico</v>
      </c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</row>
    <row r="1556" ht="15.75" customHeight="1">
      <c r="A1556" s="5" t="s">
        <v>2300</v>
      </c>
      <c r="B1556" s="5">
        <v>43950.0</v>
      </c>
      <c r="C1556" s="6" t="s">
        <v>2301</v>
      </c>
      <c r="D1556" s="11">
        <f t="shared" si="1"/>
        <v>70</v>
      </c>
      <c r="E1556" s="8" t="str">
        <f t="shared" si="2"/>
        <v>https://resources.simonelectric.com/simon-catalogo-vehiculo-electrico</v>
      </c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</row>
    <row r="1557" ht="15.75" customHeight="1">
      <c r="A1557" s="5" t="s">
        <v>2302</v>
      </c>
      <c r="B1557" s="5">
        <v>43950.0</v>
      </c>
      <c r="C1557" s="6" t="s">
        <v>2303</v>
      </c>
      <c r="D1557" s="11">
        <f t="shared" si="1"/>
        <v>70</v>
      </c>
      <c r="E1557" s="8" t="str">
        <f t="shared" si="2"/>
        <v>https://resources.simonelectric.com/simon-catalogo-vehiculo-electrico</v>
      </c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</row>
    <row r="1558" ht="15.75" customHeight="1">
      <c r="A1558" s="5" t="s">
        <v>2304</v>
      </c>
      <c r="B1558" s="5">
        <v>43950.0</v>
      </c>
      <c r="C1558" s="6" t="s">
        <v>2305</v>
      </c>
      <c r="D1558" s="11">
        <f t="shared" si="1"/>
        <v>70</v>
      </c>
      <c r="E1558" s="8" t="str">
        <f t="shared" si="2"/>
        <v>https://resources.simonelectric.com/simon-catalogo-vehiculo-electrico</v>
      </c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</row>
    <row r="1559" ht="15.75" customHeight="1">
      <c r="A1559" s="5" t="s">
        <v>2306</v>
      </c>
      <c r="B1559" s="5">
        <v>43950.0</v>
      </c>
      <c r="C1559" s="6" t="s">
        <v>2307</v>
      </c>
      <c r="D1559" s="11">
        <f t="shared" si="1"/>
        <v>70</v>
      </c>
      <c r="E1559" s="8" t="str">
        <f t="shared" si="2"/>
        <v>https://resources.simonelectric.com/simon-catalogo-vehiculo-electrico</v>
      </c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</row>
    <row r="1560" ht="15.75" customHeight="1">
      <c r="A1560" s="5" t="s">
        <v>2308</v>
      </c>
      <c r="B1560" s="5">
        <v>43950.0</v>
      </c>
      <c r="C1560" s="6" t="s">
        <v>2309</v>
      </c>
      <c r="D1560" s="11">
        <f t="shared" si="1"/>
        <v>70</v>
      </c>
      <c r="E1560" s="8" t="str">
        <f t="shared" si="2"/>
        <v>https://resources.simonelectric.com/simon-catalogo-vehiculo-electrico</v>
      </c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</row>
    <row r="1561" ht="15.75" customHeight="1">
      <c r="A1561" s="5" t="s">
        <v>2310</v>
      </c>
      <c r="B1561" s="5">
        <v>43950.0</v>
      </c>
      <c r="C1561" s="6" t="s">
        <v>2311</v>
      </c>
      <c r="D1561" s="11">
        <f t="shared" si="1"/>
        <v>70</v>
      </c>
      <c r="E1561" s="8" t="str">
        <f t="shared" si="2"/>
        <v>https://resources.simonelectric.com/simon-catalogo-vehiculo-electrico</v>
      </c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</row>
    <row r="1562" ht="15.75" customHeight="1">
      <c r="A1562" s="5" t="s">
        <v>2312</v>
      </c>
      <c r="B1562" s="5">
        <v>43950.0</v>
      </c>
      <c r="C1562" s="6" t="s">
        <v>2313</v>
      </c>
      <c r="D1562" s="11">
        <f t="shared" si="1"/>
        <v>70</v>
      </c>
      <c r="E1562" s="8" t="str">
        <f t="shared" si="2"/>
        <v>https://resources.simonelectric.com/simon-catalogo-vehiculo-electrico</v>
      </c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</row>
    <row r="1563" ht="15.75" customHeight="1">
      <c r="A1563" s="5" t="s">
        <v>2314</v>
      </c>
      <c r="B1563" s="5">
        <v>43950.0</v>
      </c>
      <c r="C1563" s="6" t="s">
        <v>2315</v>
      </c>
      <c r="D1563" s="11">
        <f t="shared" si="1"/>
        <v>70</v>
      </c>
      <c r="E1563" s="8" t="str">
        <f t="shared" si="2"/>
        <v>https://resources.simonelectric.com/simon-catalogo-vehiculo-electrico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</row>
    <row r="1564" ht="15.75" customHeight="1">
      <c r="A1564" s="5" t="s">
        <v>2316</v>
      </c>
      <c r="B1564" s="5">
        <v>43950.0</v>
      </c>
      <c r="C1564" s="6" t="s">
        <v>2317</v>
      </c>
      <c r="D1564" s="11">
        <f t="shared" si="1"/>
        <v>70</v>
      </c>
      <c r="E1564" s="8" t="str">
        <f t="shared" si="2"/>
        <v>https://resources.simonelectric.com/simon-catalogo-vehiculo-electrico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</row>
    <row r="1565" ht="15.75" customHeight="1">
      <c r="A1565" s="5" t="s">
        <v>2318</v>
      </c>
      <c r="B1565" s="5">
        <v>43950.0</v>
      </c>
      <c r="C1565" s="6" t="s">
        <v>2319</v>
      </c>
      <c r="D1565" s="11">
        <f t="shared" si="1"/>
        <v>70</v>
      </c>
      <c r="E1565" s="8" t="str">
        <f t="shared" si="2"/>
        <v>https://resources.simonelectric.com/simon-catalogo-vehiculo-electrico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</row>
    <row r="1566" ht="15.75" customHeight="1">
      <c r="A1566" s="5" t="s">
        <v>2320</v>
      </c>
      <c r="B1566" s="5">
        <v>43950.0</v>
      </c>
      <c r="C1566" s="6" t="s">
        <v>2321</v>
      </c>
      <c r="D1566" s="11">
        <f t="shared" si="1"/>
        <v>70</v>
      </c>
      <c r="E1566" s="8" t="str">
        <f t="shared" si="2"/>
        <v>https://resources.simonelectric.com/simon-catalogo-vehiculo-electrico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</row>
    <row r="1567" ht="15.75" customHeight="1">
      <c r="A1567" s="5" t="s">
        <v>2322</v>
      </c>
      <c r="B1567" s="5">
        <v>43950.0</v>
      </c>
      <c r="C1567" s="6" t="s">
        <v>2323</v>
      </c>
      <c r="D1567" s="11">
        <f t="shared" si="1"/>
        <v>70</v>
      </c>
      <c r="E1567" s="8" t="str">
        <f t="shared" si="2"/>
        <v>https://resources.simonelectric.com/simon-catalogo-vehiculo-electrico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</row>
    <row r="1568" ht="15.75" customHeight="1">
      <c r="A1568" s="5" t="s">
        <v>2324</v>
      </c>
      <c r="B1568" s="5">
        <v>43950.0</v>
      </c>
      <c r="C1568" s="6" t="s">
        <v>2325</v>
      </c>
      <c r="D1568" s="11">
        <f t="shared" si="1"/>
        <v>70</v>
      </c>
      <c r="E1568" s="8" t="str">
        <f t="shared" si="2"/>
        <v>https://resources.simonelectric.com/simon-catalogo-vehiculo-electrico</v>
      </c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</row>
    <row r="1569" ht="15.75" customHeight="1">
      <c r="A1569" s="5" t="s">
        <v>2326</v>
      </c>
      <c r="B1569" s="5">
        <v>43950.0</v>
      </c>
      <c r="C1569" s="6" t="s">
        <v>2327</v>
      </c>
      <c r="D1569" s="11">
        <f t="shared" si="1"/>
        <v>70</v>
      </c>
      <c r="E1569" s="8" t="str">
        <f t="shared" si="2"/>
        <v>https://resources.simonelectric.com/simon-catalogo-vehiculo-electrico</v>
      </c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</row>
    <row r="1570" ht="15.75" customHeight="1">
      <c r="A1570" s="5" t="s">
        <v>2328</v>
      </c>
      <c r="B1570" s="5">
        <v>43950.0</v>
      </c>
      <c r="C1570" s="6" t="s">
        <v>2329</v>
      </c>
      <c r="D1570" s="11">
        <f t="shared" si="1"/>
        <v>70</v>
      </c>
      <c r="E1570" s="8" t="str">
        <f t="shared" si="2"/>
        <v>https://resources.simonelectric.com/simon-catalogo-vehiculo-electrico</v>
      </c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</row>
    <row r="1571" ht="15.75" customHeight="1">
      <c r="A1571" s="5" t="s">
        <v>2330</v>
      </c>
      <c r="B1571" s="5">
        <v>43950.0</v>
      </c>
      <c r="C1571" s="6" t="s">
        <v>2331</v>
      </c>
      <c r="D1571" s="11">
        <f t="shared" si="1"/>
        <v>70</v>
      </c>
      <c r="E1571" s="8" t="str">
        <f t="shared" si="2"/>
        <v>https://resources.simonelectric.com/simon-catalogo-vehiculo-electrico</v>
      </c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</row>
    <row r="1572" ht="15.75" customHeight="1">
      <c r="A1572" s="5" t="s">
        <v>2332</v>
      </c>
      <c r="B1572" s="5">
        <v>43950.0</v>
      </c>
      <c r="C1572" s="6" t="s">
        <v>2333</v>
      </c>
      <c r="D1572" s="11">
        <f t="shared" si="1"/>
        <v>70</v>
      </c>
      <c r="E1572" s="8" t="str">
        <f t="shared" si="2"/>
        <v>https://resources.simonelectric.com/simon-catalogo-vehiculo-electrico</v>
      </c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</row>
    <row r="1573" ht="15.75" customHeight="1">
      <c r="A1573" s="5" t="s">
        <v>2334</v>
      </c>
      <c r="B1573" s="5">
        <v>43950.0</v>
      </c>
      <c r="C1573" s="6" t="s">
        <v>2335</v>
      </c>
      <c r="D1573" s="11">
        <f t="shared" si="1"/>
        <v>70</v>
      </c>
      <c r="E1573" s="8" t="str">
        <f t="shared" si="2"/>
        <v>https://resources.simonelectric.com/simon-catalogo-vehiculo-electrico</v>
      </c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</row>
    <row r="1574" ht="15.75" customHeight="1">
      <c r="A1574" s="5" t="s">
        <v>1070</v>
      </c>
      <c r="B1574" s="5">
        <v>43950.0</v>
      </c>
      <c r="C1574" s="6" t="s">
        <v>2336</v>
      </c>
      <c r="D1574" s="11">
        <f t="shared" si="1"/>
        <v>70</v>
      </c>
      <c r="E1574" s="8" t="str">
        <f t="shared" si="2"/>
        <v>https://resources.simonelectric.com/simon-catalogo-vehiculo-electrico</v>
      </c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</row>
    <row r="1575" ht="15.75" customHeight="1">
      <c r="A1575" s="5" t="s">
        <v>2337</v>
      </c>
      <c r="B1575" s="5">
        <v>43950.0</v>
      </c>
      <c r="C1575" s="6" t="s">
        <v>2338</v>
      </c>
      <c r="D1575" s="11">
        <f t="shared" si="1"/>
        <v>70</v>
      </c>
      <c r="E1575" s="8" t="str">
        <f t="shared" si="2"/>
        <v>https://resources.simonelectric.com/simon-catalogo-vehiculo-electrico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</row>
    <row r="1576" ht="15.75" customHeight="1">
      <c r="A1576" s="5" t="s">
        <v>2339</v>
      </c>
      <c r="B1576" s="5">
        <v>43950.0</v>
      </c>
      <c r="C1576" s="6" t="s">
        <v>2340</v>
      </c>
      <c r="D1576" s="11">
        <f t="shared" si="1"/>
        <v>70</v>
      </c>
      <c r="E1576" s="8" t="str">
        <f t="shared" si="2"/>
        <v>https://resources.simonelectric.com/simon-catalogo-vehiculo-electrico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</row>
    <row r="1577" ht="15.75" customHeight="1">
      <c r="A1577" s="5" t="s">
        <v>355</v>
      </c>
      <c r="B1577" s="5">
        <v>43950.0</v>
      </c>
      <c r="C1577" s="6" t="s">
        <v>2341</v>
      </c>
      <c r="D1577" s="11">
        <f t="shared" si="1"/>
        <v>70</v>
      </c>
      <c r="E1577" s="8" t="str">
        <f t="shared" si="2"/>
        <v>https://resources.simonelectric.com/simon-catalogo-vehiculo-electrico</v>
      </c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</row>
    <row r="1578" ht="15.75" customHeight="1">
      <c r="A1578" s="5" t="s">
        <v>2342</v>
      </c>
      <c r="B1578" s="5">
        <v>43950.0</v>
      </c>
      <c r="C1578" s="6" t="s">
        <v>2343</v>
      </c>
      <c r="D1578" s="11">
        <f t="shared" si="1"/>
        <v>70</v>
      </c>
      <c r="E1578" s="8" t="str">
        <f t="shared" si="2"/>
        <v>https://resources.simonelectric.com/simon-catalogo-vehiculo-electrico</v>
      </c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</row>
    <row r="1579" ht="15.75" customHeight="1">
      <c r="A1579" s="5" t="s">
        <v>2344</v>
      </c>
      <c r="B1579" s="5">
        <v>43950.0</v>
      </c>
      <c r="C1579" s="6" t="s">
        <v>2345</v>
      </c>
      <c r="D1579" s="11">
        <f t="shared" si="1"/>
        <v>70</v>
      </c>
      <c r="E1579" s="8" t="str">
        <f t="shared" si="2"/>
        <v>https://resources.simonelectric.com/simon-catalogo-vehiculo-electrico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</row>
    <row r="1580" ht="15.75" customHeight="1">
      <c r="A1580" s="5" t="s">
        <v>2346</v>
      </c>
      <c r="B1580" s="5">
        <v>43950.0</v>
      </c>
      <c r="C1580" s="6" t="s">
        <v>2347</v>
      </c>
      <c r="D1580" s="11">
        <f t="shared" si="1"/>
        <v>70</v>
      </c>
      <c r="E1580" s="8" t="str">
        <f t="shared" si="2"/>
        <v>https://resources.simonelectric.com/simon-catalogo-vehiculo-electrico</v>
      </c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</row>
    <row r="1581" ht="15.75" customHeight="1">
      <c r="A1581" s="5" t="s">
        <v>2348</v>
      </c>
      <c r="B1581" s="5">
        <v>43950.0</v>
      </c>
      <c r="C1581" s="6" t="s">
        <v>2349</v>
      </c>
      <c r="D1581" s="11">
        <f t="shared" si="1"/>
        <v>70</v>
      </c>
      <c r="E1581" s="8" t="str">
        <f t="shared" si="2"/>
        <v>https://resources.simonelectric.com/simon-catalogo-vehiculo-electrico</v>
      </c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</row>
    <row r="1582" ht="15.75" customHeight="1">
      <c r="A1582" s="5" t="s">
        <v>2346</v>
      </c>
      <c r="B1582" s="5">
        <v>43950.0</v>
      </c>
      <c r="C1582" s="6" t="s">
        <v>2350</v>
      </c>
      <c r="D1582" s="11">
        <f t="shared" si="1"/>
        <v>70</v>
      </c>
      <c r="E1582" s="8" t="str">
        <f t="shared" si="2"/>
        <v>https://resources.simonelectric.com/simon-catalogo-vehiculo-electrico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</row>
    <row r="1583" ht="15.75" customHeight="1">
      <c r="A1583" s="5" t="s">
        <v>2351</v>
      </c>
      <c r="B1583" s="5">
        <v>43950.0</v>
      </c>
      <c r="C1583" s="6" t="s">
        <v>2352</v>
      </c>
      <c r="D1583" s="10">
        <f t="shared" si="1"/>
        <v>70</v>
      </c>
      <c r="E1583" s="8" t="str">
        <f t="shared" si="2"/>
        <v>https://resources.simonelectric.com/simon-catalogo-vehiculo-electrico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</row>
    <row r="1584" ht="15.75" customHeight="1">
      <c r="A1584" s="5" t="s">
        <v>2353</v>
      </c>
      <c r="B1584" s="5">
        <v>43950.0</v>
      </c>
      <c r="C1584" s="6" t="s">
        <v>2354</v>
      </c>
      <c r="D1584" s="11">
        <f t="shared" si="1"/>
        <v>70</v>
      </c>
      <c r="E1584" s="8" t="str">
        <f t="shared" si="2"/>
        <v>https://resources.simonelectric.com/simon-catalogo-vehiculo-electrico</v>
      </c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</row>
    <row r="1585" ht="15.75" customHeight="1">
      <c r="A1585" s="5" t="s">
        <v>1154</v>
      </c>
      <c r="B1585" s="5">
        <v>43950.0</v>
      </c>
      <c r="C1585" s="6" t="s">
        <v>2355</v>
      </c>
      <c r="D1585" s="11">
        <f t="shared" si="1"/>
        <v>70</v>
      </c>
      <c r="E1585" s="8" t="str">
        <f t="shared" si="2"/>
        <v>https://resources.simonelectric.com/simon-catalogo-vehiculo-electrico</v>
      </c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</row>
    <row r="1586" ht="15.75" customHeight="1">
      <c r="A1586" s="5" t="s">
        <v>2356</v>
      </c>
      <c r="B1586" s="5">
        <v>43950.0</v>
      </c>
      <c r="C1586" s="6" t="s">
        <v>2357</v>
      </c>
      <c r="D1586" s="11">
        <f t="shared" si="1"/>
        <v>70</v>
      </c>
      <c r="E1586" s="8" t="str">
        <f t="shared" si="2"/>
        <v>https://resources.simonelectric.com/simon-catalogo-vehiculo-electrico</v>
      </c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</row>
    <row r="1587" ht="15.75" customHeight="1">
      <c r="A1587" s="5" t="s">
        <v>2358</v>
      </c>
      <c r="B1587" s="5">
        <v>43950.0</v>
      </c>
      <c r="C1587" s="6" t="s">
        <v>2359</v>
      </c>
      <c r="D1587" s="11">
        <f t="shared" si="1"/>
        <v>70</v>
      </c>
      <c r="E1587" s="8" t="str">
        <f t="shared" si="2"/>
        <v>https://resources.simonelectric.com/simon-catalogo-vehiculo-electrico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</row>
    <row r="1588" ht="15.75" customHeight="1">
      <c r="A1588" s="5" t="s">
        <v>2360</v>
      </c>
      <c r="B1588" s="5">
        <v>43950.0</v>
      </c>
      <c r="C1588" s="6" t="s">
        <v>2361</v>
      </c>
      <c r="D1588" s="11">
        <f t="shared" si="1"/>
        <v>70</v>
      </c>
      <c r="E1588" s="8" t="str">
        <f t="shared" si="2"/>
        <v>https://resources.simonelectric.com/simon-catalogo-vehiculo-electrico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</row>
    <row r="1589" ht="15.75" customHeight="1">
      <c r="A1589" s="5" t="s">
        <v>2362</v>
      </c>
      <c r="B1589" s="5">
        <v>43950.0</v>
      </c>
      <c r="C1589" s="6" t="s">
        <v>2363</v>
      </c>
      <c r="D1589" s="11">
        <f t="shared" si="1"/>
        <v>70</v>
      </c>
      <c r="E1589" s="8" t="str">
        <f t="shared" si="2"/>
        <v>https://resources.simonelectric.com/simon-catalogo-vehiculo-electrico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</row>
    <row r="1590" ht="15.75" customHeight="1">
      <c r="A1590" s="5" t="s">
        <v>1729</v>
      </c>
      <c r="B1590" s="5">
        <v>43950.0</v>
      </c>
      <c r="C1590" s="6" t="s">
        <v>2364</v>
      </c>
      <c r="D1590" s="11">
        <f t="shared" si="1"/>
        <v>70</v>
      </c>
      <c r="E1590" s="8" t="str">
        <f t="shared" si="2"/>
        <v>https://resources.simonelectric.com/simon-catalogo-vehiculo-electrico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</row>
    <row r="1591" ht="15.75" customHeight="1">
      <c r="A1591" s="5" t="s">
        <v>1186</v>
      </c>
      <c r="B1591" s="5">
        <v>43950.0</v>
      </c>
      <c r="C1591" s="6" t="s">
        <v>2365</v>
      </c>
      <c r="D1591" s="11">
        <f t="shared" si="1"/>
        <v>70</v>
      </c>
      <c r="E1591" s="8" t="str">
        <f t="shared" si="2"/>
        <v>https://resources.simonelectric.com/simon-catalogo-vehiculo-electrico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</row>
    <row r="1592" ht="15.75" customHeight="1">
      <c r="A1592" s="5" t="s">
        <v>2366</v>
      </c>
      <c r="B1592" s="5">
        <v>43950.0</v>
      </c>
      <c r="C1592" s="6" t="s">
        <v>2367</v>
      </c>
      <c r="D1592" s="11">
        <f t="shared" si="1"/>
        <v>70</v>
      </c>
      <c r="E1592" s="8" t="str">
        <f t="shared" si="2"/>
        <v>https://resources.simonelectric.com/simon-catalogo-vehiculo-electrico</v>
      </c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</row>
    <row r="1593" ht="15.75" customHeight="1">
      <c r="A1593" s="5" t="s">
        <v>2368</v>
      </c>
      <c r="B1593" s="5">
        <v>43950.0</v>
      </c>
      <c r="C1593" s="6" t="s">
        <v>2369</v>
      </c>
      <c r="D1593" s="11">
        <f t="shared" si="1"/>
        <v>70</v>
      </c>
      <c r="E1593" s="8" t="str">
        <f t="shared" si="2"/>
        <v>https://resources.simonelectric.com/simon-catalogo-vehiculo-electrico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</row>
    <row r="1594" ht="15.75" customHeight="1">
      <c r="A1594" s="5" t="s">
        <v>2370</v>
      </c>
      <c r="B1594" s="5">
        <v>43950.0</v>
      </c>
      <c r="C1594" s="6" t="s">
        <v>2371</v>
      </c>
      <c r="D1594" s="11">
        <f t="shared" si="1"/>
        <v>70</v>
      </c>
      <c r="E1594" s="8" t="str">
        <f t="shared" si="2"/>
        <v>https://resources.simonelectric.com/simon-catalogo-vehiculo-electrico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</row>
    <row r="1595" ht="15.75" customHeight="1">
      <c r="A1595" s="5" t="s">
        <v>2372</v>
      </c>
      <c r="B1595" s="5">
        <v>43950.0</v>
      </c>
      <c r="C1595" s="6" t="s">
        <v>2373</v>
      </c>
      <c r="D1595" s="11">
        <f t="shared" si="1"/>
        <v>70</v>
      </c>
      <c r="E1595" s="8" t="str">
        <f t="shared" si="2"/>
        <v>https://resources.simonelectric.com/simon-catalogo-vehiculo-electrico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</row>
    <row r="1596" ht="15.75" customHeight="1">
      <c r="A1596" s="5" t="s">
        <v>2374</v>
      </c>
      <c r="B1596" s="5">
        <v>43950.0</v>
      </c>
      <c r="C1596" s="6" t="s">
        <v>2375</v>
      </c>
      <c r="D1596" s="11">
        <f t="shared" si="1"/>
        <v>70</v>
      </c>
      <c r="E1596" s="8" t="str">
        <f t="shared" si="2"/>
        <v>https://resources.simonelectric.com/simon-catalogo-vehiculo-electrico</v>
      </c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</row>
    <row r="1597" ht="15.75" customHeight="1">
      <c r="A1597" s="5" t="s">
        <v>2376</v>
      </c>
      <c r="B1597" s="5">
        <v>43950.0</v>
      </c>
      <c r="C1597" s="6" t="s">
        <v>2377</v>
      </c>
      <c r="D1597" s="11">
        <f t="shared" si="1"/>
        <v>70</v>
      </c>
      <c r="E1597" s="8" t="str">
        <f t="shared" si="2"/>
        <v>https://resources.simonelectric.com/simon-catalogo-vehiculo-electrico</v>
      </c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</row>
    <row r="1598" ht="15.75" customHeight="1">
      <c r="A1598" s="5" t="s">
        <v>2378</v>
      </c>
      <c r="B1598" s="5">
        <v>43950.0</v>
      </c>
      <c r="C1598" s="6" t="s">
        <v>2379</v>
      </c>
      <c r="D1598" s="11">
        <f t="shared" si="1"/>
        <v>70</v>
      </c>
      <c r="E1598" s="8" t="str">
        <f t="shared" si="2"/>
        <v>https://resources.simonelectric.com/simon-catalogo-vehiculo-electrico</v>
      </c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</row>
    <row r="1599" ht="15.75" customHeight="1">
      <c r="A1599" s="5" t="s">
        <v>2380</v>
      </c>
      <c r="B1599" s="5">
        <v>43950.0</v>
      </c>
      <c r="C1599" s="6" t="s">
        <v>2381</v>
      </c>
      <c r="D1599" s="11">
        <f t="shared" si="1"/>
        <v>70</v>
      </c>
      <c r="E1599" s="8" t="str">
        <f t="shared" si="2"/>
        <v>https://resources.simonelectric.com/simon-catalogo-vehiculo-electrico</v>
      </c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</row>
    <row r="1600" ht="15.75" customHeight="1">
      <c r="A1600" s="5" t="s">
        <v>2382</v>
      </c>
      <c r="B1600" s="5">
        <v>43950.0</v>
      </c>
      <c r="C1600" s="6" t="s">
        <v>2383</v>
      </c>
      <c r="D1600" s="11">
        <f t="shared" si="1"/>
        <v>70</v>
      </c>
      <c r="E1600" s="8" t="str">
        <f t="shared" si="2"/>
        <v>https://resources.simonelectric.com/simon-catalogo-vehiculo-electrico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</row>
    <row r="1601" ht="15.75" customHeight="1">
      <c r="A1601" s="5" t="s">
        <v>2384</v>
      </c>
      <c r="B1601" s="5">
        <v>43950.0</v>
      </c>
      <c r="C1601" s="6" t="s">
        <v>2385</v>
      </c>
      <c r="D1601" s="11">
        <f t="shared" si="1"/>
        <v>70</v>
      </c>
      <c r="E1601" s="8" t="str">
        <f t="shared" si="2"/>
        <v>https://resources.simonelectric.com/simon-catalogo-vehiculo-electrico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</row>
    <row r="1602" ht="15.75" customHeight="1">
      <c r="A1602" s="5" t="s">
        <v>2386</v>
      </c>
      <c r="B1602" s="5">
        <v>43950.0</v>
      </c>
      <c r="C1602" s="6" t="s">
        <v>2387</v>
      </c>
      <c r="D1602" s="11">
        <f t="shared" si="1"/>
        <v>70</v>
      </c>
      <c r="E1602" s="8" t="str">
        <f t="shared" si="2"/>
        <v>https://resources.simonelectric.com/simon-catalogo-vehiculo-electrico</v>
      </c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</row>
    <row r="1603" ht="15.75" customHeight="1">
      <c r="A1603" s="5" t="s">
        <v>1829</v>
      </c>
      <c r="B1603" s="5">
        <v>43950.0</v>
      </c>
      <c r="C1603" s="6" t="s">
        <v>2388</v>
      </c>
      <c r="D1603" s="11">
        <f t="shared" si="1"/>
        <v>70</v>
      </c>
      <c r="E1603" s="8" t="str">
        <f t="shared" si="2"/>
        <v>https://resources.simonelectric.com/simon-catalogo-vehiculo-electrico</v>
      </c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</row>
    <row r="1604" ht="15.75" customHeight="1">
      <c r="A1604" s="5" t="s">
        <v>2389</v>
      </c>
      <c r="B1604" s="5">
        <v>43950.0</v>
      </c>
      <c r="C1604" s="6" t="s">
        <v>2390</v>
      </c>
      <c r="D1604" s="11">
        <f t="shared" si="1"/>
        <v>70</v>
      </c>
      <c r="E1604" s="8" t="str">
        <f t="shared" si="2"/>
        <v>https://resources.simonelectric.com/simon-catalogo-vehiculo-electrico</v>
      </c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</row>
    <row r="1605" ht="15.75" customHeight="1">
      <c r="A1605" s="5" t="s">
        <v>480</v>
      </c>
      <c r="B1605" s="5">
        <v>43950.0</v>
      </c>
      <c r="C1605" s="6" t="s">
        <v>2391</v>
      </c>
      <c r="D1605" s="11">
        <f t="shared" si="1"/>
        <v>70</v>
      </c>
      <c r="E1605" s="8" t="str">
        <f t="shared" si="2"/>
        <v>https://resources.simonelectric.com/simon-catalogo-vehiculo-electrico</v>
      </c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</row>
    <row r="1606" ht="15.75" customHeight="1">
      <c r="A1606" s="5" t="s">
        <v>2392</v>
      </c>
      <c r="B1606" s="5">
        <v>43950.0</v>
      </c>
      <c r="C1606" s="6" t="s">
        <v>2393</v>
      </c>
      <c r="D1606" s="11">
        <f t="shared" si="1"/>
        <v>70</v>
      </c>
      <c r="E1606" s="8" t="str">
        <f t="shared" si="2"/>
        <v>https://resources.simonelectric.com/simon-catalogo-vehiculo-electrico</v>
      </c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</row>
    <row r="1607" ht="15.75" customHeight="1">
      <c r="A1607" s="5" t="s">
        <v>2394</v>
      </c>
      <c r="B1607" s="5">
        <v>43950.0</v>
      </c>
      <c r="C1607" s="6" t="s">
        <v>2395</v>
      </c>
      <c r="D1607" s="11">
        <f t="shared" si="1"/>
        <v>70</v>
      </c>
      <c r="E1607" s="8" t="str">
        <f t="shared" si="2"/>
        <v>https://resources.simonelectric.com/simon-catalogo-vehiculo-electrico</v>
      </c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</row>
    <row r="1608" ht="15.75" customHeight="1">
      <c r="A1608" s="5" t="s">
        <v>2396</v>
      </c>
      <c r="B1608" s="5">
        <v>43950.0</v>
      </c>
      <c r="C1608" s="6" t="s">
        <v>2397</v>
      </c>
      <c r="D1608" s="11">
        <f t="shared" si="1"/>
        <v>70</v>
      </c>
      <c r="E1608" s="8" t="str">
        <f t="shared" si="2"/>
        <v>https://resources.simonelectric.com/simon-catalogo-vehiculo-electrico</v>
      </c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</row>
    <row r="1609" ht="15.75" customHeight="1">
      <c r="A1609" s="5" t="s">
        <v>2398</v>
      </c>
      <c r="B1609" s="5">
        <v>43950.0</v>
      </c>
      <c r="C1609" s="6" t="s">
        <v>2399</v>
      </c>
      <c r="D1609" s="11">
        <f t="shared" si="1"/>
        <v>70</v>
      </c>
      <c r="E1609" s="8" t="str">
        <f t="shared" si="2"/>
        <v>https://resources.simonelectric.com/simon-catalogo-vehiculo-electrico</v>
      </c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</row>
    <row r="1610" ht="15.75" customHeight="1">
      <c r="A1610" s="5" t="s">
        <v>2400</v>
      </c>
      <c r="B1610" s="5">
        <v>43950.0</v>
      </c>
      <c r="C1610" s="6" t="s">
        <v>2401</v>
      </c>
      <c r="D1610" s="11">
        <f t="shared" si="1"/>
        <v>70</v>
      </c>
      <c r="E1610" s="8" t="str">
        <f t="shared" si="2"/>
        <v>https://resources.simonelectric.com/simon-catalogo-vehiculo-electrico</v>
      </c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</row>
    <row r="1611" ht="15.75" customHeight="1">
      <c r="A1611" s="5" t="s">
        <v>2402</v>
      </c>
      <c r="B1611" s="5">
        <v>43950.0</v>
      </c>
      <c r="C1611" s="6" t="s">
        <v>2403</v>
      </c>
      <c r="D1611" s="11">
        <f t="shared" si="1"/>
        <v>70</v>
      </c>
      <c r="E1611" s="8" t="str">
        <f t="shared" si="2"/>
        <v>https://resources.simonelectric.com/simon-catalogo-vehiculo-electrico</v>
      </c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</row>
    <row r="1612" ht="15.75" customHeight="1">
      <c r="A1612" s="5" t="s">
        <v>2404</v>
      </c>
      <c r="B1612" s="5">
        <v>43950.0</v>
      </c>
      <c r="C1612" s="6" t="s">
        <v>2405</v>
      </c>
      <c r="D1612" s="11">
        <f t="shared" si="1"/>
        <v>70</v>
      </c>
      <c r="E1612" s="8" t="str">
        <f t="shared" si="2"/>
        <v>https://resources.simonelectric.com/simon-catalogo-vehiculo-electrico</v>
      </c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</row>
    <row r="1613" ht="15.75" customHeight="1">
      <c r="A1613" s="5" t="s">
        <v>2406</v>
      </c>
      <c r="B1613" s="5">
        <v>43950.0</v>
      </c>
      <c r="C1613" s="6" t="s">
        <v>2407</v>
      </c>
      <c r="D1613" s="11">
        <f t="shared" si="1"/>
        <v>70</v>
      </c>
      <c r="E1613" s="8" t="str">
        <f t="shared" si="2"/>
        <v>https://resources.simonelectric.com/simon-catalogo-vehiculo-electrico</v>
      </c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</row>
    <row r="1614" ht="15.75" customHeight="1">
      <c r="A1614" s="5" t="s">
        <v>2408</v>
      </c>
      <c r="B1614" s="5">
        <v>43950.0</v>
      </c>
      <c r="C1614" s="6" t="s">
        <v>2409</v>
      </c>
      <c r="D1614" s="11">
        <f t="shared" si="1"/>
        <v>70</v>
      </c>
      <c r="E1614" s="8" t="str">
        <f t="shared" si="2"/>
        <v>https://resources.simonelectric.com/simon-catalogo-vehiculo-electrico</v>
      </c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</row>
    <row r="1615" ht="15.75" customHeight="1">
      <c r="A1615" s="5" t="s">
        <v>1760</v>
      </c>
      <c r="B1615" s="5">
        <v>43950.0</v>
      </c>
      <c r="C1615" s="6" t="s">
        <v>2410</v>
      </c>
      <c r="D1615" s="11">
        <f t="shared" si="1"/>
        <v>70</v>
      </c>
      <c r="E1615" s="8" t="str">
        <f t="shared" si="2"/>
        <v>https://resources.simonelectric.com/simon-catalogo-vehiculo-electrico</v>
      </c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</row>
    <row r="1616" ht="15.75" customHeight="1">
      <c r="A1616" s="5" t="s">
        <v>2411</v>
      </c>
      <c r="B1616" s="5">
        <v>43950.0</v>
      </c>
      <c r="C1616" s="6" t="s">
        <v>2412</v>
      </c>
      <c r="D1616" s="10">
        <f t="shared" si="1"/>
        <v>70</v>
      </c>
      <c r="E1616" s="8" t="str">
        <f t="shared" si="2"/>
        <v>https://resources.simonelectric.com/simon-catalogo-vehiculo-electrico</v>
      </c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</row>
    <row r="1617" ht="15.75" customHeight="1">
      <c r="A1617" s="5" t="s">
        <v>2413</v>
      </c>
      <c r="B1617" s="5">
        <v>43950.0</v>
      </c>
      <c r="C1617" s="6" t="s">
        <v>2414</v>
      </c>
      <c r="D1617" s="11">
        <f t="shared" si="1"/>
        <v>70</v>
      </c>
      <c r="E1617" s="8" t="str">
        <f t="shared" si="2"/>
        <v>https://resources.simonelectric.com/simon-catalogo-vehiculo-electrico</v>
      </c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</row>
    <row r="1618" ht="15.75" customHeight="1">
      <c r="A1618" s="5" t="s">
        <v>2415</v>
      </c>
      <c r="B1618" s="5">
        <v>43950.0</v>
      </c>
      <c r="C1618" s="6" t="s">
        <v>2416</v>
      </c>
      <c r="D1618" s="11">
        <f t="shared" si="1"/>
        <v>71</v>
      </c>
      <c r="E1618" s="8" t="str">
        <f t="shared" si="2"/>
        <v>https://resources.simonelectric.com/simon-ebook-vehiculo-electrico-ppc</v>
      </c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</row>
    <row r="1619" ht="15.75" customHeight="1">
      <c r="A1619" s="5" t="s">
        <v>2417</v>
      </c>
      <c r="B1619" s="5">
        <v>43950.0</v>
      </c>
      <c r="C1619" s="6" t="s">
        <v>2418</v>
      </c>
      <c r="D1619" s="11">
        <f t="shared" si="1"/>
        <v>70</v>
      </c>
      <c r="E1619" s="8" t="str">
        <f t="shared" si="2"/>
        <v>https://resources.simonelectric.com/simon-catalogo-vehiculo-electrico</v>
      </c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</row>
    <row r="1620" ht="15.75" customHeight="1">
      <c r="A1620" s="5" t="s">
        <v>2419</v>
      </c>
      <c r="B1620" s="5">
        <v>43950.0</v>
      </c>
      <c r="C1620" s="6" t="s">
        <v>2420</v>
      </c>
      <c r="D1620" s="11">
        <f t="shared" si="1"/>
        <v>70</v>
      </c>
      <c r="E1620" s="8" t="str">
        <f t="shared" si="2"/>
        <v>https://resources.simonelectric.com/simon-catalogo-vehiculo-electrico</v>
      </c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</row>
    <row r="1621" ht="15.75" customHeight="1">
      <c r="A1621" s="5" t="s">
        <v>2421</v>
      </c>
      <c r="B1621" s="5">
        <v>43950.0</v>
      </c>
      <c r="C1621" s="6" t="s">
        <v>2422</v>
      </c>
      <c r="D1621" s="11">
        <f t="shared" si="1"/>
        <v>70</v>
      </c>
      <c r="E1621" s="8" t="str">
        <f t="shared" si="2"/>
        <v>https://resources.simonelectric.com/simon-catalogo-vehiculo-electrico</v>
      </c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</row>
    <row r="1622" ht="15.75" customHeight="1">
      <c r="A1622" s="5" t="s">
        <v>2423</v>
      </c>
      <c r="B1622" s="5">
        <v>43950.0</v>
      </c>
      <c r="C1622" s="6" t="s">
        <v>2424</v>
      </c>
      <c r="D1622" s="11">
        <f t="shared" si="1"/>
        <v>70</v>
      </c>
      <c r="E1622" s="8" t="str">
        <f t="shared" si="2"/>
        <v>https://resources.simonelectric.com/simon-catalogo-vehiculo-electrico</v>
      </c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</row>
    <row r="1623" ht="15.75" customHeight="1">
      <c r="A1623" s="5" t="s">
        <v>2425</v>
      </c>
      <c r="B1623" s="5">
        <v>43950.0</v>
      </c>
      <c r="C1623" s="6" t="s">
        <v>2426</v>
      </c>
      <c r="D1623" s="11">
        <f t="shared" si="1"/>
        <v>70</v>
      </c>
      <c r="E1623" s="8" t="str">
        <f t="shared" si="2"/>
        <v>https://resources.simonelectric.com/simon-catalogo-vehiculo-electrico</v>
      </c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</row>
    <row r="1624" ht="15.75" customHeight="1">
      <c r="A1624" s="5" t="s">
        <v>2427</v>
      </c>
      <c r="B1624" s="5">
        <v>43950.0</v>
      </c>
      <c r="C1624" s="6" t="s">
        <v>2428</v>
      </c>
      <c r="D1624" s="11">
        <f t="shared" si="1"/>
        <v>70</v>
      </c>
      <c r="E1624" s="8" t="str">
        <f t="shared" si="2"/>
        <v>https://resources.simonelectric.com/simon-catalogo-vehiculo-electrico</v>
      </c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</row>
    <row r="1625" ht="15.75" customHeight="1">
      <c r="A1625" s="5" t="s">
        <v>2429</v>
      </c>
      <c r="B1625" s="5">
        <v>43950.0</v>
      </c>
      <c r="C1625" s="6" t="s">
        <v>2430</v>
      </c>
      <c r="D1625" s="11">
        <f t="shared" si="1"/>
        <v>70</v>
      </c>
      <c r="E1625" s="8" t="str">
        <f t="shared" si="2"/>
        <v>https://resources.simonelectric.com/simon-catalogo-vehiculo-electrico</v>
      </c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</row>
    <row r="1626" ht="15.75" customHeight="1">
      <c r="A1626" s="5" t="s">
        <v>2431</v>
      </c>
      <c r="B1626" s="5">
        <v>43950.0</v>
      </c>
      <c r="C1626" s="6" t="s">
        <v>2432</v>
      </c>
      <c r="D1626" s="11">
        <f t="shared" si="1"/>
        <v>70</v>
      </c>
      <c r="E1626" s="8" t="str">
        <f t="shared" si="2"/>
        <v>https://resources.simonelectric.com/simon-catalogo-vehiculo-electrico</v>
      </c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</row>
    <row r="1627" ht="15.75" customHeight="1">
      <c r="A1627" s="5" t="s">
        <v>2433</v>
      </c>
      <c r="B1627" s="5">
        <v>43950.0</v>
      </c>
      <c r="C1627" s="6" t="s">
        <v>2434</v>
      </c>
      <c r="D1627" s="11">
        <f t="shared" si="1"/>
        <v>70</v>
      </c>
      <c r="E1627" s="8" t="str">
        <f t="shared" si="2"/>
        <v>https://resources.simonelectric.com/simon-catalogo-vehiculo-electrico</v>
      </c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</row>
    <row r="1628" ht="15.75" customHeight="1">
      <c r="A1628" s="5" t="s">
        <v>1154</v>
      </c>
      <c r="B1628" s="5">
        <v>43950.0</v>
      </c>
      <c r="C1628" s="6" t="s">
        <v>2355</v>
      </c>
      <c r="D1628" s="11">
        <f t="shared" si="1"/>
        <v>70</v>
      </c>
      <c r="E1628" s="8" t="str">
        <f t="shared" si="2"/>
        <v>https://resources.simonelectric.com/simon-catalogo-vehiculo-electrico</v>
      </c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</row>
    <row r="1629" ht="15.75" customHeight="1">
      <c r="A1629" s="5" t="s">
        <v>2435</v>
      </c>
      <c r="B1629" s="5">
        <v>43950.0</v>
      </c>
      <c r="C1629" s="6" t="s">
        <v>2436</v>
      </c>
      <c r="D1629" s="11">
        <f t="shared" si="1"/>
        <v>70</v>
      </c>
      <c r="E1629" s="8" t="str">
        <f t="shared" si="2"/>
        <v>https://resources.simonelectric.com/simon-catalogo-vehiculo-electrico</v>
      </c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</row>
    <row r="1630" ht="15.75" customHeight="1">
      <c r="A1630" s="5" t="s">
        <v>2437</v>
      </c>
      <c r="B1630" s="5">
        <v>43950.0</v>
      </c>
      <c r="C1630" s="6" t="s">
        <v>2438</v>
      </c>
      <c r="D1630" s="11">
        <f t="shared" si="1"/>
        <v>70</v>
      </c>
      <c r="E1630" s="8" t="str">
        <f t="shared" si="2"/>
        <v>https://resources.simonelectric.com/simon-catalogo-vehiculo-electrico</v>
      </c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</row>
    <row r="1631" ht="15.75" customHeight="1">
      <c r="A1631" s="5" t="s">
        <v>2439</v>
      </c>
      <c r="B1631" s="5">
        <v>43950.0</v>
      </c>
      <c r="C1631" s="6" t="s">
        <v>2440</v>
      </c>
      <c r="D1631" s="11">
        <f t="shared" si="1"/>
        <v>67</v>
      </c>
      <c r="E1631" s="8" t="str">
        <f t="shared" si="2"/>
        <v>https://resources.simonelectric.com/simon-ebook-vehiculo-electrico</v>
      </c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</row>
    <row r="1632" ht="15.75" customHeight="1">
      <c r="A1632" s="5" t="s">
        <v>2441</v>
      </c>
      <c r="B1632" s="5">
        <v>43950.0</v>
      </c>
      <c r="C1632" s="6" t="s">
        <v>2442</v>
      </c>
      <c r="D1632" s="11">
        <f t="shared" si="1"/>
        <v>70</v>
      </c>
      <c r="E1632" s="8" t="str">
        <f t="shared" si="2"/>
        <v>https://resources.simonelectric.com/simon-catalogo-vehiculo-electrico</v>
      </c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</row>
    <row r="1633" ht="15.75" customHeight="1">
      <c r="A1633" s="5" t="s">
        <v>2443</v>
      </c>
      <c r="B1633" s="5">
        <v>43950.0</v>
      </c>
      <c r="C1633" s="6" t="s">
        <v>2444</v>
      </c>
      <c r="D1633" s="11">
        <f t="shared" si="1"/>
        <v>70</v>
      </c>
      <c r="E1633" s="8" t="str">
        <f t="shared" si="2"/>
        <v>https://resources.simonelectric.com/simon-catalogo-vehiculo-electrico</v>
      </c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</row>
    <row r="1634" ht="15.75" customHeight="1">
      <c r="A1634" s="5" t="s">
        <v>2445</v>
      </c>
      <c r="B1634" s="5">
        <v>43950.0</v>
      </c>
      <c r="C1634" s="6" t="s">
        <v>2446</v>
      </c>
      <c r="D1634" s="11">
        <f t="shared" si="1"/>
        <v>70</v>
      </c>
      <c r="E1634" s="8" t="str">
        <f t="shared" si="2"/>
        <v>https://resources.simonelectric.com/simon-catalogo-vehiculo-electrico</v>
      </c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</row>
    <row r="1635" ht="15.75" customHeight="1">
      <c r="A1635" s="5" t="s">
        <v>2447</v>
      </c>
      <c r="B1635" s="5">
        <v>43950.0</v>
      </c>
      <c r="C1635" s="6" t="s">
        <v>2448</v>
      </c>
      <c r="D1635" s="11">
        <f t="shared" si="1"/>
        <v>70</v>
      </c>
      <c r="E1635" s="8" t="str">
        <f t="shared" si="2"/>
        <v>https://resources.simonelectric.com/simon-catalogo-vehiculo-electrico</v>
      </c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</row>
    <row r="1636" ht="15.75" customHeight="1">
      <c r="A1636" s="5" t="s">
        <v>2449</v>
      </c>
      <c r="B1636" s="5">
        <v>43950.0</v>
      </c>
      <c r="C1636" s="6" t="s">
        <v>2450</v>
      </c>
      <c r="D1636" s="11">
        <f t="shared" si="1"/>
        <v>70</v>
      </c>
      <c r="E1636" s="8" t="str">
        <f t="shared" si="2"/>
        <v>https://resources.simonelectric.com/simon-catalogo-vehiculo-electrico</v>
      </c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</row>
    <row r="1637" ht="15.75" customHeight="1">
      <c r="A1637" s="5" t="s">
        <v>2451</v>
      </c>
      <c r="B1637" s="5">
        <v>43950.0</v>
      </c>
      <c r="C1637" s="6" t="s">
        <v>2452</v>
      </c>
      <c r="D1637" s="11">
        <f t="shared" si="1"/>
        <v>70</v>
      </c>
      <c r="E1637" s="8" t="str">
        <f t="shared" si="2"/>
        <v>https://resources.simonelectric.com/simon-catalogo-vehiculo-electrico</v>
      </c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</row>
    <row r="1638" ht="15.75" customHeight="1">
      <c r="A1638" s="5" t="s">
        <v>2453</v>
      </c>
      <c r="B1638" s="5">
        <v>43950.0</v>
      </c>
      <c r="C1638" s="6" t="s">
        <v>2454</v>
      </c>
      <c r="D1638" s="11">
        <f t="shared" si="1"/>
        <v>70</v>
      </c>
      <c r="E1638" s="8" t="str">
        <f t="shared" si="2"/>
        <v>https://resources.simonelectric.com/simon-catalogo-vehiculo-electrico</v>
      </c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</row>
    <row r="1639" ht="15.75" customHeight="1">
      <c r="A1639" s="5" t="s">
        <v>2455</v>
      </c>
      <c r="B1639" s="5">
        <v>43950.0</v>
      </c>
      <c r="C1639" s="6" t="s">
        <v>2456</v>
      </c>
      <c r="D1639" s="11">
        <f t="shared" si="1"/>
        <v>70</v>
      </c>
      <c r="E1639" s="8" t="str">
        <f t="shared" si="2"/>
        <v>https://resources.simonelectric.com/simon-catalogo-vehiculo-electrico</v>
      </c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</row>
    <row r="1640" ht="15.75" customHeight="1">
      <c r="A1640" s="5" t="s">
        <v>2457</v>
      </c>
      <c r="B1640" s="5">
        <v>43950.0</v>
      </c>
      <c r="C1640" s="6" t="s">
        <v>2458</v>
      </c>
      <c r="D1640" s="11">
        <f t="shared" si="1"/>
        <v>70</v>
      </c>
      <c r="E1640" s="8" t="str">
        <f t="shared" si="2"/>
        <v>https://resources.simonelectric.com/simon-catalogo-vehiculo-electrico</v>
      </c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</row>
    <row r="1641" ht="15.75" customHeight="1">
      <c r="A1641" s="5" t="s">
        <v>2459</v>
      </c>
      <c r="B1641" s="5">
        <v>43950.0</v>
      </c>
      <c r="C1641" s="6" t="s">
        <v>2460</v>
      </c>
      <c r="D1641" s="11">
        <f t="shared" si="1"/>
        <v>70</v>
      </c>
      <c r="E1641" s="8" t="str">
        <f t="shared" si="2"/>
        <v>https://resources.simonelectric.com/simon-catalogo-vehiculo-electrico</v>
      </c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</row>
    <row r="1642" ht="15.75" customHeight="1">
      <c r="A1642" s="5" t="s">
        <v>2461</v>
      </c>
      <c r="B1642" s="5">
        <v>43950.0</v>
      </c>
      <c r="C1642" s="6" t="s">
        <v>2462</v>
      </c>
      <c r="D1642" s="11">
        <f t="shared" si="1"/>
        <v>70</v>
      </c>
      <c r="E1642" s="8" t="str">
        <f t="shared" si="2"/>
        <v>https://resources.simonelectric.com/simon-catalogo-vehiculo-electrico</v>
      </c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</row>
    <row r="1643" ht="15.75" customHeight="1">
      <c r="A1643" s="5" t="s">
        <v>2463</v>
      </c>
      <c r="B1643" s="5">
        <v>43950.0</v>
      </c>
      <c r="C1643" s="6" t="s">
        <v>2464</v>
      </c>
      <c r="D1643" s="11">
        <f t="shared" si="1"/>
        <v>70</v>
      </c>
      <c r="E1643" s="8" t="str">
        <f t="shared" si="2"/>
        <v>https://resources.simonelectric.com/simon-catalogo-vehiculo-electrico</v>
      </c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</row>
    <row r="1644" ht="15.75" customHeight="1">
      <c r="A1644" s="5" t="s">
        <v>2465</v>
      </c>
      <c r="B1644" s="5">
        <v>43950.0</v>
      </c>
      <c r="C1644" s="6" t="s">
        <v>2466</v>
      </c>
      <c r="D1644" s="11">
        <f t="shared" si="1"/>
        <v>70</v>
      </c>
      <c r="E1644" s="8" t="str">
        <f t="shared" si="2"/>
        <v>https://resources.simonelectric.com/simon-catalogo-vehiculo-electrico</v>
      </c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</row>
    <row r="1645" ht="15.75" customHeight="1">
      <c r="A1645" s="5" t="s">
        <v>2467</v>
      </c>
      <c r="B1645" s="5">
        <v>43950.0</v>
      </c>
      <c r="C1645" s="6" t="s">
        <v>2468</v>
      </c>
      <c r="D1645" s="11">
        <f t="shared" si="1"/>
        <v>70</v>
      </c>
      <c r="E1645" s="8" t="str">
        <f t="shared" si="2"/>
        <v>https://resources.simonelectric.com/simon-catalogo-vehiculo-electrico</v>
      </c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</row>
    <row r="1646" ht="15.75" customHeight="1">
      <c r="A1646" s="5" t="s">
        <v>2469</v>
      </c>
      <c r="B1646" s="5">
        <v>43950.0</v>
      </c>
      <c r="C1646" s="6" t="s">
        <v>2470</v>
      </c>
      <c r="D1646" s="11">
        <f t="shared" si="1"/>
        <v>70</v>
      </c>
      <c r="E1646" s="8" t="str">
        <f t="shared" si="2"/>
        <v>https://resources.simonelectric.com/simon-catalogo-vehiculo-electrico</v>
      </c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</row>
    <row r="1647" ht="15.75" customHeight="1">
      <c r="A1647" s="5" t="s">
        <v>2471</v>
      </c>
      <c r="B1647" s="5">
        <v>43950.0</v>
      </c>
      <c r="C1647" s="6" t="s">
        <v>2472</v>
      </c>
      <c r="D1647" s="11">
        <f t="shared" si="1"/>
        <v>70</v>
      </c>
      <c r="E1647" s="8" t="str">
        <f t="shared" si="2"/>
        <v>https://resources.simonelectric.com/simon-catalogo-vehiculo-electrico</v>
      </c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</row>
    <row r="1648" ht="15.75" customHeight="1">
      <c r="A1648" s="5" t="s">
        <v>2473</v>
      </c>
      <c r="B1648" s="5">
        <v>43950.0</v>
      </c>
      <c r="C1648" s="6" t="s">
        <v>2474</v>
      </c>
      <c r="D1648" s="11">
        <f t="shared" si="1"/>
        <v>70</v>
      </c>
      <c r="E1648" s="8" t="str">
        <f t="shared" si="2"/>
        <v>https://resources.simonelectric.com/simon-catalogo-vehiculo-electrico</v>
      </c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</row>
    <row r="1649" ht="15.75" customHeight="1">
      <c r="A1649" s="5" t="s">
        <v>2475</v>
      </c>
      <c r="B1649" s="5">
        <v>43950.0</v>
      </c>
      <c r="C1649" s="6" t="s">
        <v>2476</v>
      </c>
      <c r="D1649" s="11">
        <f t="shared" si="1"/>
        <v>70</v>
      </c>
      <c r="E1649" s="8" t="str">
        <f t="shared" si="2"/>
        <v>https://resources.simonelectric.com/simon-catalogo-vehiculo-electrico</v>
      </c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</row>
    <row r="1650" ht="15.75" customHeight="1">
      <c r="A1650" s="5" t="s">
        <v>2477</v>
      </c>
      <c r="B1650" s="5">
        <v>43950.0</v>
      </c>
      <c r="C1650" s="6" t="s">
        <v>2478</v>
      </c>
      <c r="D1650" s="11">
        <f t="shared" si="1"/>
        <v>70</v>
      </c>
      <c r="E1650" s="8" t="str">
        <f t="shared" si="2"/>
        <v>https://resources.simonelectric.com/simon-catalogo-vehiculo-electrico</v>
      </c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</row>
    <row r="1651" ht="15.75" customHeight="1">
      <c r="A1651" s="5" t="s">
        <v>2479</v>
      </c>
      <c r="B1651" s="5">
        <v>43950.0</v>
      </c>
      <c r="C1651" s="6" t="s">
        <v>2480</v>
      </c>
      <c r="D1651" s="11">
        <f t="shared" si="1"/>
        <v>70</v>
      </c>
      <c r="E1651" s="8" t="str">
        <f t="shared" si="2"/>
        <v>https://resources.simonelectric.com/simon-catalogo-vehiculo-electrico</v>
      </c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</row>
    <row r="1652" ht="15.75" customHeight="1">
      <c r="A1652" s="5" t="s">
        <v>2481</v>
      </c>
      <c r="B1652" s="5">
        <v>43950.0</v>
      </c>
      <c r="C1652" s="6" t="s">
        <v>2482</v>
      </c>
      <c r="D1652" s="11">
        <f t="shared" si="1"/>
        <v>70</v>
      </c>
      <c r="E1652" s="8" t="str">
        <f t="shared" si="2"/>
        <v>https://resources.simonelectric.com/simon-catalogo-vehiculo-electrico</v>
      </c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</row>
    <row r="1653" ht="15.75" customHeight="1">
      <c r="A1653" s="5" t="s">
        <v>2483</v>
      </c>
      <c r="B1653" s="5">
        <v>43950.0</v>
      </c>
      <c r="C1653" s="6" t="s">
        <v>2484</v>
      </c>
      <c r="D1653" s="11">
        <f t="shared" si="1"/>
        <v>70</v>
      </c>
      <c r="E1653" s="8" t="str">
        <f t="shared" si="2"/>
        <v>https://resources.simonelectric.com/simon-catalogo-vehiculo-electrico</v>
      </c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</row>
    <row r="1654" ht="15.75" customHeight="1">
      <c r="A1654" s="5" t="s">
        <v>2485</v>
      </c>
      <c r="B1654" s="5">
        <v>43950.0</v>
      </c>
      <c r="C1654" s="6" t="s">
        <v>2486</v>
      </c>
      <c r="D1654" s="11">
        <f t="shared" si="1"/>
        <v>70</v>
      </c>
      <c r="E1654" s="8" t="str">
        <f t="shared" si="2"/>
        <v>https://resources.simonelectric.com/simon-catalogo-vehiculo-electrico</v>
      </c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</row>
    <row r="1655" ht="15.75" customHeight="1">
      <c r="A1655" s="5" t="s">
        <v>2487</v>
      </c>
      <c r="B1655" s="5">
        <v>43950.0</v>
      </c>
      <c r="C1655" s="6" t="s">
        <v>2488</v>
      </c>
      <c r="D1655" s="11">
        <f t="shared" si="1"/>
        <v>70</v>
      </c>
      <c r="E1655" s="8" t="str">
        <f t="shared" si="2"/>
        <v>https://resources.simonelectric.com/simon-catalogo-vehiculo-electrico</v>
      </c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</row>
    <row r="1656" ht="15.75" customHeight="1">
      <c r="A1656" s="5" t="s">
        <v>2489</v>
      </c>
      <c r="B1656" s="5">
        <v>43950.0</v>
      </c>
      <c r="C1656" s="6" t="s">
        <v>55</v>
      </c>
      <c r="D1656" s="11">
        <f t="shared" si="1"/>
        <v>71</v>
      </c>
      <c r="E1656" s="8" t="str">
        <f t="shared" si="2"/>
        <v>https://resources.simonelectric.com/simon-ebook-vehiculo-electrico-ppc</v>
      </c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</row>
    <row r="1657" ht="15.75" customHeight="1">
      <c r="A1657" s="5" t="s">
        <v>2490</v>
      </c>
      <c r="B1657" s="5">
        <v>43950.0</v>
      </c>
      <c r="C1657" s="6" t="s">
        <v>2491</v>
      </c>
      <c r="D1657" s="11">
        <f t="shared" si="1"/>
        <v>70</v>
      </c>
      <c r="E1657" s="8" t="str">
        <f t="shared" si="2"/>
        <v>https://resources.simonelectric.com/simon-catalogo-vehiculo-electrico</v>
      </c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</row>
    <row r="1658" ht="15.75" customHeight="1">
      <c r="A1658" s="5" t="s">
        <v>2492</v>
      </c>
      <c r="B1658" s="5">
        <v>43950.0</v>
      </c>
      <c r="C1658" s="6" t="s">
        <v>2493</v>
      </c>
      <c r="D1658" s="11">
        <f t="shared" si="1"/>
        <v>70</v>
      </c>
      <c r="E1658" s="8" t="str">
        <f t="shared" si="2"/>
        <v>https://resources.simonelectric.com/simon-catalogo-vehiculo-electrico</v>
      </c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</row>
    <row r="1659" ht="15.75" customHeight="1">
      <c r="A1659" s="5" t="s">
        <v>2494</v>
      </c>
      <c r="B1659" s="5">
        <v>43950.0</v>
      </c>
      <c r="C1659" s="6" t="s">
        <v>2495</v>
      </c>
      <c r="D1659" s="11">
        <f t="shared" si="1"/>
        <v>70</v>
      </c>
      <c r="E1659" s="8" t="str">
        <f t="shared" si="2"/>
        <v>https://resources.simonelectric.com/simon-catalogo-vehiculo-electrico</v>
      </c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</row>
    <row r="1660" ht="15.75" customHeight="1">
      <c r="A1660" s="5" t="s">
        <v>2496</v>
      </c>
      <c r="B1660" s="5">
        <v>43950.0</v>
      </c>
      <c r="C1660" s="6" t="s">
        <v>2497</v>
      </c>
      <c r="D1660" s="11">
        <f t="shared" si="1"/>
        <v>70</v>
      </c>
      <c r="E1660" s="8" t="str">
        <f t="shared" si="2"/>
        <v>https://resources.simonelectric.com/simon-catalogo-vehiculo-electrico</v>
      </c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</row>
    <row r="1661" ht="15.75" customHeight="1">
      <c r="A1661" s="5" t="s">
        <v>1214</v>
      </c>
      <c r="B1661" s="5">
        <v>43950.0</v>
      </c>
      <c r="C1661" s="6" t="s">
        <v>2498</v>
      </c>
      <c r="D1661" s="11">
        <f t="shared" si="1"/>
        <v>70</v>
      </c>
      <c r="E1661" s="8" t="str">
        <f t="shared" si="2"/>
        <v>https://resources.simonelectric.com/simon-catalogo-vehiculo-electrico</v>
      </c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</row>
    <row r="1662" ht="15.75" customHeight="1">
      <c r="A1662" s="5" t="s">
        <v>2499</v>
      </c>
      <c r="B1662" s="5">
        <v>43950.0</v>
      </c>
      <c r="C1662" s="6" t="s">
        <v>2500</v>
      </c>
      <c r="D1662" s="11">
        <f t="shared" si="1"/>
        <v>70</v>
      </c>
      <c r="E1662" s="8" t="str">
        <f t="shared" si="2"/>
        <v>https://resources.simonelectric.com/simon-catalogo-vehiculo-electrico</v>
      </c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</row>
    <row r="1663" ht="15.75" customHeight="1">
      <c r="A1663" s="5" t="s">
        <v>2501</v>
      </c>
      <c r="B1663" s="5">
        <v>43950.0</v>
      </c>
      <c r="C1663" s="6" t="s">
        <v>2502</v>
      </c>
      <c r="D1663" s="11">
        <f t="shared" si="1"/>
        <v>70</v>
      </c>
      <c r="E1663" s="8" t="str">
        <f t="shared" si="2"/>
        <v>https://resources.simonelectric.com/simon-catalogo-vehiculo-electrico</v>
      </c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</row>
    <row r="1664" ht="15.75" customHeight="1">
      <c r="A1664" s="5" t="s">
        <v>1011</v>
      </c>
      <c r="B1664" s="5">
        <v>43950.0</v>
      </c>
      <c r="C1664" s="6" t="s">
        <v>2503</v>
      </c>
      <c r="D1664" s="11">
        <f t="shared" si="1"/>
        <v>70</v>
      </c>
      <c r="E1664" s="8" t="str">
        <f t="shared" si="2"/>
        <v>https://resources.simonelectric.com/simon-catalogo-vehiculo-electrico</v>
      </c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</row>
    <row r="1665" ht="15.75" customHeight="1">
      <c r="A1665" s="5" t="s">
        <v>2504</v>
      </c>
      <c r="B1665" s="5">
        <v>43950.0</v>
      </c>
      <c r="C1665" s="6" t="s">
        <v>2505</v>
      </c>
      <c r="D1665" s="11">
        <f t="shared" si="1"/>
        <v>70</v>
      </c>
      <c r="E1665" s="8" t="str">
        <f t="shared" si="2"/>
        <v>https://resources.simonelectric.com/simon-catalogo-vehiculo-electrico</v>
      </c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</row>
    <row r="1666" ht="15.75" customHeight="1">
      <c r="A1666" s="5" t="s">
        <v>2506</v>
      </c>
      <c r="B1666" s="5">
        <v>43950.0</v>
      </c>
      <c r="C1666" s="6" t="s">
        <v>2507</v>
      </c>
      <c r="D1666" s="11">
        <f t="shared" si="1"/>
        <v>70</v>
      </c>
      <c r="E1666" s="8" t="str">
        <f t="shared" si="2"/>
        <v>https://resources.simonelectric.com/simon-catalogo-vehiculo-electrico</v>
      </c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</row>
    <row r="1667" ht="15.75" customHeight="1">
      <c r="A1667" s="5" t="s">
        <v>2508</v>
      </c>
      <c r="B1667" s="5">
        <v>43950.0</v>
      </c>
      <c r="C1667" s="6" t="s">
        <v>2509</v>
      </c>
      <c r="D1667" s="11">
        <f t="shared" si="1"/>
        <v>70</v>
      </c>
      <c r="E1667" s="8" t="str">
        <f t="shared" si="2"/>
        <v>https://resources.simonelectric.com/simon-catalogo-vehiculo-electrico</v>
      </c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</row>
    <row r="1668" ht="15.75" customHeight="1">
      <c r="A1668" s="5" t="s">
        <v>2510</v>
      </c>
      <c r="B1668" s="5">
        <v>43950.0</v>
      </c>
      <c r="C1668" s="6" t="s">
        <v>2511</v>
      </c>
      <c r="D1668" s="11">
        <f t="shared" si="1"/>
        <v>70</v>
      </c>
      <c r="E1668" s="8" t="str">
        <f t="shared" si="2"/>
        <v>https://resources.simonelectric.com/simon-catalogo-vehiculo-electrico</v>
      </c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</row>
    <row r="1669" ht="15.75" customHeight="1">
      <c r="A1669" s="5" t="s">
        <v>2512</v>
      </c>
      <c r="B1669" s="5">
        <v>43950.0</v>
      </c>
      <c r="C1669" s="6" t="s">
        <v>2513</v>
      </c>
      <c r="D1669" s="11">
        <f t="shared" si="1"/>
        <v>70</v>
      </c>
      <c r="E1669" s="8" t="str">
        <f t="shared" si="2"/>
        <v>https://resources.simonelectric.com/simon-catalogo-vehiculo-electrico</v>
      </c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</row>
    <row r="1670" ht="15.75" customHeight="1">
      <c r="A1670" s="5" t="s">
        <v>2514</v>
      </c>
      <c r="B1670" s="5">
        <v>43950.0</v>
      </c>
      <c r="C1670" s="6" t="s">
        <v>2515</v>
      </c>
      <c r="D1670" s="11">
        <f t="shared" si="1"/>
        <v>70</v>
      </c>
      <c r="E1670" s="8" t="str">
        <f t="shared" si="2"/>
        <v>https://resources.simonelectric.com/simon-catalogo-vehiculo-electrico</v>
      </c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</row>
    <row r="1671" ht="15.75" customHeight="1">
      <c r="A1671" s="5" t="s">
        <v>2516</v>
      </c>
      <c r="B1671" s="5">
        <v>43950.0</v>
      </c>
      <c r="C1671" s="6" t="s">
        <v>2517</v>
      </c>
      <c r="D1671" s="11">
        <f t="shared" si="1"/>
        <v>70</v>
      </c>
      <c r="E1671" s="8" t="str">
        <f t="shared" si="2"/>
        <v>https://resources.simonelectric.com/simon-catalogo-vehiculo-electrico</v>
      </c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</row>
    <row r="1672" ht="15.75" customHeight="1">
      <c r="A1672" s="5" t="s">
        <v>2518</v>
      </c>
      <c r="B1672" s="5">
        <v>43950.0</v>
      </c>
      <c r="C1672" s="6" t="s">
        <v>2519</v>
      </c>
      <c r="D1672" s="11">
        <f t="shared" si="1"/>
        <v>70</v>
      </c>
      <c r="E1672" s="8" t="str">
        <f t="shared" si="2"/>
        <v>https://resources.simonelectric.com/simon-catalogo-vehiculo-electrico</v>
      </c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</row>
    <row r="1673" ht="15.75" customHeight="1">
      <c r="A1673" s="5" t="s">
        <v>2520</v>
      </c>
      <c r="B1673" s="5">
        <v>43950.0</v>
      </c>
      <c r="C1673" s="6" t="s">
        <v>2521</v>
      </c>
      <c r="D1673" s="11">
        <f t="shared" si="1"/>
        <v>70</v>
      </c>
      <c r="E1673" s="8" t="str">
        <f t="shared" si="2"/>
        <v>https://resources.simonelectric.com/simon-catalogo-vehiculo-electrico</v>
      </c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</row>
    <row r="1674" ht="15.75" customHeight="1">
      <c r="A1674" s="5" t="s">
        <v>2522</v>
      </c>
      <c r="B1674" s="5">
        <v>43950.0</v>
      </c>
      <c r="C1674" s="6" t="s">
        <v>2523</v>
      </c>
      <c r="D1674" s="11">
        <f t="shared" si="1"/>
        <v>70</v>
      </c>
      <c r="E1674" s="8" t="str">
        <f t="shared" si="2"/>
        <v>https://resources.simonelectric.com/simon-catalogo-vehiculo-electrico</v>
      </c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</row>
    <row r="1675" ht="15.75" customHeight="1">
      <c r="A1675" s="5" t="s">
        <v>2524</v>
      </c>
      <c r="B1675" s="5">
        <v>43950.0</v>
      </c>
      <c r="C1675" s="6" t="s">
        <v>2525</v>
      </c>
      <c r="D1675" s="11">
        <f t="shared" si="1"/>
        <v>70</v>
      </c>
      <c r="E1675" s="8" t="str">
        <f t="shared" si="2"/>
        <v>https://resources.simonelectric.com/simon-catalogo-vehiculo-electrico</v>
      </c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</row>
    <row r="1676" ht="15.75" customHeight="1">
      <c r="A1676" s="5" t="s">
        <v>2526</v>
      </c>
      <c r="B1676" s="5">
        <v>43950.0</v>
      </c>
      <c r="C1676" s="6" t="s">
        <v>2527</v>
      </c>
      <c r="D1676" s="11">
        <f t="shared" si="1"/>
        <v>70</v>
      </c>
      <c r="E1676" s="8" t="str">
        <f t="shared" si="2"/>
        <v>https://resources.simonelectric.com/simon-catalogo-vehiculo-electrico</v>
      </c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</row>
    <row r="1677" ht="15.75" customHeight="1">
      <c r="A1677" s="5" t="s">
        <v>2528</v>
      </c>
      <c r="B1677" s="5">
        <v>43950.0</v>
      </c>
      <c r="C1677" s="6" t="s">
        <v>2529</v>
      </c>
      <c r="D1677" s="11">
        <f t="shared" si="1"/>
        <v>70</v>
      </c>
      <c r="E1677" s="8" t="str">
        <f t="shared" si="2"/>
        <v>https://resources.simonelectric.com/simon-catalogo-vehiculo-electrico</v>
      </c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</row>
    <row r="1678" ht="15.75" customHeight="1">
      <c r="A1678" s="5" t="s">
        <v>2530</v>
      </c>
      <c r="B1678" s="5">
        <v>43950.0</v>
      </c>
      <c r="C1678" s="6" t="s">
        <v>2531</v>
      </c>
      <c r="D1678" s="11">
        <f t="shared" si="1"/>
        <v>70</v>
      </c>
      <c r="E1678" s="8" t="str">
        <f t="shared" si="2"/>
        <v>https://resources.simonelectric.com/simon-catalogo-vehiculo-electrico</v>
      </c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</row>
    <row r="1679" ht="15.75" customHeight="1">
      <c r="A1679" s="5" t="s">
        <v>2532</v>
      </c>
      <c r="B1679" s="5">
        <v>43950.0</v>
      </c>
      <c r="C1679" s="6" t="s">
        <v>2533</v>
      </c>
      <c r="D1679" s="11">
        <f t="shared" si="1"/>
        <v>70</v>
      </c>
      <c r="E1679" s="8" t="str">
        <f t="shared" si="2"/>
        <v>https://resources.simonelectric.com/simon-catalogo-vehiculo-electrico</v>
      </c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</row>
    <row r="1680" ht="15.75" customHeight="1">
      <c r="A1680" s="5" t="s">
        <v>2534</v>
      </c>
      <c r="B1680" s="5">
        <v>43950.0</v>
      </c>
      <c r="C1680" s="6" t="s">
        <v>2535</v>
      </c>
      <c r="D1680" s="11">
        <f t="shared" si="1"/>
        <v>70</v>
      </c>
      <c r="E1680" s="8" t="str">
        <f t="shared" si="2"/>
        <v>https://resources.simonelectric.com/simon-catalogo-vehiculo-electrico</v>
      </c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</row>
    <row r="1681" ht="15.75" customHeight="1">
      <c r="A1681" s="5" t="s">
        <v>2536</v>
      </c>
      <c r="B1681" s="5">
        <v>43950.0</v>
      </c>
      <c r="C1681" s="6" t="s">
        <v>2537</v>
      </c>
      <c r="D1681" s="11">
        <f t="shared" si="1"/>
        <v>70</v>
      </c>
      <c r="E1681" s="8" t="str">
        <f t="shared" si="2"/>
        <v>https://resources.simonelectric.com/simon-catalogo-vehiculo-electrico</v>
      </c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</row>
    <row r="1682" ht="15.75" customHeight="1">
      <c r="A1682" s="5" t="s">
        <v>2538</v>
      </c>
      <c r="B1682" s="5">
        <v>43950.0</v>
      </c>
      <c r="C1682" s="6" t="s">
        <v>2539</v>
      </c>
      <c r="D1682" s="11">
        <f t="shared" si="1"/>
        <v>70</v>
      </c>
      <c r="E1682" s="8" t="str">
        <f t="shared" si="2"/>
        <v>https://resources.simonelectric.com/simon-catalogo-vehiculo-electrico</v>
      </c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</row>
    <row r="1683" ht="15.75" customHeight="1">
      <c r="A1683" s="5" t="s">
        <v>2540</v>
      </c>
      <c r="B1683" s="5">
        <v>43950.0</v>
      </c>
      <c r="C1683" s="6" t="s">
        <v>2541</v>
      </c>
      <c r="D1683" s="11">
        <f t="shared" si="1"/>
        <v>70</v>
      </c>
      <c r="E1683" s="8" t="str">
        <f t="shared" si="2"/>
        <v>https://resources.simonelectric.com/simon-catalogo-vehiculo-electrico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</row>
    <row r="1684" ht="15.75" customHeight="1">
      <c r="A1684" s="5" t="s">
        <v>2542</v>
      </c>
      <c r="B1684" s="5">
        <v>43950.0</v>
      </c>
      <c r="C1684" s="6" t="s">
        <v>2543</v>
      </c>
      <c r="D1684" s="11">
        <f t="shared" si="1"/>
        <v>70</v>
      </c>
      <c r="E1684" s="8" t="str">
        <f t="shared" si="2"/>
        <v>https://resources.simonelectric.com/simon-catalogo-vehiculo-electrico</v>
      </c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</row>
    <row r="1685" ht="15.75" customHeight="1">
      <c r="A1685" s="5" t="s">
        <v>2544</v>
      </c>
      <c r="B1685" s="5">
        <v>43950.0</v>
      </c>
      <c r="C1685" s="6" t="s">
        <v>2545</v>
      </c>
      <c r="D1685" s="11">
        <f t="shared" si="1"/>
        <v>70</v>
      </c>
      <c r="E1685" s="8" t="str">
        <f t="shared" si="2"/>
        <v>https://resources.simonelectric.com/simon-catalogo-vehiculo-electrico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</row>
    <row r="1686" ht="15.75" customHeight="1">
      <c r="A1686" s="5" t="s">
        <v>2546</v>
      </c>
      <c r="B1686" s="5">
        <v>43950.0</v>
      </c>
      <c r="C1686" s="6" t="s">
        <v>2547</v>
      </c>
      <c r="D1686" s="11">
        <f t="shared" si="1"/>
        <v>70</v>
      </c>
      <c r="E1686" s="8" t="str">
        <f t="shared" si="2"/>
        <v>https://resources.simonelectric.com/simon-catalogo-vehiculo-electrico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</row>
    <row r="1687" ht="15.75" customHeight="1">
      <c r="A1687" s="5" t="s">
        <v>1919</v>
      </c>
      <c r="B1687" s="5">
        <v>43950.0</v>
      </c>
      <c r="C1687" s="6" t="s">
        <v>2548</v>
      </c>
      <c r="D1687" s="11">
        <f t="shared" si="1"/>
        <v>70</v>
      </c>
      <c r="E1687" s="8" t="str">
        <f t="shared" si="2"/>
        <v>https://resources.simonelectric.com/simon-catalogo-vehiculo-electrico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</row>
    <row r="1688" ht="15.75" customHeight="1">
      <c r="A1688" s="5" t="s">
        <v>2549</v>
      </c>
      <c r="B1688" s="5">
        <v>43950.0</v>
      </c>
      <c r="C1688" s="6" t="s">
        <v>2550</v>
      </c>
      <c r="D1688" s="11">
        <f t="shared" si="1"/>
        <v>70</v>
      </c>
      <c r="E1688" s="8" t="str">
        <f t="shared" si="2"/>
        <v>https://resources.simonelectric.com/simon-catalogo-vehiculo-electrico</v>
      </c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</row>
    <row r="1689" ht="15.75" customHeight="1">
      <c r="A1689" s="5" t="s">
        <v>2551</v>
      </c>
      <c r="B1689" s="5">
        <v>43950.0</v>
      </c>
      <c r="C1689" s="6" t="s">
        <v>2552</v>
      </c>
      <c r="D1689" s="11">
        <f t="shared" si="1"/>
        <v>70</v>
      </c>
      <c r="E1689" s="8" t="str">
        <f t="shared" si="2"/>
        <v>https://resources.simonelectric.com/simon-catalogo-vehiculo-electrico</v>
      </c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</row>
    <row r="1690" ht="15.75" customHeight="1">
      <c r="A1690" s="5" t="s">
        <v>2553</v>
      </c>
      <c r="B1690" s="5">
        <v>43950.0</v>
      </c>
      <c r="C1690" s="6" t="s">
        <v>2554</v>
      </c>
      <c r="D1690" s="11">
        <f t="shared" si="1"/>
        <v>70</v>
      </c>
      <c r="E1690" s="8" t="str">
        <f t="shared" si="2"/>
        <v>https://resources.simonelectric.com/simon-catalogo-vehiculo-electrico</v>
      </c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</row>
    <row r="1691" ht="15.75" customHeight="1">
      <c r="A1691" s="5" t="s">
        <v>2555</v>
      </c>
      <c r="B1691" s="5">
        <v>43950.0</v>
      </c>
      <c r="C1691" s="6" t="s">
        <v>2556</v>
      </c>
      <c r="D1691" s="11">
        <f t="shared" si="1"/>
        <v>70</v>
      </c>
      <c r="E1691" s="8" t="str">
        <f t="shared" si="2"/>
        <v>https://resources.simonelectric.com/simon-catalogo-vehiculo-electrico</v>
      </c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</row>
    <row r="1692" ht="15.75" customHeight="1">
      <c r="A1692" s="5" t="s">
        <v>2557</v>
      </c>
      <c r="B1692" s="5">
        <v>43950.0</v>
      </c>
      <c r="C1692" s="6" t="s">
        <v>2558</v>
      </c>
      <c r="D1692" s="11">
        <f t="shared" si="1"/>
        <v>70</v>
      </c>
      <c r="E1692" s="8" t="str">
        <f t="shared" si="2"/>
        <v>https://resources.simonelectric.com/simon-catalogo-vehiculo-electrico</v>
      </c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</row>
    <row r="1693" ht="15.75" customHeight="1">
      <c r="A1693" s="5" t="s">
        <v>1639</v>
      </c>
      <c r="B1693" s="5">
        <v>43950.0</v>
      </c>
      <c r="C1693" s="6" t="s">
        <v>2559</v>
      </c>
      <c r="D1693" s="11">
        <f t="shared" si="1"/>
        <v>70</v>
      </c>
      <c r="E1693" s="8" t="str">
        <f t="shared" si="2"/>
        <v>https://resources.simonelectric.com/simon-catalogo-vehiculo-electrico</v>
      </c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</row>
    <row r="1694" ht="15.75" customHeight="1">
      <c r="A1694" s="5" t="s">
        <v>2560</v>
      </c>
      <c r="B1694" s="5">
        <v>43950.0</v>
      </c>
      <c r="C1694" s="6" t="s">
        <v>2561</v>
      </c>
      <c r="D1694" s="11">
        <f t="shared" si="1"/>
        <v>70</v>
      </c>
      <c r="E1694" s="8" t="str">
        <f t="shared" si="2"/>
        <v>https://resources.simonelectric.com/simon-catalogo-vehiculo-electrico</v>
      </c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</row>
    <row r="1695" ht="15.75" customHeight="1">
      <c r="A1695" s="5" t="s">
        <v>2562</v>
      </c>
      <c r="B1695" s="5">
        <v>43950.0</v>
      </c>
      <c r="C1695" s="6" t="s">
        <v>2563</v>
      </c>
      <c r="D1695" s="11">
        <f t="shared" si="1"/>
        <v>70</v>
      </c>
      <c r="E1695" s="8" t="str">
        <f t="shared" si="2"/>
        <v>https://resources.simonelectric.com/simon-catalogo-vehiculo-electrico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</row>
    <row r="1696" ht="15.75" customHeight="1">
      <c r="A1696" s="5" t="s">
        <v>2564</v>
      </c>
      <c r="B1696" s="5">
        <v>43950.0</v>
      </c>
      <c r="C1696" s="6" t="s">
        <v>2565</v>
      </c>
      <c r="D1696" s="11">
        <f t="shared" si="1"/>
        <v>70</v>
      </c>
      <c r="E1696" s="8" t="str">
        <f t="shared" si="2"/>
        <v>https://resources.simonelectric.com/simon-catalogo-vehiculo-electrico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</row>
    <row r="1697" ht="15.75" customHeight="1">
      <c r="A1697" s="5" t="s">
        <v>2566</v>
      </c>
      <c r="B1697" s="5">
        <v>43950.0</v>
      </c>
      <c r="C1697" s="6" t="s">
        <v>2567</v>
      </c>
      <c r="D1697" s="11">
        <f t="shared" si="1"/>
        <v>70</v>
      </c>
      <c r="E1697" s="8" t="str">
        <f t="shared" si="2"/>
        <v>https://resources.simonelectric.com/simon-catalogo-vehiculo-electrico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</row>
    <row r="1698" ht="15.75" customHeight="1">
      <c r="A1698" s="5" t="s">
        <v>1707</v>
      </c>
      <c r="B1698" s="5">
        <v>43950.0</v>
      </c>
      <c r="C1698" s="6" t="s">
        <v>2568</v>
      </c>
      <c r="D1698" s="11">
        <f t="shared" si="1"/>
        <v>70</v>
      </c>
      <c r="E1698" s="8" t="str">
        <f t="shared" si="2"/>
        <v>https://resources.simonelectric.com/simon-catalogo-vehiculo-electrico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</row>
    <row r="1699" ht="15.75" customHeight="1">
      <c r="A1699" s="5" t="s">
        <v>2569</v>
      </c>
      <c r="B1699" s="5">
        <v>43950.0</v>
      </c>
      <c r="C1699" s="6" t="s">
        <v>2570</v>
      </c>
      <c r="D1699" s="11">
        <f t="shared" si="1"/>
        <v>70</v>
      </c>
      <c r="E1699" s="8" t="str">
        <f t="shared" si="2"/>
        <v>https://resources.simonelectric.com/simon-catalogo-vehiculo-electrico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</row>
    <row r="1700" ht="15.75" customHeight="1">
      <c r="A1700" s="5" t="s">
        <v>2571</v>
      </c>
      <c r="B1700" s="5">
        <v>43950.0</v>
      </c>
      <c r="C1700" s="6" t="s">
        <v>2572</v>
      </c>
      <c r="D1700" s="11">
        <f t="shared" si="1"/>
        <v>70</v>
      </c>
      <c r="E1700" s="8" t="str">
        <f t="shared" si="2"/>
        <v>https://resources.simonelectric.com/simon-catalogo-vehiculo-electrico</v>
      </c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</row>
    <row r="1701" ht="15.75" customHeight="1">
      <c r="A1701" s="5" t="s">
        <v>2573</v>
      </c>
      <c r="B1701" s="5">
        <v>43950.0</v>
      </c>
      <c r="C1701" s="6" t="s">
        <v>2574</v>
      </c>
      <c r="D1701" s="11">
        <f t="shared" si="1"/>
        <v>70</v>
      </c>
      <c r="E1701" s="8" t="str">
        <f t="shared" si="2"/>
        <v>https://resources.simonelectric.com/simon-catalogo-vehiculo-electrico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</row>
    <row r="1702" ht="15.75" customHeight="1">
      <c r="A1702" s="5" t="s">
        <v>2575</v>
      </c>
      <c r="B1702" s="5">
        <v>43950.0</v>
      </c>
      <c r="C1702" s="6" t="s">
        <v>2576</v>
      </c>
      <c r="D1702" s="11">
        <f t="shared" si="1"/>
        <v>70</v>
      </c>
      <c r="E1702" s="8" t="str">
        <f t="shared" si="2"/>
        <v>https://resources.simonelectric.com/simon-catalogo-vehiculo-electrico</v>
      </c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</row>
    <row r="1703" ht="15.75" customHeight="1">
      <c r="A1703" s="5" t="s">
        <v>2577</v>
      </c>
      <c r="B1703" s="5">
        <v>43950.0</v>
      </c>
      <c r="C1703" s="6" t="s">
        <v>2578</v>
      </c>
      <c r="D1703" s="11">
        <f t="shared" si="1"/>
        <v>70</v>
      </c>
      <c r="E1703" s="8" t="str">
        <f t="shared" si="2"/>
        <v>https://resources.simonelectric.com/simon-catalogo-vehiculo-electrico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</row>
    <row r="1704" ht="15.75" customHeight="1">
      <c r="A1704" s="5" t="s">
        <v>2579</v>
      </c>
      <c r="B1704" s="5">
        <v>43950.0</v>
      </c>
      <c r="C1704" s="6" t="s">
        <v>2580</v>
      </c>
      <c r="D1704" s="11">
        <f t="shared" si="1"/>
        <v>70</v>
      </c>
      <c r="E1704" s="8" t="str">
        <f t="shared" si="2"/>
        <v>https://resources.simonelectric.com/simon-catalogo-vehiculo-electrico</v>
      </c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</row>
    <row r="1705" ht="15.75" customHeight="1">
      <c r="A1705" s="5" t="s">
        <v>2581</v>
      </c>
      <c r="B1705" s="5">
        <v>43950.0</v>
      </c>
      <c r="C1705" s="6" t="s">
        <v>2582</v>
      </c>
      <c r="D1705" s="11">
        <f t="shared" si="1"/>
        <v>70</v>
      </c>
      <c r="E1705" s="8" t="str">
        <f t="shared" si="2"/>
        <v>https://resources.simonelectric.com/simon-catalogo-vehiculo-electrico</v>
      </c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</row>
    <row r="1706" ht="15.75" customHeight="1">
      <c r="A1706" s="5" t="s">
        <v>2583</v>
      </c>
      <c r="B1706" s="5">
        <v>43950.0</v>
      </c>
      <c r="C1706" s="6" t="s">
        <v>2584</v>
      </c>
      <c r="D1706" s="11">
        <f t="shared" si="1"/>
        <v>70</v>
      </c>
      <c r="E1706" s="8" t="str">
        <f t="shared" si="2"/>
        <v>https://resources.simonelectric.com/simon-catalogo-vehiculo-electrico</v>
      </c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</row>
    <row r="1707" ht="15.75" customHeight="1">
      <c r="A1707" s="5" t="s">
        <v>2585</v>
      </c>
      <c r="B1707" s="5">
        <v>43950.0</v>
      </c>
      <c r="C1707" s="6" t="s">
        <v>2586</v>
      </c>
      <c r="D1707" s="11">
        <f t="shared" si="1"/>
        <v>70</v>
      </c>
      <c r="E1707" s="8" t="str">
        <f t="shared" si="2"/>
        <v>https://resources.simonelectric.com/simon-catalogo-vehiculo-electrico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</row>
    <row r="1708" ht="15.75" customHeight="1">
      <c r="A1708" s="5" t="s">
        <v>1810</v>
      </c>
      <c r="B1708" s="5">
        <v>43950.0</v>
      </c>
      <c r="C1708" s="6" t="s">
        <v>2587</v>
      </c>
      <c r="D1708" s="11">
        <f t="shared" si="1"/>
        <v>70</v>
      </c>
      <c r="E1708" s="8" t="str">
        <f t="shared" si="2"/>
        <v>https://resources.simonelectric.com/simon-catalogo-vehiculo-electrico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</row>
    <row r="1709" ht="15.75" customHeight="1">
      <c r="A1709" s="5" t="s">
        <v>2588</v>
      </c>
      <c r="B1709" s="5">
        <v>43950.0</v>
      </c>
      <c r="C1709" s="6" t="s">
        <v>2589</v>
      </c>
      <c r="D1709" s="11">
        <f t="shared" si="1"/>
        <v>70</v>
      </c>
      <c r="E1709" s="8" t="str">
        <f t="shared" si="2"/>
        <v>https://resources.simonelectric.com/simon-catalogo-vehiculo-electrico</v>
      </c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</row>
    <row r="1710" ht="15.75" customHeight="1">
      <c r="A1710" s="5" t="s">
        <v>2590</v>
      </c>
      <c r="B1710" s="5">
        <v>43950.0</v>
      </c>
      <c r="C1710" s="6" t="s">
        <v>2591</v>
      </c>
      <c r="D1710" s="11">
        <f t="shared" si="1"/>
        <v>70</v>
      </c>
      <c r="E1710" s="8" t="str">
        <f t="shared" si="2"/>
        <v>https://resources.simonelectric.com/simon-catalogo-vehiculo-electrico</v>
      </c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</row>
    <row r="1711" ht="15.75" customHeight="1">
      <c r="A1711" s="5" t="s">
        <v>2592</v>
      </c>
      <c r="B1711" s="5">
        <v>43950.0</v>
      </c>
      <c r="C1711" s="6" t="s">
        <v>2593</v>
      </c>
      <c r="D1711" s="11">
        <f t="shared" si="1"/>
        <v>70</v>
      </c>
      <c r="E1711" s="8" t="str">
        <f t="shared" si="2"/>
        <v>https://resources.simonelectric.com/simon-catalogo-vehiculo-electrico</v>
      </c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</row>
    <row r="1712" ht="15.75" customHeight="1">
      <c r="A1712" s="5" t="s">
        <v>2594</v>
      </c>
      <c r="B1712" s="5">
        <v>43950.0</v>
      </c>
      <c r="C1712" s="6" t="s">
        <v>2595</v>
      </c>
      <c r="D1712" s="11">
        <f t="shared" si="1"/>
        <v>70</v>
      </c>
      <c r="E1712" s="8" t="str">
        <f t="shared" si="2"/>
        <v>https://resources.simonelectric.com/simon-catalogo-vehiculo-electrico</v>
      </c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</row>
    <row r="1713" ht="15.75" customHeight="1">
      <c r="A1713" s="5" t="s">
        <v>2596</v>
      </c>
      <c r="B1713" s="5">
        <v>43950.0</v>
      </c>
      <c r="C1713" s="6" t="s">
        <v>2597</v>
      </c>
      <c r="D1713" s="11">
        <f t="shared" si="1"/>
        <v>70</v>
      </c>
      <c r="E1713" s="8" t="str">
        <f t="shared" si="2"/>
        <v>https://resources.simonelectric.com/simon-catalogo-vehiculo-electrico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</row>
    <row r="1714" ht="15.75" customHeight="1">
      <c r="A1714" s="5" t="s">
        <v>2598</v>
      </c>
      <c r="B1714" s="5">
        <v>43950.0</v>
      </c>
      <c r="C1714" s="6" t="s">
        <v>2599</v>
      </c>
      <c r="D1714" s="11">
        <f t="shared" si="1"/>
        <v>70</v>
      </c>
      <c r="E1714" s="8" t="str">
        <f t="shared" si="2"/>
        <v>https://resources.simonelectric.com/simon-catalogo-vehiculo-electrico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</row>
    <row r="1715" ht="15.75" customHeight="1">
      <c r="A1715" s="5" t="s">
        <v>2600</v>
      </c>
      <c r="B1715" s="5">
        <v>43950.0</v>
      </c>
      <c r="C1715" s="6" t="s">
        <v>2601</v>
      </c>
      <c r="D1715" s="11">
        <f t="shared" si="1"/>
        <v>70</v>
      </c>
      <c r="E1715" s="8" t="str">
        <f t="shared" si="2"/>
        <v>https://resources.simonelectric.com/simon-catalogo-vehiculo-electrico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</row>
    <row r="1716" ht="15.75" customHeight="1">
      <c r="A1716" s="5" t="s">
        <v>2602</v>
      </c>
      <c r="B1716" s="5">
        <v>43950.0</v>
      </c>
      <c r="C1716" s="6" t="s">
        <v>2603</v>
      </c>
      <c r="D1716" s="11">
        <f t="shared" si="1"/>
        <v>70</v>
      </c>
      <c r="E1716" s="8" t="str">
        <f t="shared" si="2"/>
        <v>https://resources.simonelectric.com/simon-catalogo-vehiculo-electrico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</row>
    <row r="1717" ht="15.75" customHeight="1">
      <c r="A1717" s="5" t="s">
        <v>2604</v>
      </c>
      <c r="B1717" s="5">
        <v>43950.0</v>
      </c>
      <c r="C1717" s="6" t="s">
        <v>2605</v>
      </c>
      <c r="D1717" s="11">
        <f t="shared" si="1"/>
        <v>70</v>
      </c>
      <c r="E1717" s="8" t="str">
        <f t="shared" si="2"/>
        <v>https://resources.simonelectric.com/simon-catalogo-vehiculo-electrico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</row>
    <row r="1718" ht="15.75" customHeight="1">
      <c r="A1718" s="5" t="s">
        <v>2606</v>
      </c>
      <c r="B1718" s="5">
        <v>43950.0</v>
      </c>
      <c r="C1718" s="6" t="s">
        <v>2607</v>
      </c>
      <c r="D1718" s="11">
        <f t="shared" si="1"/>
        <v>70</v>
      </c>
      <c r="E1718" s="8" t="str">
        <f t="shared" si="2"/>
        <v>https://resources.simonelectric.com/simon-catalogo-vehiculo-electrico</v>
      </c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</row>
    <row r="1719" ht="15.75" customHeight="1">
      <c r="A1719" s="5" t="s">
        <v>2608</v>
      </c>
      <c r="B1719" s="5">
        <v>43950.0</v>
      </c>
      <c r="C1719" s="6" t="s">
        <v>2609</v>
      </c>
      <c r="D1719" s="11">
        <f t="shared" si="1"/>
        <v>70</v>
      </c>
      <c r="E1719" s="8" t="str">
        <f t="shared" si="2"/>
        <v>https://resources.simonelectric.com/simon-catalogo-vehiculo-electrico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</row>
    <row r="1720" ht="15.75" customHeight="1">
      <c r="A1720" s="5" t="s">
        <v>2610</v>
      </c>
      <c r="B1720" s="5">
        <v>43950.0</v>
      </c>
      <c r="C1720" s="6" t="s">
        <v>2611</v>
      </c>
      <c r="D1720" s="11">
        <f t="shared" si="1"/>
        <v>70</v>
      </c>
      <c r="E1720" s="8" t="str">
        <f t="shared" si="2"/>
        <v>https://resources.simonelectric.com/simon-catalogo-vehiculo-electrico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</row>
    <row r="1721" ht="15.75" customHeight="1">
      <c r="A1721" s="5" t="s">
        <v>2612</v>
      </c>
      <c r="B1721" s="5">
        <v>43950.0</v>
      </c>
      <c r="C1721" s="6" t="s">
        <v>2613</v>
      </c>
      <c r="D1721" s="11">
        <f t="shared" si="1"/>
        <v>70</v>
      </c>
      <c r="E1721" s="8" t="str">
        <f t="shared" si="2"/>
        <v>https://resources.simonelectric.com/simon-catalogo-vehiculo-electrico</v>
      </c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</row>
    <row r="1722" ht="15.75" customHeight="1">
      <c r="A1722" s="5" t="s">
        <v>2614</v>
      </c>
      <c r="B1722" s="5">
        <v>43950.0</v>
      </c>
      <c r="C1722" s="6" t="s">
        <v>2615</v>
      </c>
      <c r="D1722" s="11">
        <f t="shared" si="1"/>
        <v>70</v>
      </c>
      <c r="E1722" s="8" t="str">
        <f t="shared" si="2"/>
        <v>https://resources.simonelectric.com/simon-catalogo-vehiculo-electrico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</row>
    <row r="1723" ht="15.75" customHeight="1">
      <c r="A1723" s="5" t="s">
        <v>2616</v>
      </c>
      <c r="B1723" s="5">
        <v>43950.0</v>
      </c>
      <c r="C1723" s="6" t="s">
        <v>2617</v>
      </c>
      <c r="D1723" s="11">
        <f t="shared" si="1"/>
        <v>70</v>
      </c>
      <c r="E1723" s="8" t="str">
        <f t="shared" si="2"/>
        <v>https://resources.simonelectric.com/simon-catalogo-vehiculo-electrico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</row>
    <row r="1724" ht="15.75" customHeight="1">
      <c r="A1724" s="5" t="s">
        <v>2618</v>
      </c>
      <c r="B1724" s="5">
        <v>43950.0</v>
      </c>
      <c r="C1724" s="6" t="s">
        <v>2619</v>
      </c>
      <c r="D1724" s="11">
        <f t="shared" si="1"/>
        <v>70</v>
      </c>
      <c r="E1724" s="8" t="str">
        <f t="shared" si="2"/>
        <v>https://resources.simonelectric.com/simon-catalogo-vehiculo-electrico</v>
      </c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</row>
    <row r="1725" ht="15.75" customHeight="1">
      <c r="A1725" s="5" t="s">
        <v>915</v>
      </c>
      <c r="B1725" s="5">
        <v>43950.0</v>
      </c>
      <c r="C1725" s="6" t="s">
        <v>2620</v>
      </c>
      <c r="D1725" s="11">
        <f t="shared" si="1"/>
        <v>70</v>
      </c>
      <c r="E1725" s="8" t="str">
        <f t="shared" si="2"/>
        <v>https://resources.simonelectric.com/simon-catalogo-vehiculo-electrico</v>
      </c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</row>
    <row r="1726" ht="15.75" customHeight="1">
      <c r="A1726" s="5" t="s">
        <v>2621</v>
      </c>
      <c r="B1726" s="5">
        <v>43950.0</v>
      </c>
      <c r="C1726" s="6" t="s">
        <v>2622</v>
      </c>
      <c r="D1726" s="11">
        <f t="shared" si="1"/>
        <v>70</v>
      </c>
      <c r="E1726" s="8" t="str">
        <f t="shared" si="2"/>
        <v>https://resources.simonelectric.com/simon-catalogo-vehiculo-electrico</v>
      </c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</row>
    <row r="1727" ht="15.75" customHeight="1">
      <c r="A1727" s="5" t="s">
        <v>2623</v>
      </c>
      <c r="B1727" s="5">
        <v>43950.0</v>
      </c>
      <c r="C1727" s="6" t="s">
        <v>2624</v>
      </c>
      <c r="D1727" s="11">
        <f t="shared" si="1"/>
        <v>70</v>
      </c>
      <c r="E1727" s="8" t="str">
        <f t="shared" si="2"/>
        <v>https://resources.simonelectric.com/simon-catalogo-vehiculo-electrico</v>
      </c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</row>
    <row r="1728" ht="15.75" customHeight="1">
      <c r="A1728" s="5" t="s">
        <v>1020</v>
      </c>
      <c r="B1728" s="5">
        <v>43950.0</v>
      </c>
      <c r="C1728" s="6" t="s">
        <v>2625</v>
      </c>
      <c r="D1728" s="11">
        <f t="shared" si="1"/>
        <v>70</v>
      </c>
      <c r="E1728" s="8" t="str">
        <f t="shared" si="2"/>
        <v>https://resources.simonelectric.com/simon-catalogo-vehiculo-electrico</v>
      </c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</row>
    <row r="1729" ht="15.75" customHeight="1">
      <c r="A1729" s="5" t="s">
        <v>1111</v>
      </c>
      <c r="B1729" s="5">
        <v>43950.0</v>
      </c>
      <c r="C1729" s="6" t="s">
        <v>2626</v>
      </c>
      <c r="D1729" s="11">
        <f t="shared" si="1"/>
        <v>70</v>
      </c>
      <c r="E1729" s="8" t="str">
        <f t="shared" si="2"/>
        <v>https://resources.simonelectric.com/simon-catalogo-vehiculo-electrico</v>
      </c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</row>
    <row r="1730" ht="15.75" customHeight="1">
      <c r="A1730" s="5" t="s">
        <v>2627</v>
      </c>
      <c r="B1730" s="5">
        <v>43950.0</v>
      </c>
      <c r="C1730" s="6" t="s">
        <v>2628</v>
      </c>
      <c r="D1730" s="11">
        <f t="shared" si="1"/>
        <v>70</v>
      </c>
      <c r="E1730" s="8" t="str">
        <f t="shared" si="2"/>
        <v>https://resources.simonelectric.com/simon-catalogo-vehiculo-electrico</v>
      </c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</row>
    <row r="1731" ht="15.75" customHeight="1">
      <c r="A1731" s="5" t="s">
        <v>2629</v>
      </c>
      <c r="B1731" s="5">
        <v>43950.0</v>
      </c>
      <c r="C1731" s="6" t="s">
        <v>2630</v>
      </c>
      <c r="D1731" s="11">
        <f t="shared" si="1"/>
        <v>70</v>
      </c>
      <c r="E1731" s="8" t="str">
        <f t="shared" si="2"/>
        <v>https://resources.simonelectric.com/simon-catalogo-vehiculo-electrico</v>
      </c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</row>
    <row r="1732" ht="15.75" customHeight="1">
      <c r="A1732" s="5" t="s">
        <v>2631</v>
      </c>
      <c r="B1732" s="5">
        <v>43950.0</v>
      </c>
      <c r="C1732" s="6" t="s">
        <v>2632</v>
      </c>
      <c r="D1732" s="11">
        <f t="shared" si="1"/>
        <v>70</v>
      </c>
      <c r="E1732" s="8" t="str">
        <f t="shared" si="2"/>
        <v>https://resources.simonelectric.com/simon-catalogo-vehiculo-electrico</v>
      </c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</row>
    <row r="1733" ht="15.75" customHeight="1">
      <c r="A1733" s="5" t="s">
        <v>2633</v>
      </c>
      <c r="B1733" s="5">
        <v>43950.0</v>
      </c>
      <c r="C1733" s="6" t="s">
        <v>2634</v>
      </c>
      <c r="D1733" s="11">
        <f t="shared" si="1"/>
        <v>70</v>
      </c>
      <c r="E1733" s="8" t="str">
        <f t="shared" si="2"/>
        <v>https://resources.simonelectric.com/simon-catalogo-vehiculo-electrico</v>
      </c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</row>
    <row r="1734" ht="15.75" customHeight="1">
      <c r="A1734" s="5" t="s">
        <v>2635</v>
      </c>
      <c r="B1734" s="5">
        <v>43950.0</v>
      </c>
      <c r="C1734" s="6" t="s">
        <v>2636</v>
      </c>
      <c r="D1734" s="11">
        <f t="shared" si="1"/>
        <v>70</v>
      </c>
      <c r="E1734" s="8" t="str">
        <f t="shared" si="2"/>
        <v>https://resources.simonelectric.com/simon-catalogo-vehiculo-electrico</v>
      </c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</row>
    <row r="1735" ht="15.75" customHeight="1">
      <c r="A1735" s="5" t="s">
        <v>2637</v>
      </c>
      <c r="B1735" s="5">
        <v>43950.0</v>
      </c>
      <c r="C1735" s="6" t="s">
        <v>2638</v>
      </c>
      <c r="D1735" s="11">
        <f t="shared" si="1"/>
        <v>70</v>
      </c>
      <c r="E1735" s="8" t="str">
        <f t="shared" si="2"/>
        <v>https://resources.simonelectric.com/simon-catalogo-vehiculo-electrico</v>
      </c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</row>
    <row r="1736" ht="15.75" customHeight="1">
      <c r="A1736" s="5" t="s">
        <v>2639</v>
      </c>
      <c r="B1736" s="5">
        <v>43950.0</v>
      </c>
      <c r="C1736" s="6" t="s">
        <v>2640</v>
      </c>
      <c r="D1736" s="11">
        <f t="shared" si="1"/>
        <v>70</v>
      </c>
      <c r="E1736" s="8" t="str">
        <f t="shared" si="2"/>
        <v>https://resources.simonelectric.com/simon-catalogo-vehiculo-electrico</v>
      </c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</row>
    <row r="1737" ht="15.75" customHeight="1">
      <c r="A1737" s="5" t="s">
        <v>1002</v>
      </c>
      <c r="B1737" s="5">
        <v>43950.0</v>
      </c>
      <c r="C1737" s="6" t="s">
        <v>2641</v>
      </c>
      <c r="D1737" s="11">
        <f t="shared" si="1"/>
        <v>70</v>
      </c>
      <c r="E1737" s="8" t="str">
        <f t="shared" si="2"/>
        <v>https://resources.simonelectric.com/simon-catalogo-vehiculo-electrico</v>
      </c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</row>
    <row r="1738" ht="15.75" customHeight="1">
      <c r="A1738" s="5" t="s">
        <v>2642</v>
      </c>
      <c r="B1738" s="5">
        <v>43950.0</v>
      </c>
      <c r="C1738" s="6" t="s">
        <v>2643</v>
      </c>
      <c r="D1738" s="11">
        <f t="shared" si="1"/>
        <v>70</v>
      </c>
      <c r="E1738" s="8" t="str">
        <f t="shared" si="2"/>
        <v>https://resources.simonelectric.com/simon-catalogo-vehiculo-electrico</v>
      </c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</row>
    <row r="1739" ht="15.75" customHeight="1">
      <c r="A1739" s="5" t="s">
        <v>2644</v>
      </c>
      <c r="B1739" s="5">
        <v>43950.0</v>
      </c>
      <c r="C1739" s="6" t="s">
        <v>2645</v>
      </c>
      <c r="D1739" s="11">
        <f t="shared" si="1"/>
        <v>70</v>
      </c>
      <c r="E1739" s="8" t="str">
        <f t="shared" si="2"/>
        <v>https://resources.simonelectric.com/simon-catalogo-vehiculo-electrico</v>
      </c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</row>
    <row r="1740" ht="15.75" customHeight="1">
      <c r="A1740" s="5" t="s">
        <v>1244</v>
      </c>
      <c r="B1740" s="5">
        <v>43950.0</v>
      </c>
      <c r="C1740" s="6" t="s">
        <v>2646</v>
      </c>
      <c r="D1740" s="11">
        <f t="shared" si="1"/>
        <v>70</v>
      </c>
      <c r="E1740" s="8" t="str">
        <f t="shared" si="2"/>
        <v>https://resources.simonelectric.com/simon-catalogo-vehiculo-electrico</v>
      </c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</row>
    <row r="1741" ht="15.75" customHeight="1">
      <c r="A1741" s="5" t="s">
        <v>2647</v>
      </c>
      <c r="B1741" s="5">
        <v>43950.0</v>
      </c>
      <c r="C1741" s="6" t="s">
        <v>2648</v>
      </c>
      <c r="D1741" s="11">
        <f t="shared" si="1"/>
        <v>70</v>
      </c>
      <c r="E1741" s="8" t="str">
        <f t="shared" si="2"/>
        <v>https://resources.simonelectric.com/simon-catalogo-vehiculo-electrico</v>
      </c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</row>
    <row r="1742" ht="15.75" customHeight="1">
      <c r="A1742" s="5" t="s">
        <v>2649</v>
      </c>
      <c r="B1742" s="5">
        <v>43950.0</v>
      </c>
      <c r="C1742" s="6" t="s">
        <v>2650</v>
      </c>
      <c r="D1742" s="11">
        <f t="shared" si="1"/>
        <v>70</v>
      </c>
      <c r="E1742" s="8" t="str">
        <f t="shared" si="2"/>
        <v>https://resources.simonelectric.com/simon-catalogo-vehiculo-electrico</v>
      </c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</row>
    <row r="1743" ht="15.75" customHeight="1">
      <c r="A1743" s="5" t="s">
        <v>2651</v>
      </c>
      <c r="B1743" s="5">
        <v>43950.0</v>
      </c>
      <c r="C1743" s="6" t="s">
        <v>2652</v>
      </c>
      <c r="D1743" s="11">
        <f t="shared" si="1"/>
        <v>70</v>
      </c>
      <c r="E1743" s="8" t="str">
        <f t="shared" si="2"/>
        <v>https://resources.simonelectric.com/simon-catalogo-vehiculo-electrico</v>
      </c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</row>
    <row r="1744" ht="15.75" customHeight="1">
      <c r="A1744" s="5" t="s">
        <v>1134</v>
      </c>
      <c r="B1744" s="5">
        <v>43950.0</v>
      </c>
      <c r="C1744" s="6" t="s">
        <v>2653</v>
      </c>
      <c r="D1744" s="11">
        <f t="shared" si="1"/>
        <v>70</v>
      </c>
      <c r="E1744" s="8" t="str">
        <f t="shared" si="2"/>
        <v>https://resources.simonelectric.com/simon-catalogo-vehiculo-electrico</v>
      </c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</row>
    <row r="1745" ht="15.75" customHeight="1">
      <c r="A1745" s="5" t="s">
        <v>2654</v>
      </c>
      <c r="B1745" s="5">
        <v>43950.0</v>
      </c>
      <c r="C1745" s="6" t="s">
        <v>2655</v>
      </c>
      <c r="D1745" s="11">
        <f t="shared" si="1"/>
        <v>70</v>
      </c>
      <c r="E1745" s="8" t="str">
        <f t="shared" si="2"/>
        <v>https://resources.simonelectric.com/simon-catalogo-vehiculo-electrico</v>
      </c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</row>
    <row r="1746" ht="15.75" customHeight="1">
      <c r="A1746" s="5" t="s">
        <v>2656</v>
      </c>
      <c r="B1746" s="5">
        <v>43950.0</v>
      </c>
      <c r="C1746" s="6" t="s">
        <v>2657</v>
      </c>
      <c r="D1746" s="11">
        <f t="shared" si="1"/>
        <v>70</v>
      </c>
      <c r="E1746" s="8" t="str">
        <f t="shared" si="2"/>
        <v>https://resources.simonelectric.com/simon-catalogo-vehiculo-electrico</v>
      </c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</row>
    <row r="1747" ht="15.75" customHeight="1">
      <c r="A1747" s="5" t="s">
        <v>2658</v>
      </c>
      <c r="B1747" s="5">
        <v>43950.0</v>
      </c>
      <c r="C1747" s="6" t="s">
        <v>2659</v>
      </c>
      <c r="D1747" s="11">
        <f t="shared" si="1"/>
        <v>70</v>
      </c>
      <c r="E1747" s="8" t="str">
        <f t="shared" si="2"/>
        <v>https://resources.simonelectric.com/simon-catalogo-vehiculo-electrico</v>
      </c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</row>
    <row r="1748" ht="15.75" customHeight="1">
      <c r="A1748" s="5" t="s">
        <v>2660</v>
      </c>
      <c r="B1748" s="5">
        <v>43950.0</v>
      </c>
      <c r="C1748" s="6" t="s">
        <v>2661</v>
      </c>
      <c r="D1748" s="11">
        <f t="shared" si="1"/>
        <v>70</v>
      </c>
      <c r="E1748" s="8" t="str">
        <f t="shared" si="2"/>
        <v>https://resources.simonelectric.com/simon-catalogo-vehiculo-electrico</v>
      </c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</row>
    <row r="1749" ht="15.75" customHeight="1">
      <c r="A1749" s="5" t="s">
        <v>2662</v>
      </c>
      <c r="B1749" s="5">
        <v>43950.0</v>
      </c>
      <c r="C1749" s="6" t="s">
        <v>2663</v>
      </c>
      <c r="D1749" s="11">
        <f t="shared" si="1"/>
        <v>70</v>
      </c>
      <c r="E1749" s="8" t="str">
        <f t="shared" si="2"/>
        <v>https://resources.simonelectric.com/simon-catalogo-vehiculo-electrico</v>
      </c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</row>
    <row r="1750" ht="15.75" customHeight="1">
      <c r="A1750" s="5" t="s">
        <v>2664</v>
      </c>
      <c r="B1750" s="5">
        <v>43950.0</v>
      </c>
      <c r="C1750" s="6" t="s">
        <v>2665</v>
      </c>
      <c r="D1750" s="11">
        <f t="shared" si="1"/>
        <v>70</v>
      </c>
      <c r="E1750" s="8" t="str">
        <f t="shared" si="2"/>
        <v>https://resources.simonelectric.com/simon-catalogo-vehiculo-electrico</v>
      </c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</row>
    <row r="1751" ht="15.75" customHeight="1">
      <c r="A1751" s="5" t="s">
        <v>2666</v>
      </c>
      <c r="B1751" s="5">
        <v>43950.0</v>
      </c>
      <c r="C1751" s="6" t="s">
        <v>2667</v>
      </c>
      <c r="D1751" s="11">
        <f t="shared" si="1"/>
        <v>70</v>
      </c>
      <c r="E1751" s="8" t="str">
        <f t="shared" si="2"/>
        <v>https://resources.simonelectric.com/simon-catalogo-vehiculo-electrico</v>
      </c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</row>
    <row r="1752" ht="15.75" customHeight="1">
      <c r="A1752" s="5" t="s">
        <v>2668</v>
      </c>
      <c r="B1752" s="5">
        <v>43950.0</v>
      </c>
      <c r="C1752" s="6" t="s">
        <v>2669</v>
      </c>
      <c r="D1752" s="11">
        <f t="shared" si="1"/>
        <v>70</v>
      </c>
      <c r="E1752" s="8" t="str">
        <f t="shared" si="2"/>
        <v>https://resources.simonelectric.com/simon-catalogo-vehiculo-electrico</v>
      </c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</row>
    <row r="1753" ht="15.75" customHeight="1">
      <c r="A1753" s="5" t="s">
        <v>2670</v>
      </c>
      <c r="B1753" s="5">
        <v>43950.0</v>
      </c>
      <c r="C1753" s="6" t="s">
        <v>2671</v>
      </c>
      <c r="D1753" s="11">
        <f t="shared" si="1"/>
        <v>70</v>
      </c>
      <c r="E1753" s="8" t="str">
        <f t="shared" si="2"/>
        <v>https://resources.simonelectric.com/simon-catalogo-vehiculo-electrico</v>
      </c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</row>
    <row r="1754" ht="15.75" customHeight="1">
      <c r="A1754" s="5" t="s">
        <v>2672</v>
      </c>
      <c r="B1754" s="5">
        <v>43950.0</v>
      </c>
      <c r="C1754" s="6" t="s">
        <v>2673</v>
      </c>
      <c r="D1754" s="11">
        <f t="shared" si="1"/>
        <v>70</v>
      </c>
      <c r="E1754" s="8" t="str">
        <f t="shared" si="2"/>
        <v>https://resources.simonelectric.com/simon-catalogo-vehiculo-electrico</v>
      </c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</row>
    <row r="1755" ht="15.75" customHeight="1">
      <c r="A1755" s="5" t="s">
        <v>2674</v>
      </c>
      <c r="B1755" s="5">
        <v>43950.0</v>
      </c>
      <c r="C1755" s="6" t="s">
        <v>2675</v>
      </c>
      <c r="D1755" s="11">
        <f t="shared" si="1"/>
        <v>70</v>
      </c>
      <c r="E1755" s="8" t="str">
        <f t="shared" si="2"/>
        <v>https://resources.simonelectric.com/simon-catalogo-vehiculo-electrico</v>
      </c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</row>
    <row r="1756" ht="15.75" customHeight="1">
      <c r="A1756" s="5" t="s">
        <v>2676</v>
      </c>
      <c r="B1756" s="5">
        <v>43950.0</v>
      </c>
      <c r="C1756" s="6" t="s">
        <v>2677</v>
      </c>
      <c r="D1756" s="11">
        <f t="shared" si="1"/>
        <v>70</v>
      </c>
      <c r="E1756" s="8" t="str">
        <f t="shared" si="2"/>
        <v>https://resources.simonelectric.com/simon-catalogo-vehiculo-electrico</v>
      </c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</row>
    <row r="1757" ht="15.75" customHeight="1">
      <c r="A1757" s="5" t="s">
        <v>2678</v>
      </c>
      <c r="B1757" s="5">
        <v>43950.0</v>
      </c>
      <c r="C1757" s="6" t="s">
        <v>2679</v>
      </c>
      <c r="D1757" s="11">
        <f t="shared" si="1"/>
        <v>70</v>
      </c>
      <c r="E1757" s="8" t="str">
        <f t="shared" si="2"/>
        <v>https://resources.simonelectric.com/simon-catalogo-vehiculo-electrico</v>
      </c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</row>
    <row r="1758" ht="15.75" customHeight="1">
      <c r="A1758" s="5" t="s">
        <v>2680</v>
      </c>
      <c r="B1758" s="5">
        <v>43950.0</v>
      </c>
      <c r="C1758" s="6" t="s">
        <v>2681</v>
      </c>
      <c r="D1758" s="11">
        <f t="shared" si="1"/>
        <v>70</v>
      </c>
      <c r="E1758" s="8" t="str">
        <f t="shared" si="2"/>
        <v>https://resources.simonelectric.com/simon-catalogo-vehiculo-electrico</v>
      </c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</row>
    <row r="1759" ht="15.75" customHeight="1">
      <c r="A1759" s="5" t="s">
        <v>2682</v>
      </c>
      <c r="B1759" s="5">
        <v>43950.0</v>
      </c>
      <c r="C1759" s="6" t="s">
        <v>2683</v>
      </c>
      <c r="D1759" s="11">
        <f t="shared" si="1"/>
        <v>70</v>
      </c>
      <c r="E1759" s="8" t="str">
        <f t="shared" si="2"/>
        <v>https://resources.simonelectric.com/simon-catalogo-vehiculo-electrico</v>
      </c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</row>
    <row r="1760" ht="15.75" customHeight="1">
      <c r="A1760" s="5" t="s">
        <v>357</v>
      </c>
      <c r="B1760" s="5">
        <v>43950.0</v>
      </c>
      <c r="C1760" s="6" t="s">
        <v>2684</v>
      </c>
      <c r="D1760" s="11">
        <f t="shared" si="1"/>
        <v>70</v>
      </c>
      <c r="E1760" s="8" t="str">
        <f t="shared" si="2"/>
        <v>https://resources.simonelectric.com/simon-catalogo-vehiculo-electrico</v>
      </c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</row>
    <row r="1761" ht="15.75" customHeight="1">
      <c r="A1761" s="5" t="s">
        <v>2685</v>
      </c>
      <c r="B1761" s="5">
        <v>43950.0</v>
      </c>
      <c r="C1761" s="6" t="s">
        <v>2686</v>
      </c>
      <c r="D1761" s="11">
        <f t="shared" si="1"/>
        <v>70</v>
      </c>
      <c r="E1761" s="8" t="str">
        <f t="shared" si="2"/>
        <v>https://resources.simonelectric.com/simon-catalogo-vehiculo-electrico</v>
      </c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</row>
    <row r="1762" ht="15.75" customHeight="1">
      <c r="A1762" s="5" t="s">
        <v>2687</v>
      </c>
      <c r="B1762" s="5">
        <v>43950.0</v>
      </c>
      <c r="C1762" s="6" t="s">
        <v>2688</v>
      </c>
      <c r="D1762" s="11">
        <f t="shared" si="1"/>
        <v>70</v>
      </c>
      <c r="E1762" s="8" t="str">
        <f t="shared" si="2"/>
        <v>https://resources.simonelectric.com/simon-catalogo-vehiculo-electrico</v>
      </c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</row>
    <row r="1763" ht="15.75" customHeight="1">
      <c r="A1763" s="5" t="s">
        <v>2689</v>
      </c>
      <c r="B1763" s="5">
        <v>43950.0</v>
      </c>
      <c r="C1763" s="6" t="s">
        <v>2690</v>
      </c>
      <c r="D1763" s="11">
        <f t="shared" si="1"/>
        <v>70</v>
      </c>
      <c r="E1763" s="8" t="str">
        <f t="shared" si="2"/>
        <v>https://resources.simonelectric.com/simon-catalogo-vehiculo-electrico</v>
      </c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</row>
    <row r="1764" ht="15.75" customHeight="1">
      <c r="A1764" s="5" t="s">
        <v>2691</v>
      </c>
      <c r="B1764" s="5">
        <v>43950.0</v>
      </c>
      <c r="C1764" s="6" t="s">
        <v>2692</v>
      </c>
      <c r="D1764" s="11">
        <f t="shared" si="1"/>
        <v>70</v>
      </c>
      <c r="E1764" s="8" t="str">
        <f t="shared" si="2"/>
        <v>https://resources.simonelectric.com/simon-catalogo-vehiculo-electrico</v>
      </c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</row>
    <row r="1765" ht="15.75" customHeight="1">
      <c r="A1765" s="5" t="s">
        <v>2693</v>
      </c>
      <c r="B1765" s="5">
        <v>43950.0</v>
      </c>
      <c r="C1765" s="6" t="s">
        <v>10</v>
      </c>
      <c r="D1765" s="10" t="str">
        <f t="shared" si="1"/>
        <v>https://resources.simonelectric.com/simon-catalogo-vehiculo-electrico</v>
      </c>
      <c r="E1765" s="8" t="str">
        <f t="shared" si="2"/>
        <v>https://resources.simonelectric.com/simon-catalogo-vehiculo-electrico</v>
      </c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</row>
    <row r="1766" ht="15.75" customHeight="1">
      <c r="A1766" s="5" t="s">
        <v>2694</v>
      </c>
      <c r="B1766" s="5">
        <v>43950.0</v>
      </c>
      <c r="C1766" s="6" t="s">
        <v>2695</v>
      </c>
      <c r="D1766" s="11">
        <f t="shared" si="1"/>
        <v>70</v>
      </c>
      <c r="E1766" s="8" t="str">
        <f t="shared" si="2"/>
        <v>https://resources.simonelectric.com/simon-catalogo-vehiculo-electrico</v>
      </c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</row>
    <row r="1767" ht="15.75" customHeight="1">
      <c r="A1767" s="5" t="s">
        <v>2696</v>
      </c>
      <c r="B1767" s="5">
        <v>43950.0</v>
      </c>
      <c r="C1767" s="6" t="s">
        <v>2697</v>
      </c>
      <c r="D1767" s="11">
        <f t="shared" si="1"/>
        <v>70</v>
      </c>
      <c r="E1767" s="8" t="str">
        <f t="shared" si="2"/>
        <v>https://resources.simonelectric.com/simon-catalogo-vehiculo-electrico</v>
      </c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</row>
    <row r="1768" ht="15.75" customHeight="1">
      <c r="A1768" s="5" t="s">
        <v>2698</v>
      </c>
      <c r="B1768" s="5">
        <v>43950.0</v>
      </c>
      <c r="C1768" s="6" t="s">
        <v>2699</v>
      </c>
      <c r="D1768" s="11">
        <f t="shared" si="1"/>
        <v>70</v>
      </c>
      <c r="E1768" s="8" t="str">
        <f t="shared" si="2"/>
        <v>https://resources.simonelectric.com/simon-catalogo-vehiculo-electrico</v>
      </c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</row>
    <row r="1769" ht="15.75" customHeight="1">
      <c r="A1769" s="5" t="s">
        <v>2700</v>
      </c>
      <c r="B1769" s="5">
        <v>43950.0</v>
      </c>
      <c r="C1769" s="6" t="s">
        <v>2701</v>
      </c>
      <c r="D1769" s="11">
        <f t="shared" si="1"/>
        <v>70</v>
      </c>
      <c r="E1769" s="8" t="str">
        <f t="shared" si="2"/>
        <v>https://resources.simonelectric.com/simon-catalogo-vehiculo-electrico</v>
      </c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</row>
    <row r="1770" ht="15.75" customHeight="1">
      <c r="A1770" s="5" t="s">
        <v>2702</v>
      </c>
      <c r="B1770" s="5">
        <v>43950.0</v>
      </c>
      <c r="C1770" s="6" t="s">
        <v>2703</v>
      </c>
      <c r="D1770" s="11">
        <f t="shared" si="1"/>
        <v>70</v>
      </c>
      <c r="E1770" s="8" t="str">
        <f t="shared" si="2"/>
        <v>https://resources.simonelectric.com/simon-catalogo-vehiculo-electrico</v>
      </c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</row>
    <row r="1771" ht="15.75" customHeight="1">
      <c r="A1771" s="5" t="s">
        <v>2704</v>
      </c>
      <c r="B1771" s="5">
        <v>43950.0</v>
      </c>
      <c r="C1771" s="6" t="s">
        <v>2705</v>
      </c>
      <c r="D1771" s="11">
        <f t="shared" si="1"/>
        <v>70</v>
      </c>
      <c r="E1771" s="8" t="str">
        <f t="shared" si="2"/>
        <v>https://resources.simonelectric.com/simon-catalogo-vehiculo-electrico</v>
      </c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</row>
    <row r="1772" ht="15.75" customHeight="1">
      <c r="A1772" s="5" t="s">
        <v>2706</v>
      </c>
      <c r="B1772" s="5">
        <v>43950.0</v>
      </c>
      <c r="C1772" s="6" t="s">
        <v>2707</v>
      </c>
      <c r="D1772" s="11">
        <f t="shared" si="1"/>
        <v>70</v>
      </c>
      <c r="E1772" s="8" t="str">
        <f t="shared" si="2"/>
        <v>https://resources.simonelectric.com/simon-catalogo-vehiculo-electrico</v>
      </c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</row>
    <row r="1773" ht="15.75" customHeight="1">
      <c r="A1773" s="5" t="s">
        <v>2708</v>
      </c>
      <c r="B1773" s="5">
        <v>43950.0</v>
      </c>
      <c r="C1773" s="6" t="s">
        <v>2709</v>
      </c>
      <c r="D1773" s="11">
        <f t="shared" si="1"/>
        <v>70</v>
      </c>
      <c r="E1773" s="8" t="str">
        <f t="shared" si="2"/>
        <v>https://resources.simonelectric.com/simon-catalogo-vehiculo-electrico</v>
      </c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</row>
    <row r="1774" ht="15.75" customHeight="1">
      <c r="A1774" s="5" t="s">
        <v>425</v>
      </c>
      <c r="B1774" s="5">
        <v>43950.0</v>
      </c>
      <c r="C1774" s="6" t="s">
        <v>2710</v>
      </c>
      <c r="D1774" s="11">
        <f t="shared" si="1"/>
        <v>70</v>
      </c>
      <c r="E1774" s="8" t="str">
        <f t="shared" si="2"/>
        <v>https://resources.simonelectric.com/simon-catalogo-vehiculo-electrico</v>
      </c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</row>
    <row r="1775" ht="15.75" customHeight="1">
      <c r="A1775" s="5" t="s">
        <v>2711</v>
      </c>
      <c r="B1775" s="5">
        <v>43950.0</v>
      </c>
      <c r="C1775" s="6" t="s">
        <v>2712</v>
      </c>
      <c r="D1775" s="11">
        <f t="shared" si="1"/>
        <v>70</v>
      </c>
      <c r="E1775" s="8" t="str">
        <f t="shared" si="2"/>
        <v>https://resources.simonelectric.com/simon-catalogo-vehiculo-electrico</v>
      </c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</row>
    <row r="1776" ht="15.75" customHeight="1">
      <c r="A1776" s="5" t="s">
        <v>2713</v>
      </c>
      <c r="B1776" s="5">
        <v>43950.0</v>
      </c>
      <c r="C1776" s="6" t="s">
        <v>2714</v>
      </c>
      <c r="D1776" s="11">
        <f t="shared" si="1"/>
        <v>70</v>
      </c>
      <c r="E1776" s="8" t="str">
        <f t="shared" si="2"/>
        <v>https://resources.simonelectric.com/simon-catalogo-vehiculo-electrico</v>
      </c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</row>
    <row r="1777" ht="15.75" customHeight="1">
      <c r="A1777" s="5" t="s">
        <v>2715</v>
      </c>
      <c r="B1777" s="5">
        <v>43950.0</v>
      </c>
      <c r="C1777" s="6" t="s">
        <v>2716</v>
      </c>
      <c r="D1777" s="11">
        <f t="shared" si="1"/>
        <v>70</v>
      </c>
      <c r="E1777" s="8" t="str">
        <f t="shared" si="2"/>
        <v>https://resources.simonelectric.com/simon-catalogo-vehiculo-electrico</v>
      </c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</row>
    <row r="1778" ht="15.75" customHeight="1">
      <c r="A1778" s="5" t="s">
        <v>2717</v>
      </c>
      <c r="B1778" s="5">
        <v>43950.0</v>
      </c>
      <c r="C1778" s="6" t="s">
        <v>2718</v>
      </c>
      <c r="D1778" s="11">
        <f t="shared" si="1"/>
        <v>70</v>
      </c>
      <c r="E1778" s="8" t="str">
        <f t="shared" si="2"/>
        <v>https://resources.simonelectric.com/simon-catalogo-vehiculo-electrico</v>
      </c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</row>
    <row r="1779" ht="15.75" customHeight="1">
      <c r="A1779" s="5" t="s">
        <v>2719</v>
      </c>
      <c r="B1779" s="5">
        <v>43950.0</v>
      </c>
      <c r="C1779" s="6" t="s">
        <v>2720</v>
      </c>
      <c r="D1779" s="11">
        <f t="shared" si="1"/>
        <v>70</v>
      </c>
      <c r="E1779" s="8" t="str">
        <f t="shared" si="2"/>
        <v>https://resources.simonelectric.com/simon-catalogo-vehiculo-electrico</v>
      </c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</row>
    <row r="1780" ht="15.75" customHeight="1">
      <c r="A1780" s="5" t="s">
        <v>2721</v>
      </c>
      <c r="B1780" s="5">
        <v>43950.0</v>
      </c>
      <c r="C1780" s="6" t="s">
        <v>2722</v>
      </c>
      <c r="D1780" s="11">
        <f t="shared" si="1"/>
        <v>70</v>
      </c>
      <c r="E1780" s="8" t="str">
        <f t="shared" si="2"/>
        <v>https://resources.simonelectric.com/simon-catalogo-vehiculo-electrico</v>
      </c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</row>
    <row r="1781" ht="15.75" customHeight="1">
      <c r="A1781" s="5" t="s">
        <v>2723</v>
      </c>
      <c r="B1781" s="5">
        <v>43950.0</v>
      </c>
      <c r="C1781" s="6" t="s">
        <v>2724</v>
      </c>
      <c r="D1781" s="11">
        <f t="shared" si="1"/>
        <v>70</v>
      </c>
      <c r="E1781" s="8" t="str">
        <f t="shared" si="2"/>
        <v>https://resources.simonelectric.com/simon-catalogo-vehiculo-electrico</v>
      </c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</row>
    <row r="1782" ht="15.75" customHeight="1">
      <c r="A1782" s="5" t="s">
        <v>2725</v>
      </c>
      <c r="B1782" s="5">
        <v>43950.0</v>
      </c>
      <c r="C1782" s="6" t="s">
        <v>2726</v>
      </c>
      <c r="D1782" s="11">
        <f t="shared" si="1"/>
        <v>70</v>
      </c>
      <c r="E1782" s="8" t="str">
        <f t="shared" si="2"/>
        <v>https://resources.simonelectric.com/simon-catalogo-vehiculo-electrico</v>
      </c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</row>
    <row r="1783" ht="15.75" customHeight="1">
      <c r="A1783" s="5" t="s">
        <v>2727</v>
      </c>
      <c r="B1783" s="5">
        <v>43950.0</v>
      </c>
      <c r="C1783" s="6" t="s">
        <v>2728</v>
      </c>
      <c r="D1783" s="11">
        <f t="shared" si="1"/>
        <v>70</v>
      </c>
      <c r="E1783" s="8" t="str">
        <f t="shared" si="2"/>
        <v>https://resources.simonelectric.com/simon-catalogo-vehiculo-electrico</v>
      </c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</row>
    <row r="1784" ht="15.75" customHeight="1">
      <c r="A1784" s="5" t="s">
        <v>2729</v>
      </c>
      <c r="B1784" s="5">
        <v>43950.0</v>
      </c>
      <c r="C1784" s="6" t="s">
        <v>2730</v>
      </c>
      <c r="D1784" s="11">
        <f t="shared" si="1"/>
        <v>70</v>
      </c>
      <c r="E1784" s="8" t="str">
        <f t="shared" si="2"/>
        <v>https://resources.simonelectric.com/simon-catalogo-vehiculo-electrico</v>
      </c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</row>
    <row r="1785" ht="15.75" customHeight="1">
      <c r="A1785" s="5" t="s">
        <v>2731</v>
      </c>
      <c r="B1785" s="5">
        <v>43950.0</v>
      </c>
      <c r="C1785" s="6" t="s">
        <v>2732</v>
      </c>
      <c r="D1785" s="11">
        <f t="shared" si="1"/>
        <v>70</v>
      </c>
      <c r="E1785" s="8" t="str">
        <f t="shared" si="2"/>
        <v>https://resources.simonelectric.com/simon-catalogo-vehiculo-electrico</v>
      </c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</row>
    <row r="1786" ht="15.75" customHeight="1">
      <c r="A1786" s="5" t="s">
        <v>2733</v>
      </c>
      <c r="B1786" s="5">
        <v>43950.0</v>
      </c>
      <c r="C1786" s="6" t="s">
        <v>2734</v>
      </c>
      <c r="D1786" s="11">
        <f t="shared" si="1"/>
        <v>70</v>
      </c>
      <c r="E1786" s="8" t="str">
        <f t="shared" si="2"/>
        <v>https://resources.simonelectric.com/simon-catalogo-vehiculo-electrico</v>
      </c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</row>
    <row r="1787" ht="15.75" customHeight="1">
      <c r="A1787" s="5" t="s">
        <v>2735</v>
      </c>
      <c r="B1787" s="5">
        <v>43950.0</v>
      </c>
      <c r="C1787" s="6" t="s">
        <v>2736</v>
      </c>
      <c r="D1787" s="11">
        <f t="shared" si="1"/>
        <v>70</v>
      </c>
      <c r="E1787" s="8" t="str">
        <f t="shared" si="2"/>
        <v>https://resources.simonelectric.com/simon-catalogo-vehiculo-electrico</v>
      </c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</row>
    <row r="1788" ht="15.75" customHeight="1">
      <c r="A1788" s="5" t="s">
        <v>2737</v>
      </c>
      <c r="B1788" s="5">
        <v>43950.0</v>
      </c>
      <c r="C1788" s="6" t="s">
        <v>2738</v>
      </c>
      <c r="D1788" s="11">
        <f t="shared" si="1"/>
        <v>70</v>
      </c>
      <c r="E1788" s="8" t="str">
        <f t="shared" si="2"/>
        <v>https://resources.simonelectric.com/simon-catalogo-vehiculo-electrico</v>
      </c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</row>
    <row r="1789" ht="15.75" customHeight="1">
      <c r="A1789" s="5" t="s">
        <v>2739</v>
      </c>
      <c r="B1789" s="5">
        <v>43950.0</v>
      </c>
      <c r="C1789" s="6" t="s">
        <v>2740</v>
      </c>
      <c r="D1789" s="11">
        <f t="shared" si="1"/>
        <v>70</v>
      </c>
      <c r="E1789" s="8" t="str">
        <f t="shared" si="2"/>
        <v>https://resources.simonelectric.com/simon-catalogo-vehiculo-electrico</v>
      </c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</row>
    <row r="1790" ht="15.75" customHeight="1">
      <c r="A1790" s="5" t="s">
        <v>1768</v>
      </c>
      <c r="B1790" s="5">
        <v>43950.0</v>
      </c>
      <c r="C1790" s="6" t="s">
        <v>2741</v>
      </c>
      <c r="D1790" s="11">
        <f t="shared" si="1"/>
        <v>70</v>
      </c>
      <c r="E1790" s="8" t="str">
        <f t="shared" si="2"/>
        <v>https://resources.simonelectric.com/simon-catalogo-vehiculo-electrico</v>
      </c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</row>
    <row r="1791" ht="15.75" customHeight="1">
      <c r="A1791" s="5" t="s">
        <v>2742</v>
      </c>
      <c r="B1791" s="5">
        <v>43950.0</v>
      </c>
      <c r="C1791" s="6" t="s">
        <v>2743</v>
      </c>
      <c r="D1791" s="11">
        <f t="shared" si="1"/>
        <v>70</v>
      </c>
      <c r="E1791" s="8" t="str">
        <f t="shared" si="2"/>
        <v>https://resources.simonelectric.com/simon-catalogo-vehiculo-electrico</v>
      </c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</row>
    <row r="1792" ht="15.75" customHeight="1">
      <c r="A1792" s="5" t="s">
        <v>2744</v>
      </c>
      <c r="B1792" s="5">
        <v>43950.0</v>
      </c>
      <c r="C1792" s="6" t="s">
        <v>2745</v>
      </c>
      <c r="D1792" s="11">
        <f t="shared" si="1"/>
        <v>70</v>
      </c>
      <c r="E1792" s="8" t="str">
        <f t="shared" si="2"/>
        <v>https://resources.simonelectric.com/simon-catalogo-vehiculo-electrico</v>
      </c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</row>
    <row r="1793" ht="15.75" customHeight="1">
      <c r="A1793" s="5" t="s">
        <v>2746</v>
      </c>
      <c r="B1793" s="5">
        <v>43950.0</v>
      </c>
      <c r="C1793" s="6" t="s">
        <v>2747</v>
      </c>
      <c r="D1793" s="11">
        <f t="shared" si="1"/>
        <v>70</v>
      </c>
      <c r="E1793" s="8" t="str">
        <f t="shared" si="2"/>
        <v>https://resources.simonelectric.com/simon-catalogo-vehiculo-electrico</v>
      </c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</row>
    <row r="1794" ht="15.75" customHeight="1">
      <c r="A1794" s="5" t="s">
        <v>2748</v>
      </c>
      <c r="B1794" s="5">
        <v>43950.0</v>
      </c>
      <c r="C1794" s="6" t="s">
        <v>2749</v>
      </c>
      <c r="D1794" s="11">
        <f t="shared" si="1"/>
        <v>70</v>
      </c>
      <c r="E1794" s="8" t="str">
        <f t="shared" si="2"/>
        <v>https://resources.simonelectric.com/simon-catalogo-vehiculo-electrico</v>
      </c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</row>
    <row r="1795" ht="15.75" customHeight="1">
      <c r="A1795" s="5" t="s">
        <v>2750</v>
      </c>
      <c r="B1795" s="5">
        <v>43950.0</v>
      </c>
      <c r="C1795" s="6" t="s">
        <v>2751</v>
      </c>
      <c r="D1795" s="11">
        <f t="shared" si="1"/>
        <v>70</v>
      </c>
      <c r="E1795" s="8" t="str">
        <f t="shared" si="2"/>
        <v>https://resources.simonelectric.com/simon-catalogo-vehiculo-electrico</v>
      </c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</row>
    <row r="1796" ht="15.75" customHeight="1">
      <c r="A1796" s="5" t="s">
        <v>2752</v>
      </c>
      <c r="B1796" s="5">
        <v>43950.0</v>
      </c>
      <c r="C1796" s="6" t="s">
        <v>2753</v>
      </c>
      <c r="D1796" s="11">
        <f t="shared" si="1"/>
        <v>70</v>
      </c>
      <c r="E1796" s="8" t="str">
        <f t="shared" si="2"/>
        <v>https://resources.simonelectric.com/simon-catalogo-vehiculo-electrico</v>
      </c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</row>
    <row r="1797" ht="15.75" customHeight="1">
      <c r="A1797" s="5" t="s">
        <v>2754</v>
      </c>
      <c r="B1797" s="5">
        <v>43950.0</v>
      </c>
      <c r="C1797" s="6" t="s">
        <v>2755</v>
      </c>
      <c r="D1797" s="11">
        <f t="shared" si="1"/>
        <v>70</v>
      </c>
      <c r="E1797" s="8" t="str">
        <f t="shared" si="2"/>
        <v>https://resources.simonelectric.com/simon-catalogo-vehiculo-electrico</v>
      </c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</row>
    <row r="1798" ht="15.75" customHeight="1">
      <c r="A1798" s="5" t="s">
        <v>1686</v>
      </c>
      <c r="B1798" s="5">
        <v>43950.0</v>
      </c>
      <c r="C1798" s="6" t="s">
        <v>299</v>
      </c>
      <c r="D1798" s="10" t="str">
        <f t="shared" si="1"/>
        <v>https://resources.simonelectric.com/simon-material-formativo-vehiculo-electrico</v>
      </c>
      <c r="E1798" s="8" t="str">
        <f t="shared" si="2"/>
        <v>https://resources.simonelectric.com/simon-material-formativo-vehiculo-electrico</v>
      </c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</row>
    <row r="1799" ht="15.75" customHeight="1">
      <c r="A1799" s="5" t="s">
        <v>2756</v>
      </c>
      <c r="B1799" s="5">
        <v>43950.0</v>
      </c>
      <c r="C1799" s="6" t="s">
        <v>2757</v>
      </c>
      <c r="D1799" s="11">
        <f t="shared" si="1"/>
        <v>70</v>
      </c>
      <c r="E1799" s="8" t="str">
        <f t="shared" si="2"/>
        <v>https://resources.simonelectric.com/simon-catalogo-vehiculo-electrico</v>
      </c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</row>
    <row r="1800" ht="15.75" customHeight="1">
      <c r="A1800" s="5" t="s">
        <v>2758</v>
      </c>
      <c r="B1800" s="5">
        <v>43950.0</v>
      </c>
      <c r="C1800" s="6" t="s">
        <v>2759</v>
      </c>
      <c r="D1800" s="11">
        <f t="shared" si="1"/>
        <v>70</v>
      </c>
      <c r="E1800" s="8" t="str">
        <f t="shared" si="2"/>
        <v>https://resources.simonelectric.com/simon-catalogo-vehiculo-electrico</v>
      </c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</row>
    <row r="1801" ht="15.75" customHeight="1">
      <c r="A1801" s="5" t="s">
        <v>1026</v>
      </c>
      <c r="B1801" s="5">
        <v>43950.0</v>
      </c>
      <c r="C1801" s="6" t="s">
        <v>2760</v>
      </c>
      <c r="D1801" s="11">
        <f t="shared" si="1"/>
        <v>70</v>
      </c>
      <c r="E1801" s="8" t="str">
        <f t="shared" si="2"/>
        <v>https://resources.simonelectric.com/simon-catalogo-vehiculo-electrico</v>
      </c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</row>
    <row r="1802" ht="15.75" customHeight="1">
      <c r="A1802" s="5" t="s">
        <v>2761</v>
      </c>
      <c r="B1802" s="5">
        <v>43950.0</v>
      </c>
      <c r="C1802" s="6" t="s">
        <v>2762</v>
      </c>
      <c r="D1802" s="11">
        <f t="shared" si="1"/>
        <v>70</v>
      </c>
      <c r="E1802" s="8" t="str">
        <f t="shared" si="2"/>
        <v>https://resources.simonelectric.com/simon-catalogo-vehiculo-electrico</v>
      </c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</row>
    <row r="1803" ht="15.75" customHeight="1">
      <c r="A1803" s="5" t="s">
        <v>2763</v>
      </c>
      <c r="B1803" s="5">
        <v>43950.0</v>
      </c>
      <c r="C1803" s="6" t="s">
        <v>2764</v>
      </c>
      <c r="D1803" s="11">
        <f t="shared" si="1"/>
        <v>70</v>
      </c>
      <c r="E1803" s="8" t="str">
        <f t="shared" si="2"/>
        <v>https://resources.simonelectric.com/simon-catalogo-vehiculo-electrico</v>
      </c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</row>
    <row r="1804" ht="15.75" customHeight="1">
      <c r="A1804" s="5" t="s">
        <v>1218</v>
      </c>
      <c r="B1804" s="5">
        <v>43950.0</v>
      </c>
      <c r="C1804" s="6" t="s">
        <v>2765</v>
      </c>
      <c r="D1804" s="11">
        <f t="shared" si="1"/>
        <v>70</v>
      </c>
      <c r="E1804" s="8" t="str">
        <f t="shared" si="2"/>
        <v>https://resources.simonelectric.com/simon-catalogo-vehiculo-electrico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</row>
    <row r="1805" ht="15.75" customHeight="1">
      <c r="A1805" s="5" t="s">
        <v>2766</v>
      </c>
      <c r="B1805" s="5">
        <v>43950.0</v>
      </c>
      <c r="C1805" s="6" t="s">
        <v>2767</v>
      </c>
      <c r="D1805" s="11">
        <f t="shared" si="1"/>
        <v>70</v>
      </c>
      <c r="E1805" s="8" t="str">
        <f t="shared" si="2"/>
        <v>https://resources.simonelectric.com/simon-catalogo-vehiculo-electrico</v>
      </c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</row>
    <row r="1806" ht="15.75" customHeight="1">
      <c r="A1806" s="5" t="s">
        <v>715</v>
      </c>
      <c r="B1806" s="5">
        <v>43950.0</v>
      </c>
      <c r="C1806" s="6" t="s">
        <v>2768</v>
      </c>
      <c r="D1806" s="11">
        <f t="shared" si="1"/>
        <v>70</v>
      </c>
      <c r="E1806" s="8" t="str">
        <f t="shared" si="2"/>
        <v>https://resources.simonelectric.com/simon-catalogo-vehiculo-electrico</v>
      </c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</row>
    <row r="1807" ht="15.75" customHeight="1">
      <c r="A1807" s="5" t="s">
        <v>2769</v>
      </c>
      <c r="B1807" s="5">
        <v>43950.0</v>
      </c>
      <c r="C1807" s="6" t="s">
        <v>2770</v>
      </c>
      <c r="D1807" s="11">
        <f t="shared" si="1"/>
        <v>70</v>
      </c>
      <c r="E1807" s="8" t="str">
        <f t="shared" si="2"/>
        <v>https://resources.simonelectric.com/simon-catalogo-vehiculo-electrico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</row>
    <row r="1808" ht="15.75" customHeight="1">
      <c r="A1808" s="5" t="s">
        <v>2771</v>
      </c>
      <c r="B1808" s="5">
        <v>43950.0</v>
      </c>
      <c r="C1808" s="6" t="s">
        <v>2772</v>
      </c>
      <c r="D1808" s="11">
        <f t="shared" si="1"/>
        <v>70</v>
      </c>
      <c r="E1808" s="8" t="str">
        <f t="shared" si="2"/>
        <v>https://resources.simonelectric.com/simon-catalogo-vehiculo-electrico</v>
      </c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</row>
    <row r="1809" ht="15.75" customHeight="1">
      <c r="A1809" s="5" t="s">
        <v>2773</v>
      </c>
      <c r="B1809" s="5">
        <v>43950.0</v>
      </c>
      <c r="C1809" s="6" t="s">
        <v>2774</v>
      </c>
      <c r="D1809" s="11">
        <f t="shared" si="1"/>
        <v>70</v>
      </c>
      <c r="E1809" s="8" t="str">
        <f t="shared" si="2"/>
        <v>https://resources.simonelectric.com/simon-catalogo-vehiculo-electrico</v>
      </c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</row>
    <row r="1810" ht="15.75" customHeight="1">
      <c r="A1810" s="5" t="s">
        <v>2775</v>
      </c>
      <c r="B1810" s="5">
        <v>43950.0</v>
      </c>
      <c r="C1810" s="6" t="s">
        <v>2776</v>
      </c>
      <c r="D1810" s="11">
        <f t="shared" si="1"/>
        <v>70</v>
      </c>
      <c r="E1810" s="8" t="str">
        <f t="shared" si="2"/>
        <v>https://resources.simonelectric.com/simon-catalogo-vehiculo-electrico</v>
      </c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</row>
    <row r="1811" ht="15.75" customHeight="1">
      <c r="A1811" s="5" t="s">
        <v>2777</v>
      </c>
      <c r="B1811" s="5">
        <v>43950.0</v>
      </c>
      <c r="C1811" s="6" t="s">
        <v>2778</v>
      </c>
      <c r="D1811" s="11">
        <f t="shared" si="1"/>
        <v>70</v>
      </c>
      <c r="E1811" s="8" t="str">
        <f t="shared" si="2"/>
        <v>https://resources.simonelectric.com/simon-catalogo-vehiculo-electrico</v>
      </c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</row>
    <row r="1812" ht="15.75" customHeight="1">
      <c r="A1812" s="5" t="s">
        <v>1816</v>
      </c>
      <c r="B1812" s="5">
        <v>43950.0</v>
      </c>
      <c r="C1812" s="6" t="s">
        <v>2779</v>
      </c>
      <c r="D1812" s="11">
        <f t="shared" si="1"/>
        <v>70</v>
      </c>
      <c r="E1812" s="8" t="str">
        <f t="shared" si="2"/>
        <v>https://resources.simonelectric.com/simon-catalogo-vehiculo-electrico</v>
      </c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</row>
    <row r="1813" ht="15.75" customHeight="1">
      <c r="A1813" s="5" t="s">
        <v>2780</v>
      </c>
      <c r="B1813" s="5">
        <v>43950.0</v>
      </c>
      <c r="C1813" s="6" t="s">
        <v>2781</v>
      </c>
      <c r="D1813" s="11">
        <f t="shared" si="1"/>
        <v>70</v>
      </c>
      <c r="E1813" s="8" t="str">
        <f t="shared" si="2"/>
        <v>https://resources.simonelectric.com/simon-catalogo-vehiculo-electrico</v>
      </c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</row>
    <row r="1814" ht="15.75" customHeight="1">
      <c r="A1814" s="5" t="s">
        <v>2782</v>
      </c>
      <c r="B1814" s="5">
        <v>43950.0</v>
      </c>
      <c r="C1814" s="6" t="s">
        <v>2783</v>
      </c>
      <c r="D1814" s="11">
        <f t="shared" si="1"/>
        <v>70</v>
      </c>
      <c r="E1814" s="8" t="str">
        <f t="shared" si="2"/>
        <v>https://resources.simonelectric.com/simon-catalogo-vehiculo-electrico</v>
      </c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</row>
    <row r="1815" ht="15.75" customHeight="1">
      <c r="A1815" s="5" t="s">
        <v>2784</v>
      </c>
      <c r="B1815" s="5">
        <v>43950.0</v>
      </c>
      <c r="C1815" s="6" t="s">
        <v>2785</v>
      </c>
      <c r="D1815" s="11">
        <f t="shared" si="1"/>
        <v>70</v>
      </c>
      <c r="E1815" s="8" t="str">
        <f t="shared" si="2"/>
        <v>https://resources.simonelectric.com/simon-catalogo-vehiculo-electrico</v>
      </c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</row>
    <row r="1816" ht="15.75" customHeight="1">
      <c r="A1816" s="5" t="s">
        <v>2786</v>
      </c>
      <c r="B1816" s="5">
        <v>43950.0</v>
      </c>
      <c r="C1816" s="6" t="s">
        <v>2787</v>
      </c>
      <c r="D1816" s="11">
        <f t="shared" si="1"/>
        <v>70</v>
      </c>
      <c r="E1816" s="8" t="str">
        <f t="shared" si="2"/>
        <v>https://resources.simonelectric.com/simon-catalogo-vehiculo-electrico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</row>
    <row r="1817" ht="15.75" customHeight="1">
      <c r="A1817" s="5" t="s">
        <v>2788</v>
      </c>
      <c r="B1817" s="5">
        <v>43950.0</v>
      </c>
      <c r="C1817" s="6" t="s">
        <v>2789</v>
      </c>
      <c r="D1817" s="11">
        <f t="shared" si="1"/>
        <v>70</v>
      </c>
      <c r="E1817" s="8" t="str">
        <f t="shared" si="2"/>
        <v>https://resources.simonelectric.com/simon-catalogo-vehiculo-electrico</v>
      </c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</row>
    <row r="1818" ht="15.75" customHeight="1">
      <c r="A1818" s="5" t="s">
        <v>2790</v>
      </c>
      <c r="B1818" s="5">
        <v>43950.0</v>
      </c>
      <c r="C1818" s="6" t="s">
        <v>2791</v>
      </c>
      <c r="D1818" s="11">
        <f t="shared" si="1"/>
        <v>70</v>
      </c>
      <c r="E1818" s="8" t="str">
        <f t="shared" si="2"/>
        <v>https://resources.simonelectric.com/simon-catalogo-vehiculo-electrico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</row>
    <row r="1819" ht="15.75" customHeight="1">
      <c r="A1819" s="5" t="s">
        <v>2792</v>
      </c>
      <c r="B1819" s="5">
        <v>43950.0</v>
      </c>
      <c r="C1819" s="6" t="s">
        <v>2793</v>
      </c>
      <c r="D1819" s="11">
        <f t="shared" si="1"/>
        <v>70</v>
      </c>
      <c r="E1819" s="8" t="str">
        <f t="shared" si="2"/>
        <v>https://resources.simonelectric.com/simon-catalogo-vehiculo-electrico</v>
      </c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</row>
    <row r="1820" ht="15.75" customHeight="1">
      <c r="A1820" s="5" t="s">
        <v>2794</v>
      </c>
      <c r="B1820" s="5">
        <v>43950.0</v>
      </c>
      <c r="C1820" s="6" t="s">
        <v>2795</v>
      </c>
      <c r="D1820" s="11">
        <f t="shared" si="1"/>
        <v>70</v>
      </c>
      <c r="E1820" s="8" t="str">
        <f t="shared" si="2"/>
        <v>https://resources.simonelectric.com/simon-catalogo-vehiculo-electrico</v>
      </c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</row>
    <row r="1821" ht="15.75" customHeight="1">
      <c r="A1821" s="5" t="s">
        <v>1724</v>
      </c>
      <c r="B1821" s="5">
        <v>43950.0</v>
      </c>
      <c r="C1821" s="6" t="s">
        <v>2796</v>
      </c>
      <c r="D1821" s="11">
        <f t="shared" si="1"/>
        <v>70</v>
      </c>
      <c r="E1821" s="8" t="str">
        <f t="shared" si="2"/>
        <v>https://resources.simonelectric.com/simon-catalogo-vehiculo-electrico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</row>
    <row r="1822" ht="15.75" customHeight="1">
      <c r="A1822" s="5" t="s">
        <v>2797</v>
      </c>
      <c r="B1822" s="5">
        <v>43950.0</v>
      </c>
      <c r="C1822" s="6" t="s">
        <v>2798</v>
      </c>
      <c r="D1822" s="11">
        <f t="shared" si="1"/>
        <v>70</v>
      </c>
      <c r="E1822" s="8" t="str">
        <f t="shared" si="2"/>
        <v>https://resources.simonelectric.com/simon-catalogo-vehiculo-electrico</v>
      </c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</row>
    <row r="1823" ht="15.75" customHeight="1">
      <c r="A1823" s="5" t="s">
        <v>2799</v>
      </c>
      <c r="B1823" s="5">
        <v>43950.0</v>
      </c>
      <c r="C1823" s="6" t="s">
        <v>2800</v>
      </c>
      <c r="D1823" s="11">
        <f t="shared" si="1"/>
        <v>70</v>
      </c>
      <c r="E1823" s="8" t="str">
        <f t="shared" si="2"/>
        <v>https://resources.simonelectric.com/simon-catalogo-vehiculo-electrico</v>
      </c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</row>
    <row r="1824" ht="15.75" customHeight="1">
      <c r="A1824" s="5" t="s">
        <v>2801</v>
      </c>
      <c r="B1824" s="5">
        <v>43950.0</v>
      </c>
      <c r="C1824" s="6" t="s">
        <v>2802</v>
      </c>
      <c r="D1824" s="11">
        <f t="shared" si="1"/>
        <v>70</v>
      </c>
      <c r="E1824" s="8" t="str">
        <f t="shared" si="2"/>
        <v>https://resources.simonelectric.com/simon-catalogo-vehiculo-electrico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</row>
    <row r="1825" ht="15.75" customHeight="1">
      <c r="A1825" s="5" t="s">
        <v>970</v>
      </c>
      <c r="B1825" s="5">
        <v>43950.0</v>
      </c>
      <c r="C1825" s="6" t="s">
        <v>2803</v>
      </c>
      <c r="D1825" s="11">
        <f t="shared" si="1"/>
        <v>70</v>
      </c>
      <c r="E1825" s="8" t="str">
        <f t="shared" si="2"/>
        <v>https://resources.simonelectric.com/simon-catalogo-vehiculo-electrico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</row>
    <row r="1826" ht="15.75" customHeight="1">
      <c r="A1826" s="5" t="s">
        <v>2804</v>
      </c>
      <c r="B1826" s="5">
        <v>43950.0</v>
      </c>
      <c r="C1826" s="6" t="s">
        <v>2805</v>
      </c>
      <c r="D1826" s="11">
        <f t="shared" si="1"/>
        <v>70</v>
      </c>
      <c r="E1826" s="8" t="str">
        <f t="shared" si="2"/>
        <v>https://resources.simonelectric.com/simon-catalogo-vehiculo-electrico</v>
      </c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</row>
    <row r="1827" ht="15.75" customHeight="1">
      <c r="A1827" s="5" t="s">
        <v>2806</v>
      </c>
      <c r="B1827" s="5">
        <v>43950.0</v>
      </c>
      <c r="C1827" s="6" t="s">
        <v>2807</v>
      </c>
      <c r="D1827" s="11">
        <f t="shared" si="1"/>
        <v>70</v>
      </c>
      <c r="E1827" s="8" t="str">
        <f t="shared" si="2"/>
        <v>https://resources.simonelectric.com/simon-catalogo-vehiculo-electrico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</row>
    <row r="1828" ht="15.75" customHeight="1">
      <c r="A1828" s="5" t="s">
        <v>2808</v>
      </c>
      <c r="B1828" s="5">
        <v>43950.0</v>
      </c>
      <c r="C1828" s="6" t="s">
        <v>2809</v>
      </c>
      <c r="D1828" s="11">
        <f t="shared" si="1"/>
        <v>70</v>
      </c>
      <c r="E1828" s="8" t="str">
        <f t="shared" si="2"/>
        <v>https://resources.simonelectric.com/simon-catalogo-vehiculo-electrico</v>
      </c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</row>
    <row r="1829" ht="15.75" customHeight="1">
      <c r="A1829" s="5" t="s">
        <v>2810</v>
      </c>
      <c r="B1829" s="5">
        <v>43950.0</v>
      </c>
      <c r="C1829" s="6" t="s">
        <v>2811</v>
      </c>
      <c r="D1829" s="11">
        <f t="shared" si="1"/>
        <v>70</v>
      </c>
      <c r="E1829" s="8" t="str">
        <f t="shared" si="2"/>
        <v>https://resources.simonelectric.com/simon-catalogo-vehiculo-electrico</v>
      </c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</row>
    <row r="1830" ht="15.75" customHeight="1">
      <c r="A1830" s="5" t="s">
        <v>2812</v>
      </c>
      <c r="B1830" s="5">
        <v>43950.0</v>
      </c>
      <c r="C1830" s="6" t="s">
        <v>2813</v>
      </c>
      <c r="D1830" s="11">
        <f t="shared" si="1"/>
        <v>70</v>
      </c>
      <c r="E1830" s="8" t="str">
        <f t="shared" si="2"/>
        <v>https://resources.simonelectric.com/simon-catalogo-vehiculo-electrico</v>
      </c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</row>
    <row r="1831" ht="15.75" customHeight="1">
      <c r="A1831" s="5" t="s">
        <v>2814</v>
      </c>
      <c r="B1831" s="5">
        <v>43950.0</v>
      </c>
      <c r="C1831" s="6" t="s">
        <v>2815</v>
      </c>
      <c r="D1831" s="11">
        <f t="shared" si="1"/>
        <v>70</v>
      </c>
      <c r="E1831" s="8" t="str">
        <f t="shared" si="2"/>
        <v>https://resources.simonelectric.com/simon-catalogo-vehiculo-electrico</v>
      </c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</row>
    <row r="1832" ht="15.75" customHeight="1">
      <c r="A1832" s="5" t="s">
        <v>2816</v>
      </c>
      <c r="B1832" s="5">
        <v>43950.0</v>
      </c>
      <c r="C1832" s="6" t="s">
        <v>2817</v>
      </c>
      <c r="D1832" s="11">
        <f t="shared" si="1"/>
        <v>70</v>
      </c>
      <c r="E1832" s="8" t="str">
        <f t="shared" si="2"/>
        <v>https://resources.simonelectric.com/simon-catalogo-vehiculo-electrico</v>
      </c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</row>
    <row r="1833" ht="15.75" customHeight="1">
      <c r="A1833" s="5" t="s">
        <v>2818</v>
      </c>
      <c r="B1833" s="5">
        <v>43950.0</v>
      </c>
      <c r="C1833" s="6" t="s">
        <v>2819</v>
      </c>
      <c r="D1833" s="11">
        <f t="shared" si="1"/>
        <v>70</v>
      </c>
      <c r="E1833" s="8" t="str">
        <f t="shared" si="2"/>
        <v>https://resources.simonelectric.com/simon-catalogo-vehiculo-electrico</v>
      </c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</row>
    <row r="1834" ht="15.75" customHeight="1">
      <c r="A1834" s="5" t="s">
        <v>580</v>
      </c>
      <c r="B1834" s="5">
        <v>43950.0</v>
      </c>
      <c r="C1834" s="6" t="s">
        <v>2820</v>
      </c>
      <c r="D1834" s="11">
        <f t="shared" si="1"/>
        <v>70</v>
      </c>
      <c r="E1834" s="8" t="str">
        <f t="shared" si="2"/>
        <v>https://resources.simonelectric.com/simon-catalogo-vehiculo-electrico</v>
      </c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</row>
    <row r="1835" ht="15.75" customHeight="1">
      <c r="A1835" s="5" t="s">
        <v>1995</v>
      </c>
      <c r="B1835" s="5">
        <v>43950.0</v>
      </c>
      <c r="C1835" s="6" t="s">
        <v>2821</v>
      </c>
      <c r="D1835" s="11">
        <f t="shared" si="1"/>
        <v>70</v>
      </c>
      <c r="E1835" s="8" t="str">
        <f t="shared" si="2"/>
        <v>https://resources.simonelectric.com/simon-catalogo-vehiculo-electrico</v>
      </c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</row>
    <row r="1836" ht="15.75" customHeight="1">
      <c r="A1836" s="5" t="s">
        <v>2810</v>
      </c>
      <c r="B1836" s="5">
        <v>43950.0</v>
      </c>
      <c r="C1836" s="6" t="s">
        <v>2822</v>
      </c>
      <c r="D1836" s="11">
        <f t="shared" si="1"/>
        <v>70</v>
      </c>
      <c r="E1836" s="8" t="str">
        <f t="shared" si="2"/>
        <v>https://resources.simonelectric.com/simon-catalogo-vehiculo-electrico</v>
      </c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</row>
    <row r="1837" ht="15.75" customHeight="1">
      <c r="A1837" s="5" t="s">
        <v>2823</v>
      </c>
      <c r="B1837" s="5">
        <v>43950.0</v>
      </c>
      <c r="C1837" s="6" t="s">
        <v>2824</v>
      </c>
      <c r="D1837" s="11">
        <f t="shared" si="1"/>
        <v>70</v>
      </c>
      <c r="E1837" s="8" t="str">
        <f t="shared" si="2"/>
        <v>https://resources.simonelectric.com/simon-catalogo-vehiculo-electrico</v>
      </c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</row>
    <row r="1838" ht="15.75" customHeight="1">
      <c r="A1838" s="5" t="s">
        <v>2825</v>
      </c>
      <c r="B1838" s="5">
        <v>43950.0</v>
      </c>
      <c r="C1838" s="6" t="s">
        <v>2826</v>
      </c>
      <c r="D1838" s="11">
        <f t="shared" si="1"/>
        <v>70</v>
      </c>
      <c r="E1838" s="8" t="str">
        <f t="shared" si="2"/>
        <v>https://resources.simonelectric.com/simon-catalogo-vehiculo-electrico</v>
      </c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</row>
    <row r="1839" ht="15.75" customHeight="1">
      <c r="A1839" s="5" t="s">
        <v>2827</v>
      </c>
      <c r="B1839" s="5">
        <v>43950.0</v>
      </c>
      <c r="C1839" s="6" t="s">
        <v>2828</v>
      </c>
      <c r="D1839" s="11">
        <f t="shared" si="1"/>
        <v>70</v>
      </c>
      <c r="E1839" s="8" t="str">
        <f t="shared" si="2"/>
        <v>https://resources.simonelectric.com/simon-catalogo-vehiculo-electrico</v>
      </c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</row>
    <row r="1840" ht="15.75" customHeight="1">
      <c r="A1840" s="5" t="s">
        <v>2829</v>
      </c>
      <c r="B1840" s="5">
        <v>43950.0</v>
      </c>
      <c r="C1840" s="6" t="s">
        <v>2830</v>
      </c>
      <c r="D1840" s="11">
        <f t="shared" si="1"/>
        <v>70</v>
      </c>
      <c r="E1840" s="8" t="str">
        <f t="shared" si="2"/>
        <v>https://resources.simonelectric.com/simon-catalogo-vehiculo-electrico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</row>
    <row r="1841" ht="15.75" customHeight="1">
      <c r="A1841" s="5" t="s">
        <v>2831</v>
      </c>
      <c r="B1841" s="5">
        <v>43950.0</v>
      </c>
      <c r="C1841" s="6" t="s">
        <v>2832</v>
      </c>
      <c r="D1841" s="11">
        <f t="shared" si="1"/>
        <v>70</v>
      </c>
      <c r="E1841" s="8" t="str">
        <f t="shared" si="2"/>
        <v>https://resources.simonelectric.com/simon-catalogo-vehiculo-electrico</v>
      </c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</row>
    <row r="1842" ht="15.75" customHeight="1">
      <c r="A1842" s="5" t="s">
        <v>2833</v>
      </c>
      <c r="B1842" s="5">
        <v>43950.0</v>
      </c>
      <c r="C1842" s="6" t="s">
        <v>2834</v>
      </c>
      <c r="D1842" s="11">
        <f t="shared" si="1"/>
        <v>70</v>
      </c>
      <c r="E1842" s="8" t="str">
        <f t="shared" si="2"/>
        <v>https://resources.simonelectric.com/simon-catalogo-vehiculo-electrico</v>
      </c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</row>
    <row r="1843" ht="15.75" customHeight="1">
      <c r="A1843" s="5" t="s">
        <v>2835</v>
      </c>
      <c r="B1843" s="5">
        <v>43950.0</v>
      </c>
      <c r="C1843" s="6" t="s">
        <v>2836</v>
      </c>
      <c r="D1843" s="11">
        <f t="shared" si="1"/>
        <v>70</v>
      </c>
      <c r="E1843" s="8" t="str">
        <f t="shared" si="2"/>
        <v>https://resources.simonelectric.com/simon-catalogo-vehiculo-electrico</v>
      </c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</row>
    <row r="1844" ht="15.75" customHeight="1">
      <c r="A1844" s="5" t="s">
        <v>2837</v>
      </c>
      <c r="B1844" s="5">
        <v>43950.0</v>
      </c>
      <c r="C1844" s="6" t="s">
        <v>2838</v>
      </c>
      <c r="D1844" s="11">
        <f t="shared" si="1"/>
        <v>70</v>
      </c>
      <c r="E1844" s="8" t="str">
        <f t="shared" si="2"/>
        <v>https://resources.simonelectric.com/simon-catalogo-vehiculo-electrico</v>
      </c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</row>
    <row r="1845" ht="15.75" customHeight="1">
      <c r="A1845" s="5" t="s">
        <v>1678</v>
      </c>
      <c r="B1845" s="5">
        <v>43950.0</v>
      </c>
      <c r="C1845" s="6" t="s">
        <v>2839</v>
      </c>
      <c r="D1845" s="11">
        <f t="shared" si="1"/>
        <v>70</v>
      </c>
      <c r="E1845" s="8" t="str">
        <f t="shared" si="2"/>
        <v>https://resources.simonelectric.com/simon-catalogo-vehiculo-electrico</v>
      </c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</row>
    <row r="1846" ht="15.75" customHeight="1">
      <c r="A1846" s="5" t="s">
        <v>694</v>
      </c>
      <c r="B1846" s="5">
        <v>43950.0</v>
      </c>
      <c r="C1846" s="6" t="s">
        <v>2840</v>
      </c>
      <c r="D1846" s="11">
        <f t="shared" si="1"/>
        <v>70</v>
      </c>
      <c r="E1846" s="8" t="str">
        <f t="shared" si="2"/>
        <v>https://resources.simonelectric.com/simon-catalogo-vehiculo-electrico</v>
      </c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</row>
    <row r="1847" ht="15.75" customHeight="1">
      <c r="A1847" s="5" t="s">
        <v>2841</v>
      </c>
      <c r="B1847" s="5">
        <v>43950.0</v>
      </c>
      <c r="C1847" s="6" t="s">
        <v>2842</v>
      </c>
      <c r="D1847" s="11">
        <f t="shared" si="1"/>
        <v>70</v>
      </c>
      <c r="E1847" s="8" t="str">
        <f t="shared" si="2"/>
        <v>https://resources.simonelectric.com/simon-catalogo-vehiculo-electrico</v>
      </c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</row>
    <row r="1848" ht="15.75" customHeight="1">
      <c r="A1848" s="5" t="s">
        <v>2843</v>
      </c>
      <c r="B1848" s="5">
        <v>43950.0</v>
      </c>
      <c r="C1848" s="6" t="s">
        <v>2844</v>
      </c>
      <c r="D1848" s="11">
        <f t="shared" si="1"/>
        <v>70</v>
      </c>
      <c r="E1848" s="8" t="str">
        <f t="shared" si="2"/>
        <v>https://resources.simonelectric.com/simon-catalogo-vehiculo-electrico</v>
      </c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</row>
    <row r="1849" ht="15.75" customHeight="1">
      <c r="A1849" s="5" t="s">
        <v>2845</v>
      </c>
      <c r="B1849" s="5">
        <v>43950.0</v>
      </c>
      <c r="C1849" s="6" t="s">
        <v>2846</v>
      </c>
      <c r="D1849" s="11">
        <f t="shared" si="1"/>
        <v>70</v>
      </c>
      <c r="E1849" s="8" t="str">
        <f t="shared" si="2"/>
        <v>https://resources.simonelectric.com/simon-catalogo-vehiculo-electrico</v>
      </c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</row>
    <row r="1850" ht="15.75" customHeight="1">
      <c r="A1850" s="5" t="s">
        <v>2847</v>
      </c>
      <c r="B1850" s="5">
        <v>43950.0</v>
      </c>
      <c r="C1850" s="6" t="s">
        <v>2848</v>
      </c>
      <c r="D1850" s="11">
        <f t="shared" si="1"/>
        <v>70</v>
      </c>
      <c r="E1850" s="8" t="str">
        <f t="shared" si="2"/>
        <v>https://resources.simonelectric.com/simon-catalogo-vehiculo-electrico</v>
      </c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</row>
    <row r="1851" ht="15.75" customHeight="1">
      <c r="A1851" s="5" t="s">
        <v>2849</v>
      </c>
      <c r="B1851" s="5">
        <v>43950.0</v>
      </c>
      <c r="C1851" s="6" t="s">
        <v>2850</v>
      </c>
      <c r="D1851" s="11">
        <f t="shared" si="1"/>
        <v>70</v>
      </c>
      <c r="E1851" s="8" t="str">
        <f t="shared" si="2"/>
        <v>https://resources.simonelectric.com/simon-catalogo-vehiculo-electrico</v>
      </c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</row>
    <row r="1852" ht="15.75" customHeight="1">
      <c r="A1852" s="5" t="s">
        <v>2851</v>
      </c>
      <c r="B1852" s="5">
        <v>43950.0</v>
      </c>
      <c r="C1852" s="6" t="s">
        <v>2852</v>
      </c>
      <c r="D1852" s="11">
        <f t="shared" si="1"/>
        <v>70</v>
      </c>
      <c r="E1852" s="8" t="str">
        <f t="shared" si="2"/>
        <v>https://resources.simonelectric.com/simon-catalogo-vehiculo-electrico</v>
      </c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</row>
    <row r="1853" ht="15.75" customHeight="1">
      <c r="A1853" s="5" t="s">
        <v>1833</v>
      </c>
      <c r="B1853" s="5">
        <v>43950.0</v>
      </c>
      <c r="C1853" s="6" t="s">
        <v>2853</v>
      </c>
      <c r="D1853" s="11">
        <f t="shared" si="1"/>
        <v>70</v>
      </c>
      <c r="E1853" s="8" t="str">
        <f t="shared" si="2"/>
        <v>https://resources.simonelectric.com/simon-catalogo-vehiculo-electrico</v>
      </c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</row>
    <row r="1854" ht="15.75" customHeight="1">
      <c r="A1854" s="5" t="s">
        <v>2854</v>
      </c>
      <c r="B1854" s="5">
        <v>43950.0</v>
      </c>
      <c r="C1854" s="6" t="s">
        <v>2855</v>
      </c>
      <c r="D1854" s="11">
        <f t="shared" si="1"/>
        <v>70</v>
      </c>
      <c r="E1854" s="8" t="str">
        <f t="shared" si="2"/>
        <v>https://resources.simonelectric.com/simon-catalogo-vehiculo-electrico</v>
      </c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</row>
    <row r="1855" ht="15.75" customHeight="1">
      <c r="A1855" s="5" t="s">
        <v>1566</v>
      </c>
      <c r="B1855" s="5">
        <v>43950.0</v>
      </c>
      <c r="C1855" s="6" t="s">
        <v>2856</v>
      </c>
      <c r="D1855" s="11">
        <f t="shared" si="1"/>
        <v>70</v>
      </c>
      <c r="E1855" s="8" t="str">
        <f t="shared" si="2"/>
        <v>https://resources.simonelectric.com/simon-catalogo-vehiculo-electrico</v>
      </c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</row>
    <row r="1856" ht="15.75" customHeight="1">
      <c r="A1856" s="5" t="s">
        <v>2857</v>
      </c>
      <c r="B1856" s="5">
        <v>43950.0</v>
      </c>
      <c r="C1856" s="6" t="s">
        <v>2858</v>
      </c>
      <c r="D1856" s="11">
        <f t="shared" si="1"/>
        <v>70</v>
      </c>
      <c r="E1856" s="8" t="str">
        <f t="shared" si="2"/>
        <v>https://resources.simonelectric.com/simon-catalogo-vehiculo-electrico</v>
      </c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</row>
    <row r="1857" ht="15.75" customHeight="1">
      <c r="A1857" s="5" t="s">
        <v>2859</v>
      </c>
      <c r="B1857" s="5">
        <v>43950.0</v>
      </c>
      <c r="C1857" s="6" t="s">
        <v>2860</v>
      </c>
      <c r="D1857" s="11">
        <f t="shared" si="1"/>
        <v>70</v>
      </c>
      <c r="E1857" s="8" t="str">
        <f t="shared" si="2"/>
        <v>https://resources.simonelectric.com/simon-catalogo-vehiculo-electrico</v>
      </c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</row>
    <row r="1858" ht="15.75" customHeight="1">
      <c r="A1858" s="5" t="s">
        <v>2861</v>
      </c>
      <c r="B1858" s="5">
        <v>43950.0</v>
      </c>
      <c r="C1858" s="6" t="s">
        <v>2862</v>
      </c>
      <c r="D1858" s="11">
        <f t="shared" si="1"/>
        <v>70</v>
      </c>
      <c r="E1858" s="8" t="str">
        <f t="shared" si="2"/>
        <v>https://resources.simonelectric.com/simon-catalogo-vehiculo-electrico</v>
      </c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</row>
    <row r="1859" ht="15.75" customHeight="1">
      <c r="A1859" s="5" t="s">
        <v>1431</v>
      </c>
      <c r="B1859" s="5">
        <v>43950.0</v>
      </c>
      <c r="C1859" s="6" t="s">
        <v>2863</v>
      </c>
      <c r="D1859" s="11">
        <f t="shared" si="1"/>
        <v>70</v>
      </c>
      <c r="E1859" s="8" t="str">
        <f t="shared" si="2"/>
        <v>https://resources.simonelectric.com/simon-catalogo-vehiculo-electrico</v>
      </c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</row>
    <row r="1860" ht="15.75" customHeight="1">
      <c r="A1860" s="5" t="s">
        <v>2864</v>
      </c>
      <c r="B1860" s="5">
        <v>43950.0</v>
      </c>
      <c r="C1860" s="6" t="s">
        <v>2865</v>
      </c>
      <c r="D1860" s="11">
        <f t="shared" si="1"/>
        <v>70</v>
      </c>
      <c r="E1860" s="8" t="str">
        <f t="shared" si="2"/>
        <v>https://resources.simonelectric.com/simon-catalogo-vehiculo-electrico</v>
      </c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</row>
    <row r="1861" ht="15.75" customHeight="1">
      <c r="A1861" s="5" t="s">
        <v>2866</v>
      </c>
      <c r="B1861" s="5">
        <v>43950.0</v>
      </c>
      <c r="C1861" s="6" t="s">
        <v>2867</v>
      </c>
      <c r="D1861" s="11">
        <f t="shared" si="1"/>
        <v>70</v>
      </c>
      <c r="E1861" s="8" t="str">
        <f t="shared" si="2"/>
        <v>https://resources.simonelectric.com/simon-catalogo-vehiculo-electrico</v>
      </c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</row>
    <row r="1862" ht="15.75" customHeight="1">
      <c r="A1862" s="5" t="s">
        <v>2868</v>
      </c>
      <c r="B1862" s="5">
        <v>43950.0</v>
      </c>
      <c r="C1862" s="6" t="s">
        <v>2869</v>
      </c>
      <c r="D1862" s="11">
        <f t="shared" si="1"/>
        <v>70</v>
      </c>
      <c r="E1862" s="8" t="str">
        <f t="shared" si="2"/>
        <v>https://resources.simonelectric.com/simon-catalogo-vehiculo-electrico</v>
      </c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</row>
    <row r="1863" ht="15.75" customHeight="1">
      <c r="A1863" s="5" t="s">
        <v>2870</v>
      </c>
      <c r="B1863" s="5">
        <v>43950.0</v>
      </c>
      <c r="C1863" s="6" t="s">
        <v>2871</v>
      </c>
      <c r="D1863" s="11">
        <f t="shared" si="1"/>
        <v>70</v>
      </c>
      <c r="E1863" s="8" t="str">
        <f t="shared" si="2"/>
        <v>https://resources.simonelectric.com/simon-catalogo-vehiculo-electrico</v>
      </c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</row>
    <row r="1864" ht="15.75" customHeight="1">
      <c r="A1864" s="5" t="s">
        <v>2872</v>
      </c>
      <c r="B1864" s="5">
        <v>43950.0</v>
      </c>
      <c r="C1864" s="6" t="s">
        <v>2873</v>
      </c>
      <c r="D1864" s="11">
        <f t="shared" si="1"/>
        <v>70</v>
      </c>
      <c r="E1864" s="8" t="str">
        <f t="shared" si="2"/>
        <v>https://resources.simonelectric.com/simon-catalogo-vehiculo-electrico</v>
      </c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</row>
    <row r="1865" ht="15.75" customHeight="1">
      <c r="A1865" s="5" t="s">
        <v>2874</v>
      </c>
      <c r="B1865" s="5">
        <v>43950.0</v>
      </c>
      <c r="C1865" s="6" t="s">
        <v>2875</v>
      </c>
      <c r="D1865" s="11">
        <f t="shared" si="1"/>
        <v>70</v>
      </c>
      <c r="E1865" s="8" t="str">
        <f t="shared" si="2"/>
        <v>https://resources.simonelectric.com/simon-catalogo-vehiculo-electrico</v>
      </c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</row>
    <row r="1866" ht="15.75" customHeight="1">
      <c r="A1866" s="5" t="s">
        <v>2876</v>
      </c>
      <c r="B1866" s="5">
        <v>43950.0</v>
      </c>
      <c r="C1866" s="6" t="s">
        <v>2877</v>
      </c>
      <c r="D1866" s="11">
        <f t="shared" si="1"/>
        <v>70</v>
      </c>
      <c r="E1866" s="8" t="str">
        <f t="shared" si="2"/>
        <v>https://resources.simonelectric.com/simon-catalogo-vehiculo-electrico</v>
      </c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</row>
    <row r="1867" ht="15.75" customHeight="1">
      <c r="A1867" s="5" t="s">
        <v>2878</v>
      </c>
      <c r="B1867" s="5">
        <v>43950.0</v>
      </c>
      <c r="C1867" s="6" t="s">
        <v>2879</v>
      </c>
      <c r="D1867" s="11">
        <f t="shared" si="1"/>
        <v>70</v>
      </c>
      <c r="E1867" s="8" t="str">
        <f t="shared" si="2"/>
        <v>https://resources.simonelectric.com/simon-catalogo-vehiculo-electrico</v>
      </c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</row>
    <row r="1868" ht="15.75" customHeight="1">
      <c r="A1868" s="5" t="s">
        <v>2880</v>
      </c>
      <c r="B1868" s="5">
        <v>43950.0</v>
      </c>
      <c r="C1868" s="6" t="s">
        <v>2881</v>
      </c>
      <c r="D1868" s="11">
        <f t="shared" si="1"/>
        <v>70</v>
      </c>
      <c r="E1868" s="8" t="str">
        <f t="shared" si="2"/>
        <v>https://resources.simonelectric.com/simon-catalogo-vehiculo-electrico</v>
      </c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</row>
    <row r="1869" ht="15.75" customHeight="1">
      <c r="A1869" s="5" t="s">
        <v>2882</v>
      </c>
      <c r="B1869" s="5">
        <v>43950.0</v>
      </c>
      <c r="C1869" s="6" t="s">
        <v>2883</v>
      </c>
      <c r="D1869" s="11">
        <f t="shared" si="1"/>
        <v>70</v>
      </c>
      <c r="E1869" s="8" t="str">
        <f t="shared" si="2"/>
        <v>https://resources.simonelectric.com/simon-catalogo-vehiculo-electrico</v>
      </c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</row>
    <row r="1870" ht="15.75" customHeight="1">
      <c r="A1870" s="5" t="s">
        <v>2884</v>
      </c>
      <c r="B1870" s="5">
        <v>43950.0</v>
      </c>
      <c r="C1870" s="6" t="s">
        <v>2885</v>
      </c>
      <c r="D1870" s="11">
        <f t="shared" si="1"/>
        <v>70</v>
      </c>
      <c r="E1870" s="8" t="str">
        <f t="shared" si="2"/>
        <v>https://resources.simonelectric.com/simon-catalogo-vehiculo-electrico</v>
      </c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</row>
    <row r="1871" ht="15.75" customHeight="1">
      <c r="A1871" s="5" t="s">
        <v>2886</v>
      </c>
      <c r="B1871" s="5">
        <v>43950.0</v>
      </c>
      <c r="C1871" s="6" t="s">
        <v>2887</v>
      </c>
      <c r="D1871" s="11">
        <f t="shared" si="1"/>
        <v>70</v>
      </c>
      <c r="E1871" s="8" t="str">
        <f t="shared" si="2"/>
        <v>https://resources.simonelectric.com/simon-catalogo-vehiculo-electrico</v>
      </c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</row>
    <row r="1872" ht="15.75" customHeight="1">
      <c r="A1872" s="5" t="s">
        <v>1822</v>
      </c>
      <c r="B1872" s="5">
        <v>43950.0</v>
      </c>
      <c r="C1872" s="6" t="s">
        <v>2888</v>
      </c>
      <c r="D1872" s="11">
        <f t="shared" si="1"/>
        <v>70</v>
      </c>
      <c r="E1872" s="8" t="str">
        <f t="shared" si="2"/>
        <v>https://resources.simonelectric.com/simon-catalogo-vehiculo-electrico</v>
      </c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</row>
    <row r="1873" ht="15.75" customHeight="1">
      <c r="A1873" s="5" t="s">
        <v>2889</v>
      </c>
      <c r="B1873" s="5">
        <v>43950.0</v>
      </c>
      <c r="C1873" s="6" t="s">
        <v>2890</v>
      </c>
      <c r="D1873" s="11">
        <f t="shared" si="1"/>
        <v>70</v>
      </c>
      <c r="E1873" s="8" t="str">
        <f t="shared" si="2"/>
        <v>https://resources.simonelectric.com/simon-catalogo-vehiculo-electrico</v>
      </c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</row>
    <row r="1874" ht="15.75" customHeight="1">
      <c r="A1874" s="5" t="s">
        <v>2891</v>
      </c>
      <c r="B1874" s="5">
        <v>43950.0</v>
      </c>
      <c r="C1874" s="6" t="s">
        <v>2892</v>
      </c>
      <c r="D1874" s="11">
        <f t="shared" si="1"/>
        <v>70</v>
      </c>
      <c r="E1874" s="8" t="str">
        <f t="shared" si="2"/>
        <v>https://resources.simonelectric.com/simon-catalogo-vehiculo-electrico</v>
      </c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</row>
    <row r="1875" ht="15.75" customHeight="1">
      <c r="A1875" s="5" t="s">
        <v>2893</v>
      </c>
      <c r="B1875" s="5">
        <v>43950.0</v>
      </c>
      <c r="C1875" s="6" t="s">
        <v>2894</v>
      </c>
      <c r="D1875" s="11">
        <f t="shared" si="1"/>
        <v>70</v>
      </c>
      <c r="E1875" s="8" t="str">
        <f t="shared" si="2"/>
        <v>https://resources.simonelectric.com/simon-catalogo-vehiculo-electrico</v>
      </c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</row>
    <row r="1876" ht="15.75" customHeight="1">
      <c r="A1876" s="5" t="s">
        <v>2895</v>
      </c>
      <c r="B1876" s="5">
        <v>43950.0</v>
      </c>
      <c r="C1876" s="6" t="s">
        <v>2896</v>
      </c>
      <c r="D1876" s="11">
        <f t="shared" si="1"/>
        <v>70</v>
      </c>
      <c r="E1876" s="8" t="str">
        <f t="shared" si="2"/>
        <v>https://resources.simonelectric.com/simon-catalogo-vehiculo-electrico</v>
      </c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</row>
    <row r="1877" ht="15.75" customHeight="1">
      <c r="A1877" s="5" t="s">
        <v>2891</v>
      </c>
      <c r="B1877" s="5">
        <v>43950.0</v>
      </c>
      <c r="C1877" s="6" t="s">
        <v>2892</v>
      </c>
      <c r="D1877" s="11">
        <f t="shared" si="1"/>
        <v>70</v>
      </c>
      <c r="E1877" s="8" t="str">
        <f t="shared" si="2"/>
        <v>https://resources.simonelectric.com/simon-catalogo-vehiculo-electrico</v>
      </c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</row>
    <row r="1878" ht="15.75" customHeight="1">
      <c r="A1878" s="5" t="s">
        <v>2897</v>
      </c>
      <c r="B1878" s="5">
        <v>43950.0</v>
      </c>
      <c r="C1878" s="6" t="s">
        <v>2898</v>
      </c>
      <c r="D1878" s="11">
        <f t="shared" si="1"/>
        <v>70</v>
      </c>
      <c r="E1878" s="8" t="str">
        <f t="shared" si="2"/>
        <v>https://resources.simonelectric.com/simon-catalogo-vehiculo-electrico</v>
      </c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</row>
    <row r="1879" ht="15.75" customHeight="1">
      <c r="A1879" s="5" t="s">
        <v>1055</v>
      </c>
      <c r="B1879" s="5">
        <v>43950.0</v>
      </c>
      <c r="C1879" s="6" t="s">
        <v>2899</v>
      </c>
      <c r="D1879" s="11">
        <f t="shared" si="1"/>
        <v>70</v>
      </c>
      <c r="E1879" s="8" t="str">
        <f t="shared" si="2"/>
        <v>https://resources.simonelectric.com/simon-catalogo-vehiculo-electrico</v>
      </c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</row>
    <row r="1880" ht="15.75" customHeight="1">
      <c r="A1880" s="5" t="s">
        <v>2900</v>
      </c>
      <c r="B1880" s="5">
        <v>43950.0</v>
      </c>
      <c r="C1880" s="6" t="s">
        <v>2901</v>
      </c>
      <c r="D1880" s="11">
        <f t="shared" si="1"/>
        <v>70</v>
      </c>
      <c r="E1880" s="8" t="str">
        <f t="shared" si="2"/>
        <v>https://resources.simonelectric.com/simon-catalogo-vehiculo-electrico</v>
      </c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</row>
    <row r="1881" ht="15.75" customHeight="1">
      <c r="A1881" s="5" t="s">
        <v>2902</v>
      </c>
      <c r="B1881" s="5">
        <v>43950.0</v>
      </c>
      <c r="C1881" s="6" t="s">
        <v>2903</v>
      </c>
      <c r="D1881" s="11">
        <f t="shared" si="1"/>
        <v>70</v>
      </c>
      <c r="E1881" s="8" t="str">
        <f t="shared" si="2"/>
        <v>https://resources.simonelectric.com/simon-catalogo-vehiculo-electrico</v>
      </c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</row>
    <row r="1882" ht="15.75" customHeight="1">
      <c r="A1882" s="5" t="s">
        <v>2904</v>
      </c>
      <c r="B1882" s="5">
        <v>43950.0</v>
      </c>
      <c r="C1882" s="6" t="s">
        <v>2905</v>
      </c>
      <c r="D1882" s="11">
        <f t="shared" si="1"/>
        <v>70</v>
      </c>
      <c r="E1882" s="8" t="str">
        <f t="shared" si="2"/>
        <v>https://resources.simonelectric.com/simon-catalogo-vehiculo-electrico</v>
      </c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</row>
    <row r="1883" ht="15.75" customHeight="1">
      <c r="A1883" s="5" t="s">
        <v>2906</v>
      </c>
      <c r="B1883" s="5">
        <v>43950.0</v>
      </c>
      <c r="C1883" s="6" t="s">
        <v>2907</v>
      </c>
      <c r="D1883" s="11">
        <f t="shared" si="1"/>
        <v>70</v>
      </c>
      <c r="E1883" s="8" t="str">
        <f t="shared" si="2"/>
        <v>https://resources.simonelectric.com/simon-catalogo-vehiculo-electrico</v>
      </c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</row>
    <row r="1884" ht="15.75" customHeight="1">
      <c r="A1884" s="5" t="s">
        <v>2908</v>
      </c>
      <c r="B1884" s="5">
        <v>43950.0</v>
      </c>
      <c r="C1884" s="6" t="s">
        <v>2909</v>
      </c>
      <c r="D1884" s="11">
        <f t="shared" si="1"/>
        <v>70</v>
      </c>
      <c r="E1884" s="8" t="str">
        <f t="shared" si="2"/>
        <v>https://resources.simonelectric.com/simon-catalogo-vehiculo-electrico</v>
      </c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</row>
    <row r="1885" ht="15.75" customHeight="1">
      <c r="A1885" s="5" t="s">
        <v>2910</v>
      </c>
      <c r="B1885" s="5">
        <v>43950.0</v>
      </c>
      <c r="C1885" s="6" t="s">
        <v>2911</v>
      </c>
      <c r="D1885" s="11">
        <f t="shared" si="1"/>
        <v>70</v>
      </c>
      <c r="E1885" s="8" t="str">
        <f t="shared" si="2"/>
        <v>https://resources.simonelectric.com/simon-catalogo-vehiculo-electrico</v>
      </c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</row>
    <row r="1886" ht="15.75" customHeight="1">
      <c r="A1886" s="5" t="s">
        <v>2912</v>
      </c>
      <c r="B1886" s="5">
        <v>43950.0</v>
      </c>
      <c r="C1886" s="6" t="s">
        <v>2913</v>
      </c>
      <c r="D1886" s="11">
        <f t="shared" si="1"/>
        <v>70</v>
      </c>
      <c r="E1886" s="8" t="str">
        <f t="shared" si="2"/>
        <v>https://resources.simonelectric.com/simon-catalogo-vehiculo-electrico</v>
      </c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</row>
    <row r="1887" ht="15.75" customHeight="1">
      <c r="A1887" s="5" t="s">
        <v>2914</v>
      </c>
      <c r="B1887" s="5">
        <v>43950.0</v>
      </c>
      <c r="C1887" s="6" t="s">
        <v>2915</v>
      </c>
      <c r="D1887" s="11">
        <f t="shared" si="1"/>
        <v>70</v>
      </c>
      <c r="E1887" s="8" t="str">
        <f t="shared" si="2"/>
        <v>https://resources.simonelectric.com/simon-catalogo-vehiculo-electrico</v>
      </c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</row>
    <row r="1888" ht="15.75" customHeight="1">
      <c r="A1888" s="5" t="s">
        <v>1574</v>
      </c>
      <c r="B1888" s="5">
        <v>43950.0</v>
      </c>
      <c r="C1888" s="6" t="s">
        <v>2916</v>
      </c>
      <c r="D1888" s="11">
        <f t="shared" si="1"/>
        <v>70</v>
      </c>
      <c r="E1888" s="8" t="str">
        <f t="shared" si="2"/>
        <v>https://resources.simonelectric.com/simon-catalogo-vehiculo-electrico</v>
      </c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</row>
    <row r="1889" ht="15.75" customHeight="1">
      <c r="A1889" s="5" t="s">
        <v>2917</v>
      </c>
      <c r="B1889" s="5">
        <v>43950.0</v>
      </c>
      <c r="C1889" s="6" t="s">
        <v>2918</v>
      </c>
      <c r="D1889" s="11">
        <f t="shared" si="1"/>
        <v>70</v>
      </c>
      <c r="E1889" s="8" t="str">
        <f t="shared" si="2"/>
        <v>https://resources.simonelectric.com/simon-catalogo-vehiculo-electrico</v>
      </c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</row>
    <row r="1890" ht="15.75" customHeight="1">
      <c r="A1890" s="5" t="s">
        <v>2919</v>
      </c>
      <c r="B1890" s="5">
        <v>43950.0</v>
      </c>
      <c r="C1890" s="6" t="s">
        <v>2920</v>
      </c>
      <c r="D1890" s="11">
        <f t="shared" si="1"/>
        <v>70</v>
      </c>
      <c r="E1890" s="8" t="str">
        <f t="shared" si="2"/>
        <v>https://resources.simonelectric.com/simon-catalogo-vehiculo-electrico</v>
      </c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</row>
    <row r="1891" ht="15.75" customHeight="1">
      <c r="A1891" s="5" t="s">
        <v>2921</v>
      </c>
      <c r="B1891" s="5">
        <v>43950.0</v>
      </c>
      <c r="C1891" s="6" t="s">
        <v>2922</v>
      </c>
      <c r="D1891" s="11">
        <f t="shared" si="1"/>
        <v>70</v>
      </c>
      <c r="E1891" s="8" t="str">
        <f t="shared" si="2"/>
        <v>https://resources.simonelectric.com/simon-catalogo-vehiculo-electrico</v>
      </c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</row>
    <row r="1892" ht="15.75" customHeight="1">
      <c r="A1892" s="5" t="s">
        <v>471</v>
      </c>
      <c r="B1892" s="5">
        <v>43950.0</v>
      </c>
      <c r="C1892" s="6" t="s">
        <v>2923</v>
      </c>
      <c r="D1892" s="11">
        <f t="shared" si="1"/>
        <v>70</v>
      </c>
      <c r="E1892" s="8" t="str">
        <f t="shared" si="2"/>
        <v>https://resources.simonelectric.com/simon-catalogo-vehiculo-electrico</v>
      </c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</row>
    <row r="1893" ht="15.75" customHeight="1">
      <c r="A1893" s="5" t="s">
        <v>2924</v>
      </c>
      <c r="B1893" s="5">
        <v>43950.0</v>
      </c>
      <c r="C1893" s="6" t="s">
        <v>2925</v>
      </c>
      <c r="D1893" s="11">
        <f t="shared" si="1"/>
        <v>70</v>
      </c>
      <c r="E1893" s="8" t="str">
        <f t="shared" si="2"/>
        <v>https://resources.simonelectric.com/simon-catalogo-vehiculo-electrico</v>
      </c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</row>
    <row r="1894" ht="15.75" customHeight="1">
      <c r="A1894" s="5" t="s">
        <v>2926</v>
      </c>
      <c r="B1894" s="5">
        <v>43950.0</v>
      </c>
      <c r="C1894" s="6" t="s">
        <v>2927</v>
      </c>
      <c r="D1894" s="11">
        <f t="shared" si="1"/>
        <v>70</v>
      </c>
      <c r="E1894" s="8" t="str">
        <f t="shared" si="2"/>
        <v>https://resources.simonelectric.com/simon-catalogo-vehiculo-electrico</v>
      </c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</row>
    <row r="1895" ht="15.75" customHeight="1">
      <c r="A1895" s="5" t="s">
        <v>2928</v>
      </c>
      <c r="B1895" s="5">
        <v>43950.0</v>
      </c>
      <c r="C1895" s="6" t="s">
        <v>2929</v>
      </c>
      <c r="D1895" s="11">
        <f t="shared" si="1"/>
        <v>70</v>
      </c>
      <c r="E1895" s="8" t="str">
        <f t="shared" si="2"/>
        <v>https://resources.simonelectric.com/simon-catalogo-vehiculo-electrico</v>
      </c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</row>
    <row r="1896" ht="15.75" customHeight="1">
      <c r="A1896" s="5" t="s">
        <v>2930</v>
      </c>
      <c r="B1896" s="5">
        <v>43950.0</v>
      </c>
      <c r="C1896" s="6" t="s">
        <v>2931</v>
      </c>
      <c r="D1896" s="11">
        <f t="shared" si="1"/>
        <v>70</v>
      </c>
      <c r="E1896" s="8" t="str">
        <f t="shared" si="2"/>
        <v>https://resources.simonelectric.com/simon-catalogo-vehiculo-electrico</v>
      </c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</row>
    <row r="1897" ht="15.75" customHeight="1">
      <c r="A1897" s="5" t="s">
        <v>2932</v>
      </c>
      <c r="B1897" s="5">
        <v>43950.0</v>
      </c>
      <c r="C1897" s="6" t="s">
        <v>2933</v>
      </c>
      <c r="D1897" s="11">
        <f t="shared" si="1"/>
        <v>70</v>
      </c>
      <c r="E1897" s="8" t="str">
        <f t="shared" si="2"/>
        <v>https://resources.simonelectric.com/simon-catalogo-vehiculo-electrico</v>
      </c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</row>
    <row r="1898" ht="15.75" customHeight="1">
      <c r="A1898" s="5" t="s">
        <v>2934</v>
      </c>
      <c r="B1898" s="5">
        <v>43950.0</v>
      </c>
      <c r="C1898" s="6" t="s">
        <v>2935</v>
      </c>
      <c r="D1898" s="11">
        <f t="shared" si="1"/>
        <v>70</v>
      </c>
      <c r="E1898" s="8" t="str">
        <f t="shared" si="2"/>
        <v>https://resources.simonelectric.com/simon-catalogo-vehiculo-electrico</v>
      </c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</row>
    <row r="1899" ht="15.75" customHeight="1">
      <c r="A1899" s="5" t="s">
        <v>2936</v>
      </c>
      <c r="B1899" s="5">
        <v>43950.0</v>
      </c>
      <c r="C1899" s="6" t="s">
        <v>2937</v>
      </c>
      <c r="D1899" s="11">
        <f t="shared" si="1"/>
        <v>70</v>
      </c>
      <c r="E1899" s="8" t="str">
        <f t="shared" si="2"/>
        <v>https://resources.simonelectric.com/simon-catalogo-vehiculo-electrico</v>
      </c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</row>
    <row r="1900" ht="15.75" customHeight="1">
      <c r="A1900" s="5" t="s">
        <v>2938</v>
      </c>
      <c r="B1900" s="5">
        <v>43950.0</v>
      </c>
      <c r="C1900" s="6" t="s">
        <v>2939</v>
      </c>
      <c r="D1900" s="11">
        <f t="shared" si="1"/>
        <v>70</v>
      </c>
      <c r="E1900" s="8" t="str">
        <f t="shared" si="2"/>
        <v>https://resources.simonelectric.com/simon-catalogo-vehiculo-electrico</v>
      </c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</row>
    <row r="1901" ht="15.75" customHeight="1">
      <c r="A1901" s="5" t="s">
        <v>2940</v>
      </c>
      <c r="B1901" s="5">
        <v>43950.0</v>
      </c>
      <c r="C1901" s="6" t="s">
        <v>2941</v>
      </c>
      <c r="D1901" s="11">
        <f t="shared" si="1"/>
        <v>70</v>
      </c>
      <c r="E1901" s="8" t="str">
        <f t="shared" si="2"/>
        <v>https://resources.simonelectric.com/simon-catalogo-vehiculo-electrico</v>
      </c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</row>
    <row r="1902" ht="15.75" customHeight="1">
      <c r="A1902" s="5" t="s">
        <v>1132</v>
      </c>
      <c r="B1902" s="5">
        <v>43950.0</v>
      </c>
      <c r="C1902" s="6" t="s">
        <v>2942</v>
      </c>
      <c r="D1902" s="11">
        <f t="shared" si="1"/>
        <v>70</v>
      </c>
      <c r="E1902" s="8" t="str">
        <f t="shared" si="2"/>
        <v>https://resources.simonelectric.com/simon-catalogo-vehiculo-electrico</v>
      </c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</row>
    <row r="1903" ht="15.75" customHeight="1">
      <c r="A1903" s="5" t="s">
        <v>1235</v>
      </c>
      <c r="B1903" s="5">
        <v>43950.0</v>
      </c>
      <c r="C1903" s="6" t="s">
        <v>2943</v>
      </c>
      <c r="D1903" s="11">
        <f t="shared" si="1"/>
        <v>70</v>
      </c>
      <c r="E1903" s="8" t="str">
        <f t="shared" si="2"/>
        <v>https://resources.simonelectric.com/simon-catalogo-vehiculo-electrico</v>
      </c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</row>
    <row r="1904" ht="15.75" customHeight="1">
      <c r="A1904" s="5" t="s">
        <v>2944</v>
      </c>
      <c r="B1904" s="5">
        <v>43950.0</v>
      </c>
      <c r="C1904" s="6" t="s">
        <v>2945</v>
      </c>
      <c r="D1904" s="11">
        <f t="shared" si="1"/>
        <v>70</v>
      </c>
      <c r="E1904" s="8" t="str">
        <f t="shared" si="2"/>
        <v>https://resources.simonelectric.com/simon-catalogo-vehiculo-electrico</v>
      </c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</row>
    <row r="1905" ht="15.75" customHeight="1">
      <c r="A1905" s="5" t="s">
        <v>2946</v>
      </c>
      <c r="B1905" s="5">
        <v>43950.0</v>
      </c>
      <c r="C1905" s="6" t="s">
        <v>2947</v>
      </c>
      <c r="D1905" s="11">
        <f t="shared" si="1"/>
        <v>70</v>
      </c>
      <c r="E1905" s="8" t="str">
        <f t="shared" si="2"/>
        <v>https://resources.simonelectric.com/simon-catalogo-vehiculo-electrico</v>
      </c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</row>
    <row r="1906" ht="15.75" customHeight="1">
      <c r="A1906" s="5" t="s">
        <v>2948</v>
      </c>
      <c r="B1906" s="5">
        <v>43950.0</v>
      </c>
      <c r="C1906" s="6" t="s">
        <v>2949</v>
      </c>
      <c r="D1906" s="11">
        <f t="shared" si="1"/>
        <v>70</v>
      </c>
      <c r="E1906" s="8" t="str">
        <f t="shared" si="2"/>
        <v>https://resources.simonelectric.com/simon-catalogo-vehiculo-electrico</v>
      </c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</row>
    <row r="1907" ht="15.75" customHeight="1">
      <c r="A1907" s="5" t="s">
        <v>2950</v>
      </c>
      <c r="B1907" s="5">
        <v>43950.0</v>
      </c>
      <c r="C1907" s="6" t="s">
        <v>2951</v>
      </c>
      <c r="D1907" s="11">
        <f t="shared" si="1"/>
        <v>70</v>
      </c>
      <c r="E1907" s="8" t="str">
        <f t="shared" si="2"/>
        <v>https://resources.simonelectric.com/simon-catalogo-vehiculo-electrico</v>
      </c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</row>
    <row r="1908" ht="15.75" customHeight="1">
      <c r="A1908" s="5" t="s">
        <v>2952</v>
      </c>
      <c r="B1908" s="5">
        <v>43950.0</v>
      </c>
      <c r="C1908" s="6" t="s">
        <v>2953</v>
      </c>
      <c r="D1908" s="11">
        <f t="shared" si="1"/>
        <v>70</v>
      </c>
      <c r="E1908" s="8" t="str">
        <f t="shared" si="2"/>
        <v>https://resources.simonelectric.com/simon-catalogo-vehiculo-electrico</v>
      </c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</row>
    <row r="1909" ht="15.75" customHeight="1">
      <c r="A1909" s="5" t="s">
        <v>2954</v>
      </c>
      <c r="B1909" s="5">
        <v>43950.0</v>
      </c>
      <c r="C1909" s="6" t="s">
        <v>2955</v>
      </c>
      <c r="D1909" s="11">
        <f t="shared" si="1"/>
        <v>70</v>
      </c>
      <c r="E1909" s="8" t="str">
        <f t="shared" si="2"/>
        <v>https://resources.simonelectric.com/simon-catalogo-vehiculo-electrico</v>
      </c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</row>
    <row r="1910" ht="15.75" customHeight="1">
      <c r="A1910" s="5" t="s">
        <v>2956</v>
      </c>
      <c r="B1910" s="5">
        <v>43950.0</v>
      </c>
      <c r="C1910" s="6" t="s">
        <v>2957</v>
      </c>
      <c r="D1910" s="11">
        <f t="shared" si="1"/>
        <v>70</v>
      </c>
      <c r="E1910" s="8" t="str">
        <f t="shared" si="2"/>
        <v>https://resources.simonelectric.com/simon-catalogo-vehiculo-electrico</v>
      </c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</row>
    <row r="1911" ht="15.75" customHeight="1">
      <c r="A1911" s="5" t="s">
        <v>2958</v>
      </c>
      <c r="B1911" s="5">
        <v>43950.0</v>
      </c>
      <c r="C1911" s="6" t="s">
        <v>2959</v>
      </c>
      <c r="D1911" s="11">
        <f t="shared" si="1"/>
        <v>70</v>
      </c>
      <c r="E1911" s="8" t="str">
        <f t="shared" si="2"/>
        <v>https://resources.simonelectric.com/simon-catalogo-vehiculo-electrico</v>
      </c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</row>
    <row r="1912" ht="15.75" customHeight="1">
      <c r="A1912" s="5" t="s">
        <v>2960</v>
      </c>
      <c r="B1912" s="5">
        <v>43950.0</v>
      </c>
      <c r="C1912" s="6" t="s">
        <v>2961</v>
      </c>
      <c r="D1912" s="11">
        <f t="shared" si="1"/>
        <v>70</v>
      </c>
      <c r="E1912" s="8" t="str">
        <f t="shared" si="2"/>
        <v>https://resources.simonelectric.com/simon-catalogo-vehiculo-electrico</v>
      </c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</row>
    <row r="1913" ht="15.75" customHeight="1">
      <c r="A1913" s="5" t="s">
        <v>2962</v>
      </c>
      <c r="B1913" s="5">
        <v>43950.0</v>
      </c>
      <c r="C1913" s="6" t="s">
        <v>2963</v>
      </c>
      <c r="D1913" s="11">
        <f t="shared" si="1"/>
        <v>70</v>
      </c>
      <c r="E1913" s="8" t="str">
        <f t="shared" si="2"/>
        <v>https://resources.simonelectric.com/simon-catalogo-vehiculo-electrico</v>
      </c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</row>
    <row r="1914" ht="15.75" customHeight="1">
      <c r="A1914" s="5" t="s">
        <v>2964</v>
      </c>
      <c r="B1914" s="5">
        <v>43950.0</v>
      </c>
      <c r="C1914" s="6" t="s">
        <v>2965</v>
      </c>
      <c r="D1914" s="11">
        <f t="shared" si="1"/>
        <v>70</v>
      </c>
      <c r="E1914" s="8" t="str">
        <f t="shared" si="2"/>
        <v>https://resources.simonelectric.com/simon-catalogo-vehiculo-electrico</v>
      </c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</row>
    <row r="1915" ht="15.75" customHeight="1">
      <c r="A1915" s="5" t="s">
        <v>2966</v>
      </c>
      <c r="B1915" s="5">
        <v>43950.0</v>
      </c>
      <c r="C1915" s="6" t="s">
        <v>2967</v>
      </c>
      <c r="D1915" s="11">
        <f t="shared" si="1"/>
        <v>70</v>
      </c>
      <c r="E1915" s="8" t="str">
        <f t="shared" si="2"/>
        <v>https://resources.simonelectric.com/simon-catalogo-vehiculo-electrico</v>
      </c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</row>
    <row r="1916" ht="15.75" customHeight="1">
      <c r="A1916" s="5" t="s">
        <v>2968</v>
      </c>
      <c r="B1916" s="5">
        <v>43950.0</v>
      </c>
      <c r="C1916" s="6" t="s">
        <v>2969</v>
      </c>
      <c r="D1916" s="11">
        <f t="shared" si="1"/>
        <v>70</v>
      </c>
      <c r="E1916" s="8" t="str">
        <f t="shared" si="2"/>
        <v>https://resources.simonelectric.com/simon-catalogo-vehiculo-electrico</v>
      </c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</row>
    <row r="1917" ht="15.75" customHeight="1">
      <c r="A1917" s="5" t="s">
        <v>2970</v>
      </c>
      <c r="B1917" s="5">
        <v>43950.0</v>
      </c>
      <c r="C1917" s="6" t="s">
        <v>2971</v>
      </c>
      <c r="D1917" s="11">
        <f t="shared" si="1"/>
        <v>70</v>
      </c>
      <c r="E1917" s="8" t="str">
        <f t="shared" si="2"/>
        <v>https://resources.simonelectric.com/simon-catalogo-vehiculo-electrico</v>
      </c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</row>
    <row r="1918" ht="15.75" customHeight="1">
      <c r="A1918" s="5" t="s">
        <v>2972</v>
      </c>
      <c r="B1918" s="5">
        <v>43950.0</v>
      </c>
      <c r="C1918" s="6" t="s">
        <v>2973</v>
      </c>
      <c r="D1918" s="11">
        <f t="shared" si="1"/>
        <v>70</v>
      </c>
      <c r="E1918" s="8" t="str">
        <f t="shared" si="2"/>
        <v>https://resources.simonelectric.com/simon-catalogo-vehiculo-electrico</v>
      </c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</row>
    <row r="1919" ht="15.75" customHeight="1">
      <c r="A1919" s="5" t="s">
        <v>2974</v>
      </c>
      <c r="B1919" s="5">
        <v>43950.0</v>
      </c>
      <c r="C1919" s="6" t="s">
        <v>2975</v>
      </c>
      <c r="D1919" s="11">
        <f t="shared" si="1"/>
        <v>70</v>
      </c>
      <c r="E1919" s="8" t="str">
        <f t="shared" si="2"/>
        <v>https://resources.simonelectric.com/simon-catalogo-vehiculo-electrico</v>
      </c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</row>
    <row r="1920" ht="15.75" customHeight="1">
      <c r="A1920" s="5" t="s">
        <v>2976</v>
      </c>
      <c r="B1920" s="5">
        <v>43950.0</v>
      </c>
      <c r="C1920" s="6" t="s">
        <v>2977</v>
      </c>
      <c r="D1920" s="11">
        <f t="shared" si="1"/>
        <v>70</v>
      </c>
      <c r="E1920" s="8" t="str">
        <f t="shared" si="2"/>
        <v>https://resources.simonelectric.com/simon-catalogo-vehiculo-electrico</v>
      </c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</row>
    <row r="1921" ht="15.75" customHeight="1">
      <c r="A1921" s="5" t="s">
        <v>2978</v>
      </c>
      <c r="B1921" s="5">
        <v>43950.0</v>
      </c>
      <c r="C1921" s="6" t="s">
        <v>2979</v>
      </c>
      <c r="D1921" s="11">
        <f t="shared" si="1"/>
        <v>70</v>
      </c>
      <c r="E1921" s="8" t="str">
        <f t="shared" si="2"/>
        <v>https://resources.simonelectric.com/simon-catalogo-vehiculo-electrico</v>
      </c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</row>
    <row r="1922" ht="15.75" customHeight="1">
      <c r="A1922" s="5" t="s">
        <v>2966</v>
      </c>
      <c r="B1922" s="5">
        <v>43950.0</v>
      </c>
      <c r="C1922" s="6" t="s">
        <v>2980</v>
      </c>
      <c r="D1922" s="11">
        <f t="shared" si="1"/>
        <v>70</v>
      </c>
      <c r="E1922" s="8" t="str">
        <f t="shared" si="2"/>
        <v>https://resources.simonelectric.com/simon-catalogo-vehiculo-electrico</v>
      </c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</row>
    <row r="1923" ht="15.75" customHeight="1">
      <c r="A1923" s="5" t="s">
        <v>2981</v>
      </c>
      <c r="B1923" s="5">
        <v>43950.0</v>
      </c>
      <c r="C1923" s="6" t="s">
        <v>2982</v>
      </c>
      <c r="D1923" s="11">
        <f t="shared" si="1"/>
        <v>70</v>
      </c>
      <c r="E1923" s="8" t="str">
        <f t="shared" si="2"/>
        <v>https://resources.simonelectric.com/simon-catalogo-vehiculo-electrico</v>
      </c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</row>
    <row r="1924" ht="15.75" customHeight="1">
      <c r="A1924" s="5" t="s">
        <v>2983</v>
      </c>
      <c r="B1924" s="5">
        <v>43950.0</v>
      </c>
      <c r="C1924" s="6" t="s">
        <v>2984</v>
      </c>
      <c r="D1924" s="11">
        <f t="shared" si="1"/>
        <v>70</v>
      </c>
      <c r="E1924" s="8" t="str">
        <f t="shared" si="2"/>
        <v>https://resources.simonelectric.com/simon-catalogo-vehiculo-electrico</v>
      </c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</row>
    <row r="1925" ht="15.75" customHeight="1">
      <c r="A1925" s="5" t="s">
        <v>2985</v>
      </c>
      <c r="B1925" s="5">
        <v>43950.0</v>
      </c>
      <c r="C1925" s="6" t="s">
        <v>2986</v>
      </c>
      <c r="D1925" s="11">
        <f t="shared" si="1"/>
        <v>70</v>
      </c>
      <c r="E1925" s="8" t="str">
        <f t="shared" si="2"/>
        <v>https://resources.simonelectric.com/simon-catalogo-vehiculo-electrico</v>
      </c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</row>
    <row r="1926" ht="15.75" customHeight="1">
      <c r="A1926" s="5" t="s">
        <v>630</v>
      </c>
      <c r="B1926" s="5">
        <v>43950.0</v>
      </c>
      <c r="C1926" s="6" t="s">
        <v>2987</v>
      </c>
      <c r="D1926" s="11">
        <f t="shared" si="1"/>
        <v>70</v>
      </c>
      <c r="E1926" s="8" t="str">
        <f t="shared" si="2"/>
        <v>https://resources.simonelectric.com/simon-catalogo-vehiculo-electrico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</row>
    <row r="1927" ht="15.75" customHeight="1">
      <c r="A1927" s="5" t="s">
        <v>1091</v>
      </c>
      <c r="B1927" s="5">
        <v>43950.0</v>
      </c>
      <c r="C1927" s="6" t="s">
        <v>2988</v>
      </c>
      <c r="D1927" s="11">
        <f t="shared" si="1"/>
        <v>70</v>
      </c>
      <c r="E1927" s="8" t="str">
        <f t="shared" si="2"/>
        <v>https://resources.simonelectric.com/simon-catalogo-vehiculo-electrico</v>
      </c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</row>
    <row r="1928" ht="15.75" customHeight="1">
      <c r="A1928" s="5" t="s">
        <v>2989</v>
      </c>
      <c r="B1928" s="5">
        <v>43950.0</v>
      </c>
      <c r="C1928" s="6" t="s">
        <v>2990</v>
      </c>
      <c r="D1928" s="11">
        <f t="shared" si="1"/>
        <v>70</v>
      </c>
      <c r="E1928" s="8" t="str">
        <f t="shared" si="2"/>
        <v>https://resources.simonelectric.com/simon-catalogo-vehiculo-electrico</v>
      </c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</row>
    <row r="1929" ht="15.75" customHeight="1">
      <c r="A1929" s="5" t="s">
        <v>2991</v>
      </c>
      <c r="B1929" s="5">
        <v>43950.0</v>
      </c>
      <c r="C1929" s="6" t="s">
        <v>2992</v>
      </c>
      <c r="D1929" s="11">
        <f t="shared" si="1"/>
        <v>70</v>
      </c>
      <c r="E1929" s="8" t="str">
        <f t="shared" si="2"/>
        <v>https://resources.simonelectric.com/simon-catalogo-vehiculo-electrico</v>
      </c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</row>
    <row r="1930" ht="15.75" customHeight="1">
      <c r="A1930" s="5" t="s">
        <v>2993</v>
      </c>
      <c r="B1930" s="5">
        <v>43950.0</v>
      </c>
      <c r="C1930" s="6" t="s">
        <v>2994</v>
      </c>
      <c r="D1930" s="11">
        <f t="shared" si="1"/>
        <v>70</v>
      </c>
      <c r="E1930" s="8" t="str">
        <f t="shared" si="2"/>
        <v>https://resources.simonelectric.com/simon-catalogo-vehiculo-electrico</v>
      </c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</row>
    <row r="1931" ht="15.75" customHeight="1">
      <c r="A1931" s="5" t="s">
        <v>2995</v>
      </c>
      <c r="B1931" s="5">
        <v>43950.0</v>
      </c>
      <c r="C1931" s="6" t="s">
        <v>2996</v>
      </c>
      <c r="D1931" s="11">
        <f t="shared" si="1"/>
        <v>70</v>
      </c>
      <c r="E1931" s="8" t="str">
        <f t="shared" si="2"/>
        <v>https://resources.simonelectric.com/simon-catalogo-vehiculo-electrico</v>
      </c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</row>
    <row r="1932" ht="15.75" customHeight="1">
      <c r="A1932" s="5" t="s">
        <v>2997</v>
      </c>
      <c r="B1932" s="5">
        <v>43950.0</v>
      </c>
      <c r="C1932" s="6" t="s">
        <v>2998</v>
      </c>
      <c r="D1932" s="11">
        <f t="shared" si="1"/>
        <v>70</v>
      </c>
      <c r="E1932" s="8" t="str">
        <f t="shared" si="2"/>
        <v>https://resources.simonelectric.com/simon-catalogo-vehiculo-electrico</v>
      </c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</row>
    <row r="1933" ht="15.75" customHeight="1">
      <c r="A1933" s="5" t="s">
        <v>2999</v>
      </c>
      <c r="B1933" s="5">
        <v>43950.0</v>
      </c>
      <c r="C1933" s="6" t="s">
        <v>3000</v>
      </c>
      <c r="D1933" s="11">
        <f t="shared" si="1"/>
        <v>70</v>
      </c>
      <c r="E1933" s="8" t="str">
        <f t="shared" si="2"/>
        <v>https://resources.simonelectric.com/simon-catalogo-vehiculo-electrico</v>
      </c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</row>
    <row r="1934" ht="15.75" customHeight="1">
      <c r="A1934" s="5" t="s">
        <v>1800</v>
      </c>
      <c r="B1934" s="5">
        <v>43950.0</v>
      </c>
      <c r="C1934" s="6" t="s">
        <v>3001</v>
      </c>
      <c r="D1934" s="11">
        <f t="shared" si="1"/>
        <v>70</v>
      </c>
      <c r="E1934" s="8" t="str">
        <f t="shared" si="2"/>
        <v>https://resources.simonelectric.com/simon-catalogo-vehiculo-electrico</v>
      </c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</row>
    <row r="1935" ht="15.75" customHeight="1">
      <c r="A1935" s="5" t="s">
        <v>3002</v>
      </c>
      <c r="B1935" s="5">
        <v>43950.0</v>
      </c>
      <c r="C1935" s="6" t="s">
        <v>3003</v>
      </c>
      <c r="D1935" s="11">
        <f t="shared" si="1"/>
        <v>70</v>
      </c>
      <c r="E1935" s="8" t="str">
        <f t="shared" si="2"/>
        <v>https://resources.simonelectric.com/simon-catalogo-vehiculo-electrico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</row>
    <row r="1936" ht="15.75" customHeight="1">
      <c r="A1936" s="5" t="s">
        <v>3004</v>
      </c>
      <c r="B1936" s="5">
        <v>43950.0</v>
      </c>
      <c r="C1936" s="6" t="s">
        <v>3005</v>
      </c>
      <c r="D1936" s="11">
        <f t="shared" si="1"/>
        <v>70</v>
      </c>
      <c r="E1936" s="8" t="str">
        <f t="shared" si="2"/>
        <v>https://resources.simonelectric.com/simon-catalogo-vehiculo-electrico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</row>
    <row r="1937" ht="15.75" customHeight="1">
      <c r="A1937" s="5" t="s">
        <v>3006</v>
      </c>
      <c r="B1937" s="5">
        <v>43950.0</v>
      </c>
      <c r="C1937" s="6" t="s">
        <v>3007</v>
      </c>
      <c r="D1937" s="11">
        <f t="shared" si="1"/>
        <v>70</v>
      </c>
      <c r="E1937" s="8" t="str">
        <f t="shared" si="2"/>
        <v>https://resources.simonelectric.com/simon-catalogo-vehiculo-electrico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</row>
    <row r="1938" ht="15.75" customHeight="1">
      <c r="A1938" s="5" t="s">
        <v>3008</v>
      </c>
      <c r="B1938" s="5">
        <v>43950.0</v>
      </c>
      <c r="C1938" s="6" t="s">
        <v>3009</v>
      </c>
      <c r="D1938" s="11">
        <f t="shared" si="1"/>
        <v>70</v>
      </c>
      <c r="E1938" s="8" t="str">
        <f t="shared" si="2"/>
        <v>https://resources.simonelectric.com/simon-catalogo-vehiculo-electrico</v>
      </c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</row>
    <row r="1939" ht="15.75" customHeight="1">
      <c r="A1939" s="5" t="s">
        <v>3010</v>
      </c>
      <c r="B1939" s="5">
        <v>43950.0</v>
      </c>
      <c r="C1939" s="6" t="s">
        <v>3011</v>
      </c>
      <c r="D1939" s="11">
        <f t="shared" si="1"/>
        <v>70</v>
      </c>
      <c r="E1939" s="8" t="str">
        <f t="shared" si="2"/>
        <v>https://resources.simonelectric.com/simon-catalogo-vehiculo-electrico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</row>
    <row r="1940" ht="15.75" customHeight="1">
      <c r="A1940" s="5" t="s">
        <v>3012</v>
      </c>
      <c r="B1940" s="5">
        <v>43950.0</v>
      </c>
      <c r="C1940" s="6" t="s">
        <v>3013</v>
      </c>
      <c r="D1940" s="11">
        <f t="shared" si="1"/>
        <v>70</v>
      </c>
      <c r="E1940" s="8" t="str">
        <f t="shared" si="2"/>
        <v>https://resources.simonelectric.com/simon-catalogo-vehiculo-electrico</v>
      </c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</row>
    <row r="1941" ht="15.75" customHeight="1">
      <c r="A1941" s="5" t="s">
        <v>3014</v>
      </c>
      <c r="B1941" s="5">
        <v>43950.0</v>
      </c>
      <c r="C1941" s="6" t="s">
        <v>3015</v>
      </c>
      <c r="D1941" s="11">
        <f t="shared" si="1"/>
        <v>70</v>
      </c>
      <c r="E1941" s="8" t="str">
        <f t="shared" si="2"/>
        <v>https://resources.simonelectric.com/simon-catalogo-vehiculo-electrico</v>
      </c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</row>
    <row r="1942" ht="15.75" customHeight="1">
      <c r="A1942" s="5" t="s">
        <v>3016</v>
      </c>
      <c r="B1942" s="5">
        <v>43950.0</v>
      </c>
      <c r="C1942" s="6" t="s">
        <v>3017</v>
      </c>
      <c r="D1942" s="11">
        <f t="shared" si="1"/>
        <v>70</v>
      </c>
      <c r="E1942" s="8" t="str">
        <f t="shared" si="2"/>
        <v>https://resources.simonelectric.com/simon-catalogo-vehiculo-electrico</v>
      </c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</row>
    <row r="1943" ht="15.75" customHeight="1">
      <c r="A1943" s="5" t="s">
        <v>3018</v>
      </c>
      <c r="B1943" s="5">
        <v>43950.0</v>
      </c>
      <c r="C1943" s="6" t="s">
        <v>3019</v>
      </c>
      <c r="D1943" s="11">
        <f t="shared" si="1"/>
        <v>70</v>
      </c>
      <c r="E1943" s="8" t="str">
        <f t="shared" si="2"/>
        <v>https://resources.simonelectric.com/simon-catalogo-vehiculo-electrico</v>
      </c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</row>
    <row r="1944" ht="15.75" customHeight="1">
      <c r="A1944" s="5" t="s">
        <v>3020</v>
      </c>
      <c r="B1944" s="5">
        <v>43950.0</v>
      </c>
      <c r="C1944" s="6" t="s">
        <v>3021</v>
      </c>
      <c r="D1944" s="11">
        <f t="shared" si="1"/>
        <v>70</v>
      </c>
      <c r="E1944" s="8" t="str">
        <f t="shared" si="2"/>
        <v>https://resources.simonelectric.com/simon-catalogo-vehiculo-electrico</v>
      </c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</row>
    <row r="1945" ht="15.75" customHeight="1">
      <c r="A1945" s="5" t="s">
        <v>3022</v>
      </c>
      <c r="B1945" s="5">
        <v>43950.0</v>
      </c>
      <c r="C1945" s="6" t="s">
        <v>3023</v>
      </c>
      <c r="D1945" s="11">
        <f t="shared" si="1"/>
        <v>70</v>
      </c>
      <c r="E1945" s="8" t="str">
        <f t="shared" si="2"/>
        <v>https://resources.simonelectric.com/simon-catalogo-vehiculo-electrico</v>
      </c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</row>
    <row r="1946" ht="15.75" customHeight="1">
      <c r="A1946" s="5" t="s">
        <v>3024</v>
      </c>
      <c r="B1946" s="5">
        <v>43950.0</v>
      </c>
      <c r="C1946" s="6" t="s">
        <v>3025</v>
      </c>
      <c r="D1946" s="11">
        <f t="shared" si="1"/>
        <v>70</v>
      </c>
      <c r="E1946" s="8" t="str">
        <f t="shared" si="2"/>
        <v>https://resources.simonelectric.com/simon-catalogo-vehiculo-electrico</v>
      </c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</row>
    <row r="1947" ht="15.75" customHeight="1">
      <c r="A1947" s="5" t="s">
        <v>3026</v>
      </c>
      <c r="B1947" s="5">
        <v>43950.0</v>
      </c>
      <c r="C1947" s="6" t="s">
        <v>3027</v>
      </c>
      <c r="D1947" s="11">
        <f t="shared" si="1"/>
        <v>70</v>
      </c>
      <c r="E1947" s="8" t="str">
        <f t="shared" si="2"/>
        <v>https://resources.simonelectric.com/simon-catalogo-vehiculo-electrico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</row>
    <row r="1948" ht="15.75" customHeight="1">
      <c r="A1948" s="5" t="s">
        <v>3028</v>
      </c>
      <c r="B1948" s="5">
        <v>43950.0</v>
      </c>
      <c r="C1948" s="6" t="s">
        <v>3029</v>
      </c>
      <c r="D1948" s="11">
        <f t="shared" si="1"/>
        <v>70</v>
      </c>
      <c r="E1948" s="8" t="str">
        <f t="shared" si="2"/>
        <v>https://resources.simonelectric.com/simon-catalogo-vehiculo-electrico</v>
      </c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</row>
    <row r="1949" ht="15.75" customHeight="1">
      <c r="A1949" s="5" t="s">
        <v>3030</v>
      </c>
      <c r="B1949" s="5">
        <v>43950.0</v>
      </c>
      <c r="C1949" s="6" t="s">
        <v>3031</v>
      </c>
      <c r="D1949" s="11">
        <f t="shared" si="1"/>
        <v>70</v>
      </c>
      <c r="E1949" s="8" t="str">
        <f t="shared" si="2"/>
        <v>https://resources.simonelectric.com/simon-catalogo-vehiculo-electrico</v>
      </c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</row>
    <row r="1950" ht="15.75" customHeight="1">
      <c r="A1950" s="5" t="s">
        <v>3032</v>
      </c>
      <c r="B1950" s="5">
        <v>43950.0</v>
      </c>
      <c r="C1950" s="6" t="s">
        <v>3033</v>
      </c>
      <c r="D1950" s="11">
        <f t="shared" si="1"/>
        <v>70</v>
      </c>
      <c r="E1950" s="8" t="str">
        <f t="shared" si="2"/>
        <v>https://resources.simonelectric.com/simon-catalogo-vehiculo-electrico</v>
      </c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</row>
    <row r="1951" ht="15.75" customHeight="1">
      <c r="A1951" s="5" t="s">
        <v>3034</v>
      </c>
      <c r="B1951" s="5">
        <v>43950.0</v>
      </c>
      <c r="C1951" s="6" t="s">
        <v>3035</v>
      </c>
      <c r="D1951" s="11">
        <f t="shared" si="1"/>
        <v>70</v>
      </c>
      <c r="E1951" s="8" t="str">
        <f t="shared" si="2"/>
        <v>https://resources.simonelectric.com/simon-catalogo-vehiculo-electrico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</row>
    <row r="1952" ht="15.75" customHeight="1">
      <c r="A1952" s="5" t="s">
        <v>3036</v>
      </c>
      <c r="B1952" s="5">
        <v>43950.0</v>
      </c>
      <c r="C1952" s="6" t="s">
        <v>3037</v>
      </c>
      <c r="D1952" s="11">
        <f t="shared" si="1"/>
        <v>70</v>
      </c>
      <c r="E1952" s="8" t="str">
        <f t="shared" si="2"/>
        <v>https://resources.simonelectric.com/simon-catalogo-vehiculo-electrico</v>
      </c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</row>
    <row r="1953" ht="15.75" customHeight="1">
      <c r="A1953" s="5" t="s">
        <v>3038</v>
      </c>
      <c r="B1953" s="5">
        <v>43950.0</v>
      </c>
      <c r="C1953" s="6" t="s">
        <v>3039</v>
      </c>
      <c r="D1953" s="11">
        <f t="shared" si="1"/>
        <v>70</v>
      </c>
      <c r="E1953" s="8" t="str">
        <f t="shared" si="2"/>
        <v>https://resources.simonelectric.com/simon-catalogo-vehiculo-electrico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</row>
    <row r="1954" ht="15.75" customHeight="1">
      <c r="A1954" s="5" t="s">
        <v>3040</v>
      </c>
      <c r="B1954" s="5">
        <v>43950.0</v>
      </c>
      <c r="C1954" s="6" t="s">
        <v>3041</v>
      </c>
      <c r="D1954" s="11">
        <f t="shared" si="1"/>
        <v>70</v>
      </c>
      <c r="E1954" s="8" t="str">
        <f t="shared" si="2"/>
        <v>https://resources.simonelectric.com/simon-catalogo-vehiculo-electrico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</row>
    <row r="1955" ht="15.75" customHeight="1">
      <c r="A1955" s="5" t="s">
        <v>3042</v>
      </c>
      <c r="B1955" s="5">
        <v>43950.0</v>
      </c>
      <c r="C1955" s="6" t="s">
        <v>3043</v>
      </c>
      <c r="D1955" s="11">
        <f t="shared" si="1"/>
        <v>70</v>
      </c>
      <c r="E1955" s="8" t="str">
        <f t="shared" si="2"/>
        <v>https://resources.simonelectric.com/simon-catalogo-vehiculo-electrico</v>
      </c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</row>
    <row r="1956" ht="15.75" customHeight="1">
      <c r="A1956" s="5" t="s">
        <v>3044</v>
      </c>
      <c r="B1956" s="5">
        <v>43950.0</v>
      </c>
      <c r="C1956" s="6" t="s">
        <v>3045</v>
      </c>
      <c r="D1956" s="11">
        <f t="shared" si="1"/>
        <v>70</v>
      </c>
      <c r="E1956" s="8" t="str">
        <f t="shared" si="2"/>
        <v>https://resources.simonelectric.com/simon-catalogo-vehiculo-electrico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</row>
    <row r="1957" ht="15.75" customHeight="1">
      <c r="A1957" s="5" t="s">
        <v>1570</v>
      </c>
      <c r="B1957" s="5">
        <v>43950.0</v>
      </c>
      <c r="C1957" s="6" t="s">
        <v>3046</v>
      </c>
      <c r="D1957" s="11">
        <f t="shared" si="1"/>
        <v>70</v>
      </c>
      <c r="E1957" s="8" t="str">
        <f t="shared" si="2"/>
        <v>https://resources.simonelectric.com/simon-catalogo-vehiculo-electrico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</row>
    <row r="1958" ht="15.75" customHeight="1">
      <c r="A1958" s="5" t="s">
        <v>3047</v>
      </c>
      <c r="B1958" s="5">
        <v>43950.0</v>
      </c>
      <c r="C1958" s="6" t="s">
        <v>3048</v>
      </c>
      <c r="D1958" s="11">
        <f t="shared" si="1"/>
        <v>70</v>
      </c>
      <c r="E1958" s="8" t="str">
        <f t="shared" si="2"/>
        <v>https://resources.simonelectric.com/simon-catalogo-vehiculo-electrico</v>
      </c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</row>
    <row r="1959" ht="15.75" customHeight="1">
      <c r="A1959" s="5" t="s">
        <v>3049</v>
      </c>
      <c r="B1959" s="5">
        <v>43950.0</v>
      </c>
      <c r="C1959" s="6" t="s">
        <v>3050</v>
      </c>
      <c r="D1959" s="11">
        <f t="shared" si="1"/>
        <v>70</v>
      </c>
      <c r="E1959" s="8" t="str">
        <f t="shared" si="2"/>
        <v>https://resources.simonelectric.com/simon-catalogo-vehiculo-electrico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</row>
    <row r="1960" ht="15.75" customHeight="1">
      <c r="A1960" s="5" t="s">
        <v>3051</v>
      </c>
      <c r="B1960" s="5">
        <v>43950.0</v>
      </c>
      <c r="C1960" s="6" t="s">
        <v>3052</v>
      </c>
      <c r="D1960" s="11">
        <f t="shared" si="1"/>
        <v>70</v>
      </c>
      <c r="E1960" s="8" t="str">
        <f t="shared" si="2"/>
        <v>https://resources.simonelectric.com/simon-catalogo-vehiculo-electrico</v>
      </c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</row>
    <row r="1961" ht="15.75" customHeight="1">
      <c r="A1961" s="5" t="s">
        <v>1788</v>
      </c>
      <c r="B1961" s="5">
        <v>43950.0</v>
      </c>
      <c r="C1961" s="6" t="s">
        <v>3053</v>
      </c>
      <c r="D1961" s="11">
        <f t="shared" si="1"/>
        <v>70</v>
      </c>
      <c r="E1961" s="8" t="str">
        <f t="shared" si="2"/>
        <v>https://resources.simonelectric.com/simon-catalogo-vehiculo-electrico</v>
      </c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</row>
    <row r="1962" ht="15.75" customHeight="1">
      <c r="A1962" s="5" t="s">
        <v>1109</v>
      </c>
      <c r="B1962" s="5">
        <v>43950.0</v>
      </c>
      <c r="C1962" s="6" t="s">
        <v>3054</v>
      </c>
      <c r="D1962" s="11">
        <f t="shared" si="1"/>
        <v>70</v>
      </c>
      <c r="E1962" s="8" t="str">
        <f t="shared" si="2"/>
        <v>https://resources.simonelectric.com/simon-catalogo-vehiculo-electrico</v>
      </c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</row>
    <row r="1963" ht="15.75" customHeight="1">
      <c r="A1963" s="5" t="s">
        <v>1233</v>
      </c>
      <c r="B1963" s="5">
        <v>43950.0</v>
      </c>
      <c r="C1963" s="6" t="s">
        <v>3055</v>
      </c>
      <c r="D1963" s="11">
        <f t="shared" si="1"/>
        <v>70</v>
      </c>
      <c r="E1963" s="8" t="str">
        <f t="shared" si="2"/>
        <v>https://resources.simonelectric.com/simon-catalogo-vehiculo-electrico</v>
      </c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</row>
    <row r="1964" ht="15.75" customHeight="1">
      <c r="A1964" s="5" t="s">
        <v>3056</v>
      </c>
      <c r="B1964" s="5">
        <v>43950.0</v>
      </c>
      <c r="C1964" s="6" t="s">
        <v>55</v>
      </c>
      <c r="D1964" s="11">
        <f t="shared" si="1"/>
        <v>71</v>
      </c>
      <c r="E1964" s="8" t="str">
        <f t="shared" si="2"/>
        <v>https://resources.simonelectric.com/simon-ebook-vehiculo-electrico-ppc</v>
      </c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</row>
    <row r="1965" ht="15.75" customHeight="1">
      <c r="A1965" s="5" t="s">
        <v>3057</v>
      </c>
      <c r="B1965" s="5">
        <v>43950.0</v>
      </c>
      <c r="C1965" s="6" t="s">
        <v>3058</v>
      </c>
      <c r="D1965" s="11">
        <f t="shared" si="1"/>
        <v>70</v>
      </c>
      <c r="E1965" s="8" t="str">
        <f t="shared" si="2"/>
        <v>https://resources.simonelectric.com/simon-catalogo-vehiculo-electrico</v>
      </c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</row>
    <row r="1966" ht="15.75" customHeight="1">
      <c r="A1966" s="5" t="s">
        <v>3059</v>
      </c>
      <c r="B1966" s="5">
        <v>43950.0</v>
      </c>
      <c r="C1966" s="6" t="s">
        <v>3060</v>
      </c>
      <c r="D1966" s="11">
        <f t="shared" si="1"/>
        <v>70</v>
      </c>
      <c r="E1966" s="8" t="str">
        <f t="shared" si="2"/>
        <v>https://resources.simonelectric.com/simon-catalogo-vehiculo-electrico</v>
      </c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</row>
    <row r="1967" ht="15.75" customHeight="1">
      <c r="A1967" s="5" t="s">
        <v>1048</v>
      </c>
      <c r="B1967" s="5">
        <v>43950.0</v>
      </c>
      <c r="C1967" s="6" t="s">
        <v>3061</v>
      </c>
      <c r="D1967" s="11">
        <f t="shared" si="1"/>
        <v>70</v>
      </c>
      <c r="E1967" s="8" t="str">
        <f t="shared" si="2"/>
        <v>https://resources.simonelectric.com/simon-catalogo-vehiculo-electrico</v>
      </c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</row>
    <row r="1968" ht="15.75" customHeight="1">
      <c r="A1968" s="5" t="s">
        <v>3062</v>
      </c>
      <c r="B1968" s="5">
        <v>43950.0</v>
      </c>
      <c r="C1968" s="6" t="s">
        <v>3063</v>
      </c>
      <c r="D1968" s="11">
        <f t="shared" si="1"/>
        <v>70</v>
      </c>
      <c r="E1968" s="8" t="str">
        <f t="shared" si="2"/>
        <v>https://resources.simonelectric.com/simon-catalogo-vehiculo-electrico</v>
      </c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</row>
    <row r="1969" ht="15.75" customHeight="1">
      <c r="A1969" s="5" t="s">
        <v>3064</v>
      </c>
      <c r="B1969" s="5">
        <v>43950.0</v>
      </c>
      <c r="C1969" s="6" t="s">
        <v>3065</v>
      </c>
      <c r="D1969" s="11">
        <f t="shared" si="1"/>
        <v>70</v>
      </c>
      <c r="E1969" s="8" t="str">
        <f t="shared" si="2"/>
        <v>https://resources.simonelectric.com/simon-catalogo-vehiculo-electrico</v>
      </c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</row>
    <row r="1970" ht="15.75" customHeight="1">
      <c r="A1970" s="5" t="s">
        <v>3066</v>
      </c>
      <c r="B1970" s="5">
        <v>43950.0</v>
      </c>
      <c r="C1970" s="6" t="s">
        <v>3067</v>
      </c>
      <c r="D1970" s="11">
        <f t="shared" si="1"/>
        <v>70</v>
      </c>
      <c r="E1970" s="8" t="str">
        <f t="shared" si="2"/>
        <v>https://resources.simonelectric.com/simon-catalogo-vehiculo-electrico</v>
      </c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</row>
    <row r="1971" ht="15.75" customHeight="1">
      <c r="A1971" s="5" t="s">
        <v>3068</v>
      </c>
      <c r="B1971" s="5">
        <v>43950.0</v>
      </c>
      <c r="C1971" s="6" t="s">
        <v>3069</v>
      </c>
      <c r="D1971" s="11">
        <f t="shared" si="1"/>
        <v>70</v>
      </c>
      <c r="E1971" s="8" t="str">
        <f t="shared" si="2"/>
        <v>https://resources.simonelectric.com/simon-catalogo-vehiculo-electrico</v>
      </c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</row>
    <row r="1972" ht="15.75" customHeight="1">
      <c r="A1972" s="5" t="s">
        <v>3070</v>
      </c>
      <c r="B1972" s="5">
        <v>43950.0</v>
      </c>
      <c r="C1972" s="6" t="s">
        <v>3071</v>
      </c>
      <c r="D1972" s="11">
        <f t="shared" si="1"/>
        <v>70</v>
      </c>
      <c r="E1972" s="8" t="str">
        <f t="shared" si="2"/>
        <v>https://resources.simonelectric.com/simon-catalogo-vehiculo-electrico</v>
      </c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</row>
    <row r="1973" ht="15.75" customHeight="1">
      <c r="A1973" s="5" t="s">
        <v>1129</v>
      </c>
      <c r="B1973" s="5">
        <v>43950.0</v>
      </c>
      <c r="C1973" s="6" t="s">
        <v>3072</v>
      </c>
      <c r="D1973" s="11">
        <f t="shared" si="1"/>
        <v>70</v>
      </c>
      <c r="E1973" s="8" t="str">
        <f t="shared" si="2"/>
        <v>https://resources.simonelectric.com/simon-catalogo-vehiculo-electrico</v>
      </c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</row>
    <row r="1974" ht="15.75" customHeight="1">
      <c r="A1974" s="5" t="s">
        <v>3073</v>
      </c>
      <c r="B1974" s="5">
        <v>43950.0</v>
      </c>
      <c r="C1974" s="6" t="s">
        <v>3074</v>
      </c>
      <c r="D1974" s="11">
        <f t="shared" si="1"/>
        <v>70</v>
      </c>
      <c r="E1974" s="8" t="str">
        <f t="shared" si="2"/>
        <v>https://resources.simonelectric.com/simon-catalogo-vehiculo-electrico</v>
      </c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</row>
    <row r="1975" ht="15.75" customHeight="1">
      <c r="A1975" s="5" t="s">
        <v>3075</v>
      </c>
      <c r="B1975" s="5">
        <v>43950.0</v>
      </c>
      <c r="C1975" s="6" t="s">
        <v>3076</v>
      </c>
      <c r="D1975" s="11">
        <f t="shared" si="1"/>
        <v>70</v>
      </c>
      <c r="E1975" s="8" t="str">
        <f t="shared" si="2"/>
        <v>https://resources.simonelectric.com/simon-catalogo-vehiculo-electrico</v>
      </c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</row>
    <row r="1976" ht="15.75" customHeight="1">
      <c r="A1976" s="5" t="s">
        <v>3077</v>
      </c>
      <c r="B1976" s="5">
        <v>43950.0</v>
      </c>
      <c r="C1976" s="6" t="s">
        <v>3078</v>
      </c>
      <c r="D1976" s="11">
        <f t="shared" si="1"/>
        <v>70</v>
      </c>
      <c r="E1976" s="8" t="str">
        <f t="shared" si="2"/>
        <v>https://resources.simonelectric.com/simon-catalogo-vehiculo-electrico</v>
      </c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</row>
    <row r="1977" ht="15.75" customHeight="1">
      <c r="A1977" s="5" t="s">
        <v>3079</v>
      </c>
      <c r="B1977" s="5">
        <v>43950.0</v>
      </c>
      <c r="C1977" s="6" t="s">
        <v>3080</v>
      </c>
      <c r="D1977" s="11">
        <f t="shared" si="1"/>
        <v>70</v>
      </c>
      <c r="E1977" s="8" t="str">
        <f t="shared" si="2"/>
        <v>https://resources.simonelectric.com/simon-catalogo-vehiculo-electrico</v>
      </c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</row>
    <row r="1978" ht="15.75" customHeight="1">
      <c r="A1978" s="5" t="s">
        <v>3081</v>
      </c>
      <c r="B1978" s="5">
        <v>43950.0</v>
      </c>
      <c r="C1978" s="6" t="s">
        <v>3082</v>
      </c>
      <c r="D1978" s="11">
        <f t="shared" si="1"/>
        <v>70</v>
      </c>
      <c r="E1978" s="8" t="str">
        <f t="shared" si="2"/>
        <v>https://resources.simonelectric.com/simon-catalogo-vehiculo-electrico</v>
      </c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</row>
    <row r="1979" ht="15.75" customHeight="1">
      <c r="A1979" s="5" t="s">
        <v>3083</v>
      </c>
      <c r="B1979" s="5">
        <v>43950.0</v>
      </c>
      <c r="C1979" s="6" t="s">
        <v>3084</v>
      </c>
      <c r="D1979" s="11">
        <f t="shared" si="1"/>
        <v>70</v>
      </c>
      <c r="E1979" s="8" t="str">
        <f t="shared" si="2"/>
        <v>https://resources.simonelectric.com/simon-catalogo-vehiculo-electrico</v>
      </c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</row>
    <row r="1980" ht="15.75" customHeight="1">
      <c r="A1980" s="5" t="s">
        <v>3085</v>
      </c>
      <c r="B1980" s="5">
        <v>43950.0</v>
      </c>
      <c r="C1980" s="6" t="s">
        <v>3086</v>
      </c>
      <c r="D1980" s="11">
        <f t="shared" si="1"/>
        <v>70</v>
      </c>
      <c r="E1980" s="8" t="str">
        <f t="shared" si="2"/>
        <v>https://resources.simonelectric.com/simon-catalogo-vehiculo-electrico</v>
      </c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</row>
    <row r="1981" ht="15.75" customHeight="1">
      <c r="A1981" s="5" t="s">
        <v>3087</v>
      </c>
      <c r="B1981" s="5">
        <v>43950.0</v>
      </c>
      <c r="C1981" s="6" t="s">
        <v>3088</v>
      </c>
      <c r="D1981" s="11">
        <f t="shared" si="1"/>
        <v>70</v>
      </c>
      <c r="E1981" s="8" t="str">
        <f t="shared" si="2"/>
        <v>https://resources.simonelectric.com/simon-catalogo-vehiculo-electrico</v>
      </c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</row>
    <row r="1982" ht="15.75" customHeight="1">
      <c r="A1982" s="5" t="s">
        <v>3089</v>
      </c>
      <c r="B1982" s="5">
        <v>43950.0</v>
      </c>
      <c r="C1982" s="6" t="s">
        <v>3090</v>
      </c>
      <c r="D1982" s="11">
        <f t="shared" si="1"/>
        <v>70</v>
      </c>
      <c r="E1982" s="8" t="str">
        <f t="shared" si="2"/>
        <v>https://resources.simonelectric.com/simon-catalogo-vehiculo-electrico</v>
      </c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</row>
    <row r="1983" ht="15.75" customHeight="1">
      <c r="A1983" s="5" t="s">
        <v>3091</v>
      </c>
      <c r="B1983" s="5">
        <v>43950.0</v>
      </c>
      <c r="C1983" s="6" t="s">
        <v>3092</v>
      </c>
      <c r="D1983" s="11">
        <f t="shared" si="1"/>
        <v>70</v>
      </c>
      <c r="E1983" s="8" t="str">
        <f t="shared" si="2"/>
        <v>https://resources.simonelectric.com/simon-catalogo-vehiculo-electrico</v>
      </c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</row>
    <row r="1984" ht="15.75" customHeight="1">
      <c r="A1984" s="5" t="s">
        <v>3093</v>
      </c>
      <c r="B1984" s="5">
        <v>43950.0</v>
      </c>
      <c r="C1984" s="6" t="s">
        <v>3094</v>
      </c>
      <c r="D1984" s="11">
        <f t="shared" si="1"/>
        <v>70</v>
      </c>
      <c r="E1984" s="8" t="str">
        <f t="shared" si="2"/>
        <v>https://resources.simonelectric.com/simon-catalogo-vehiculo-electrico</v>
      </c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</row>
    <row r="1985" ht="15.75" customHeight="1">
      <c r="A1985" s="5" t="s">
        <v>3095</v>
      </c>
      <c r="B1985" s="5">
        <v>43950.0</v>
      </c>
      <c r="C1985" s="6" t="s">
        <v>3096</v>
      </c>
      <c r="D1985" s="11">
        <f t="shared" si="1"/>
        <v>70</v>
      </c>
      <c r="E1985" s="8" t="str">
        <f t="shared" si="2"/>
        <v>https://resources.simonelectric.com/simon-catalogo-vehiculo-electrico</v>
      </c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</row>
    <row r="1986" ht="15.75" customHeight="1">
      <c r="A1986" s="5" t="s">
        <v>3097</v>
      </c>
      <c r="B1986" s="5">
        <v>43950.0</v>
      </c>
      <c r="C1986" s="6" t="s">
        <v>3098</v>
      </c>
      <c r="D1986" s="11">
        <f t="shared" si="1"/>
        <v>70</v>
      </c>
      <c r="E1986" s="8" t="str">
        <f t="shared" si="2"/>
        <v>https://resources.simonelectric.com/simon-catalogo-vehiculo-electrico</v>
      </c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</row>
    <row r="1987" ht="15.75" customHeight="1">
      <c r="A1987" s="5" t="s">
        <v>3099</v>
      </c>
      <c r="B1987" s="5">
        <v>43950.0</v>
      </c>
      <c r="C1987" s="6" t="s">
        <v>3100</v>
      </c>
      <c r="D1987" s="11">
        <f t="shared" si="1"/>
        <v>70</v>
      </c>
      <c r="E1987" s="8" t="str">
        <f t="shared" si="2"/>
        <v>https://resources.simonelectric.com/simon-catalogo-vehiculo-electrico</v>
      </c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</row>
    <row r="1988" ht="15.75" customHeight="1">
      <c r="A1988" s="5" t="s">
        <v>3101</v>
      </c>
      <c r="B1988" s="5">
        <v>43950.0</v>
      </c>
      <c r="C1988" s="6" t="s">
        <v>3102</v>
      </c>
      <c r="D1988" s="11">
        <f t="shared" si="1"/>
        <v>70</v>
      </c>
      <c r="E1988" s="8" t="str">
        <f t="shared" si="2"/>
        <v>https://resources.simonelectric.com/simon-catalogo-vehiculo-electrico</v>
      </c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</row>
    <row r="1989" ht="15.75" customHeight="1">
      <c r="A1989" s="5" t="s">
        <v>3103</v>
      </c>
      <c r="B1989" s="5">
        <v>43950.0</v>
      </c>
      <c r="C1989" s="6" t="s">
        <v>3104</v>
      </c>
      <c r="D1989" s="11">
        <f t="shared" si="1"/>
        <v>70</v>
      </c>
      <c r="E1989" s="8" t="str">
        <f t="shared" si="2"/>
        <v>https://resources.simonelectric.com/simon-catalogo-vehiculo-electrico</v>
      </c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</row>
    <row r="1990" ht="15.75" customHeight="1">
      <c r="A1990" s="5" t="s">
        <v>3105</v>
      </c>
      <c r="B1990" s="5">
        <v>43950.0</v>
      </c>
      <c r="C1990" s="6" t="s">
        <v>3106</v>
      </c>
      <c r="D1990" s="11">
        <f t="shared" si="1"/>
        <v>70</v>
      </c>
      <c r="E1990" s="8" t="str">
        <f t="shared" si="2"/>
        <v>https://resources.simonelectric.com/simon-catalogo-vehiculo-electrico</v>
      </c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</row>
    <row r="1991" ht="15.75" customHeight="1">
      <c r="A1991" s="5" t="s">
        <v>582</v>
      </c>
      <c r="B1991" s="5">
        <v>43950.0</v>
      </c>
      <c r="C1991" s="6" t="s">
        <v>3107</v>
      </c>
      <c r="D1991" s="11">
        <f t="shared" si="1"/>
        <v>70</v>
      </c>
      <c r="E1991" s="8" t="str">
        <f t="shared" si="2"/>
        <v>https://resources.simonelectric.com/simon-catalogo-vehiculo-electrico</v>
      </c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</row>
    <row r="1992" ht="15.75" customHeight="1">
      <c r="A1992" s="5" t="s">
        <v>3108</v>
      </c>
      <c r="B1992" s="5">
        <v>43950.0</v>
      </c>
      <c r="C1992" s="6" t="s">
        <v>3109</v>
      </c>
      <c r="D1992" s="11">
        <f t="shared" si="1"/>
        <v>70</v>
      </c>
      <c r="E1992" s="8" t="str">
        <f t="shared" si="2"/>
        <v>https://resources.simonelectric.com/simon-catalogo-vehiculo-electrico</v>
      </c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</row>
    <row r="1993" ht="15.75" customHeight="1">
      <c r="A1993" s="5" t="s">
        <v>3110</v>
      </c>
      <c r="B1993" s="5">
        <v>43950.0</v>
      </c>
      <c r="C1993" s="6" t="s">
        <v>3111</v>
      </c>
      <c r="D1993" s="11">
        <f t="shared" si="1"/>
        <v>70</v>
      </c>
      <c r="E1993" s="8" t="str">
        <f t="shared" si="2"/>
        <v>https://resources.simonelectric.com/simon-catalogo-vehiculo-electrico</v>
      </c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</row>
    <row r="1994" ht="15.75" customHeight="1">
      <c r="A1994" s="5" t="s">
        <v>3112</v>
      </c>
      <c r="B1994" s="5">
        <v>43950.0</v>
      </c>
      <c r="C1994" s="6" t="s">
        <v>3113</v>
      </c>
      <c r="D1994" s="11">
        <f t="shared" si="1"/>
        <v>70</v>
      </c>
      <c r="E1994" s="8" t="str">
        <f t="shared" si="2"/>
        <v>https://resources.simonelectric.com/simon-catalogo-vehiculo-electrico</v>
      </c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</row>
    <row r="1995" ht="15.75" customHeight="1">
      <c r="A1995" s="5" t="s">
        <v>3114</v>
      </c>
      <c r="B1995" s="5">
        <v>43950.0</v>
      </c>
      <c r="C1995" s="6" t="s">
        <v>3115</v>
      </c>
      <c r="D1995" s="11">
        <f t="shared" si="1"/>
        <v>70</v>
      </c>
      <c r="E1995" s="8" t="str">
        <f t="shared" si="2"/>
        <v>https://resources.simonelectric.com/simon-catalogo-vehiculo-electrico</v>
      </c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</row>
    <row r="1996" ht="15.75" customHeight="1">
      <c r="A1996" s="5" t="s">
        <v>3116</v>
      </c>
      <c r="B1996" s="5">
        <v>43950.0</v>
      </c>
      <c r="C1996" s="6" t="s">
        <v>3117</v>
      </c>
      <c r="D1996" s="11">
        <f t="shared" si="1"/>
        <v>70</v>
      </c>
      <c r="E1996" s="8" t="str">
        <f t="shared" si="2"/>
        <v>https://resources.simonelectric.com/simon-catalogo-vehiculo-electrico</v>
      </c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</row>
    <row r="1997" ht="15.75" customHeight="1">
      <c r="A1997" s="5" t="s">
        <v>3118</v>
      </c>
      <c r="B1997" s="5">
        <v>43950.0</v>
      </c>
      <c r="C1997" s="6" t="s">
        <v>3119</v>
      </c>
      <c r="D1997" s="11">
        <f t="shared" si="1"/>
        <v>70</v>
      </c>
      <c r="E1997" s="8" t="str">
        <f t="shared" si="2"/>
        <v>https://resources.simonelectric.com/simon-catalogo-vehiculo-electrico</v>
      </c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</row>
    <row r="1998" ht="15.75" customHeight="1">
      <c r="A1998" s="5" t="s">
        <v>3120</v>
      </c>
      <c r="B1998" s="5">
        <v>43950.0</v>
      </c>
      <c r="C1998" s="6" t="s">
        <v>3121</v>
      </c>
      <c r="D1998" s="11">
        <f t="shared" si="1"/>
        <v>70</v>
      </c>
      <c r="E1998" s="8" t="str">
        <f t="shared" si="2"/>
        <v>https://resources.simonelectric.com/simon-catalogo-vehiculo-electrico</v>
      </c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</row>
    <row r="1999" ht="15.75" customHeight="1">
      <c r="A1999" s="5" t="s">
        <v>3122</v>
      </c>
      <c r="B1999" s="5">
        <v>43950.0</v>
      </c>
      <c r="C1999" s="6" t="s">
        <v>3123</v>
      </c>
      <c r="D1999" s="11">
        <f t="shared" si="1"/>
        <v>70</v>
      </c>
      <c r="E1999" s="8" t="str">
        <f t="shared" si="2"/>
        <v>https://resources.simonelectric.com/simon-catalogo-vehiculo-electrico</v>
      </c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</row>
    <row r="2000" ht="15.75" customHeight="1">
      <c r="A2000" s="5" t="s">
        <v>3124</v>
      </c>
      <c r="B2000" s="5">
        <v>43950.0</v>
      </c>
      <c r="C2000" s="6" t="s">
        <v>3125</v>
      </c>
      <c r="D2000" s="11">
        <f t="shared" si="1"/>
        <v>70</v>
      </c>
      <c r="E2000" s="8" t="str">
        <f t="shared" si="2"/>
        <v>https://resources.simonelectric.com/simon-catalogo-vehiculo-electrico</v>
      </c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</row>
    <row r="2001" ht="15.75" customHeight="1">
      <c r="A2001" s="5" t="s">
        <v>3126</v>
      </c>
      <c r="B2001" s="5">
        <v>43950.0</v>
      </c>
      <c r="C2001" s="6" t="s">
        <v>3127</v>
      </c>
      <c r="D2001" s="11">
        <f t="shared" si="1"/>
        <v>70</v>
      </c>
      <c r="E2001" s="8" t="str">
        <f t="shared" si="2"/>
        <v>https://resources.simonelectric.com/simon-catalogo-vehiculo-electrico</v>
      </c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</row>
    <row r="2002" ht="15.75" customHeight="1">
      <c r="A2002" s="5" t="s">
        <v>1818</v>
      </c>
      <c r="B2002" s="5">
        <v>43950.0</v>
      </c>
      <c r="C2002" s="6" t="s">
        <v>3128</v>
      </c>
      <c r="D2002" s="11">
        <f t="shared" si="1"/>
        <v>70</v>
      </c>
      <c r="E2002" s="8" t="str">
        <f t="shared" si="2"/>
        <v>https://resources.simonelectric.com/simon-catalogo-vehiculo-electrico</v>
      </c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</row>
    <row r="2003" ht="15.75" customHeight="1">
      <c r="A2003" s="5" t="s">
        <v>3129</v>
      </c>
      <c r="B2003" s="5">
        <v>43950.0</v>
      </c>
      <c r="C2003" s="6" t="s">
        <v>3130</v>
      </c>
      <c r="D2003" s="11">
        <f t="shared" si="1"/>
        <v>70</v>
      </c>
      <c r="E2003" s="8" t="str">
        <f t="shared" si="2"/>
        <v>https://resources.simonelectric.com/simon-catalogo-vehiculo-electrico</v>
      </c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</row>
    <row r="2004" ht="15.75" customHeight="1">
      <c r="A2004" s="5" t="s">
        <v>3131</v>
      </c>
      <c r="B2004" s="5">
        <v>43950.0</v>
      </c>
      <c r="C2004" s="6" t="s">
        <v>3132</v>
      </c>
      <c r="D2004" s="11">
        <f t="shared" si="1"/>
        <v>70</v>
      </c>
      <c r="E2004" s="8" t="str">
        <f t="shared" si="2"/>
        <v>https://resources.simonelectric.com/simon-catalogo-vehiculo-electrico</v>
      </c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</row>
    <row r="2005" ht="15.75" customHeight="1">
      <c r="A2005" s="5" t="s">
        <v>3133</v>
      </c>
      <c r="B2005" s="5">
        <v>43950.0</v>
      </c>
      <c r="C2005" s="6" t="s">
        <v>3134</v>
      </c>
      <c r="D2005" s="11">
        <f t="shared" si="1"/>
        <v>70</v>
      </c>
      <c r="E2005" s="8" t="str">
        <f t="shared" si="2"/>
        <v>https://resources.simonelectric.com/simon-catalogo-vehiculo-electrico</v>
      </c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</row>
    <row r="2006" ht="15.75" customHeight="1">
      <c r="A2006" s="5" t="s">
        <v>3135</v>
      </c>
      <c r="B2006" s="5">
        <v>43950.0</v>
      </c>
      <c r="C2006" s="6" t="s">
        <v>3136</v>
      </c>
      <c r="D2006" s="11">
        <f t="shared" si="1"/>
        <v>70</v>
      </c>
      <c r="E2006" s="8" t="str">
        <f t="shared" si="2"/>
        <v>https://resources.simonelectric.com/simon-catalogo-vehiculo-electrico</v>
      </c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</row>
    <row r="2007" ht="15.75" customHeight="1">
      <c r="A2007" s="5" t="s">
        <v>3137</v>
      </c>
      <c r="B2007" s="5">
        <v>43950.0</v>
      </c>
      <c r="C2007" s="6" t="s">
        <v>3138</v>
      </c>
      <c r="D2007" s="11">
        <f t="shared" si="1"/>
        <v>70</v>
      </c>
      <c r="E2007" s="8" t="str">
        <f t="shared" si="2"/>
        <v>https://resources.simonelectric.com/simon-catalogo-vehiculo-electrico</v>
      </c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</row>
    <row r="2008" ht="15.75" customHeight="1">
      <c r="A2008" s="5" t="s">
        <v>410</v>
      </c>
      <c r="B2008" s="5">
        <v>43950.0</v>
      </c>
      <c r="C2008" s="6" t="s">
        <v>3139</v>
      </c>
      <c r="D2008" s="11">
        <f t="shared" si="1"/>
        <v>70</v>
      </c>
      <c r="E2008" s="8" t="str">
        <f t="shared" si="2"/>
        <v>https://resources.simonelectric.com/simon-catalogo-vehiculo-electrico</v>
      </c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</row>
    <row r="2009" ht="15.75" customHeight="1">
      <c r="A2009" s="5" t="s">
        <v>3140</v>
      </c>
      <c r="B2009" s="5">
        <v>43950.0</v>
      </c>
      <c r="C2009" s="6" t="s">
        <v>3141</v>
      </c>
      <c r="D2009" s="11">
        <f t="shared" si="1"/>
        <v>70</v>
      </c>
      <c r="E2009" s="8" t="str">
        <f t="shared" si="2"/>
        <v>https://resources.simonelectric.com/simon-catalogo-vehiculo-electrico</v>
      </c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</row>
    <row r="2010" ht="15.75" customHeight="1">
      <c r="A2010" s="5" t="s">
        <v>543</v>
      </c>
      <c r="B2010" s="5">
        <v>43950.0</v>
      </c>
      <c r="C2010" s="6" t="s">
        <v>3142</v>
      </c>
      <c r="D2010" s="11">
        <f t="shared" si="1"/>
        <v>70</v>
      </c>
      <c r="E2010" s="8" t="str">
        <f t="shared" si="2"/>
        <v>https://resources.simonelectric.com/simon-catalogo-vehiculo-electrico</v>
      </c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</row>
    <row r="2011" ht="15.75" customHeight="1">
      <c r="A2011" s="5" t="s">
        <v>3143</v>
      </c>
      <c r="B2011" s="5">
        <v>43950.0</v>
      </c>
      <c r="C2011" s="6" t="s">
        <v>3144</v>
      </c>
      <c r="D2011" s="11">
        <f t="shared" si="1"/>
        <v>70</v>
      </c>
      <c r="E2011" s="8" t="str">
        <f t="shared" si="2"/>
        <v>https://resources.simonelectric.com/simon-catalogo-vehiculo-electrico</v>
      </c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</row>
    <row r="2012" ht="15.75" customHeight="1">
      <c r="A2012" s="5" t="s">
        <v>3145</v>
      </c>
      <c r="B2012" s="5">
        <v>43950.0</v>
      </c>
      <c r="C2012" s="6" t="s">
        <v>3146</v>
      </c>
      <c r="D2012" s="11">
        <f t="shared" si="1"/>
        <v>70</v>
      </c>
      <c r="E2012" s="8" t="str">
        <f t="shared" si="2"/>
        <v>https://resources.simonelectric.com/simon-catalogo-vehiculo-electrico</v>
      </c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</row>
    <row r="2013" ht="15.75" customHeight="1">
      <c r="A2013" s="5" t="s">
        <v>1825</v>
      </c>
      <c r="B2013" s="5">
        <v>43950.0</v>
      </c>
      <c r="C2013" s="6" t="s">
        <v>3147</v>
      </c>
      <c r="D2013" s="11">
        <f t="shared" si="1"/>
        <v>70</v>
      </c>
      <c r="E2013" s="8" t="str">
        <f t="shared" si="2"/>
        <v>https://resources.simonelectric.com/simon-catalogo-vehiculo-electrico</v>
      </c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</row>
    <row r="2014" ht="15.75" customHeight="1">
      <c r="A2014" s="5" t="s">
        <v>1808</v>
      </c>
      <c r="B2014" s="5">
        <v>43950.0</v>
      </c>
      <c r="C2014" s="6" t="s">
        <v>3148</v>
      </c>
      <c r="D2014" s="11">
        <f t="shared" si="1"/>
        <v>70</v>
      </c>
      <c r="E2014" s="8" t="str">
        <f t="shared" si="2"/>
        <v>https://resources.simonelectric.com/simon-catalogo-vehiculo-electrico</v>
      </c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</row>
    <row r="2015" ht="15.75" customHeight="1">
      <c r="A2015" s="5" t="s">
        <v>3149</v>
      </c>
      <c r="B2015" s="5">
        <v>43950.0</v>
      </c>
      <c r="C2015" s="6" t="s">
        <v>3150</v>
      </c>
      <c r="D2015" s="11">
        <f t="shared" si="1"/>
        <v>70</v>
      </c>
      <c r="E2015" s="8" t="str">
        <f t="shared" si="2"/>
        <v>https://resources.simonelectric.com/simon-catalogo-vehiculo-electrico</v>
      </c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</row>
    <row r="2016" ht="15.75" customHeight="1">
      <c r="A2016" s="5" t="s">
        <v>3151</v>
      </c>
      <c r="B2016" s="5">
        <v>43950.0</v>
      </c>
      <c r="C2016" s="6" t="s">
        <v>3152</v>
      </c>
      <c r="D2016" s="11">
        <f t="shared" si="1"/>
        <v>70</v>
      </c>
      <c r="E2016" s="8" t="str">
        <f t="shared" si="2"/>
        <v>https://resources.simonelectric.com/simon-catalogo-vehiculo-electrico</v>
      </c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</row>
    <row r="2017" ht="15.75" customHeight="1">
      <c r="A2017" s="5" t="s">
        <v>3153</v>
      </c>
      <c r="B2017" s="5">
        <v>43950.0</v>
      </c>
      <c r="C2017" s="6" t="s">
        <v>3154</v>
      </c>
      <c r="D2017" s="11">
        <f t="shared" si="1"/>
        <v>70</v>
      </c>
      <c r="E2017" s="8" t="str">
        <f t="shared" si="2"/>
        <v>https://resources.simonelectric.com/simon-catalogo-vehiculo-electrico</v>
      </c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</row>
    <row r="2018" ht="15.75" customHeight="1">
      <c r="A2018" s="5" t="s">
        <v>3155</v>
      </c>
      <c r="B2018" s="5">
        <v>43950.0</v>
      </c>
      <c r="C2018" s="6" t="s">
        <v>3156</v>
      </c>
      <c r="D2018" s="11">
        <f t="shared" si="1"/>
        <v>70</v>
      </c>
      <c r="E2018" s="8" t="str">
        <f t="shared" si="2"/>
        <v>https://resources.simonelectric.com/simon-catalogo-vehiculo-electrico</v>
      </c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</row>
    <row r="2019" ht="15.75" customHeight="1">
      <c r="A2019" s="5" t="s">
        <v>3157</v>
      </c>
      <c r="B2019" s="5">
        <v>43950.0</v>
      </c>
      <c r="C2019" s="6" t="s">
        <v>3158</v>
      </c>
      <c r="D2019" s="11">
        <f t="shared" si="1"/>
        <v>70</v>
      </c>
      <c r="E2019" s="8" t="str">
        <f t="shared" si="2"/>
        <v>https://resources.simonelectric.com/simon-catalogo-vehiculo-electrico</v>
      </c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</row>
    <row r="2020" ht="15.75" customHeight="1">
      <c r="A2020" s="5" t="s">
        <v>543</v>
      </c>
      <c r="B2020" s="5">
        <v>43950.0</v>
      </c>
      <c r="C2020" s="6" t="s">
        <v>3159</v>
      </c>
      <c r="D2020" s="11">
        <f t="shared" si="1"/>
        <v>70</v>
      </c>
      <c r="E2020" s="8" t="str">
        <f t="shared" si="2"/>
        <v>https://resources.simonelectric.com/simon-catalogo-vehiculo-electrico</v>
      </c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</row>
    <row r="2021" ht="15.75" customHeight="1">
      <c r="A2021" s="5" t="s">
        <v>3160</v>
      </c>
      <c r="B2021" s="5">
        <v>43950.0</v>
      </c>
      <c r="C2021" s="6" t="s">
        <v>3161</v>
      </c>
      <c r="D2021" s="11">
        <f t="shared" si="1"/>
        <v>70</v>
      </c>
      <c r="E2021" s="8" t="str">
        <f t="shared" si="2"/>
        <v>https://resources.simonelectric.com/simon-catalogo-vehiculo-electrico</v>
      </c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</row>
    <row r="2022" ht="15.75" customHeight="1">
      <c r="A2022" s="5" t="s">
        <v>3162</v>
      </c>
      <c r="B2022" s="5">
        <v>43950.0</v>
      </c>
      <c r="C2022" s="6" t="s">
        <v>3163</v>
      </c>
      <c r="D2022" s="11">
        <f t="shared" si="1"/>
        <v>70</v>
      </c>
      <c r="E2022" s="8" t="str">
        <f t="shared" si="2"/>
        <v>https://resources.simonelectric.com/simon-catalogo-vehiculo-electrico</v>
      </c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</row>
    <row r="2023" ht="15.75" customHeight="1">
      <c r="A2023" s="5" t="s">
        <v>3164</v>
      </c>
      <c r="B2023" s="5">
        <v>43950.0</v>
      </c>
      <c r="C2023" s="6" t="s">
        <v>3165</v>
      </c>
      <c r="D2023" s="11">
        <f t="shared" si="1"/>
        <v>70</v>
      </c>
      <c r="E2023" s="8" t="str">
        <f t="shared" si="2"/>
        <v>https://resources.simonelectric.com/simon-catalogo-vehiculo-electrico</v>
      </c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</row>
    <row r="2024" ht="15.75" customHeight="1">
      <c r="A2024" s="5" t="s">
        <v>3166</v>
      </c>
      <c r="B2024" s="5">
        <v>43950.0</v>
      </c>
      <c r="C2024" s="6" t="s">
        <v>3167</v>
      </c>
      <c r="D2024" s="11">
        <f t="shared" si="1"/>
        <v>70</v>
      </c>
      <c r="E2024" s="8" t="str">
        <f t="shared" si="2"/>
        <v>https://resources.simonelectric.com/simon-catalogo-vehiculo-electrico</v>
      </c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</row>
    <row r="2025" ht="15.75" customHeight="1">
      <c r="A2025" s="5" t="s">
        <v>3168</v>
      </c>
      <c r="B2025" s="5">
        <v>43950.0</v>
      </c>
      <c r="C2025" s="6" t="s">
        <v>3169</v>
      </c>
      <c r="D2025" s="11">
        <f t="shared" si="1"/>
        <v>70</v>
      </c>
      <c r="E2025" s="8" t="str">
        <f t="shared" si="2"/>
        <v>https://resources.simonelectric.com/simon-catalogo-vehiculo-electrico</v>
      </c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</row>
    <row r="2026" ht="15.75" customHeight="1">
      <c r="A2026" s="5" t="s">
        <v>1145</v>
      </c>
      <c r="B2026" s="5">
        <v>43950.0</v>
      </c>
      <c r="C2026" s="6" t="s">
        <v>3170</v>
      </c>
      <c r="D2026" s="11">
        <f t="shared" si="1"/>
        <v>70</v>
      </c>
      <c r="E2026" s="8" t="str">
        <f t="shared" si="2"/>
        <v>https://resources.simonelectric.com/simon-catalogo-vehiculo-electrico</v>
      </c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</row>
    <row r="2027" ht="15.75" customHeight="1">
      <c r="A2027" s="5" t="s">
        <v>3171</v>
      </c>
      <c r="B2027" s="5">
        <v>43950.0</v>
      </c>
      <c r="C2027" s="6" t="s">
        <v>3172</v>
      </c>
      <c r="D2027" s="11">
        <f t="shared" si="1"/>
        <v>70</v>
      </c>
      <c r="E2027" s="8" t="str">
        <f t="shared" si="2"/>
        <v>https://resources.simonelectric.com/simon-catalogo-vehiculo-electrico</v>
      </c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</row>
    <row r="2028" ht="15.75" customHeight="1">
      <c r="A2028" s="5" t="s">
        <v>700</v>
      </c>
      <c r="B2028" s="5">
        <v>43950.0</v>
      </c>
      <c r="C2028" s="6" t="s">
        <v>3173</v>
      </c>
      <c r="D2028" s="11">
        <f t="shared" si="1"/>
        <v>70</v>
      </c>
      <c r="E2028" s="8" t="str">
        <f t="shared" si="2"/>
        <v>https://resources.simonelectric.com/simon-catalogo-vehiculo-electrico</v>
      </c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</row>
    <row r="2029" ht="15.75" customHeight="1">
      <c r="A2029" s="5" t="s">
        <v>3174</v>
      </c>
      <c r="B2029" s="5">
        <v>43950.0</v>
      </c>
      <c r="C2029" s="6" t="s">
        <v>3175</v>
      </c>
      <c r="D2029" s="11">
        <f t="shared" si="1"/>
        <v>70</v>
      </c>
      <c r="E2029" s="8" t="str">
        <f t="shared" si="2"/>
        <v>https://resources.simonelectric.com/simon-catalogo-vehiculo-electrico</v>
      </c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</row>
    <row r="2030" ht="15.75" customHeight="1">
      <c r="A2030" s="5" t="s">
        <v>3176</v>
      </c>
      <c r="B2030" s="5">
        <v>43950.0</v>
      </c>
      <c r="C2030" s="6" t="s">
        <v>3177</v>
      </c>
      <c r="D2030" s="11">
        <f t="shared" si="1"/>
        <v>70</v>
      </c>
      <c r="E2030" s="8" t="str">
        <f t="shared" si="2"/>
        <v>https://resources.simonelectric.com/simon-catalogo-vehiculo-electrico</v>
      </c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</row>
    <row r="2031" ht="15.75" customHeight="1">
      <c r="A2031" s="5" t="s">
        <v>3178</v>
      </c>
      <c r="B2031" s="5">
        <v>43950.0</v>
      </c>
      <c r="C2031" s="6" t="s">
        <v>3179</v>
      </c>
      <c r="D2031" s="11">
        <f t="shared" si="1"/>
        <v>70</v>
      </c>
      <c r="E2031" s="8" t="str">
        <f t="shared" si="2"/>
        <v>https://resources.simonelectric.com/simon-catalogo-vehiculo-electrico</v>
      </c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</row>
    <row r="2032" ht="15.75" customHeight="1">
      <c r="A2032" s="5" t="s">
        <v>3180</v>
      </c>
      <c r="B2032" s="5">
        <v>43950.0</v>
      </c>
      <c r="C2032" s="6" t="s">
        <v>3181</v>
      </c>
      <c r="D2032" s="11">
        <f t="shared" si="1"/>
        <v>70</v>
      </c>
      <c r="E2032" s="8" t="str">
        <f t="shared" si="2"/>
        <v>https://resources.simonelectric.com/simon-catalogo-vehiculo-electrico</v>
      </c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</row>
    <row r="2033" ht="15.75" customHeight="1">
      <c r="A2033" s="5" t="s">
        <v>1797</v>
      </c>
      <c r="B2033" s="5">
        <v>43950.0</v>
      </c>
      <c r="C2033" s="6" t="s">
        <v>3182</v>
      </c>
      <c r="D2033" s="11">
        <f t="shared" si="1"/>
        <v>70</v>
      </c>
      <c r="E2033" s="8" t="str">
        <f t="shared" si="2"/>
        <v>https://resources.simonelectric.com/simon-catalogo-vehiculo-electrico</v>
      </c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</row>
    <row r="2034" ht="15.75" customHeight="1">
      <c r="A2034" s="5" t="s">
        <v>3183</v>
      </c>
      <c r="B2034" s="5">
        <v>43950.0</v>
      </c>
      <c r="C2034" s="6" t="s">
        <v>3184</v>
      </c>
      <c r="D2034" s="11">
        <f t="shared" si="1"/>
        <v>70</v>
      </c>
      <c r="E2034" s="8" t="str">
        <f t="shared" si="2"/>
        <v>https://resources.simonelectric.com/simon-catalogo-vehiculo-electrico</v>
      </c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</row>
    <row r="2035" ht="15.75" customHeight="1">
      <c r="A2035" s="5" t="s">
        <v>3185</v>
      </c>
      <c r="B2035" s="5">
        <v>43950.0</v>
      </c>
      <c r="C2035" s="6" t="s">
        <v>3186</v>
      </c>
      <c r="D2035" s="11">
        <f t="shared" si="1"/>
        <v>70</v>
      </c>
      <c r="E2035" s="8" t="str">
        <f t="shared" si="2"/>
        <v>https://resources.simonelectric.com/simon-catalogo-vehiculo-electrico</v>
      </c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</row>
    <row r="2036" ht="15.75" customHeight="1">
      <c r="A2036" s="5" t="s">
        <v>3187</v>
      </c>
      <c r="B2036" s="5">
        <v>43950.0</v>
      </c>
      <c r="C2036" s="6" t="s">
        <v>3188</v>
      </c>
      <c r="D2036" s="11">
        <f t="shared" si="1"/>
        <v>70</v>
      </c>
      <c r="E2036" s="8" t="str">
        <f t="shared" si="2"/>
        <v>https://resources.simonelectric.com/simon-catalogo-vehiculo-electrico</v>
      </c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</row>
    <row r="2037" ht="15.75" customHeight="1">
      <c r="A2037" s="5" t="s">
        <v>3189</v>
      </c>
      <c r="B2037" s="5">
        <v>43950.0</v>
      </c>
      <c r="C2037" s="6" t="s">
        <v>3190</v>
      </c>
      <c r="D2037" s="11">
        <f t="shared" si="1"/>
        <v>70</v>
      </c>
      <c r="E2037" s="8" t="str">
        <f t="shared" si="2"/>
        <v>https://resources.simonelectric.com/simon-catalogo-vehiculo-electrico</v>
      </c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</row>
    <row r="2038" ht="15.75" customHeight="1">
      <c r="A2038" s="5" t="s">
        <v>3191</v>
      </c>
      <c r="B2038" s="5">
        <v>43950.0</v>
      </c>
      <c r="C2038" s="6" t="s">
        <v>3192</v>
      </c>
      <c r="D2038" s="11">
        <f t="shared" si="1"/>
        <v>70</v>
      </c>
      <c r="E2038" s="8" t="str">
        <f t="shared" si="2"/>
        <v>https://resources.simonelectric.com/simon-catalogo-vehiculo-electrico</v>
      </c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</row>
    <row r="2039" ht="15.75" customHeight="1">
      <c r="A2039" s="5" t="s">
        <v>3193</v>
      </c>
      <c r="B2039" s="5">
        <v>43950.0</v>
      </c>
      <c r="C2039" s="6" t="s">
        <v>3194</v>
      </c>
      <c r="D2039" s="11">
        <f t="shared" si="1"/>
        <v>70</v>
      </c>
      <c r="E2039" s="8" t="str">
        <f t="shared" si="2"/>
        <v>https://resources.simonelectric.com/simon-catalogo-vehiculo-electrico</v>
      </c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</row>
    <row r="2040" ht="15.75" customHeight="1">
      <c r="A2040" s="5" t="s">
        <v>3195</v>
      </c>
      <c r="B2040" s="5">
        <v>43950.0</v>
      </c>
      <c r="C2040" s="6" t="s">
        <v>3196</v>
      </c>
      <c r="D2040" s="11">
        <f t="shared" si="1"/>
        <v>70</v>
      </c>
      <c r="E2040" s="8" t="str">
        <f t="shared" si="2"/>
        <v>https://resources.simonelectric.com/simon-catalogo-vehiculo-electrico</v>
      </c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</row>
    <row r="2041" ht="15.75" customHeight="1">
      <c r="A2041" s="5" t="s">
        <v>3197</v>
      </c>
      <c r="B2041" s="5">
        <v>43950.0</v>
      </c>
      <c r="C2041" s="6" t="s">
        <v>3198</v>
      </c>
      <c r="D2041" s="11">
        <f t="shared" si="1"/>
        <v>70</v>
      </c>
      <c r="E2041" s="8" t="str">
        <f t="shared" si="2"/>
        <v>https://resources.simonelectric.com/simon-catalogo-vehiculo-electrico</v>
      </c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</row>
    <row r="2042" ht="15.75" customHeight="1">
      <c r="A2042" s="5" t="s">
        <v>3199</v>
      </c>
      <c r="B2042" s="5">
        <v>43950.0</v>
      </c>
      <c r="C2042" s="6" t="s">
        <v>3200</v>
      </c>
      <c r="D2042" s="11">
        <f t="shared" si="1"/>
        <v>70</v>
      </c>
      <c r="E2042" s="8" t="str">
        <f t="shared" si="2"/>
        <v>https://resources.simonelectric.com/simon-catalogo-vehiculo-electrico</v>
      </c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</row>
    <row r="2043" ht="15.75" customHeight="1">
      <c r="A2043" s="5" t="s">
        <v>3201</v>
      </c>
      <c r="B2043" s="5">
        <v>43950.0</v>
      </c>
      <c r="C2043" s="6" t="s">
        <v>3202</v>
      </c>
      <c r="D2043" s="11">
        <f t="shared" si="1"/>
        <v>70</v>
      </c>
      <c r="E2043" s="8" t="str">
        <f t="shared" si="2"/>
        <v>https://resources.simonelectric.com/simon-catalogo-vehiculo-electrico</v>
      </c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</row>
    <row r="2044" ht="15.75" customHeight="1">
      <c r="A2044" s="5" t="s">
        <v>3203</v>
      </c>
      <c r="B2044" s="5">
        <v>43950.0</v>
      </c>
      <c r="C2044" s="6" t="s">
        <v>3204</v>
      </c>
      <c r="D2044" s="11">
        <f t="shared" si="1"/>
        <v>70</v>
      </c>
      <c r="E2044" s="8" t="str">
        <f t="shared" si="2"/>
        <v>https://resources.simonelectric.com/simon-catalogo-vehiculo-electrico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</row>
    <row r="2045" ht="15.75" customHeight="1">
      <c r="A2045" s="5" t="s">
        <v>3205</v>
      </c>
      <c r="B2045" s="5">
        <v>43950.0</v>
      </c>
      <c r="C2045" s="6" t="s">
        <v>3206</v>
      </c>
      <c r="D2045" s="11">
        <f t="shared" si="1"/>
        <v>70</v>
      </c>
      <c r="E2045" s="8" t="str">
        <f t="shared" si="2"/>
        <v>https://resources.simonelectric.com/simon-catalogo-vehiculo-electrico</v>
      </c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</row>
    <row r="2046" ht="15.75" customHeight="1">
      <c r="A2046" s="5" t="s">
        <v>1648</v>
      </c>
      <c r="B2046" s="5">
        <v>43950.0</v>
      </c>
      <c r="C2046" s="6" t="s">
        <v>3207</v>
      </c>
      <c r="D2046" s="11">
        <f t="shared" si="1"/>
        <v>70</v>
      </c>
      <c r="E2046" s="8" t="str">
        <f t="shared" si="2"/>
        <v>https://resources.simonelectric.com/simon-catalogo-vehiculo-electrico</v>
      </c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</row>
    <row r="2047" ht="15.75" customHeight="1">
      <c r="A2047" s="5" t="s">
        <v>3208</v>
      </c>
      <c r="B2047" s="5">
        <v>43950.0</v>
      </c>
      <c r="C2047" s="6" t="s">
        <v>3209</v>
      </c>
      <c r="D2047" s="11">
        <f t="shared" si="1"/>
        <v>70</v>
      </c>
      <c r="E2047" s="8" t="str">
        <f t="shared" si="2"/>
        <v>https://resources.simonelectric.com/simon-catalogo-vehiculo-electrico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</row>
    <row r="2048" ht="15.75" customHeight="1">
      <c r="A2048" s="5" t="s">
        <v>3210</v>
      </c>
      <c r="B2048" s="5">
        <v>43950.0</v>
      </c>
      <c r="C2048" s="6" t="s">
        <v>3211</v>
      </c>
      <c r="D2048" s="11">
        <f t="shared" si="1"/>
        <v>70</v>
      </c>
      <c r="E2048" s="8" t="str">
        <f t="shared" si="2"/>
        <v>https://resources.simonelectric.com/simon-catalogo-vehiculo-electrico</v>
      </c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</row>
    <row r="2049" ht="15.75" customHeight="1">
      <c r="A2049" s="5" t="s">
        <v>3212</v>
      </c>
      <c r="B2049" s="5">
        <v>43950.0</v>
      </c>
      <c r="C2049" s="6" t="s">
        <v>3213</v>
      </c>
      <c r="D2049" s="11">
        <f t="shared" si="1"/>
        <v>70</v>
      </c>
      <c r="E2049" s="8" t="str">
        <f t="shared" si="2"/>
        <v>https://resources.simonelectric.com/simon-catalogo-vehiculo-electrico</v>
      </c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</row>
    <row r="2050" ht="15.75" customHeight="1">
      <c r="A2050" s="5" t="s">
        <v>3214</v>
      </c>
      <c r="B2050" s="5">
        <v>43950.0</v>
      </c>
      <c r="C2050" s="6" t="s">
        <v>3215</v>
      </c>
      <c r="D2050" s="11">
        <f t="shared" si="1"/>
        <v>70</v>
      </c>
      <c r="E2050" s="8" t="str">
        <f t="shared" si="2"/>
        <v>https://resources.simonelectric.com/simon-catalogo-vehiculo-electrico</v>
      </c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</row>
    <row r="2051" ht="15.75" customHeight="1">
      <c r="A2051" s="5" t="s">
        <v>3216</v>
      </c>
      <c r="B2051" s="5">
        <v>43950.0</v>
      </c>
      <c r="C2051" s="6" t="s">
        <v>3217</v>
      </c>
      <c r="D2051" s="11">
        <f t="shared" si="1"/>
        <v>70</v>
      </c>
      <c r="E2051" s="8" t="str">
        <f t="shared" si="2"/>
        <v>https://resources.simonelectric.com/simon-catalogo-vehiculo-electrico</v>
      </c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</row>
    <row r="2052" ht="15.75" customHeight="1">
      <c r="A2052" s="5" t="s">
        <v>3218</v>
      </c>
      <c r="B2052" s="5">
        <v>43950.0</v>
      </c>
      <c r="C2052" s="6" t="s">
        <v>3219</v>
      </c>
      <c r="D2052" s="11">
        <f t="shared" si="1"/>
        <v>70</v>
      </c>
      <c r="E2052" s="8" t="str">
        <f t="shared" si="2"/>
        <v>https://resources.simonelectric.com/simon-catalogo-vehiculo-electrico</v>
      </c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</row>
    <row r="2053" ht="15.75" customHeight="1">
      <c r="A2053" s="5" t="s">
        <v>482</v>
      </c>
      <c r="B2053" s="5">
        <v>43950.0</v>
      </c>
      <c r="C2053" s="6" t="s">
        <v>3220</v>
      </c>
      <c r="D2053" s="11">
        <f t="shared" si="1"/>
        <v>70</v>
      </c>
      <c r="E2053" s="8" t="str">
        <f t="shared" si="2"/>
        <v>https://resources.simonelectric.com/simon-catalogo-vehiculo-electrico</v>
      </c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</row>
    <row r="2054" ht="15.75" customHeight="1">
      <c r="A2054" s="5" t="s">
        <v>3221</v>
      </c>
      <c r="B2054" s="5">
        <v>43950.0</v>
      </c>
      <c r="C2054" s="6" t="s">
        <v>3222</v>
      </c>
      <c r="D2054" s="11">
        <f t="shared" si="1"/>
        <v>70</v>
      </c>
      <c r="E2054" s="8" t="str">
        <f t="shared" si="2"/>
        <v>https://resources.simonelectric.com/simon-catalogo-vehiculo-electrico</v>
      </c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</row>
    <row r="2055" ht="15.75" customHeight="1">
      <c r="A2055" s="5" t="s">
        <v>3223</v>
      </c>
      <c r="B2055" s="5">
        <v>43950.0</v>
      </c>
      <c r="C2055" s="6" t="s">
        <v>3224</v>
      </c>
      <c r="D2055" s="10">
        <f t="shared" si="1"/>
        <v>70</v>
      </c>
      <c r="E2055" s="8" t="str">
        <f t="shared" si="2"/>
        <v>https://resources.simonelectric.com/simon-catalogo-vehiculo-electrico</v>
      </c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</row>
    <row r="2056" ht="15.75" customHeight="1">
      <c r="A2056" s="5" t="s">
        <v>3225</v>
      </c>
      <c r="B2056" s="5">
        <v>43950.0</v>
      </c>
      <c r="C2056" s="6" t="s">
        <v>3226</v>
      </c>
      <c r="D2056" s="10">
        <f t="shared" si="1"/>
        <v>70</v>
      </c>
      <c r="E2056" s="8" t="str">
        <f t="shared" si="2"/>
        <v>https://resources.simonelectric.com/simon-catalogo-vehiculo-electrico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</row>
    <row r="2057" ht="15.75" customHeight="1">
      <c r="A2057" s="5" t="s">
        <v>697</v>
      </c>
      <c r="B2057" s="5">
        <v>43950.0</v>
      </c>
      <c r="C2057" s="6" t="s">
        <v>3227</v>
      </c>
      <c r="D2057" s="11">
        <f t="shared" si="1"/>
        <v>70</v>
      </c>
      <c r="E2057" s="8" t="str">
        <f t="shared" si="2"/>
        <v>https://resources.simonelectric.com/simon-catalogo-vehiculo-electrico</v>
      </c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</row>
    <row r="2058" ht="15.75" customHeight="1">
      <c r="A2058" s="5" t="s">
        <v>3228</v>
      </c>
      <c r="B2058" s="5">
        <v>43950.0</v>
      </c>
      <c r="C2058" s="6" t="s">
        <v>3229</v>
      </c>
      <c r="D2058" s="11">
        <f t="shared" si="1"/>
        <v>70</v>
      </c>
      <c r="E2058" s="8" t="str">
        <f t="shared" si="2"/>
        <v>https://resources.simonelectric.com/simon-catalogo-vehiculo-electrico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</row>
    <row r="2059" ht="15.75" customHeight="1">
      <c r="A2059" s="5" t="s">
        <v>3230</v>
      </c>
      <c r="B2059" s="5">
        <v>43950.0</v>
      </c>
      <c r="C2059" s="6" t="s">
        <v>3231</v>
      </c>
      <c r="D2059" s="10">
        <f t="shared" si="1"/>
        <v>70</v>
      </c>
      <c r="E2059" s="8" t="str">
        <f t="shared" si="2"/>
        <v>https://resources.simonelectric.com/simon-catalogo-vehiculo-electrico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</row>
    <row r="2060" ht="15.75" customHeight="1">
      <c r="A2060" s="5" t="s">
        <v>3232</v>
      </c>
      <c r="B2060" s="5">
        <v>43950.0</v>
      </c>
      <c r="C2060" s="6" t="s">
        <v>3233</v>
      </c>
      <c r="D2060" s="10">
        <f t="shared" si="1"/>
        <v>70</v>
      </c>
      <c r="E2060" s="8" t="str">
        <f t="shared" si="2"/>
        <v>https://resources.simonelectric.com/simon-catalogo-vehiculo-electrico</v>
      </c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</row>
    <row r="2061" ht="15.75" customHeight="1">
      <c r="A2061" s="5" t="s">
        <v>1758</v>
      </c>
      <c r="B2061" s="5">
        <v>43950.0</v>
      </c>
      <c r="C2061" s="6" t="s">
        <v>3234</v>
      </c>
      <c r="D2061" s="11">
        <f t="shared" si="1"/>
        <v>70</v>
      </c>
      <c r="E2061" s="8" t="str">
        <f t="shared" si="2"/>
        <v>https://resources.simonelectric.com/simon-catalogo-vehiculo-electrico</v>
      </c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</row>
    <row r="2062" ht="15.75" customHeight="1">
      <c r="A2062" s="5" t="s">
        <v>3235</v>
      </c>
      <c r="B2062" s="5">
        <v>43950.0</v>
      </c>
      <c r="C2062" s="6" t="s">
        <v>3236</v>
      </c>
      <c r="D2062" s="10">
        <f t="shared" si="1"/>
        <v>70</v>
      </c>
      <c r="E2062" s="8" t="str">
        <f t="shared" si="2"/>
        <v>https://resources.simonelectric.com/simon-catalogo-vehiculo-electrico</v>
      </c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</row>
    <row r="2063" ht="15.75" customHeight="1">
      <c r="A2063" s="5" t="s">
        <v>3237</v>
      </c>
      <c r="B2063" s="5">
        <v>43950.0</v>
      </c>
      <c r="C2063" s="6" t="s">
        <v>3238</v>
      </c>
      <c r="D2063" s="11">
        <f t="shared" si="1"/>
        <v>70</v>
      </c>
      <c r="E2063" s="8" t="str">
        <f t="shared" si="2"/>
        <v>https://resources.simonelectric.com/simon-catalogo-vehiculo-electrico</v>
      </c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</row>
    <row r="2064" ht="15.75" customHeight="1">
      <c r="A2064" s="5" t="s">
        <v>3239</v>
      </c>
      <c r="B2064" s="5">
        <v>43950.0</v>
      </c>
      <c r="C2064" s="6" t="s">
        <v>3240</v>
      </c>
      <c r="D2064" s="11">
        <f t="shared" si="1"/>
        <v>70</v>
      </c>
      <c r="E2064" s="8" t="str">
        <f t="shared" si="2"/>
        <v>https://resources.simonelectric.com/simon-catalogo-vehiculo-electrico</v>
      </c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</row>
    <row r="2065" ht="15.75" customHeight="1">
      <c r="A2065" s="5" t="s">
        <v>3241</v>
      </c>
      <c r="B2065" s="5">
        <v>43950.0</v>
      </c>
      <c r="C2065" s="6" t="s">
        <v>3242</v>
      </c>
      <c r="D2065" s="10">
        <f t="shared" si="1"/>
        <v>70</v>
      </c>
      <c r="E2065" s="8" t="str">
        <f t="shared" si="2"/>
        <v>https://resources.simonelectric.com/simon-catalogo-vehiculo-electrico</v>
      </c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</row>
    <row r="2066" ht="15.75" customHeight="1">
      <c r="A2066" s="5" t="s">
        <v>3243</v>
      </c>
      <c r="B2066" s="5">
        <v>43950.0</v>
      </c>
      <c r="C2066" s="6" t="s">
        <v>3244</v>
      </c>
      <c r="D2066" s="11">
        <f t="shared" si="1"/>
        <v>70</v>
      </c>
      <c r="E2066" s="8" t="str">
        <f t="shared" si="2"/>
        <v>https://resources.simonelectric.com/simon-catalogo-vehiculo-electrico</v>
      </c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</row>
    <row r="2067" ht="15.75" customHeight="1">
      <c r="A2067" s="5" t="s">
        <v>3245</v>
      </c>
      <c r="B2067" s="5">
        <v>43950.0</v>
      </c>
      <c r="C2067" s="6" t="s">
        <v>3246</v>
      </c>
      <c r="D2067" s="11">
        <f t="shared" si="1"/>
        <v>70</v>
      </c>
      <c r="E2067" s="8" t="str">
        <f t="shared" si="2"/>
        <v>https://resources.simonelectric.com/simon-catalogo-vehiculo-electrico</v>
      </c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</row>
    <row r="2068" ht="15.75" customHeight="1">
      <c r="A2068" s="5" t="s">
        <v>3247</v>
      </c>
      <c r="B2068" s="5">
        <v>43950.0</v>
      </c>
      <c r="C2068" s="6" t="s">
        <v>3248</v>
      </c>
      <c r="D2068" s="11">
        <f t="shared" si="1"/>
        <v>70</v>
      </c>
      <c r="E2068" s="8" t="str">
        <f t="shared" si="2"/>
        <v>https://resources.simonelectric.com/simon-catalogo-vehiculo-electrico</v>
      </c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</row>
    <row r="2069" ht="15.75" customHeight="1">
      <c r="A2069" s="5" t="s">
        <v>3249</v>
      </c>
      <c r="B2069" s="5">
        <v>43950.0</v>
      </c>
      <c r="C2069" s="6" t="s">
        <v>3250</v>
      </c>
      <c r="D2069" s="11">
        <f t="shared" si="1"/>
        <v>70</v>
      </c>
      <c r="E2069" s="8" t="str">
        <f t="shared" si="2"/>
        <v>https://resources.simonelectric.com/simon-catalogo-vehiculo-electrico</v>
      </c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</row>
    <row r="2070" ht="15.75" customHeight="1">
      <c r="A2070" s="5" t="s">
        <v>3251</v>
      </c>
      <c r="B2070" s="5">
        <v>43950.0</v>
      </c>
      <c r="C2070" s="6" t="s">
        <v>3252</v>
      </c>
      <c r="D2070" s="11">
        <f t="shared" si="1"/>
        <v>70</v>
      </c>
      <c r="E2070" s="8" t="str">
        <f t="shared" si="2"/>
        <v>https://resources.simonelectric.com/simon-catalogo-vehiculo-electrico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</row>
    <row r="2071" ht="15.75" customHeight="1">
      <c r="A2071" s="5" t="s">
        <v>3253</v>
      </c>
      <c r="B2071" s="5">
        <v>43950.0</v>
      </c>
      <c r="C2071" s="6" t="s">
        <v>3254</v>
      </c>
      <c r="D2071" s="11">
        <f t="shared" si="1"/>
        <v>70</v>
      </c>
      <c r="E2071" s="8" t="str">
        <f t="shared" si="2"/>
        <v>https://resources.simonelectric.com/simon-catalogo-vehiculo-electrico</v>
      </c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</row>
    <row r="2072" ht="15.75" customHeight="1">
      <c r="A2072" s="5" t="s">
        <v>3255</v>
      </c>
      <c r="B2072" s="5">
        <v>43950.0</v>
      </c>
      <c r="C2072" s="6" t="s">
        <v>3256</v>
      </c>
      <c r="D2072" s="11">
        <f t="shared" si="1"/>
        <v>70</v>
      </c>
      <c r="E2072" s="8" t="str">
        <f t="shared" si="2"/>
        <v>https://resources.simonelectric.com/simon-catalogo-vehiculo-electrico</v>
      </c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</row>
    <row r="2073" ht="15.75" customHeight="1">
      <c r="A2073" s="5" t="s">
        <v>1295</v>
      </c>
      <c r="B2073" s="5">
        <v>43950.0</v>
      </c>
      <c r="C2073" s="6" t="s">
        <v>3257</v>
      </c>
      <c r="D2073" s="11">
        <f t="shared" si="1"/>
        <v>70</v>
      </c>
      <c r="E2073" s="8" t="str">
        <f t="shared" si="2"/>
        <v>https://resources.simonelectric.com/simon-catalogo-vehiculo-electrico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</row>
    <row r="2074" ht="15.75" customHeight="1">
      <c r="A2074" s="5" t="s">
        <v>3258</v>
      </c>
      <c r="B2074" s="5">
        <v>43950.0</v>
      </c>
      <c r="C2074" s="6" t="s">
        <v>3259</v>
      </c>
      <c r="D2074" s="11">
        <f t="shared" si="1"/>
        <v>70</v>
      </c>
      <c r="E2074" s="8" t="str">
        <f t="shared" si="2"/>
        <v>https://resources.simonelectric.com/simon-catalogo-vehiculo-electrico</v>
      </c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</row>
    <row r="2075" ht="15.75" customHeight="1">
      <c r="A2075" s="5" t="s">
        <v>3260</v>
      </c>
      <c r="B2075" s="5">
        <v>43950.0</v>
      </c>
      <c r="C2075" s="6" t="s">
        <v>3261</v>
      </c>
      <c r="D2075" s="11">
        <f t="shared" si="1"/>
        <v>70</v>
      </c>
      <c r="E2075" s="8" t="str">
        <f t="shared" si="2"/>
        <v>https://resources.simonelectric.com/simon-catalogo-vehiculo-electrico</v>
      </c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</row>
    <row r="2076" ht="15.75" customHeight="1">
      <c r="A2076" s="5" t="s">
        <v>3262</v>
      </c>
      <c r="B2076" s="5">
        <v>43950.0</v>
      </c>
      <c r="C2076" s="6" t="s">
        <v>3263</v>
      </c>
      <c r="D2076" s="11">
        <f t="shared" si="1"/>
        <v>70</v>
      </c>
      <c r="E2076" s="8" t="str">
        <f t="shared" si="2"/>
        <v>https://resources.simonelectric.com/simon-catalogo-vehiculo-electrico</v>
      </c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</row>
    <row r="2077" ht="15.75" customHeight="1">
      <c r="A2077" s="5" t="s">
        <v>3264</v>
      </c>
      <c r="B2077" s="5">
        <v>43950.0</v>
      </c>
      <c r="C2077" s="6" t="s">
        <v>3265</v>
      </c>
      <c r="D2077" s="11">
        <f t="shared" si="1"/>
        <v>70</v>
      </c>
      <c r="E2077" s="8" t="str">
        <f t="shared" si="2"/>
        <v>https://resources.simonelectric.com/simon-catalogo-vehiculo-electrico</v>
      </c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</row>
    <row r="2078" ht="15.75" customHeight="1">
      <c r="A2078" s="5" t="s">
        <v>3266</v>
      </c>
      <c r="B2078" s="5">
        <v>43950.0</v>
      </c>
      <c r="C2078" s="6" t="s">
        <v>3267</v>
      </c>
      <c r="D2078" s="11">
        <f t="shared" si="1"/>
        <v>70</v>
      </c>
      <c r="E2078" s="8" t="str">
        <f t="shared" si="2"/>
        <v>https://resources.simonelectric.com/simon-catalogo-vehiculo-electrico</v>
      </c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</row>
    <row r="2079" ht="15.75" customHeight="1">
      <c r="A2079" s="5" t="s">
        <v>3268</v>
      </c>
      <c r="B2079" s="5">
        <v>43950.0</v>
      </c>
      <c r="C2079" s="6" t="s">
        <v>3269</v>
      </c>
      <c r="D2079" s="11">
        <f t="shared" si="1"/>
        <v>70</v>
      </c>
      <c r="E2079" s="8" t="str">
        <f t="shared" si="2"/>
        <v>https://resources.simonelectric.com/simon-catalogo-vehiculo-electrico</v>
      </c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</row>
    <row r="2080" ht="15.75" customHeight="1">
      <c r="A2080" s="5" t="s">
        <v>3270</v>
      </c>
      <c r="B2080" s="5">
        <v>43950.0</v>
      </c>
      <c r="C2080" s="6" t="s">
        <v>3271</v>
      </c>
      <c r="D2080" s="11">
        <f t="shared" si="1"/>
        <v>70</v>
      </c>
      <c r="E2080" s="8" t="str">
        <f t="shared" si="2"/>
        <v>https://resources.simonelectric.com/simon-catalogo-vehiculo-electrico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</row>
    <row r="2081" ht="15.75" customHeight="1">
      <c r="A2081" s="5" t="s">
        <v>3272</v>
      </c>
      <c r="B2081" s="5">
        <v>43950.0</v>
      </c>
      <c r="C2081" s="6" t="s">
        <v>3273</v>
      </c>
      <c r="D2081" s="11">
        <f t="shared" si="1"/>
        <v>70</v>
      </c>
      <c r="E2081" s="8" t="str">
        <f t="shared" si="2"/>
        <v>https://resources.simonelectric.com/simon-catalogo-vehiculo-electrico</v>
      </c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</row>
    <row r="2082" ht="15.75" customHeight="1">
      <c r="A2082" s="5" t="s">
        <v>3274</v>
      </c>
      <c r="B2082" s="5">
        <v>43950.0</v>
      </c>
      <c r="C2082" s="6" t="s">
        <v>3275</v>
      </c>
      <c r="D2082" s="11">
        <f t="shared" si="1"/>
        <v>70</v>
      </c>
      <c r="E2082" s="8" t="str">
        <f t="shared" si="2"/>
        <v>https://resources.simonelectric.com/simon-catalogo-vehiculo-electrico</v>
      </c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</row>
    <row r="2083" ht="15.75" customHeight="1">
      <c r="A2083" s="5" t="s">
        <v>3276</v>
      </c>
      <c r="B2083" s="5">
        <v>43950.0</v>
      </c>
      <c r="C2083" s="6" t="s">
        <v>3277</v>
      </c>
      <c r="D2083" s="11">
        <f t="shared" si="1"/>
        <v>70</v>
      </c>
      <c r="E2083" s="8" t="str">
        <f t="shared" si="2"/>
        <v>https://resources.simonelectric.com/simon-catalogo-vehiculo-electrico</v>
      </c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</row>
    <row r="2084" ht="15.75" customHeight="1">
      <c r="A2084" s="5" t="s">
        <v>3278</v>
      </c>
      <c r="B2084" s="5">
        <v>43950.0</v>
      </c>
      <c r="C2084" s="6" t="s">
        <v>3279</v>
      </c>
      <c r="D2084" s="11">
        <f t="shared" si="1"/>
        <v>70</v>
      </c>
      <c r="E2084" s="8" t="str">
        <f t="shared" si="2"/>
        <v>https://resources.simonelectric.com/simon-catalogo-vehiculo-electrico</v>
      </c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</row>
    <row r="2085" ht="15.75" customHeight="1">
      <c r="A2085" s="5" t="s">
        <v>3280</v>
      </c>
      <c r="B2085" s="5">
        <v>43950.0</v>
      </c>
      <c r="C2085" s="6" t="s">
        <v>3281</v>
      </c>
      <c r="D2085" s="11">
        <f t="shared" si="1"/>
        <v>70</v>
      </c>
      <c r="E2085" s="8" t="str">
        <f t="shared" si="2"/>
        <v>https://resources.simonelectric.com/simon-catalogo-vehiculo-electrico</v>
      </c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</row>
    <row r="2086" ht="15.75" customHeight="1">
      <c r="A2086" s="5" t="s">
        <v>3282</v>
      </c>
      <c r="B2086" s="5">
        <v>43950.0</v>
      </c>
      <c r="C2086" s="6" t="s">
        <v>3283</v>
      </c>
      <c r="D2086" s="11">
        <f t="shared" si="1"/>
        <v>70</v>
      </c>
      <c r="E2086" s="8" t="str">
        <f t="shared" si="2"/>
        <v>https://resources.simonelectric.com/simon-catalogo-vehiculo-electrico</v>
      </c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</row>
    <row r="2087" ht="15.75" customHeight="1">
      <c r="A2087" s="5" t="s">
        <v>705</v>
      </c>
      <c r="B2087" s="5">
        <v>43950.0</v>
      </c>
      <c r="C2087" s="6" t="s">
        <v>3284</v>
      </c>
      <c r="D2087" s="11">
        <f t="shared" si="1"/>
        <v>70</v>
      </c>
      <c r="E2087" s="8" t="str">
        <f t="shared" si="2"/>
        <v>https://resources.simonelectric.com/simon-catalogo-vehiculo-electrico</v>
      </c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</row>
    <row r="2088" ht="15.75" customHeight="1">
      <c r="A2088" s="5" t="s">
        <v>3285</v>
      </c>
      <c r="B2088" s="5">
        <v>43950.0</v>
      </c>
      <c r="C2088" s="6" t="s">
        <v>3286</v>
      </c>
      <c r="D2088" s="11">
        <f t="shared" si="1"/>
        <v>70</v>
      </c>
      <c r="E2088" s="8" t="str">
        <f t="shared" si="2"/>
        <v>https://resources.simonelectric.com/simon-catalogo-vehiculo-electrico</v>
      </c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</row>
    <row r="2089" ht="15.75" customHeight="1">
      <c r="A2089" s="5" t="s">
        <v>1261</v>
      </c>
      <c r="B2089" s="5">
        <v>43950.0</v>
      </c>
      <c r="C2089" s="6" t="s">
        <v>3287</v>
      </c>
      <c r="D2089" s="11">
        <f t="shared" si="1"/>
        <v>70</v>
      </c>
      <c r="E2089" s="8" t="str">
        <f t="shared" si="2"/>
        <v>https://resources.simonelectric.com/simon-catalogo-vehiculo-electrico</v>
      </c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</row>
    <row r="2090" ht="15.75" customHeight="1">
      <c r="A2090" s="5" t="s">
        <v>3288</v>
      </c>
      <c r="B2090" s="5">
        <v>43950.0</v>
      </c>
      <c r="C2090" s="6" t="s">
        <v>3289</v>
      </c>
      <c r="D2090" s="11">
        <f t="shared" si="1"/>
        <v>70</v>
      </c>
      <c r="E2090" s="8" t="str">
        <f t="shared" si="2"/>
        <v>https://resources.simonelectric.com/simon-catalogo-vehiculo-electrico</v>
      </c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</row>
    <row r="2091" ht="15.75" customHeight="1">
      <c r="A2091" s="5" t="s">
        <v>3290</v>
      </c>
      <c r="B2091" s="5">
        <v>43950.0</v>
      </c>
      <c r="C2091" s="6" t="s">
        <v>3291</v>
      </c>
      <c r="D2091" s="11">
        <f t="shared" si="1"/>
        <v>70</v>
      </c>
      <c r="E2091" s="8" t="str">
        <f t="shared" si="2"/>
        <v>https://resources.simonelectric.com/simon-catalogo-vehiculo-electrico</v>
      </c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</row>
    <row r="2092" ht="15.75" customHeight="1">
      <c r="A2092" s="5" t="s">
        <v>3292</v>
      </c>
      <c r="B2092" s="5">
        <v>43950.0</v>
      </c>
      <c r="C2092" s="6" t="s">
        <v>3293</v>
      </c>
      <c r="D2092" s="11">
        <f t="shared" si="1"/>
        <v>70</v>
      </c>
      <c r="E2092" s="8" t="str">
        <f t="shared" si="2"/>
        <v>https://resources.simonelectric.com/simon-catalogo-vehiculo-electrico</v>
      </c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</row>
    <row r="2093" ht="15.75" customHeight="1">
      <c r="A2093" s="5" t="s">
        <v>1741</v>
      </c>
      <c r="B2093" s="5">
        <v>43950.0</v>
      </c>
      <c r="C2093" s="6" t="s">
        <v>3294</v>
      </c>
      <c r="D2093" s="11">
        <f t="shared" si="1"/>
        <v>70</v>
      </c>
      <c r="E2093" s="8" t="str">
        <f t="shared" si="2"/>
        <v>https://resources.simonelectric.com/simon-catalogo-vehiculo-electrico</v>
      </c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</row>
    <row r="2094" ht="15.75" customHeight="1">
      <c r="A2094" s="5" t="s">
        <v>3295</v>
      </c>
      <c r="B2094" s="5">
        <v>43950.0</v>
      </c>
      <c r="C2094" s="6" t="s">
        <v>3296</v>
      </c>
      <c r="D2094" s="11">
        <f t="shared" si="1"/>
        <v>70</v>
      </c>
      <c r="E2094" s="8" t="str">
        <f t="shared" si="2"/>
        <v>https://resources.simonelectric.com/simon-catalogo-vehiculo-electrico</v>
      </c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</row>
    <row r="2095" ht="15.75" customHeight="1">
      <c r="A2095" s="5" t="s">
        <v>3297</v>
      </c>
      <c r="B2095" s="5">
        <v>43950.0</v>
      </c>
      <c r="C2095" s="6" t="s">
        <v>3298</v>
      </c>
      <c r="D2095" s="11">
        <f t="shared" si="1"/>
        <v>70</v>
      </c>
      <c r="E2095" s="8" t="str">
        <f t="shared" si="2"/>
        <v>https://resources.simonelectric.com/simon-catalogo-vehiculo-electrico</v>
      </c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</row>
    <row r="2096" ht="15.75" customHeight="1">
      <c r="A2096" s="5" t="s">
        <v>3299</v>
      </c>
      <c r="B2096" s="5">
        <v>43950.0</v>
      </c>
      <c r="C2096" s="6" t="s">
        <v>3300</v>
      </c>
      <c r="D2096" s="10">
        <f t="shared" si="1"/>
        <v>70</v>
      </c>
      <c r="E2096" s="8" t="str">
        <f t="shared" si="2"/>
        <v>https://resources.simonelectric.com/simon-catalogo-vehiculo-electrico</v>
      </c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</row>
    <row r="2097" ht="15.75" customHeight="1">
      <c r="A2097" s="5" t="s">
        <v>3301</v>
      </c>
      <c r="B2097" s="5">
        <v>43950.0</v>
      </c>
      <c r="C2097" s="6" t="s">
        <v>3302</v>
      </c>
      <c r="D2097" s="11">
        <f t="shared" si="1"/>
        <v>70</v>
      </c>
      <c r="E2097" s="8" t="str">
        <f t="shared" si="2"/>
        <v>https://resources.simonelectric.com/simon-catalogo-vehiculo-electrico</v>
      </c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</row>
    <row r="2098" ht="15.75" customHeight="1">
      <c r="A2098" s="5" t="s">
        <v>3303</v>
      </c>
      <c r="B2098" s="5">
        <v>43950.0</v>
      </c>
      <c r="C2098" s="6" t="s">
        <v>3304</v>
      </c>
      <c r="D2098" s="11">
        <f t="shared" si="1"/>
        <v>70</v>
      </c>
      <c r="E2098" s="8" t="str">
        <f t="shared" si="2"/>
        <v>https://resources.simonelectric.com/simon-catalogo-vehiculo-electrico</v>
      </c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</row>
    <row r="2099" ht="15.75" customHeight="1">
      <c r="A2099" s="5" t="s">
        <v>3305</v>
      </c>
      <c r="B2099" s="5">
        <v>43950.0</v>
      </c>
      <c r="C2099" s="6" t="s">
        <v>3306</v>
      </c>
      <c r="D2099" s="11">
        <f t="shared" si="1"/>
        <v>70</v>
      </c>
      <c r="E2099" s="8" t="str">
        <f t="shared" si="2"/>
        <v>https://resources.simonelectric.com/simon-catalogo-vehiculo-electrico</v>
      </c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</row>
    <row r="2100" ht="15.75" customHeight="1">
      <c r="A2100" s="5" t="s">
        <v>3307</v>
      </c>
      <c r="B2100" s="5">
        <v>43950.0</v>
      </c>
      <c r="C2100" s="6" t="s">
        <v>3308</v>
      </c>
      <c r="D2100" s="11">
        <f t="shared" si="1"/>
        <v>70</v>
      </c>
      <c r="E2100" s="8" t="str">
        <f t="shared" si="2"/>
        <v>https://resources.simonelectric.com/simon-catalogo-vehiculo-electrico</v>
      </c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</row>
    <row r="2101" ht="15.75" customHeight="1">
      <c r="A2101" s="5" t="s">
        <v>3309</v>
      </c>
      <c r="B2101" s="5">
        <v>43950.0</v>
      </c>
      <c r="C2101" s="6" t="s">
        <v>3310</v>
      </c>
      <c r="D2101" s="11">
        <f t="shared" si="1"/>
        <v>70</v>
      </c>
      <c r="E2101" s="8" t="str">
        <f t="shared" si="2"/>
        <v>https://resources.simonelectric.com/simon-catalogo-vehiculo-electrico</v>
      </c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</row>
    <row r="2102" ht="15.75" customHeight="1">
      <c r="A2102" s="5" t="s">
        <v>3311</v>
      </c>
      <c r="B2102" s="5">
        <v>43950.0</v>
      </c>
      <c r="C2102" s="6" t="s">
        <v>3312</v>
      </c>
      <c r="D2102" s="11">
        <f t="shared" si="1"/>
        <v>70</v>
      </c>
      <c r="E2102" s="8" t="str">
        <f t="shared" si="2"/>
        <v>https://resources.simonelectric.com/simon-catalogo-vehiculo-electrico</v>
      </c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</row>
    <row r="2103" ht="15.75" customHeight="1">
      <c r="A2103" s="5" t="s">
        <v>3313</v>
      </c>
      <c r="B2103" s="5">
        <v>43950.0</v>
      </c>
      <c r="C2103" s="6" t="s">
        <v>3314</v>
      </c>
      <c r="D2103" s="11">
        <f t="shared" si="1"/>
        <v>70</v>
      </c>
      <c r="E2103" s="8" t="str">
        <f t="shared" si="2"/>
        <v>https://resources.simonelectric.com/simon-catalogo-vehiculo-electrico</v>
      </c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</row>
    <row r="2104" ht="15.75" customHeight="1">
      <c r="A2104" s="5" t="s">
        <v>3315</v>
      </c>
      <c r="B2104" s="5">
        <v>43950.0</v>
      </c>
      <c r="C2104" s="6" t="s">
        <v>3316</v>
      </c>
      <c r="D2104" s="11">
        <f t="shared" si="1"/>
        <v>70</v>
      </c>
      <c r="E2104" s="8" t="str">
        <f t="shared" si="2"/>
        <v>https://resources.simonelectric.com/simon-catalogo-vehiculo-electrico</v>
      </c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</row>
    <row r="2105" ht="15.75" customHeight="1">
      <c r="A2105" s="5" t="s">
        <v>3317</v>
      </c>
      <c r="B2105" s="5">
        <v>43950.0</v>
      </c>
      <c r="C2105" s="6" t="s">
        <v>3318</v>
      </c>
      <c r="D2105" s="11">
        <f t="shared" si="1"/>
        <v>70</v>
      </c>
      <c r="E2105" s="8" t="str">
        <f t="shared" si="2"/>
        <v>https://resources.simonelectric.com/simon-catalogo-vehiculo-electrico</v>
      </c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</row>
    <row r="2106" ht="15.75" customHeight="1">
      <c r="A2106" s="5" t="s">
        <v>3319</v>
      </c>
      <c r="B2106" s="5">
        <v>43950.0</v>
      </c>
      <c r="C2106" s="6" t="s">
        <v>3320</v>
      </c>
      <c r="D2106" s="11">
        <f t="shared" si="1"/>
        <v>70</v>
      </c>
      <c r="E2106" s="8" t="str">
        <f t="shared" si="2"/>
        <v>https://resources.simonelectric.com/simon-catalogo-vehiculo-electrico</v>
      </c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</row>
    <row r="2107" ht="15.75" customHeight="1">
      <c r="A2107" s="5" t="s">
        <v>3321</v>
      </c>
      <c r="B2107" s="5">
        <v>43950.0</v>
      </c>
      <c r="C2107" s="6" t="s">
        <v>3322</v>
      </c>
      <c r="D2107" s="11">
        <f t="shared" si="1"/>
        <v>70</v>
      </c>
      <c r="E2107" s="8" t="str">
        <f t="shared" si="2"/>
        <v>https://resources.simonelectric.com/simon-catalogo-vehiculo-electrico</v>
      </c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</row>
    <row r="2108" ht="15.75" customHeight="1">
      <c r="A2108" s="5" t="s">
        <v>3323</v>
      </c>
      <c r="B2108" s="5">
        <v>43950.0</v>
      </c>
      <c r="C2108" s="6" t="s">
        <v>3324</v>
      </c>
      <c r="D2108" s="11">
        <f t="shared" si="1"/>
        <v>70</v>
      </c>
      <c r="E2108" s="8" t="str">
        <f t="shared" si="2"/>
        <v>https://resources.simonelectric.com/simon-catalogo-vehiculo-electrico</v>
      </c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</row>
    <row r="2109" ht="15.75" customHeight="1">
      <c r="A2109" s="5" t="s">
        <v>3325</v>
      </c>
      <c r="B2109" s="5">
        <v>43950.0</v>
      </c>
      <c r="C2109" s="6" t="s">
        <v>3326</v>
      </c>
      <c r="D2109" s="11">
        <f t="shared" si="1"/>
        <v>70</v>
      </c>
      <c r="E2109" s="8" t="str">
        <f t="shared" si="2"/>
        <v>https://resources.simonelectric.com/simon-catalogo-vehiculo-electrico</v>
      </c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</row>
    <row r="2110" ht="15.75" customHeight="1">
      <c r="A2110" s="5" t="s">
        <v>3327</v>
      </c>
      <c r="B2110" s="5">
        <v>43950.0</v>
      </c>
      <c r="C2110" s="6" t="s">
        <v>3328</v>
      </c>
      <c r="D2110" s="11">
        <f t="shared" si="1"/>
        <v>70</v>
      </c>
      <c r="E2110" s="8" t="str">
        <f t="shared" si="2"/>
        <v>https://resources.simonelectric.com/simon-catalogo-vehiculo-electrico</v>
      </c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</row>
    <row r="2111" ht="15.75" customHeight="1">
      <c r="A2111" s="5" t="s">
        <v>3329</v>
      </c>
      <c r="B2111" s="5">
        <v>43950.0</v>
      </c>
      <c r="C2111" s="6" t="s">
        <v>3330</v>
      </c>
      <c r="D2111" s="11">
        <f t="shared" si="1"/>
        <v>70</v>
      </c>
      <c r="E2111" s="8" t="str">
        <f t="shared" si="2"/>
        <v>https://resources.simonelectric.com/simon-catalogo-vehiculo-electrico</v>
      </c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</row>
    <row r="2112" ht="15.75" customHeight="1">
      <c r="A2112" s="5" t="s">
        <v>1827</v>
      </c>
      <c r="B2112" s="5">
        <v>43950.0</v>
      </c>
      <c r="C2112" s="6" t="s">
        <v>3331</v>
      </c>
      <c r="D2112" s="11">
        <f t="shared" si="1"/>
        <v>70</v>
      </c>
      <c r="E2112" s="8" t="str">
        <f t="shared" si="2"/>
        <v>https://resources.simonelectric.com/simon-catalogo-vehiculo-electrico</v>
      </c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</row>
    <row r="2113" ht="15.75" customHeight="1">
      <c r="A2113" s="5" t="s">
        <v>3332</v>
      </c>
      <c r="B2113" s="5">
        <v>43950.0</v>
      </c>
      <c r="C2113" s="6" t="s">
        <v>3333</v>
      </c>
      <c r="D2113" s="11">
        <f t="shared" si="1"/>
        <v>70</v>
      </c>
      <c r="E2113" s="8" t="str">
        <f t="shared" si="2"/>
        <v>https://resources.simonelectric.com/simon-catalogo-vehiculo-electrico</v>
      </c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</row>
    <row r="2114" ht="15.75" customHeight="1">
      <c r="A2114" s="5" t="s">
        <v>3334</v>
      </c>
      <c r="B2114" s="5">
        <v>43950.0</v>
      </c>
      <c r="C2114" s="6" t="s">
        <v>3335</v>
      </c>
      <c r="D2114" s="11">
        <f t="shared" si="1"/>
        <v>70</v>
      </c>
      <c r="E2114" s="8" t="str">
        <f t="shared" si="2"/>
        <v>https://resources.simonelectric.com/simon-catalogo-vehiculo-electrico</v>
      </c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</row>
    <row r="2115" ht="15.75" customHeight="1">
      <c r="A2115" s="5" t="s">
        <v>3336</v>
      </c>
      <c r="B2115" s="5">
        <v>43950.0</v>
      </c>
      <c r="C2115" s="6" t="s">
        <v>3337</v>
      </c>
      <c r="D2115" s="11">
        <f t="shared" si="1"/>
        <v>70</v>
      </c>
      <c r="E2115" s="8" t="str">
        <f t="shared" si="2"/>
        <v>https://resources.simonelectric.com/simon-catalogo-vehiculo-electrico</v>
      </c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</row>
    <row r="2116" ht="15.75" customHeight="1">
      <c r="A2116" s="5" t="s">
        <v>3338</v>
      </c>
      <c r="B2116" s="5">
        <v>43950.0</v>
      </c>
      <c r="C2116" s="6" t="s">
        <v>3339</v>
      </c>
      <c r="D2116" s="11">
        <f t="shared" si="1"/>
        <v>70</v>
      </c>
      <c r="E2116" s="8" t="str">
        <f t="shared" si="2"/>
        <v>https://resources.simonelectric.com/simon-catalogo-vehiculo-electrico</v>
      </c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</row>
    <row r="2117" ht="15.75" customHeight="1">
      <c r="A2117" s="5" t="s">
        <v>3340</v>
      </c>
      <c r="B2117" s="5">
        <v>43950.0</v>
      </c>
      <c r="C2117" s="6" t="s">
        <v>3341</v>
      </c>
      <c r="D2117" s="11">
        <f t="shared" si="1"/>
        <v>70</v>
      </c>
      <c r="E2117" s="8" t="str">
        <f t="shared" si="2"/>
        <v>https://resources.simonelectric.com/simon-catalogo-vehiculo-electrico</v>
      </c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</row>
    <row r="2118" ht="15.75" customHeight="1">
      <c r="A2118" s="5" t="s">
        <v>3342</v>
      </c>
      <c r="B2118" s="5">
        <v>43950.0</v>
      </c>
      <c r="C2118" s="6" t="s">
        <v>3343</v>
      </c>
      <c r="D2118" s="11">
        <f t="shared" si="1"/>
        <v>70</v>
      </c>
      <c r="E2118" s="8" t="str">
        <f t="shared" si="2"/>
        <v>https://resources.simonelectric.com/simon-catalogo-vehiculo-electrico</v>
      </c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</row>
    <row r="2119" ht="15.75" customHeight="1">
      <c r="A2119" s="5" t="s">
        <v>3344</v>
      </c>
      <c r="B2119" s="5">
        <v>43950.0</v>
      </c>
      <c r="C2119" s="6" t="s">
        <v>3345</v>
      </c>
      <c r="D2119" s="11">
        <f t="shared" si="1"/>
        <v>70</v>
      </c>
      <c r="E2119" s="8" t="str">
        <f t="shared" si="2"/>
        <v>https://resources.simonelectric.com/simon-catalogo-vehiculo-electrico</v>
      </c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</row>
    <row r="2120" ht="15.75" customHeight="1">
      <c r="A2120" s="5" t="s">
        <v>3346</v>
      </c>
      <c r="B2120" s="5">
        <v>43950.0</v>
      </c>
      <c r="C2120" s="6" t="s">
        <v>3347</v>
      </c>
      <c r="D2120" s="11">
        <f t="shared" si="1"/>
        <v>70</v>
      </c>
      <c r="E2120" s="8" t="str">
        <f t="shared" si="2"/>
        <v>https://resources.simonelectric.com/simon-catalogo-vehiculo-electrico</v>
      </c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</row>
    <row r="2121" ht="15.75" customHeight="1">
      <c r="A2121" s="5" t="s">
        <v>734</v>
      </c>
      <c r="B2121" s="5">
        <v>43950.0</v>
      </c>
      <c r="C2121" s="6" t="s">
        <v>3348</v>
      </c>
      <c r="D2121" s="11">
        <f t="shared" si="1"/>
        <v>70</v>
      </c>
      <c r="E2121" s="8" t="str">
        <f t="shared" si="2"/>
        <v>https://resources.simonelectric.com/simon-catalogo-vehiculo-electrico</v>
      </c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</row>
    <row r="2122" ht="15.75" customHeight="1">
      <c r="A2122" s="5" t="s">
        <v>3349</v>
      </c>
      <c r="B2122" s="5">
        <v>43950.0</v>
      </c>
      <c r="C2122" s="6" t="s">
        <v>3350</v>
      </c>
      <c r="D2122" s="11">
        <f t="shared" si="1"/>
        <v>70</v>
      </c>
      <c r="E2122" s="8" t="str">
        <f t="shared" si="2"/>
        <v>https://resources.simonelectric.com/simon-catalogo-vehiculo-electrico</v>
      </c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</row>
    <row r="2123" ht="15.75" customHeight="1">
      <c r="A2123" s="5" t="s">
        <v>3351</v>
      </c>
      <c r="B2123" s="5">
        <v>43950.0</v>
      </c>
      <c r="C2123" s="6" t="s">
        <v>3352</v>
      </c>
      <c r="D2123" s="10">
        <f t="shared" si="1"/>
        <v>70</v>
      </c>
      <c r="E2123" s="8" t="str">
        <f t="shared" si="2"/>
        <v>https://resources.simonelectric.com/simon-catalogo-vehiculo-electrico</v>
      </c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</row>
    <row r="2124" ht="15.75" customHeight="1">
      <c r="A2124" s="5" t="s">
        <v>3353</v>
      </c>
      <c r="B2124" s="5">
        <v>43950.0</v>
      </c>
      <c r="C2124" s="6" t="s">
        <v>3354</v>
      </c>
      <c r="D2124" s="11">
        <f t="shared" si="1"/>
        <v>70</v>
      </c>
      <c r="E2124" s="8" t="str">
        <f t="shared" si="2"/>
        <v>https://resources.simonelectric.com/simon-catalogo-vehiculo-electrico</v>
      </c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</row>
    <row r="2125" ht="15.75" customHeight="1">
      <c r="A2125" s="5" t="s">
        <v>3355</v>
      </c>
      <c r="B2125" s="5">
        <v>43950.0</v>
      </c>
      <c r="C2125" s="6" t="s">
        <v>3356</v>
      </c>
      <c r="D2125" s="11">
        <f t="shared" si="1"/>
        <v>70</v>
      </c>
      <c r="E2125" s="8" t="str">
        <f t="shared" si="2"/>
        <v>https://resources.simonelectric.com/simon-catalogo-vehiculo-electrico</v>
      </c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</row>
    <row r="2126" ht="15.75" customHeight="1">
      <c r="A2126" s="5" t="s">
        <v>3357</v>
      </c>
      <c r="B2126" s="5">
        <v>43950.0</v>
      </c>
      <c r="C2126" s="6" t="s">
        <v>3358</v>
      </c>
      <c r="D2126" s="11">
        <f t="shared" si="1"/>
        <v>70</v>
      </c>
      <c r="E2126" s="8" t="str">
        <f t="shared" si="2"/>
        <v>https://resources.simonelectric.com/simon-catalogo-vehiculo-electrico</v>
      </c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</row>
    <row r="2127" ht="15.75" customHeight="1">
      <c r="A2127" s="5" t="s">
        <v>3359</v>
      </c>
      <c r="B2127" s="5">
        <v>43950.0</v>
      </c>
      <c r="C2127" s="6" t="s">
        <v>3360</v>
      </c>
      <c r="D2127" s="11">
        <f t="shared" si="1"/>
        <v>70</v>
      </c>
      <c r="E2127" s="8" t="str">
        <f t="shared" si="2"/>
        <v>https://resources.simonelectric.com/simon-catalogo-vehiculo-electrico</v>
      </c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</row>
    <row r="2128" ht="15.75" customHeight="1">
      <c r="A2128" s="5" t="s">
        <v>3361</v>
      </c>
      <c r="B2128" s="5">
        <v>43950.0</v>
      </c>
      <c r="C2128" s="6" t="s">
        <v>3362</v>
      </c>
      <c r="D2128" s="11">
        <f t="shared" si="1"/>
        <v>70</v>
      </c>
      <c r="E2128" s="8" t="str">
        <f t="shared" si="2"/>
        <v>https://resources.simonelectric.com/simon-catalogo-vehiculo-electrico</v>
      </c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</row>
    <row r="2129" ht="15.75" customHeight="1">
      <c r="A2129" s="5" t="s">
        <v>3363</v>
      </c>
      <c r="B2129" s="5">
        <v>43950.0</v>
      </c>
      <c r="C2129" s="6" t="s">
        <v>3364</v>
      </c>
      <c r="D2129" s="11">
        <f t="shared" si="1"/>
        <v>70</v>
      </c>
      <c r="E2129" s="8" t="str">
        <f t="shared" si="2"/>
        <v>https://resources.simonelectric.com/simon-catalogo-vehiculo-electrico</v>
      </c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</row>
    <row r="2130" ht="15.75" customHeight="1">
      <c r="A2130" s="5" t="s">
        <v>3365</v>
      </c>
      <c r="B2130" s="5">
        <v>43950.0</v>
      </c>
      <c r="C2130" s="6" t="s">
        <v>3366</v>
      </c>
      <c r="D2130" s="11">
        <f t="shared" si="1"/>
        <v>70</v>
      </c>
      <c r="E2130" s="8" t="str">
        <f t="shared" si="2"/>
        <v>https://resources.simonelectric.com/simon-catalogo-vehiculo-electrico</v>
      </c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</row>
    <row r="2131" ht="15.75" customHeight="1">
      <c r="A2131" s="5" t="s">
        <v>3367</v>
      </c>
      <c r="B2131" s="5">
        <v>43950.0</v>
      </c>
      <c r="C2131" s="6" t="s">
        <v>3368</v>
      </c>
      <c r="D2131" s="11">
        <f t="shared" si="1"/>
        <v>70</v>
      </c>
      <c r="E2131" s="8" t="str">
        <f t="shared" si="2"/>
        <v>https://resources.simonelectric.com/simon-catalogo-vehiculo-electrico</v>
      </c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</row>
    <row r="2132" ht="15.75" customHeight="1">
      <c r="A2132" s="5" t="s">
        <v>3369</v>
      </c>
      <c r="B2132" s="5">
        <v>43950.0</v>
      </c>
      <c r="C2132" s="6" t="s">
        <v>3370</v>
      </c>
      <c r="D2132" s="11">
        <f t="shared" si="1"/>
        <v>70</v>
      </c>
      <c r="E2132" s="8" t="str">
        <f t="shared" si="2"/>
        <v>https://resources.simonelectric.com/simon-catalogo-vehiculo-electrico</v>
      </c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</row>
    <row r="2133" ht="15.75" customHeight="1">
      <c r="A2133" s="5" t="s">
        <v>3371</v>
      </c>
      <c r="B2133" s="5">
        <v>43950.0</v>
      </c>
      <c r="C2133" s="6" t="s">
        <v>3372</v>
      </c>
      <c r="D2133" s="11">
        <f t="shared" si="1"/>
        <v>70</v>
      </c>
      <c r="E2133" s="8" t="str">
        <f t="shared" si="2"/>
        <v>https://resources.simonelectric.com/simon-catalogo-vehiculo-electrico</v>
      </c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</row>
    <row r="2134" ht="15.75" customHeight="1">
      <c r="A2134" s="5" t="s">
        <v>3373</v>
      </c>
      <c r="B2134" s="5">
        <v>43950.0</v>
      </c>
      <c r="C2134" s="6" t="s">
        <v>3374</v>
      </c>
      <c r="D2134" s="11">
        <f t="shared" si="1"/>
        <v>70</v>
      </c>
      <c r="E2134" s="8" t="str">
        <f t="shared" si="2"/>
        <v>https://resources.simonelectric.com/simon-catalogo-vehiculo-electrico</v>
      </c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</row>
    <row r="2135" ht="15.75" customHeight="1">
      <c r="A2135" s="5" t="s">
        <v>3375</v>
      </c>
      <c r="B2135" s="5">
        <v>43950.0</v>
      </c>
      <c r="C2135" s="6" t="s">
        <v>3376</v>
      </c>
      <c r="D2135" s="11">
        <f t="shared" si="1"/>
        <v>70</v>
      </c>
      <c r="E2135" s="8" t="str">
        <f t="shared" si="2"/>
        <v>https://resources.simonelectric.com/simon-catalogo-vehiculo-electrico</v>
      </c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</row>
    <row r="2136" ht="15.75" customHeight="1">
      <c r="A2136" s="5" t="s">
        <v>3377</v>
      </c>
      <c r="B2136" s="5">
        <v>43950.0</v>
      </c>
      <c r="C2136" s="6" t="s">
        <v>3378</v>
      </c>
      <c r="D2136" s="11">
        <f t="shared" si="1"/>
        <v>70</v>
      </c>
      <c r="E2136" s="8" t="str">
        <f t="shared" si="2"/>
        <v>https://resources.simonelectric.com/simon-catalogo-vehiculo-electrico</v>
      </c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</row>
    <row r="2137" ht="15.75" customHeight="1">
      <c r="A2137" s="5" t="s">
        <v>3379</v>
      </c>
      <c r="B2137" s="5">
        <v>43950.0</v>
      </c>
      <c r="C2137" s="6" t="s">
        <v>3380</v>
      </c>
      <c r="D2137" s="10">
        <f t="shared" si="1"/>
        <v>70</v>
      </c>
      <c r="E2137" s="8" t="str">
        <f t="shared" si="2"/>
        <v>https://resources.simonelectric.com/simon-catalogo-vehiculo-electrico</v>
      </c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</row>
    <row r="2138" ht="15.75" customHeight="1">
      <c r="A2138" s="5" t="s">
        <v>3381</v>
      </c>
      <c r="B2138" s="5">
        <v>43950.0</v>
      </c>
      <c r="C2138" s="6" t="s">
        <v>3382</v>
      </c>
      <c r="D2138" s="10">
        <f t="shared" si="1"/>
        <v>70</v>
      </c>
      <c r="E2138" s="8" t="str">
        <f t="shared" si="2"/>
        <v>https://resources.simonelectric.com/simon-catalogo-vehiculo-electrico</v>
      </c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</row>
    <row r="2139" ht="15.75" customHeight="1">
      <c r="A2139" s="5" t="s">
        <v>3383</v>
      </c>
      <c r="B2139" s="5">
        <v>43950.0</v>
      </c>
      <c r="C2139" s="6" t="s">
        <v>3384</v>
      </c>
      <c r="D2139" s="11">
        <f t="shared" si="1"/>
        <v>70</v>
      </c>
      <c r="E2139" s="8" t="str">
        <f t="shared" si="2"/>
        <v>https://resources.simonelectric.com/simon-catalogo-vehiculo-electrico</v>
      </c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</row>
    <row r="2140" ht="15.75" customHeight="1">
      <c r="A2140" s="5" t="s">
        <v>3385</v>
      </c>
      <c r="B2140" s="5">
        <v>43950.0</v>
      </c>
      <c r="C2140" s="6" t="s">
        <v>3386</v>
      </c>
      <c r="D2140" s="11">
        <f t="shared" si="1"/>
        <v>70</v>
      </c>
      <c r="E2140" s="8" t="str">
        <f t="shared" si="2"/>
        <v>https://resources.simonelectric.com/simon-catalogo-vehiculo-electrico</v>
      </c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</row>
    <row r="2141" ht="15.75" customHeight="1">
      <c r="A2141" s="5" t="s">
        <v>3387</v>
      </c>
      <c r="B2141" s="5">
        <v>43950.0</v>
      </c>
      <c r="C2141" s="6" t="s">
        <v>3388</v>
      </c>
      <c r="D2141" s="11">
        <f t="shared" si="1"/>
        <v>70</v>
      </c>
      <c r="E2141" s="8" t="str">
        <f t="shared" si="2"/>
        <v>https://resources.simonelectric.com/simon-catalogo-vehiculo-electrico</v>
      </c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</row>
    <row r="2142" ht="15.75" customHeight="1">
      <c r="A2142" s="5" t="s">
        <v>3389</v>
      </c>
      <c r="B2142" s="5">
        <v>43950.0</v>
      </c>
      <c r="C2142" s="6" t="s">
        <v>3390</v>
      </c>
      <c r="D2142" s="11">
        <f t="shared" si="1"/>
        <v>70</v>
      </c>
      <c r="E2142" s="8" t="str">
        <f t="shared" si="2"/>
        <v>https://resources.simonelectric.com/simon-catalogo-vehiculo-electrico</v>
      </c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</row>
    <row r="2143" ht="15.75" customHeight="1">
      <c r="A2143" s="5" t="s">
        <v>3391</v>
      </c>
      <c r="B2143" s="5">
        <v>43950.0</v>
      </c>
      <c r="C2143" s="6" t="s">
        <v>3392</v>
      </c>
      <c r="D2143" s="11">
        <f t="shared" si="1"/>
        <v>70</v>
      </c>
      <c r="E2143" s="8" t="str">
        <f t="shared" si="2"/>
        <v>https://resources.simonelectric.com/simon-catalogo-vehiculo-electrico</v>
      </c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</row>
    <row r="2144" ht="15.75" customHeight="1">
      <c r="A2144" s="5" t="s">
        <v>3393</v>
      </c>
      <c r="B2144" s="5">
        <v>43950.0</v>
      </c>
      <c r="C2144" s="6" t="s">
        <v>3394</v>
      </c>
      <c r="D2144" s="10">
        <f t="shared" si="1"/>
        <v>70</v>
      </c>
      <c r="E2144" s="8" t="str">
        <f t="shared" si="2"/>
        <v>https://resources.simonelectric.com/simon-catalogo-vehiculo-electrico</v>
      </c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</row>
    <row r="2145" ht="15.75" customHeight="1">
      <c r="A2145" s="5" t="s">
        <v>3395</v>
      </c>
      <c r="B2145" s="5">
        <v>43950.0</v>
      </c>
      <c r="C2145" s="6" t="s">
        <v>3396</v>
      </c>
      <c r="D2145" s="11">
        <f t="shared" si="1"/>
        <v>70</v>
      </c>
      <c r="E2145" s="8" t="str">
        <f t="shared" si="2"/>
        <v>https://resources.simonelectric.com/simon-catalogo-vehiculo-electrico</v>
      </c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</row>
    <row r="2146" ht="15.75" customHeight="1">
      <c r="A2146" s="5" t="s">
        <v>3397</v>
      </c>
      <c r="B2146" s="5">
        <v>43950.0</v>
      </c>
      <c r="C2146" s="6" t="s">
        <v>3398</v>
      </c>
      <c r="D2146" s="11">
        <f t="shared" si="1"/>
        <v>70</v>
      </c>
      <c r="E2146" s="8" t="str">
        <f t="shared" si="2"/>
        <v>https://resources.simonelectric.com/simon-catalogo-vehiculo-electrico</v>
      </c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</row>
    <row r="2147" ht="15.75" customHeight="1">
      <c r="A2147" s="5" t="s">
        <v>1837</v>
      </c>
      <c r="B2147" s="5">
        <v>43950.0</v>
      </c>
      <c r="C2147" s="6" t="s">
        <v>3399</v>
      </c>
      <c r="D2147" s="11">
        <f t="shared" si="1"/>
        <v>70</v>
      </c>
      <c r="E2147" s="8" t="str">
        <f t="shared" si="2"/>
        <v>https://resources.simonelectric.com/simon-catalogo-vehiculo-electrico</v>
      </c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</row>
    <row r="2148" ht="15.75" customHeight="1">
      <c r="A2148" s="5" t="s">
        <v>3400</v>
      </c>
      <c r="B2148" s="5">
        <v>43950.0</v>
      </c>
      <c r="C2148" s="6" t="s">
        <v>3401</v>
      </c>
      <c r="D2148" s="11">
        <f t="shared" si="1"/>
        <v>70</v>
      </c>
      <c r="E2148" s="8" t="str">
        <f t="shared" si="2"/>
        <v>https://resources.simonelectric.com/simon-catalogo-vehiculo-electrico</v>
      </c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</row>
    <row r="2149" ht="15.75" customHeight="1">
      <c r="A2149" s="5" t="s">
        <v>3402</v>
      </c>
      <c r="B2149" s="5">
        <v>43950.0</v>
      </c>
      <c r="C2149" s="6" t="s">
        <v>3403</v>
      </c>
      <c r="D2149" s="10">
        <f t="shared" si="1"/>
        <v>70</v>
      </c>
      <c r="E2149" s="8" t="str">
        <f t="shared" si="2"/>
        <v>https://resources.simonelectric.com/simon-catalogo-vehiculo-electrico</v>
      </c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</row>
    <row r="2150" ht="15.75" customHeight="1">
      <c r="A2150" s="5" t="s">
        <v>3404</v>
      </c>
      <c r="B2150" s="5">
        <v>43950.0</v>
      </c>
      <c r="C2150" s="6" t="s">
        <v>3405</v>
      </c>
      <c r="D2150" s="11">
        <f t="shared" si="1"/>
        <v>70</v>
      </c>
      <c r="E2150" s="8" t="str">
        <f t="shared" si="2"/>
        <v>https://resources.simonelectric.com/simon-catalogo-vehiculo-electrico</v>
      </c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</row>
    <row r="2151" ht="15.75" customHeight="1">
      <c r="A2151" s="5" t="s">
        <v>3406</v>
      </c>
      <c r="B2151" s="5">
        <v>43950.0</v>
      </c>
      <c r="C2151" s="6" t="s">
        <v>3407</v>
      </c>
      <c r="D2151" s="11">
        <f t="shared" si="1"/>
        <v>70</v>
      </c>
      <c r="E2151" s="8" t="str">
        <f t="shared" si="2"/>
        <v>https://resources.simonelectric.com/simon-catalogo-vehiculo-electrico</v>
      </c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</row>
    <row r="2152" ht="15.75" customHeight="1">
      <c r="A2152" s="5" t="s">
        <v>3408</v>
      </c>
      <c r="B2152" s="5">
        <v>43950.0</v>
      </c>
      <c r="C2152" s="6" t="s">
        <v>3409</v>
      </c>
      <c r="D2152" s="10">
        <f t="shared" si="1"/>
        <v>70</v>
      </c>
      <c r="E2152" s="8" t="str">
        <f t="shared" si="2"/>
        <v>https://resources.simonelectric.com/simon-catalogo-vehiculo-electrico</v>
      </c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</row>
    <row r="2153" ht="15.75" customHeight="1">
      <c r="A2153" s="5" t="s">
        <v>3410</v>
      </c>
      <c r="B2153" s="5">
        <v>43950.0</v>
      </c>
      <c r="C2153" s="6" t="s">
        <v>3411</v>
      </c>
      <c r="D2153" s="10">
        <f t="shared" si="1"/>
        <v>70</v>
      </c>
      <c r="E2153" s="8" t="str">
        <f t="shared" si="2"/>
        <v>https://resources.simonelectric.com/simon-catalogo-vehiculo-electrico</v>
      </c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</row>
    <row r="2154" ht="15.75" customHeight="1">
      <c r="A2154" s="5" t="s">
        <v>3412</v>
      </c>
      <c r="B2154" s="5">
        <v>43950.0</v>
      </c>
      <c r="C2154" s="6" t="s">
        <v>3413</v>
      </c>
      <c r="D2154" s="10">
        <f t="shared" si="1"/>
        <v>70</v>
      </c>
      <c r="E2154" s="8" t="str">
        <f t="shared" si="2"/>
        <v>https://resources.simonelectric.com/simon-catalogo-vehiculo-electrico</v>
      </c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</row>
    <row r="2155" ht="15.75" customHeight="1">
      <c r="A2155" s="5" t="s">
        <v>3414</v>
      </c>
      <c r="B2155" s="5">
        <v>43950.0</v>
      </c>
      <c r="C2155" s="6" t="s">
        <v>3415</v>
      </c>
      <c r="D2155" s="10">
        <f t="shared" si="1"/>
        <v>70</v>
      </c>
      <c r="E2155" s="8" t="str">
        <f t="shared" si="2"/>
        <v>https://resources.simonelectric.com/simon-catalogo-vehiculo-electrico</v>
      </c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</row>
    <row r="2156" ht="15.75" customHeight="1">
      <c r="A2156" s="5" t="s">
        <v>1737</v>
      </c>
      <c r="B2156" s="5">
        <v>43950.0</v>
      </c>
      <c r="C2156" s="6" t="s">
        <v>3416</v>
      </c>
      <c r="D2156" s="10">
        <f t="shared" si="1"/>
        <v>70</v>
      </c>
      <c r="E2156" s="8" t="str">
        <f t="shared" si="2"/>
        <v>https://resources.simonelectric.com/simon-catalogo-vehiculo-electrico</v>
      </c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</row>
    <row r="2157" ht="15.75" customHeight="1">
      <c r="A2157" s="5" t="s">
        <v>3417</v>
      </c>
      <c r="B2157" s="5">
        <v>43950.0</v>
      </c>
      <c r="C2157" s="6" t="s">
        <v>3418</v>
      </c>
      <c r="D2157" s="10">
        <f t="shared" si="1"/>
        <v>70</v>
      </c>
      <c r="E2157" s="8" t="str">
        <f t="shared" si="2"/>
        <v>https://resources.simonelectric.com/simon-catalogo-vehiculo-electrico</v>
      </c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</row>
    <row r="2158" ht="15.75" customHeight="1">
      <c r="A2158" s="5" t="s">
        <v>3419</v>
      </c>
      <c r="B2158" s="5">
        <v>43950.0</v>
      </c>
      <c r="C2158" s="6" t="s">
        <v>3420</v>
      </c>
      <c r="D2158" s="10">
        <f t="shared" si="1"/>
        <v>70</v>
      </c>
      <c r="E2158" s="8" t="str">
        <f t="shared" si="2"/>
        <v>https://resources.simonelectric.com/simon-catalogo-vehiculo-electrico</v>
      </c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</row>
    <row r="2159" ht="15.75" customHeight="1">
      <c r="A2159" s="5" t="s">
        <v>3421</v>
      </c>
      <c r="B2159" s="5">
        <v>43950.0</v>
      </c>
      <c r="C2159" s="6" t="s">
        <v>3422</v>
      </c>
      <c r="D2159" s="10">
        <f t="shared" si="1"/>
        <v>70</v>
      </c>
      <c r="E2159" s="8" t="str">
        <f t="shared" si="2"/>
        <v>https://resources.simonelectric.com/simon-catalogo-vehiculo-electrico</v>
      </c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</row>
    <row r="2160" ht="15.75" customHeight="1">
      <c r="A2160" s="5" t="s">
        <v>3423</v>
      </c>
      <c r="B2160" s="5">
        <v>43950.0</v>
      </c>
      <c r="C2160" s="6" t="s">
        <v>3424</v>
      </c>
      <c r="D2160" s="10">
        <f t="shared" si="1"/>
        <v>70</v>
      </c>
      <c r="E2160" s="8" t="str">
        <f t="shared" si="2"/>
        <v>https://resources.simonelectric.com/simon-catalogo-vehiculo-electrico</v>
      </c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</row>
    <row r="2161" ht="15.75" customHeight="1">
      <c r="A2161" s="5" t="s">
        <v>3425</v>
      </c>
      <c r="B2161" s="5">
        <v>43950.0</v>
      </c>
      <c r="C2161" s="6" t="s">
        <v>3426</v>
      </c>
      <c r="D2161" s="10">
        <f t="shared" si="1"/>
        <v>70</v>
      </c>
      <c r="E2161" s="8" t="str">
        <f t="shared" si="2"/>
        <v>https://resources.simonelectric.com/simon-catalogo-vehiculo-electrico</v>
      </c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</row>
    <row r="2162" ht="15.75" customHeight="1">
      <c r="A2162" s="5" t="s">
        <v>3427</v>
      </c>
      <c r="B2162" s="5">
        <v>43950.0</v>
      </c>
      <c r="C2162" s="6" t="s">
        <v>3428</v>
      </c>
      <c r="D2162" s="11">
        <f t="shared" si="1"/>
        <v>70</v>
      </c>
      <c r="E2162" s="8" t="str">
        <f t="shared" si="2"/>
        <v>https://resources.simonelectric.com/simon-catalogo-vehiculo-electrico</v>
      </c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</row>
    <row r="2163" ht="15.75" customHeight="1">
      <c r="A2163" s="5" t="s">
        <v>3429</v>
      </c>
      <c r="B2163" s="5">
        <v>43950.0</v>
      </c>
      <c r="C2163" s="6" t="s">
        <v>3430</v>
      </c>
      <c r="D2163" s="11">
        <f t="shared" si="1"/>
        <v>70</v>
      </c>
      <c r="E2163" s="8" t="str">
        <f t="shared" si="2"/>
        <v>https://resources.simonelectric.com/simon-catalogo-vehiculo-electrico</v>
      </c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</row>
    <row r="2164" ht="15.75" customHeight="1">
      <c r="A2164" s="5" t="s">
        <v>3431</v>
      </c>
      <c r="B2164" s="5">
        <v>43950.0</v>
      </c>
      <c r="C2164" s="6" t="s">
        <v>3432</v>
      </c>
      <c r="D2164" s="11">
        <f t="shared" si="1"/>
        <v>70</v>
      </c>
      <c r="E2164" s="8" t="str">
        <f t="shared" si="2"/>
        <v>https://resources.simonelectric.com/simon-catalogo-vehiculo-electrico</v>
      </c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</row>
    <row r="2165" ht="15.75" customHeight="1">
      <c r="A2165" s="5" t="s">
        <v>3433</v>
      </c>
      <c r="B2165" s="5">
        <v>43950.0</v>
      </c>
      <c r="C2165" s="6" t="s">
        <v>3434</v>
      </c>
      <c r="D2165" s="11">
        <f t="shared" si="1"/>
        <v>70</v>
      </c>
      <c r="E2165" s="8" t="str">
        <f t="shared" si="2"/>
        <v>https://resources.simonelectric.com/simon-catalogo-vehiculo-electrico</v>
      </c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</row>
    <row r="2166" ht="15.75" customHeight="1">
      <c r="A2166" s="5" t="s">
        <v>3435</v>
      </c>
      <c r="B2166" s="5">
        <v>43950.0</v>
      </c>
      <c r="C2166" s="6" t="s">
        <v>3436</v>
      </c>
      <c r="D2166" s="10">
        <f t="shared" si="1"/>
        <v>70</v>
      </c>
      <c r="E2166" s="8" t="str">
        <f t="shared" si="2"/>
        <v>https://resources.simonelectric.com/simon-catalogo-vehiculo-electrico</v>
      </c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</row>
    <row r="2167" ht="15.75" customHeight="1">
      <c r="A2167" s="5" t="s">
        <v>3437</v>
      </c>
      <c r="B2167" s="5">
        <v>43950.0</v>
      </c>
      <c r="C2167" s="6" t="s">
        <v>3438</v>
      </c>
      <c r="D2167" s="11">
        <f t="shared" si="1"/>
        <v>70</v>
      </c>
      <c r="E2167" s="8" t="str">
        <f t="shared" si="2"/>
        <v>https://resources.simonelectric.com/simon-catalogo-vehiculo-electrico</v>
      </c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</row>
    <row r="2168" ht="15.75" customHeight="1">
      <c r="A2168" s="5" t="s">
        <v>1117</v>
      </c>
      <c r="B2168" s="5">
        <v>43950.0</v>
      </c>
      <c r="C2168" s="6" t="s">
        <v>3439</v>
      </c>
      <c r="D2168" s="10">
        <f t="shared" si="1"/>
        <v>70</v>
      </c>
      <c r="E2168" s="8" t="str">
        <f t="shared" si="2"/>
        <v>https://resources.simonelectric.com/simon-catalogo-vehiculo-electrico</v>
      </c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</row>
    <row r="2169" ht="15.75" customHeight="1">
      <c r="A2169" s="5" t="s">
        <v>3440</v>
      </c>
      <c r="B2169" s="5">
        <v>43950.0</v>
      </c>
      <c r="C2169" s="6" t="s">
        <v>3441</v>
      </c>
      <c r="D2169" s="11">
        <f t="shared" si="1"/>
        <v>70</v>
      </c>
      <c r="E2169" s="8" t="str">
        <f t="shared" si="2"/>
        <v>https://resources.simonelectric.com/simon-catalogo-vehiculo-electrico</v>
      </c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</row>
    <row r="2170" ht="15.75" customHeight="1">
      <c r="A2170" s="5" t="s">
        <v>3442</v>
      </c>
      <c r="B2170" s="5">
        <v>43950.0</v>
      </c>
      <c r="C2170" s="6" t="s">
        <v>3443</v>
      </c>
      <c r="D2170" s="10">
        <f t="shared" si="1"/>
        <v>70</v>
      </c>
      <c r="E2170" s="8" t="str">
        <f t="shared" si="2"/>
        <v>https://resources.simonelectric.com/simon-catalogo-vehiculo-electrico</v>
      </c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</row>
    <row r="2171" ht="15.75" customHeight="1">
      <c r="A2171" s="5" t="s">
        <v>3444</v>
      </c>
      <c r="B2171" s="5">
        <v>43950.0</v>
      </c>
      <c r="C2171" s="6" t="s">
        <v>3445</v>
      </c>
      <c r="D2171" s="10">
        <f t="shared" si="1"/>
        <v>70</v>
      </c>
      <c r="E2171" s="8" t="str">
        <f t="shared" si="2"/>
        <v>https://resources.simonelectric.com/simon-catalogo-vehiculo-electrico</v>
      </c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</row>
    <row r="2172" ht="15.75" customHeight="1">
      <c r="A2172" s="5" t="s">
        <v>3446</v>
      </c>
      <c r="B2172" s="5">
        <v>43950.0</v>
      </c>
      <c r="C2172" s="6" t="s">
        <v>3447</v>
      </c>
      <c r="D2172" s="10">
        <f t="shared" si="1"/>
        <v>70</v>
      </c>
      <c r="E2172" s="8" t="str">
        <f t="shared" si="2"/>
        <v>https://resources.simonelectric.com/simon-catalogo-vehiculo-electrico</v>
      </c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</row>
    <row r="2173" ht="15.75" customHeight="1">
      <c r="A2173" s="5" t="s">
        <v>3448</v>
      </c>
      <c r="B2173" s="5">
        <v>43950.0</v>
      </c>
      <c r="C2173" s="6" t="s">
        <v>3449</v>
      </c>
      <c r="D2173" s="10">
        <f t="shared" si="1"/>
        <v>70</v>
      </c>
      <c r="E2173" s="8" t="str">
        <f t="shared" si="2"/>
        <v>https://resources.simonelectric.com/simon-catalogo-vehiculo-electrico</v>
      </c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</row>
    <row r="2174" ht="15.75" customHeight="1">
      <c r="A2174" s="5" t="s">
        <v>3450</v>
      </c>
      <c r="B2174" s="5">
        <v>43950.0</v>
      </c>
      <c r="C2174" s="6" t="s">
        <v>3451</v>
      </c>
      <c r="D2174" s="10">
        <f t="shared" si="1"/>
        <v>70</v>
      </c>
      <c r="E2174" s="8" t="str">
        <f t="shared" si="2"/>
        <v>https://resources.simonelectric.com/simon-catalogo-vehiculo-electrico</v>
      </c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</row>
    <row r="2175" ht="15.75" customHeight="1">
      <c r="A2175" s="5" t="s">
        <v>3452</v>
      </c>
      <c r="B2175" s="5">
        <v>43950.0</v>
      </c>
      <c r="C2175" s="6" t="s">
        <v>3453</v>
      </c>
      <c r="D2175" s="10">
        <f t="shared" si="1"/>
        <v>70</v>
      </c>
      <c r="E2175" s="8" t="str">
        <f t="shared" si="2"/>
        <v>https://resources.simonelectric.com/simon-catalogo-vehiculo-electrico</v>
      </c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</row>
    <row r="2176" ht="15.75" customHeight="1">
      <c r="A2176" s="5" t="s">
        <v>3454</v>
      </c>
      <c r="B2176" s="5">
        <v>43950.0</v>
      </c>
      <c r="C2176" s="6" t="s">
        <v>3455</v>
      </c>
      <c r="D2176" s="10">
        <f t="shared" si="1"/>
        <v>70</v>
      </c>
      <c r="E2176" s="8" t="str">
        <f t="shared" si="2"/>
        <v>https://resources.simonelectric.com/simon-catalogo-vehiculo-electrico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</row>
    <row r="2177" ht="15.75" customHeight="1">
      <c r="A2177" s="5" t="s">
        <v>3456</v>
      </c>
      <c r="B2177" s="5">
        <v>43950.0</v>
      </c>
      <c r="C2177" s="6" t="s">
        <v>3457</v>
      </c>
      <c r="D2177" s="10">
        <f t="shared" si="1"/>
        <v>70</v>
      </c>
      <c r="E2177" s="8" t="str">
        <f t="shared" si="2"/>
        <v>https://resources.simonelectric.com/simon-catalogo-vehiculo-electrico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</row>
    <row r="2178" ht="15.75" customHeight="1">
      <c r="A2178" s="5" t="s">
        <v>3458</v>
      </c>
      <c r="B2178" s="5">
        <v>43950.0</v>
      </c>
      <c r="C2178" s="6" t="s">
        <v>3459</v>
      </c>
      <c r="D2178" s="10">
        <f t="shared" si="1"/>
        <v>70</v>
      </c>
      <c r="E2178" s="8" t="str">
        <f t="shared" si="2"/>
        <v>https://resources.simonelectric.com/simon-catalogo-vehiculo-electrico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</row>
    <row r="2179" ht="15.75" customHeight="1">
      <c r="A2179" s="5" t="s">
        <v>1050</v>
      </c>
      <c r="B2179" s="5">
        <v>43950.0</v>
      </c>
      <c r="C2179" s="6" t="s">
        <v>3460</v>
      </c>
      <c r="D2179" s="10">
        <f t="shared" si="1"/>
        <v>70</v>
      </c>
      <c r="E2179" s="8" t="str">
        <f t="shared" si="2"/>
        <v>https://resources.simonelectric.com/simon-catalogo-vehiculo-electrico</v>
      </c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</row>
    <row r="2180" ht="15.75" customHeight="1">
      <c r="A2180" s="5" t="s">
        <v>773</v>
      </c>
      <c r="B2180" s="5">
        <v>43950.0</v>
      </c>
      <c r="C2180" s="6" t="s">
        <v>3461</v>
      </c>
      <c r="D2180" s="10">
        <f t="shared" si="1"/>
        <v>70</v>
      </c>
      <c r="E2180" s="8" t="str">
        <f t="shared" si="2"/>
        <v>https://resources.simonelectric.com/simon-catalogo-vehiculo-electrico</v>
      </c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</row>
    <row r="2181" ht="15.75" customHeight="1">
      <c r="A2181" s="5" t="s">
        <v>3462</v>
      </c>
      <c r="B2181" s="5">
        <v>43950.0</v>
      </c>
      <c r="C2181" s="6" t="s">
        <v>3463</v>
      </c>
      <c r="D2181" s="10">
        <f t="shared" si="1"/>
        <v>70</v>
      </c>
      <c r="E2181" s="8" t="str">
        <f t="shared" si="2"/>
        <v>https://resources.simonelectric.com/simon-catalogo-vehiculo-electrico</v>
      </c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</row>
    <row r="2182" ht="15.75" customHeight="1">
      <c r="A2182" s="5" t="s">
        <v>3464</v>
      </c>
      <c r="B2182" s="5">
        <v>43950.0</v>
      </c>
      <c r="C2182" s="6" t="s">
        <v>3465</v>
      </c>
      <c r="D2182" s="10">
        <f t="shared" si="1"/>
        <v>70</v>
      </c>
      <c r="E2182" s="8" t="str">
        <f t="shared" si="2"/>
        <v>https://resources.simonelectric.com/simon-catalogo-vehiculo-electrico</v>
      </c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</row>
    <row r="2183" ht="15.75" customHeight="1">
      <c r="A2183" s="5" t="s">
        <v>3466</v>
      </c>
      <c r="B2183" s="5">
        <v>43950.0</v>
      </c>
      <c r="C2183" s="6" t="s">
        <v>3467</v>
      </c>
      <c r="D2183" s="10">
        <f t="shared" si="1"/>
        <v>70</v>
      </c>
      <c r="E2183" s="8" t="str">
        <f t="shared" si="2"/>
        <v>https://resources.simonelectric.com/simon-catalogo-vehiculo-electrico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</row>
    <row r="2184" ht="15.75" customHeight="1">
      <c r="A2184" s="5" t="s">
        <v>3468</v>
      </c>
      <c r="B2184" s="5">
        <v>43950.0</v>
      </c>
      <c r="C2184" s="6" t="s">
        <v>3469</v>
      </c>
      <c r="D2184" s="10">
        <f t="shared" si="1"/>
        <v>70</v>
      </c>
      <c r="E2184" s="8" t="str">
        <f t="shared" si="2"/>
        <v>https://resources.simonelectric.com/simon-catalogo-vehiculo-electrico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</row>
    <row r="2185" ht="15.75" customHeight="1">
      <c r="A2185" s="5" t="s">
        <v>3470</v>
      </c>
      <c r="B2185" s="5">
        <v>43950.0</v>
      </c>
      <c r="C2185" s="6" t="s">
        <v>3471</v>
      </c>
      <c r="D2185" s="10">
        <f t="shared" si="1"/>
        <v>70</v>
      </c>
      <c r="E2185" s="8" t="str">
        <f t="shared" si="2"/>
        <v>https://resources.simonelectric.com/simon-catalogo-vehiculo-electrico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</row>
    <row r="2186" ht="15.75" customHeight="1">
      <c r="A2186" s="5" t="s">
        <v>3472</v>
      </c>
      <c r="B2186" s="5">
        <v>43950.0</v>
      </c>
      <c r="C2186" s="6" t="s">
        <v>3473</v>
      </c>
      <c r="D2186" s="10">
        <f t="shared" si="1"/>
        <v>70</v>
      </c>
      <c r="E2186" s="8" t="str">
        <f t="shared" si="2"/>
        <v>https://resources.simonelectric.com/simon-catalogo-vehiculo-electrico</v>
      </c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</row>
    <row r="2187" ht="15.75" customHeight="1">
      <c r="A2187" s="5" t="s">
        <v>3474</v>
      </c>
      <c r="B2187" s="5">
        <v>43950.0</v>
      </c>
      <c r="C2187" s="6" t="s">
        <v>3475</v>
      </c>
      <c r="D2187" s="10">
        <f t="shared" si="1"/>
        <v>70</v>
      </c>
      <c r="E2187" s="8" t="str">
        <f t="shared" si="2"/>
        <v>https://resources.simonelectric.com/simon-catalogo-vehiculo-electrico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</row>
    <row r="2188" ht="15.75" customHeight="1">
      <c r="A2188" s="5" t="s">
        <v>628</v>
      </c>
      <c r="B2188" s="5">
        <v>43950.0</v>
      </c>
      <c r="C2188" s="6" t="s">
        <v>3476</v>
      </c>
      <c r="D2188" s="10">
        <f t="shared" si="1"/>
        <v>70</v>
      </c>
      <c r="E2188" s="8" t="str">
        <f t="shared" si="2"/>
        <v>https://resources.simonelectric.com/simon-catalogo-vehiculo-electrico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</row>
    <row r="2189" ht="15.75" customHeight="1">
      <c r="A2189" s="5" t="s">
        <v>3477</v>
      </c>
      <c r="B2189" s="5">
        <v>43950.0</v>
      </c>
      <c r="C2189" s="6" t="s">
        <v>3478</v>
      </c>
      <c r="D2189" s="10">
        <f t="shared" si="1"/>
        <v>70</v>
      </c>
      <c r="E2189" s="8" t="str">
        <f t="shared" si="2"/>
        <v>https://resources.simonelectric.com/simon-catalogo-vehiculo-electrico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</row>
    <row r="2190" ht="15.75" customHeight="1">
      <c r="A2190" s="5" t="s">
        <v>3479</v>
      </c>
      <c r="B2190" s="5">
        <v>43950.0</v>
      </c>
      <c r="C2190" s="6" t="s">
        <v>3480</v>
      </c>
      <c r="D2190" s="10">
        <f t="shared" si="1"/>
        <v>70</v>
      </c>
      <c r="E2190" s="8" t="str">
        <f t="shared" si="2"/>
        <v>https://resources.simonelectric.com/simon-catalogo-vehiculo-electrico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</row>
    <row r="2191" ht="15.75" customHeight="1">
      <c r="A2191" s="5" t="s">
        <v>3481</v>
      </c>
      <c r="B2191" s="5">
        <v>43950.0</v>
      </c>
      <c r="C2191" s="6" t="s">
        <v>3482</v>
      </c>
      <c r="D2191" s="10">
        <f t="shared" si="1"/>
        <v>70</v>
      </c>
      <c r="E2191" s="8" t="str">
        <f t="shared" si="2"/>
        <v>https://resources.simonelectric.com/simon-catalogo-vehiculo-electrico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</row>
    <row r="2192" ht="15.75" customHeight="1">
      <c r="A2192" s="5" t="s">
        <v>3483</v>
      </c>
      <c r="B2192" s="5">
        <v>43950.0</v>
      </c>
      <c r="C2192" s="6" t="s">
        <v>3484</v>
      </c>
      <c r="D2192" s="10">
        <f t="shared" si="1"/>
        <v>70</v>
      </c>
      <c r="E2192" s="8" t="str">
        <f t="shared" si="2"/>
        <v>https://resources.simonelectric.com/simon-catalogo-vehiculo-electrico</v>
      </c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</row>
    <row r="2193" ht="15.75" customHeight="1">
      <c r="A2193" s="5" t="s">
        <v>402</v>
      </c>
      <c r="B2193" s="5">
        <v>43950.0</v>
      </c>
      <c r="C2193" s="6" t="s">
        <v>3485</v>
      </c>
      <c r="D2193" s="10">
        <f t="shared" si="1"/>
        <v>70</v>
      </c>
      <c r="E2193" s="8" t="str">
        <f t="shared" si="2"/>
        <v>https://resources.simonelectric.com/simon-catalogo-vehiculo-electrico</v>
      </c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</row>
    <row r="2194" ht="15.75" customHeight="1">
      <c r="A2194" s="5" t="s">
        <v>3486</v>
      </c>
      <c r="B2194" s="5">
        <v>43950.0</v>
      </c>
      <c r="C2194" s="6" t="s">
        <v>3487</v>
      </c>
      <c r="D2194" s="10">
        <f t="shared" si="1"/>
        <v>70</v>
      </c>
      <c r="E2194" s="8" t="str">
        <f t="shared" si="2"/>
        <v>https://resources.simonelectric.com/simon-catalogo-vehiculo-electrico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</row>
    <row r="2195" ht="15.75" customHeight="1">
      <c r="A2195" s="5" t="s">
        <v>3488</v>
      </c>
      <c r="B2195" s="5">
        <v>43950.0</v>
      </c>
      <c r="C2195" s="6" t="s">
        <v>3489</v>
      </c>
      <c r="D2195" s="10">
        <f t="shared" si="1"/>
        <v>70</v>
      </c>
      <c r="E2195" s="8" t="str">
        <f t="shared" si="2"/>
        <v>https://resources.simonelectric.com/simon-catalogo-vehiculo-electrico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</row>
    <row r="2196" ht="15.75" customHeight="1">
      <c r="A2196" s="5" t="s">
        <v>3490</v>
      </c>
      <c r="B2196" s="5">
        <v>43950.0</v>
      </c>
      <c r="C2196" s="6" t="s">
        <v>3491</v>
      </c>
      <c r="D2196" s="10">
        <f t="shared" si="1"/>
        <v>70</v>
      </c>
      <c r="E2196" s="8" t="str">
        <f t="shared" si="2"/>
        <v>https://resources.simonelectric.com/simon-catalogo-vehiculo-electrico</v>
      </c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</row>
    <row r="2197" ht="15.75" customHeight="1">
      <c r="A2197" s="5" t="s">
        <v>3492</v>
      </c>
      <c r="B2197" s="5">
        <v>43950.0</v>
      </c>
      <c r="C2197" s="6" t="s">
        <v>3493</v>
      </c>
      <c r="D2197" s="10">
        <f t="shared" si="1"/>
        <v>70</v>
      </c>
      <c r="E2197" s="8" t="str">
        <f t="shared" si="2"/>
        <v>https://resources.simonelectric.com/simon-catalogo-vehiculo-electrico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</row>
    <row r="2198" ht="15.75" customHeight="1">
      <c r="A2198" s="5" t="s">
        <v>3494</v>
      </c>
      <c r="B2198" s="5">
        <v>43950.0</v>
      </c>
      <c r="C2198" s="6" t="s">
        <v>3495</v>
      </c>
      <c r="D2198" s="10">
        <f t="shared" si="1"/>
        <v>70</v>
      </c>
      <c r="E2198" s="8" t="str">
        <f t="shared" si="2"/>
        <v>https://resources.simonelectric.com/simon-catalogo-vehiculo-electrico</v>
      </c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</row>
    <row r="2199" ht="15.75" customHeight="1">
      <c r="A2199" s="5" t="s">
        <v>3496</v>
      </c>
      <c r="B2199" s="5">
        <v>43950.0</v>
      </c>
      <c r="C2199" s="6" t="s">
        <v>3497</v>
      </c>
      <c r="D2199" s="10">
        <f t="shared" si="1"/>
        <v>70</v>
      </c>
      <c r="E2199" s="8" t="str">
        <f t="shared" si="2"/>
        <v>https://resources.simonelectric.com/simon-catalogo-vehiculo-electrico</v>
      </c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</row>
    <row r="2200" ht="15.75" customHeight="1">
      <c r="A2200" s="5" t="s">
        <v>3498</v>
      </c>
      <c r="B2200" s="5">
        <v>43950.0</v>
      </c>
      <c r="C2200" s="6" t="s">
        <v>3499</v>
      </c>
      <c r="D2200" s="10">
        <f t="shared" si="1"/>
        <v>70</v>
      </c>
      <c r="E2200" s="8" t="str">
        <f t="shared" si="2"/>
        <v>https://resources.simonelectric.com/simon-catalogo-vehiculo-electrico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</row>
    <row r="2201" ht="15.75" customHeight="1">
      <c r="A2201" s="5" t="s">
        <v>3500</v>
      </c>
      <c r="B2201" s="5">
        <v>43950.0</v>
      </c>
      <c r="C2201" s="6" t="s">
        <v>3501</v>
      </c>
      <c r="D2201" s="10">
        <f t="shared" si="1"/>
        <v>70</v>
      </c>
      <c r="E2201" s="8" t="str">
        <f t="shared" si="2"/>
        <v>https://resources.simonelectric.com/simon-catalogo-vehiculo-electrico</v>
      </c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</row>
    <row r="2202" ht="15.75" customHeight="1">
      <c r="A2202" s="5" t="s">
        <v>3502</v>
      </c>
      <c r="B2202" s="5">
        <v>43950.0</v>
      </c>
      <c r="C2202" s="6" t="s">
        <v>3503</v>
      </c>
      <c r="D2202" s="10">
        <f t="shared" si="1"/>
        <v>70</v>
      </c>
      <c r="E2202" s="8" t="str">
        <f t="shared" si="2"/>
        <v>https://resources.simonelectric.com/simon-catalogo-vehiculo-electrico</v>
      </c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</row>
    <row r="2203" ht="15.75" customHeight="1">
      <c r="A2203" s="5" t="s">
        <v>3504</v>
      </c>
      <c r="B2203" s="5">
        <v>43950.0</v>
      </c>
      <c r="C2203" s="6" t="s">
        <v>3505</v>
      </c>
      <c r="D2203" s="10">
        <f t="shared" si="1"/>
        <v>70</v>
      </c>
      <c r="E2203" s="8" t="str">
        <f t="shared" si="2"/>
        <v>https://resources.simonelectric.com/simon-catalogo-vehiculo-electrico</v>
      </c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</row>
    <row r="2204" ht="15.75" customHeight="1">
      <c r="A2204" s="5" t="s">
        <v>3506</v>
      </c>
      <c r="B2204" s="5">
        <v>43950.0</v>
      </c>
      <c r="C2204" s="6" t="s">
        <v>3507</v>
      </c>
      <c r="D2204" s="10">
        <f t="shared" si="1"/>
        <v>70</v>
      </c>
      <c r="E2204" s="8" t="str">
        <f t="shared" si="2"/>
        <v>https://resources.simonelectric.com/simon-catalogo-vehiculo-electrico</v>
      </c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</row>
    <row r="2205" ht="15.75" customHeight="1">
      <c r="A2205" s="5" t="s">
        <v>1409</v>
      </c>
      <c r="B2205" s="5">
        <v>43950.0</v>
      </c>
      <c r="C2205" s="6" t="s">
        <v>3508</v>
      </c>
      <c r="D2205" s="10">
        <f t="shared" si="1"/>
        <v>70</v>
      </c>
      <c r="E2205" s="8" t="str">
        <f t="shared" si="2"/>
        <v>https://resources.simonelectric.com/simon-catalogo-vehiculo-electrico</v>
      </c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</row>
    <row r="2206" ht="15.75" customHeight="1">
      <c r="A2206" s="5" t="s">
        <v>3509</v>
      </c>
      <c r="B2206" s="5">
        <v>43950.0</v>
      </c>
      <c r="C2206" s="6" t="s">
        <v>3510</v>
      </c>
      <c r="D2206" s="10">
        <f t="shared" si="1"/>
        <v>70</v>
      </c>
      <c r="E2206" s="8" t="str">
        <f t="shared" si="2"/>
        <v>https://resources.simonelectric.com/simon-catalogo-vehiculo-electrico</v>
      </c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</row>
    <row r="2207" ht="15.75" customHeight="1">
      <c r="A2207" s="5" t="s">
        <v>3511</v>
      </c>
      <c r="B2207" s="5">
        <v>43950.0</v>
      </c>
      <c r="C2207" s="6" t="s">
        <v>3512</v>
      </c>
      <c r="D2207" s="10">
        <f t="shared" si="1"/>
        <v>70</v>
      </c>
      <c r="E2207" s="8" t="str">
        <f t="shared" si="2"/>
        <v>https://resources.simonelectric.com/simon-catalogo-vehiculo-electrico</v>
      </c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</row>
    <row r="2208" ht="15.75" customHeight="1">
      <c r="A2208" s="5" t="s">
        <v>3513</v>
      </c>
      <c r="B2208" s="5">
        <v>43950.0</v>
      </c>
      <c r="C2208" s="6" t="s">
        <v>3514</v>
      </c>
      <c r="D2208" s="10">
        <f t="shared" si="1"/>
        <v>70</v>
      </c>
      <c r="E2208" s="8" t="str">
        <f t="shared" si="2"/>
        <v>https://resources.simonelectric.com/simon-catalogo-vehiculo-electrico</v>
      </c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</row>
    <row r="2209" ht="15.75" customHeight="1">
      <c r="A2209" s="5" t="s">
        <v>3515</v>
      </c>
      <c r="B2209" s="5">
        <v>43950.0</v>
      </c>
      <c r="C2209" s="6" t="s">
        <v>3516</v>
      </c>
      <c r="D2209" s="10">
        <f t="shared" si="1"/>
        <v>70</v>
      </c>
      <c r="E2209" s="8" t="str">
        <f t="shared" si="2"/>
        <v>https://resources.simonelectric.com/simon-catalogo-vehiculo-electrico</v>
      </c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</row>
    <row r="2210" ht="15.75" customHeight="1">
      <c r="A2210" s="5" t="s">
        <v>1150</v>
      </c>
      <c r="B2210" s="5">
        <v>43950.0</v>
      </c>
      <c r="C2210" s="6" t="s">
        <v>3517</v>
      </c>
      <c r="D2210" s="10">
        <f t="shared" si="1"/>
        <v>70</v>
      </c>
      <c r="E2210" s="8" t="str">
        <f t="shared" si="2"/>
        <v>https://resources.simonelectric.com/simon-catalogo-vehiculo-electrico</v>
      </c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</row>
    <row r="2211" ht="15.75" customHeight="1">
      <c r="A2211" s="5" t="s">
        <v>3518</v>
      </c>
      <c r="B2211" s="5">
        <v>43950.0</v>
      </c>
      <c r="C2211" s="6" t="s">
        <v>3519</v>
      </c>
      <c r="D2211" s="10">
        <f t="shared" si="1"/>
        <v>70</v>
      </c>
      <c r="E2211" s="8" t="str">
        <f t="shared" si="2"/>
        <v>https://resources.simonelectric.com/simon-catalogo-vehiculo-electrico</v>
      </c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</row>
    <row r="2212" ht="15.75" customHeight="1">
      <c r="A2212" s="5" t="s">
        <v>3520</v>
      </c>
      <c r="B2212" s="5">
        <v>43950.0</v>
      </c>
      <c r="C2212" s="6" t="s">
        <v>3521</v>
      </c>
      <c r="D2212" s="10">
        <f t="shared" si="1"/>
        <v>70</v>
      </c>
      <c r="E2212" s="8" t="str">
        <f t="shared" si="2"/>
        <v>https://resources.simonelectric.com/simon-catalogo-vehiculo-electrico</v>
      </c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</row>
    <row r="2213" ht="15.75" customHeight="1">
      <c r="A2213" s="5" t="s">
        <v>3522</v>
      </c>
      <c r="B2213" s="5">
        <v>43950.0</v>
      </c>
      <c r="C2213" s="6" t="s">
        <v>3523</v>
      </c>
      <c r="D2213" s="10">
        <f t="shared" si="1"/>
        <v>70</v>
      </c>
      <c r="E2213" s="8" t="str">
        <f t="shared" si="2"/>
        <v>https://resources.simonelectric.com/simon-catalogo-vehiculo-electrico</v>
      </c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</row>
    <row r="2214" ht="15.75" customHeight="1">
      <c r="A2214" s="5" t="s">
        <v>3524</v>
      </c>
      <c r="B2214" s="5">
        <v>43950.0</v>
      </c>
      <c r="C2214" s="6" t="s">
        <v>3525</v>
      </c>
      <c r="D2214" s="10">
        <f t="shared" si="1"/>
        <v>70</v>
      </c>
      <c r="E2214" s="8" t="str">
        <f t="shared" si="2"/>
        <v>https://resources.simonelectric.com/simon-catalogo-vehiculo-electrico</v>
      </c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</row>
    <row r="2215" ht="15.75" customHeight="1">
      <c r="A2215" s="5" t="s">
        <v>3526</v>
      </c>
      <c r="B2215" s="5">
        <v>43950.0</v>
      </c>
      <c r="C2215" s="6" t="s">
        <v>3527</v>
      </c>
      <c r="D2215" s="10">
        <f t="shared" si="1"/>
        <v>70</v>
      </c>
      <c r="E2215" s="8" t="str">
        <f t="shared" si="2"/>
        <v>https://resources.simonelectric.com/simon-catalogo-vehiculo-electrico</v>
      </c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</row>
    <row r="2216" ht="15.75" customHeight="1">
      <c r="A2216" s="5" t="s">
        <v>3528</v>
      </c>
      <c r="B2216" s="5">
        <v>43950.0</v>
      </c>
      <c r="C2216" s="6" t="s">
        <v>3529</v>
      </c>
      <c r="D2216" s="10">
        <f t="shared" si="1"/>
        <v>70</v>
      </c>
      <c r="E2216" s="8" t="str">
        <f t="shared" si="2"/>
        <v>https://resources.simonelectric.com/simon-catalogo-vehiculo-electrico</v>
      </c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</row>
    <row r="2217" ht="15.75" customHeight="1">
      <c r="A2217" s="5" t="s">
        <v>3530</v>
      </c>
      <c r="B2217" s="5">
        <v>43950.0</v>
      </c>
      <c r="C2217" s="6" t="s">
        <v>3531</v>
      </c>
      <c r="D2217" s="10">
        <f t="shared" si="1"/>
        <v>70</v>
      </c>
      <c r="E2217" s="8" t="str">
        <f t="shared" si="2"/>
        <v>https://resources.simonelectric.com/simon-catalogo-vehiculo-electrico</v>
      </c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</row>
    <row r="2218" ht="15.75" customHeight="1">
      <c r="A2218" s="5" t="s">
        <v>3532</v>
      </c>
      <c r="B2218" s="5">
        <v>43950.0</v>
      </c>
      <c r="C2218" s="6" t="s">
        <v>3533</v>
      </c>
      <c r="D2218" s="10">
        <f t="shared" si="1"/>
        <v>70</v>
      </c>
      <c r="E2218" s="8" t="str">
        <f t="shared" si="2"/>
        <v>https://resources.simonelectric.com/simon-catalogo-vehiculo-electrico</v>
      </c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</row>
    <row r="2219" ht="15.75" customHeight="1">
      <c r="A2219" s="5" t="s">
        <v>608</v>
      </c>
      <c r="B2219" s="5">
        <v>43950.0</v>
      </c>
      <c r="C2219" s="6" t="s">
        <v>3534</v>
      </c>
      <c r="D2219" s="10">
        <f t="shared" si="1"/>
        <v>70</v>
      </c>
      <c r="E2219" s="8" t="str">
        <f t="shared" si="2"/>
        <v>https://resources.simonelectric.com/simon-catalogo-vehiculo-electrico</v>
      </c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</row>
    <row r="2220" ht="15.75" customHeight="1">
      <c r="A2220" s="5" t="s">
        <v>3535</v>
      </c>
      <c r="B2220" s="5">
        <v>43950.0</v>
      </c>
      <c r="C2220" s="6" t="s">
        <v>3536</v>
      </c>
      <c r="D2220" s="10">
        <f t="shared" si="1"/>
        <v>70</v>
      </c>
      <c r="E2220" s="8" t="str">
        <f t="shared" si="2"/>
        <v>https://resources.simonelectric.com/simon-catalogo-vehiculo-electrico</v>
      </c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</row>
    <row r="2221" ht="15.75" customHeight="1">
      <c r="A2221" s="5" t="s">
        <v>3537</v>
      </c>
      <c r="B2221" s="5">
        <v>43950.0</v>
      </c>
      <c r="C2221" s="6" t="s">
        <v>3538</v>
      </c>
      <c r="D2221" s="10">
        <f t="shared" si="1"/>
        <v>70</v>
      </c>
      <c r="E2221" s="8" t="str">
        <f t="shared" si="2"/>
        <v>https://resources.simonelectric.com/simon-catalogo-vehiculo-electrico</v>
      </c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</row>
    <row r="2222" ht="15.75" customHeight="1">
      <c r="A2222" s="5" t="s">
        <v>3539</v>
      </c>
      <c r="B2222" s="5">
        <v>43950.0</v>
      </c>
      <c r="C2222" s="6" t="s">
        <v>3540</v>
      </c>
      <c r="D2222" s="10">
        <f t="shared" si="1"/>
        <v>70</v>
      </c>
      <c r="E2222" s="8" t="str">
        <f t="shared" si="2"/>
        <v>https://resources.simonelectric.com/simon-catalogo-vehiculo-electrico</v>
      </c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</row>
    <row r="2223" ht="15.75" customHeight="1">
      <c r="A2223" s="5" t="s">
        <v>3541</v>
      </c>
      <c r="B2223" s="5">
        <v>43950.0</v>
      </c>
      <c r="C2223" s="6" t="s">
        <v>3542</v>
      </c>
      <c r="D2223" s="10">
        <f t="shared" si="1"/>
        <v>70</v>
      </c>
      <c r="E2223" s="8" t="str">
        <f t="shared" si="2"/>
        <v>https://resources.simonelectric.com/simon-catalogo-vehiculo-electrico</v>
      </c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</row>
    <row r="2224" ht="15.75" customHeight="1">
      <c r="A2224" s="5" t="s">
        <v>3543</v>
      </c>
      <c r="B2224" s="5">
        <v>43950.0</v>
      </c>
      <c r="C2224" s="6" t="s">
        <v>3544</v>
      </c>
      <c r="D2224" s="10">
        <f t="shared" si="1"/>
        <v>70</v>
      </c>
      <c r="E2224" s="8" t="str">
        <f t="shared" si="2"/>
        <v>https://resources.simonelectric.com/simon-catalogo-vehiculo-electrico</v>
      </c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</row>
    <row r="2225" ht="15.75" customHeight="1">
      <c r="A2225" s="5" t="s">
        <v>1164</v>
      </c>
      <c r="B2225" s="5">
        <v>43950.0</v>
      </c>
      <c r="C2225" s="6" t="s">
        <v>3545</v>
      </c>
      <c r="D2225" s="10">
        <f t="shared" si="1"/>
        <v>70</v>
      </c>
      <c r="E2225" s="8" t="str">
        <f t="shared" si="2"/>
        <v>https://resources.simonelectric.com/simon-catalogo-vehiculo-electrico</v>
      </c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</row>
    <row r="2226" ht="15.75" customHeight="1">
      <c r="A2226" s="5" t="s">
        <v>3546</v>
      </c>
      <c r="B2226" s="5">
        <v>43950.0</v>
      </c>
      <c r="C2226" s="6" t="s">
        <v>3547</v>
      </c>
      <c r="D2226" s="10">
        <f t="shared" si="1"/>
        <v>70</v>
      </c>
      <c r="E2226" s="8" t="str">
        <f t="shared" si="2"/>
        <v>https://resources.simonelectric.com/simon-catalogo-vehiculo-electrico</v>
      </c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</row>
    <row r="2227" ht="15.75" customHeight="1">
      <c r="A2227" s="5" t="s">
        <v>3548</v>
      </c>
      <c r="B2227" s="5">
        <v>43950.0</v>
      </c>
      <c r="C2227" s="6" t="s">
        <v>3549</v>
      </c>
      <c r="D2227" s="10">
        <f t="shared" si="1"/>
        <v>70</v>
      </c>
      <c r="E2227" s="8" t="str">
        <f t="shared" si="2"/>
        <v>https://resources.simonelectric.com/simon-catalogo-vehiculo-electrico</v>
      </c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</row>
    <row r="2228" ht="15.75" customHeight="1">
      <c r="A2228" s="5" t="s">
        <v>3550</v>
      </c>
      <c r="B2228" s="5">
        <v>43950.0</v>
      </c>
      <c r="C2228" s="6" t="s">
        <v>3551</v>
      </c>
      <c r="D2228" s="10">
        <f t="shared" si="1"/>
        <v>70</v>
      </c>
      <c r="E2228" s="8" t="str">
        <f t="shared" si="2"/>
        <v>https://resources.simonelectric.com/simon-catalogo-vehiculo-electrico</v>
      </c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</row>
    <row r="2229" ht="15.75" customHeight="1">
      <c r="A2229" s="5" t="s">
        <v>1005</v>
      </c>
      <c r="B2229" s="5">
        <v>43950.0</v>
      </c>
      <c r="C2229" s="6" t="s">
        <v>3552</v>
      </c>
      <c r="D2229" s="10">
        <f t="shared" si="1"/>
        <v>70</v>
      </c>
      <c r="E2229" s="8" t="str">
        <f t="shared" si="2"/>
        <v>https://resources.simonelectric.com/simon-catalogo-vehiculo-electrico</v>
      </c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</row>
    <row r="2230" ht="15.75" customHeight="1">
      <c r="A2230" s="5" t="s">
        <v>3553</v>
      </c>
      <c r="B2230" s="5">
        <v>43950.0</v>
      </c>
      <c r="C2230" s="6" t="s">
        <v>3554</v>
      </c>
      <c r="D2230" s="10">
        <f t="shared" si="1"/>
        <v>70</v>
      </c>
      <c r="E2230" s="8" t="str">
        <f t="shared" si="2"/>
        <v>https://resources.simonelectric.com/simon-catalogo-vehiculo-electrico</v>
      </c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</row>
    <row r="2231" ht="15.75" customHeight="1">
      <c r="A2231" s="5" t="s">
        <v>3555</v>
      </c>
      <c r="B2231" s="5">
        <v>43950.0</v>
      </c>
      <c r="C2231" s="6" t="s">
        <v>3556</v>
      </c>
      <c r="D2231" s="10">
        <f t="shared" si="1"/>
        <v>70</v>
      </c>
      <c r="E2231" s="8" t="str">
        <f t="shared" si="2"/>
        <v>https://resources.simonelectric.com/simon-catalogo-vehiculo-electrico</v>
      </c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</row>
    <row r="2232" ht="15.75" customHeight="1">
      <c r="A2232" s="5" t="s">
        <v>3557</v>
      </c>
      <c r="B2232" s="5">
        <v>43950.0</v>
      </c>
      <c r="C2232" s="6" t="s">
        <v>3558</v>
      </c>
      <c r="D2232" s="10">
        <f t="shared" si="1"/>
        <v>70</v>
      </c>
      <c r="E2232" s="8" t="str">
        <f t="shared" si="2"/>
        <v>https://resources.simonelectric.com/simon-catalogo-vehiculo-electrico</v>
      </c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</row>
    <row r="2233" ht="15.75" customHeight="1">
      <c r="A2233" s="5" t="s">
        <v>3559</v>
      </c>
      <c r="B2233" s="5">
        <v>43950.0</v>
      </c>
      <c r="C2233" s="6" t="s">
        <v>3560</v>
      </c>
      <c r="D2233" s="10">
        <f t="shared" si="1"/>
        <v>70</v>
      </c>
      <c r="E2233" s="8" t="str">
        <f t="shared" si="2"/>
        <v>https://resources.simonelectric.com/simon-catalogo-vehiculo-electrico</v>
      </c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</row>
    <row r="2234" ht="15.75" customHeight="1">
      <c r="A2234" s="5" t="s">
        <v>3561</v>
      </c>
      <c r="B2234" s="5">
        <v>43950.0</v>
      </c>
      <c r="C2234" s="6" t="s">
        <v>3562</v>
      </c>
      <c r="D2234" s="10">
        <f t="shared" si="1"/>
        <v>70</v>
      </c>
      <c r="E2234" s="8" t="str">
        <f t="shared" si="2"/>
        <v>https://resources.simonelectric.com/simon-catalogo-vehiculo-electrico</v>
      </c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</row>
    <row r="2235" ht="15.75" customHeight="1">
      <c r="A2235" s="5" t="s">
        <v>3563</v>
      </c>
      <c r="B2235" s="5">
        <v>43950.0</v>
      </c>
      <c r="C2235" s="6" t="s">
        <v>8</v>
      </c>
      <c r="D2235" s="10">
        <f t="shared" si="1"/>
        <v>67</v>
      </c>
      <c r="E2235" s="8" t="str">
        <f t="shared" si="2"/>
        <v>https://resources.simonelectric.com/simon-ebook-vehiculo-electrico</v>
      </c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</row>
    <row r="2236" ht="15.75" customHeight="1">
      <c r="A2236" s="5" t="s">
        <v>3564</v>
      </c>
      <c r="B2236" s="5">
        <v>43950.0</v>
      </c>
      <c r="C2236" s="6" t="s">
        <v>3565</v>
      </c>
      <c r="D2236" s="10">
        <f t="shared" si="1"/>
        <v>69</v>
      </c>
      <c r="E2236" s="8" t="str">
        <f t="shared" si="2"/>
        <v>https://resources.simonelectric.com/simon-ebook-vehiculo-electrico-0</v>
      </c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</row>
    <row r="2237" ht="15.75" customHeight="1">
      <c r="A2237" s="5" t="s">
        <v>3566</v>
      </c>
      <c r="B2237" s="5">
        <v>43949.0</v>
      </c>
      <c r="C2237" s="6" t="s">
        <v>28</v>
      </c>
      <c r="D2237" s="10" t="str">
        <f t="shared" si="1"/>
        <v>https://resources.simonelectric.com/simon-ebook-vehiculo-electrico</v>
      </c>
      <c r="E2237" s="8" t="str">
        <f t="shared" si="2"/>
        <v>https://resources.simonelectric.com/simon-ebook-vehiculo-electrico</v>
      </c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</row>
    <row r="2238" ht="15.75" customHeight="1">
      <c r="A2238" s="5" t="s">
        <v>3567</v>
      </c>
      <c r="B2238" s="5">
        <v>43949.0</v>
      </c>
      <c r="C2238" s="6" t="s">
        <v>28</v>
      </c>
      <c r="D2238" s="10" t="str">
        <f t="shared" si="1"/>
        <v>https://resources.simonelectric.com/simon-ebook-vehiculo-electrico</v>
      </c>
      <c r="E2238" s="8" t="str">
        <f t="shared" si="2"/>
        <v>https://resources.simonelectric.com/simon-ebook-vehiculo-electrico</v>
      </c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</row>
    <row r="2239" ht="15.75" customHeight="1">
      <c r="A2239" s="5" t="s">
        <v>3568</v>
      </c>
      <c r="B2239" s="5">
        <v>43949.0</v>
      </c>
      <c r="C2239" s="6" t="s">
        <v>3569</v>
      </c>
      <c r="D2239" s="10">
        <f t="shared" si="1"/>
        <v>71</v>
      </c>
      <c r="E2239" s="8" t="str">
        <f t="shared" si="2"/>
        <v>https://resources.simonelectric.com/simon-ebook-vehiculo-electrico-ppc</v>
      </c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</row>
    <row r="2240" ht="15.75" customHeight="1">
      <c r="A2240" s="5" t="s">
        <v>3570</v>
      </c>
      <c r="B2240" s="5">
        <v>43949.0</v>
      </c>
      <c r="C2240" s="6" t="s">
        <v>3571</v>
      </c>
      <c r="D2240" s="11">
        <f t="shared" si="1"/>
        <v>69</v>
      </c>
      <c r="E2240" s="8" t="str">
        <f t="shared" si="2"/>
        <v>https://resources.simonelectric.com/simon-ebook-vehiculo-electrico-0</v>
      </c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</row>
    <row r="2241" ht="15.75" customHeight="1">
      <c r="A2241" s="5" t="s">
        <v>3572</v>
      </c>
      <c r="B2241" s="5">
        <v>43949.0</v>
      </c>
      <c r="C2241" s="6" t="s">
        <v>10</v>
      </c>
      <c r="D2241" s="10" t="str">
        <f t="shared" si="1"/>
        <v>https://resources.simonelectric.com/simon-catalogo-vehiculo-electrico</v>
      </c>
      <c r="E2241" s="8" t="str">
        <f t="shared" si="2"/>
        <v>https://resources.simonelectric.com/simon-catalogo-vehiculo-electrico</v>
      </c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</row>
    <row r="2242" ht="15.75" customHeight="1">
      <c r="A2242" s="5" t="s">
        <v>3572</v>
      </c>
      <c r="B2242" s="5">
        <v>43949.0</v>
      </c>
      <c r="C2242" s="6" t="s">
        <v>10</v>
      </c>
      <c r="D2242" s="10" t="str">
        <f t="shared" si="1"/>
        <v>https://resources.simonelectric.com/simon-catalogo-vehiculo-electrico</v>
      </c>
      <c r="E2242" s="8" t="str">
        <f t="shared" si="2"/>
        <v>https://resources.simonelectric.com/simon-catalogo-vehiculo-electrico</v>
      </c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</row>
    <row r="2243" ht="15.75" customHeight="1">
      <c r="A2243" s="5" t="s">
        <v>3573</v>
      </c>
      <c r="B2243" s="5">
        <v>43949.0</v>
      </c>
      <c r="C2243" s="6" t="s">
        <v>75</v>
      </c>
      <c r="D2243" s="10">
        <f t="shared" si="1"/>
        <v>67</v>
      </c>
      <c r="E2243" s="8" t="str">
        <f t="shared" si="2"/>
        <v>https://resources.simonelectric.com/simon-ebook-vehiculo-electrico</v>
      </c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</row>
    <row r="2244" ht="15.75" customHeight="1">
      <c r="A2244" s="5" t="s">
        <v>3574</v>
      </c>
      <c r="B2244" s="5">
        <v>43949.0</v>
      </c>
      <c r="C2244" s="6" t="s">
        <v>299</v>
      </c>
      <c r="D2244" s="10" t="str">
        <f t="shared" si="1"/>
        <v>https://resources.simonelectric.com/simon-material-formativo-vehiculo-electrico</v>
      </c>
      <c r="E2244" s="8" t="str">
        <f t="shared" si="2"/>
        <v>https://resources.simonelectric.com/simon-material-formativo-vehiculo-electrico</v>
      </c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</row>
    <row r="2245" ht="15.75" customHeight="1">
      <c r="A2245" s="5" t="s">
        <v>3575</v>
      </c>
      <c r="B2245" s="5">
        <v>43949.0</v>
      </c>
      <c r="C2245" s="6" t="s">
        <v>3576</v>
      </c>
      <c r="D2245" s="10">
        <f t="shared" si="1"/>
        <v>67</v>
      </c>
      <c r="E2245" s="8" t="str">
        <f t="shared" si="2"/>
        <v>https://resources.simonelectric.com/simon-ebook-vehiculo-electrico</v>
      </c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</row>
    <row r="2246" ht="15.75" customHeight="1">
      <c r="A2246" s="5" t="s">
        <v>2884</v>
      </c>
      <c r="B2246" s="5">
        <v>43949.0</v>
      </c>
      <c r="C2246" s="6" t="s">
        <v>3577</v>
      </c>
      <c r="D2246" s="10">
        <f t="shared" si="1"/>
        <v>70</v>
      </c>
      <c r="E2246" s="8" t="str">
        <f t="shared" si="2"/>
        <v>https://resources.simonelectric.com/simon-catalogo-vehiculo-electrico</v>
      </c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</row>
    <row r="2247" ht="15.75" customHeight="1">
      <c r="A2247" s="5" t="s">
        <v>2884</v>
      </c>
      <c r="B2247" s="5">
        <v>43949.0</v>
      </c>
      <c r="C2247" s="6" t="s">
        <v>28</v>
      </c>
      <c r="D2247" s="10" t="str">
        <f t="shared" si="1"/>
        <v>https://resources.simonelectric.com/simon-ebook-vehiculo-electrico</v>
      </c>
      <c r="E2247" s="8" t="str">
        <f t="shared" si="2"/>
        <v>https://resources.simonelectric.com/simon-ebook-vehiculo-electrico</v>
      </c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</row>
    <row r="2248" ht="15.75" customHeight="1">
      <c r="A2248" s="5" t="s">
        <v>3578</v>
      </c>
      <c r="B2248" s="5">
        <v>43949.0</v>
      </c>
      <c r="C2248" s="6" t="s">
        <v>3579</v>
      </c>
      <c r="D2248" s="10">
        <f t="shared" si="1"/>
        <v>67</v>
      </c>
      <c r="E2248" s="8" t="str">
        <f t="shared" si="2"/>
        <v>https://resources.simonelectric.com/simon-ebook-vehiculo-electrico</v>
      </c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</row>
    <row r="2249" ht="15.75" customHeight="1">
      <c r="A2249" s="5" t="s">
        <v>3580</v>
      </c>
      <c r="B2249" s="5">
        <v>43948.0</v>
      </c>
      <c r="C2249" s="6" t="s">
        <v>3581</v>
      </c>
      <c r="D2249" s="10">
        <f t="shared" si="1"/>
        <v>69</v>
      </c>
      <c r="E2249" s="8" t="str">
        <f t="shared" si="2"/>
        <v>https://resources.simonelectric.com/simon-ebook-vehiculo-electrico-0</v>
      </c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</row>
    <row r="2250" ht="15.75" customHeight="1">
      <c r="A2250" s="5" t="s">
        <v>3582</v>
      </c>
      <c r="B2250" s="5">
        <v>43948.0</v>
      </c>
      <c r="C2250" s="6" t="s">
        <v>55</v>
      </c>
      <c r="D2250" s="10">
        <f t="shared" si="1"/>
        <v>71</v>
      </c>
      <c r="E2250" s="8" t="str">
        <f t="shared" si="2"/>
        <v>https://resources.simonelectric.com/simon-ebook-vehiculo-electrico-ppc</v>
      </c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</row>
    <row r="2251" ht="15.75" customHeight="1">
      <c r="A2251" s="5" t="s">
        <v>3583</v>
      </c>
      <c r="B2251" s="5">
        <v>43948.0</v>
      </c>
      <c r="C2251" s="6" t="s">
        <v>55</v>
      </c>
      <c r="D2251" s="10">
        <f t="shared" si="1"/>
        <v>71</v>
      </c>
      <c r="E2251" s="8" t="str">
        <f t="shared" si="2"/>
        <v>https://resources.simonelectric.com/simon-ebook-vehiculo-electrico-ppc</v>
      </c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</row>
    <row r="2252" ht="15.75" customHeight="1">
      <c r="A2252" s="5" t="s">
        <v>3584</v>
      </c>
      <c r="B2252" s="5">
        <v>43948.0</v>
      </c>
      <c r="C2252" s="6" t="s">
        <v>689</v>
      </c>
      <c r="D2252" s="10">
        <f t="shared" si="1"/>
        <v>67</v>
      </c>
      <c r="E2252" s="8" t="str">
        <f t="shared" si="2"/>
        <v>https://resources.simonelectric.com/simon-ebook-vehiculo-electrico</v>
      </c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</row>
    <row r="2253" ht="15.75" customHeight="1">
      <c r="A2253" s="5" t="s">
        <v>3585</v>
      </c>
      <c r="B2253" s="5">
        <v>43948.0</v>
      </c>
      <c r="C2253" s="6" t="s">
        <v>3586</v>
      </c>
      <c r="D2253" s="10">
        <f t="shared" si="1"/>
        <v>67</v>
      </c>
      <c r="E2253" s="8" t="str">
        <f t="shared" si="2"/>
        <v>https://resources.simonelectric.com/simon-ebook-vehiculo-electrico</v>
      </c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</row>
    <row r="2254" ht="15.75" customHeight="1">
      <c r="A2254" s="5" t="s">
        <v>3587</v>
      </c>
      <c r="B2254" s="5">
        <v>43948.0</v>
      </c>
      <c r="C2254" s="6" t="s">
        <v>3588</v>
      </c>
      <c r="D2254" s="10">
        <f t="shared" si="1"/>
        <v>71</v>
      </c>
      <c r="E2254" s="8" t="str">
        <f t="shared" si="2"/>
        <v>https://resources.simonelectric.com/simon-ebook-vehiculo-electrico-ppc</v>
      </c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</row>
    <row r="2255" ht="15.75" customHeight="1">
      <c r="A2255" s="5" t="s">
        <v>3589</v>
      </c>
      <c r="B2255" s="5">
        <v>43948.0</v>
      </c>
      <c r="C2255" s="6" t="s">
        <v>3590</v>
      </c>
      <c r="D2255" s="10">
        <f t="shared" si="1"/>
        <v>67</v>
      </c>
      <c r="E2255" s="8" t="str">
        <f t="shared" si="2"/>
        <v>https://resources.simonelectric.com/simon-ebook-vehiculo-electrico</v>
      </c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</row>
    <row r="2256" ht="15.75" customHeight="1">
      <c r="A2256" s="5" t="s">
        <v>3591</v>
      </c>
      <c r="B2256" s="5">
        <v>43948.0</v>
      </c>
      <c r="C2256" s="6" t="s">
        <v>55</v>
      </c>
      <c r="D2256" s="10">
        <f t="shared" si="1"/>
        <v>71</v>
      </c>
      <c r="E2256" s="8" t="str">
        <f t="shared" si="2"/>
        <v>https://resources.simonelectric.com/simon-ebook-vehiculo-electrico-ppc</v>
      </c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</row>
    <row r="2257" ht="15.75" customHeight="1">
      <c r="A2257" s="5" t="s">
        <v>3592</v>
      </c>
      <c r="B2257" s="5">
        <v>43948.0</v>
      </c>
      <c r="C2257" s="6" t="s">
        <v>55</v>
      </c>
      <c r="D2257" s="10">
        <f t="shared" si="1"/>
        <v>71</v>
      </c>
      <c r="E2257" s="8" t="str">
        <f t="shared" si="2"/>
        <v>https://resources.simonelectric.com/simon-ebook-vehiculo-electrico-ppc</v>
      </c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</row>
    <row r="2258" ht="15.75" customHeight="1">
      <c r="A2258" s="5" t="s">
        <v>3593</v>
      </c>
      <c r="B2258" s="5">
        <v>43948.0</v>
      </c>
      <c r="C2258" s="6" t="s">
        <v>3594</v>
      </c>
      <c r="D2258" s="10">
        <f t="shared" si="1"/>
        <v>67</v>
      </c>
      <c r="E2258" s="8" t="str">
        <f t="shared" si="2"/>
        <v>https://resources.simonelectric.com/simon-ebook-vehiculo-electrico</v>
      </c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</row>
    <row r="2259" ht="15.75" customHeight="1">
      <c r="A2259" s="5" t="s">
        <v>3595</v>
      </c>
      <c r="B2259" s="5">
        <v>43948.0</v>
      </c>
      <c r="C2259" s="6" t="s">
        <v>3596</v>
      </c>
      <c r="D2259" s="10">
        <f t="shared" si="1"/>
        <v>67</v>
      </c>
      <c r="E2259" s="8" t="str">
        <f t="shared" si="2"/>
        <v>https://resources.simonelectric.com/simon-ebook-vehiculo-electrico</v>
      </c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</row>
    <row r="2260" ht="15.75" customHeight="1">
      <c r="A2260" s="5" t="s">
        <v>3038</v>
      </c>
      <c r="B2260" s="5">
        <v>43948.0</v>
      </c>
      <c r="C2260" s="6" t="s">
        <v>3597</v>
      </c>
      <c r="D2260" s="10">
        <f t="shared" si="1"/>
        <v>70</v>
      </c>
      <c r="E2260" s="8" t="str">
        <f t="shared" si="2"/>
        <v>https://resources.simonelectric.com/simon-catalogo-vehiculo-electrico</v>
      </c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</row>
    <row r="2261" ht="15.75" customHeight="1">
      <c r="A2261" s="5" t="s">
        <v>3038</v>
      </c>
      <c r="B2261" s="5">
        <v>43948.0</v>
      </c>
      <c r="C2261" s="6" t="s">
        <v>8</v>
      </c>
      <c r="D2261" s="10">
        <f t="shared" si="1"/>
        <v>67</v>
      </c>
      <c r="E2261" s="8" t="str">
        <f t="shared" si="2"/>
        <v>https://resources.simonelectric.com/simon-ebook-vehiculo-electrico</v>
      </c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</row>
    <row r="2262" ht="15.75" customHeight="1">
      <c r="A2262" s="5" t="s">
        <v>3598</v>
      </c>
      <c r="B2262" s="5">
        <v>43948.0</v>
      </c>
      <c r="C2262" s="6" t="s">
        <v>6</v>
      </c>
      <c r="D2262" s="10">
        <f t="shared" si="1"/>
        <v>67</v>
      </c>
      <c r="E2262" s="8" t="str">
        <f t="shared" si="2"/>
        <v>https://resources.simonelectric.com/simon-ebook-vehiculo-electrico</v>
      </c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</row>
    <row r="2263" ht="15.75" customHeight="1">
      <c r="A2263" s="5" t="s">
        <v>3599</v>
      </c>
      <c r="B2263" s="5">
        <v>43948.0</v>
      </c>
      <c r="C2263" s="6" t="s">
        <v>3600</v>
      </c>
      <c r="D2263" s="10">
        <f t="shared" si="1"/>
        <v>67</v>
      </c>
      <c r="E2263" s="8" t="str">
        <f t="shared" si="2"/>
        <v>https://resources.simonelectric.com/simon-ebook-vehiculo-electrico</v>
      </c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</row>
    <row r="2264" ht="15.75" customHeight="1">
      <c r="A2264" s="5" t="s">
        <v>2501</v>
      </c>
      <c r="B2264" s="5">
        <v>43948.0</v>
      </c>
      <c r="C2264" s="6" t="s">
        <v>3601</v>
      </c>
      <c r="D2264" s="10">
        <f t="shared" si="1"/>
        <v>67</v>
      </c>
      <c r="E2264" s="8" t="str">
        <f t="shared" si="2"/>
        <v>https://resources.simonelectric.com/simon-ebook-vehiculo-electrico</v>
      </c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</row>
    <row r="2265" ht="15.75" customHeight="1">
      <c r="A2265" s="5" t="s">
        <v>3602</v>
      </c>
      <c r="B2265" s="5">
        <v>43948.0</v>
      </c>
      <c r="C2265" s="6" t="s">
        <v>55</v>
      </c>
      <c r="D2265" s="10">
        <f t="shared" si="1"/>
        <v>71</v>
      </c>
      <c r="E2265" s="8" t="str">
        <f t="shared" si="2"/>
        <v>https://resources.simonelectric.com/simon-ebook-vehiculo-electrico-ppc</v>
      </c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</row>
    <row r="2266" ht="15.75" customHeight="1">
      <c r="A2266" s="5" t="s">
        <v>3239</v>
      </c>
      <c r="B2266" s="5">
        <v>43948.0</v>
      </c>
      <c r="C2266" s="6" t="s">
        <v>3603</v>
      </c>
      <c r="D2266" s="10">
        <f t="shared" si="1"/>
        <v>67</v>
      </c>
      <c r="E2266" s="8" t="str">
        <f t="shared" si="2"/>
        <v>https://resources.simonelectric.com/simon-ebook-vehiculo-electrico</v>
      </c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</row>
    <row r="2267" ht="15.75" customHeight="1">
      <c r="A2267" s="5" t="s">
        <v>3604</v>
      </c>
      <c r="B2267" s="5">
        <v>43948.0</v>
      </c>
      <c r="C2267" s="6" t="s">
        <v>8</v>
      </c>
      <c r="D2267" s="10">
        <f t="shared" si="1"/>
        <v>67</v>
      </c>
      <c r="E2267" s="8" t="str">
        <f t="shared" si="2"/>
        <v>https://resources.simonelectric.com/simon-ebook-vehiculo-electrico</v>
      </c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</row>
    <row r="2268" ht="15.75" customHeight="1">
      <c r="A2268" s="5" t="s">
        <v>3605</v>
      </c>
      <c r="B2268" s="5">
        <v>43948.0</v>
      </c>
      <c r="C2268" s="6" t="s">
        <v>55</v>
      </c>
      <c r="D2268" s="10">
        <f t="shared" si="1"/>
        <v>71</v>
      </c>
      <c r="E2268" s="8" t="str">
        <f t="shared" si="2"/>
        <v>https://resources.simonelectric.com/simon-ebook-vehiculo-electrico-ppc</v>
      </c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</row>
    <row r="2269" ht="15.75" customHeight="1">
      <c r="A2269" s="5" t="s">
        <v>3606</v>
      </c>
      <c r="B2269" s="5">
        <v>43948.0</v>
      </c>
      <c r="C2269" s="6" t="s">
        <v>3607</v>
      </c>
      <c r="D2269" s="10">
        <f t="shared" si="1"/>
        <v>67</v>
      </c>
      <c r="E2269" s="8" t="str">
        <f t="shared" si="2"/>
        <v>https://resources.simonelectric.com/simon-ebook-vehiculo-electrico</v>
      </c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</row>
    <row r="2270" ht="15.75" customHeight="1">
      <c r="A2270" s="5" t="s">
        <v>3608</v>
      </c>
      <c r="B2270" s="5">
        <v>43948.0</v>
      </c>
      <c r="C2270" s="6" t="s">
        <v>3609</v>
      </c>
      <c r="D2270" s="10">
        <f t="shared" si="1"/>
        <v>67</v>
      </c>
      <c r="E2270" s="8" t="str">
        <f t="shared" si="2"/>
        <v>https://resources.simonelectric.com/simon-ebook-vehiculo-electrico</v>
      </c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</row>
    <row r="2271" ht="15.75" customHeight="1">
      <c r="A2271" s="5" t="s">
        <v>3610</v>
      </c>
      <c r="B2271" s="5">
        <v>43948.0</v>
      </c>
      <c r="C2271" s="6" t="s">
        <v>3611</v>
      </c>
      <c r="D2271" s="10">
        <f t="shared" si="1"/>
        <v>67</v>
      </c>
      <c r="E2271" s="8" t="str">
        <f t="shared" si="2"/>
        <v>https://resources.simonelectric.com/simon-ebook-vehiculo-electrico</v>
      </c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</row>
    <row r="2272" ht="15.75" customHeight="1">
      <c r="A2272" s="5" t="s">
        <v>1831</v>
      </c>
      <c r="B2272" s="5">
        <v>43948.0</v>
      </c>
      <c r="C2272" s="6" t="s">
        <v>3612</v>
      </c>
      <c r="D2272" s="10">
        <f t="shared" si="1"/>
        <v>67</v>
      </c>
      <c r="E2272" s="8" t="str">
        <f t="shared" si="2"/>
        <v>https://resources.simonelectric.com/simon-ebook-vehiculo-electrico</v>
      </c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</row>
    <row r="2273" ht="15.75" customHeight="1">
      <c r="A2273" s="5" t="s">
        <v>3613</v>
      </c>
      <c r="B2273" s="5">
        <v>43948.0</v>
      </c>
      <c r="C2273" s="6" t="s">
        <v>3614</v>
      </c>
      <c r="D2273" s="10">
        <f t="shared" si="1"/>
        <v>67</v>
      </c>
      <c r="E2273" s="8" t="str">
        <f t="shared" si="2"/>
        <v>https://resources.simonelectric.com/simon-ebook-vehiculo-electrico</v>
      </c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</row>
    <row r="2274" ht="15.75" customHeight="1">
      <c r="A2274" s="5" t="s">
        <v>2449</v>
      </c>
      <c r="B2274" s="5">
        <v>43948.0</v>
      </c>
      <c r="C2274" s="6" t="s">
        <v>3615</v>
      </c>
      <c r="D2274" s="10">
        <f t="shared" si="1"/>
        <v>67</v>
      </c>
      <c r="E2274" s="8" t="str">
        <f t="shared" si="2"/>
        <v>https://resources.simonelectric.com/simon-ebook-vehiculo-electrico</v>
      </c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</row>
    <row r="2275" ht="15.75" customHeight="1">
      <c r="A2275" s="5" t="s">
        <v>3239</v>
      </c>
      <c r="B2275" s="5">
        <v>43948.0</v>
      </c>
      <c r="C2275" s="6" t="s">
        <v>3616</v>
      </c>
      <c r="D2275" s="10">
        <f t="shared" si="1"/>
        <v>67</v>
      </c>
      <c r="E2275" s="8" t="str">
        <f t="shared" si="2"/>
        <v>https://resources.simonelectric.com/simon-ebook-vehiculo-electrico</v>
      </c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</row>
    <row r="2276" ht="15.75" customHeight="1">
      <c r="A2276" s="5" t="s">
        <v>3617</v>
      </c>
      <c r="B2276" s="5">
        <v>43948.0</v>
      </c>
      <c r="C2276" s="6" t="s">
        <v>3618</v>
      </c>
      <c r="D2276" s="10">
        <f t="shared" si="1"/>
        <v>67</v>
      </c>
      <c r="E2276" s="8" t="str">
        <f t="shared" si="2"/>
        <v>https://resources.simonelectric.com/simon-ebook-vehiculo-electrico</v>
      </c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</row>
    <row r="2277" ht="15.75" customHeight="1">
      <c r="A2277" s="5" t="s">
        <v>3537</v>
      </c>
      <c r="B2277" s="5">
        <v>43948.0</v>
      </c>
      <c r="C2277" s="6" t="s">
        <v>3619</v>
      </c>
      <c r="D2277" s="10">
        <f t="shared" si="1"/>
        <v>67</v>
      </c>
      <c r="E2277" s="8" t="str">
        <f t="shared" si="2"/>
        <v>https://resources.simonelectric.com/simon-ebook-vehiculo-electrico</v>
      </c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</row>
    <row r="2278" ht="15.75" customHeight="1">
      <c r="A2278" s="5" t="s">
        <v>3620</v>
      </c>
      <c r="B2278" s="5">
        <v>43948.0</v>
      </c>
      <c r="C2278" s="6" t="s">
        <v>299</v>
      </c>
      <c r="D2278" s="10" t="str">
        <f t="shared" si="1"/>
        <v>https://resources.simonelectric.com/simon-material-formativo-vehiculo-electrico</v>
      </c>
      <c r="E2278" s="8" t="str">
        <f t="shared" si="2"/>
        <v>https://resources.simonelectric.com/simon-material-formativo-vehiculo-electrico</v>
      </c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</row>
    <row r="2279" ht="15.75" customHeight="1">
      <c r="A2279" s="5" t="s">
        <v>3621</v>
      </c>
      <c r="B2279" s="5">
        <v>43948.0</v>
      </c>
      <c r="C2279" s="6" t="s">
        <v>3622</v>
      </c>
      <c r="D2279" s="10">
        <f t="shared" si="1"/>
        <v>67</v>
      </c>
      <c r="E2279" s="8" t="str">
        <f t="shared" si="2"/>
        <v>https://resources.simonelectric.com/simon-ebook-vehiculo-electrico</v>
      </c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</row>
    <row r="2280" ht="15.75" customHeight="1">
      <c r="A2280" s="5" t="s">
        <v>3555</v>
      </c>
      <c r="B2280" s="5">
        <v>43948.0</v>
      </c>
      <c r="C2280" s="6" t="s">
        <v>3623</v>
      </c>
      <c r="D2280" s="10">
        <f t="shared" si="1"/>
        <v>70</v>
      </c>
      <c r="E2280" s="8" t="str">
        <f t="shared" si="2"/>
        <v>https://resources.simonelectric.com/simon-catalogo-vehiculo-electrico</v>
      </c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</row>
    <row r="2281" ht="15.75" customHeight="1">
      <c r="A2281" s="5" t="s">
        <v>3624</v>
      </c>
      <c r="B2281" s="5">
        <v>43948.0</v>
      </c>
      <c r="C2281" s="6" t="s">
        <v>3625</v>
      </c>
      <c r="D2281" s="10">
        <f t="shared" si="1"/>
        <v>67</v>
      </c>
      <c r="E2281" s="8" t="str">
        <f t="shared" si="2"/>
        <v>https://resources.simonelectric.com/simon-ebook-vehiculo-electrico</v>
      </c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</row>
    <row r="2282" ht="15.75" customHeight="1">
      <c r="A2282" s="5" t="s">
        <v>3626</v>
      </c>
      <c r="B2282" s="5">
        <v>43948.0</v>
      </c>
      <c r="C2282" s="6" t="s">
        <v>3627</v>
      </c>
      <c r="D2282" s="10">
        <f t="shared" si="1"/>
        <v>67</v>
      </c>
      <c r="E2282" s="8" t="str">
        <f t="shared" si="2"/>
        <v>https://resources.simonelectric.com/simon-ebook-vehiculo-electrico</v>
      </c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</row>
    <row r="2283" ht="15.75" customHeight="1">
      <c r="A2283" s="5" t="s">
        <v>3628</v>
      </c>
      <c r="B2283" s="5">
        <v>43948.0</v>
      </c>
      <c r="C2283" s="6" t="s">
        <v>3629</v>
      </c>
      <c r="D2283" s="10">
        <f t="shared" si="1"/>
        <v>67</v>
      </c>
      <c r="E2283" s="8" t="str">
        <f t="shared" si="2"/>
        <v>https://resources.simonelectric.com/simon-ebook-vehiculo-electrico</v>
      </c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</row>
    <row r="2284" ht="15.75" customHeight="1">
      <c r="A2284" s="5" t="s">
        <v>2290</v>
      </c>
      <c r="B2284" s="5">
        <v>43948.0</v>
      </c>
      <c r="C2284" s="6" t="s">
        <v>3630</v>
      </c>
      <c r="D2284" s="10">
        <f t="shared" si="1"/>
        <v>67</v>
      </c>
      <c r="E2284" s="8" t="str">
        <f t="shared" si="2"/>
        <v>https://resources.simonelectric.com/simon-ebook-vehiculo-electrico</v>
      </c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</row>
    <row r="2285" ht="15.75" customHeight="1">
      <c r="A2285" s="5" t="s">
        <v>3631</v>
      </c>
      <c r="B2285" s="5">
        <v>43948.0</v>
      </c>
      <c r="C2285" s="6" t="s">
        <v>3632</v>
      </c>
      <c r="D2285" s="11">
        <f t="shared" si="1"/>
        <v>67</v>
      </c>
      <c r="E2285" s="8" t="str">
        <f t="shared" si="2"/>
        <v>https://resources.simonelectric.com/simon-ebook-vehiculo-electrico</v>
      </c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</row>
    <row r="2286" ht="15.75" customHeight="1">
      <c r="A2286" s="5" t="s">
        <v>2598</v>
      </c>
      <c r="B2286" s="5">
        <v>43948.0</v>
      </c>
      <c r="C2286" s="6" t="s">
        <v>3633</v>
      </c>
      <c r="D2286" s="10">
        <f t="shared" si="1"/>
        <v>67</v>
      </c>
      <c r="E2286" s="8" t="str">
        <f t="shared" si="2"/>
        <v>https://resources.simonelectric.com/simon-ebook-vehiculo-electrico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</row>
    <row r="2287" ht="15.75" customHeight="1">
      <c r="A2287" s="5" t="s">
        <v>3634</v>
      </c>
      <c r="B2287" s="5">
        <v>43948.0</v>
      </c>
      <c r="C2287" s="6" t="s">
        <v>55</v>
      </c>
      <c r="D2287" s="10">
        <f t="shared" si="1"/>
        <v>71</v>
      </c>
      <c r="E2287" s="8" t="str">
        <f t="shared" si="2"/>
        <v>https://resources.simonelectric.com/simon-ebook-vehiculo-electrico-ppc</v>
      </c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</row>
    <row r="2288" ht="15.75" customHeight="1">
      <c r="A2288" s="5" t="s">
        <v>3624</v>
      </c>
      <c r="B2288" s="5">
        <v>43948.0</v>
      </c>
      <c r="C2288" s="6" t="s">
        <v>3635</v>
      </c>
      <c r="D2288" s="10">
        <f t="shared" si="1"/>
        <v>67</v>
      </c>
      <c r="E2288" s="8" t="str">
        <f t="shared" si="2"/>
        <v>https://resources.simonelectric.com/simon-ebook-vehiculo-electrico</v>
      </c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</row>
    <row r="2289" ht="15.75" customHeight="1">
      <c r="A2289" s="5" t="s">
        <v>3636</v>
      </c>
      <c r="B2289" s="5">
        <v>43948.0</v>
      </c>
      <c r="C2289" s="6" t="s">
        <v>3637</v>
      </c>
      <c r="D2289" s="10">
        <f t="shared" si="1"/>
        <v>67</v>
      </c>
      <c r="E2289" s="8" t="str">
        <f t="shared" si="2"/>
        <v>https://resources.simonelectric.com/simon-ebook-vehiculo-electrico</v>
      </c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</row>
    <row r="2290" ht="15.75" customHeight="1">
      <c r="A2290" s="5" t="s">
        <v>3638</v>
      </c>
      <c r="B2290" s="5">
        <v>43948.0</v>
      </c>
      <c r="C2290" s="6" t="s">
        <v>3639</v>
      </c>
      <c r="D2290" s="10">
        <f t="shared" si="1"/>
        <v>67</v>
      </c>
      <c r="E2290" s="8" t="str">
        <f t="shared" si="2"/>
        <v>https://resources.simonelectric.com/simon-ebook-vehiculo-electrico</v>
      </c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</row>
    <row r="2291" ht="15.75" customHeight="1">
      <c r="A2291" s="5" t="s">
        <v>3640</v>
      </c>
      <c r="B2291" s="5">
        <v>43948.0</v>
      </c>
      <c r="C2291" s="6" t="s">
        <v>3641</v>
      </c>
      <c r="D2291" s="10">
        <f t="shared" si="1"/>
        <v>67</v>
      </c>
      <c r="E2291" s="8" t="str">
        <f t="shared" si="2"/>
        <v>https://resources.simonelectric.com/simon-ebook-vehiculo-electrico</v>
      </c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</row>
    <row r="2292" ht="15.75" customHeight="1">
      <c r="A2292" s="5" t="s">
        <v>3642</v>
      </c>
      <c r="B2292" s="5">
        <v>43948.0</v>
      </c>
      <c r="C2292" s="6" t="s">
        <v>3643</v>
      </c>
      <c r="D2292" s="10">
        <f t="shared" si="1"/>
        <v>67</v>
      </c>
      <c r="E2292" s="8" t="str">
        <f t="shared" si="2"/>
        <v>https://resources.simonelectric.com/simon-ebook-vehiculo-electrico</v>
      </c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</row>
    <row r="2293" ht="15.75" customHeight="1">
      <c r="A2293" s="5" t="s">
        <v>1995</v>
      </c>
      <c r="B2293" s="5">
        <v>43948.0</v>
      </c>
      <c r="C2293" s="6" t="s">
        <v>3644</v>
      </c>
      <c r="D2293" s="10">
        <f t="shared" si="1"/>
        <v>67</v>
      </c>
      <c r="E2293" s="8" t="str">
        <f t="shared" si="2"/>
        <v>https://resources.simonelectric.com/simon-ebook-vehiculo-electrico</v>
      </c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</row>
    <row r="2294" ht="15.75" customHeight="1">
      <c r="A2294" s="5" t="s">
        <v>3645</v>
      </c>
      <c r="B2294" s="5">
        <v>43948.0</v>
      </c>
      <c r="C2294" s="6" t="s">
        <v>3646</v>
      </c>
      <c r="D2294" s="10">
        <f t="shared" si="1"/>
        <v>67</v>
      </c>
      <c r="E2294" s="8" t="str">
        <f t="shared" si="2"/>
        <v>https://resources.simonelectric.com/simon-ebook-vehiculo-electrico</v>
      </c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</row>
    <row r="2295" ht="15.75" customHeight="1">
      <c r="A2295" s="5" t="s">
        <v>3647</v>
      </c>
      <c r="B2295" s="5">
        <v>43948.0</v>
      </c>
      <c r="C2295" s="6" t="s">
        <v>3648</v>
      </c>
      <c r="D2295" s="10">
        <f t="shared" si="1"/>
        <v>67</v>
      </c>
      <c r="E2295" s="8" t="str">
        <f t="shared" si="2"/>
        <v>https://resources.simonelectric.com/simon-ebook-vehiculo-electrico</v>
      </c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</row>
    <row r="2296" ht="15.75" customHeight="1">
      <c r="A2296" s="5" t="s">
        <v>3649</v>
      </c>
      <c r="B2296" s="5">
        <v>43948.0</v>
      </c>
      <c r="C2296" s="6" t="s">
        <v>3650</v>
      </c>
      <c r="D2296" s="10">
        <f t="shared" si="1"/>
        <v>67</v>
      </c>
      <c r="E2296" s="8" t="str">
        <f t="shared" si="2"/>
        <v>https://resources.simonelectric.com/simon-ebook-vehiculo-electrico</v>
      </c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</row>
    <row r="2297" ht="15.75" customHeight="1">
      <c r="A2297" s="5" t="s">
        <v>3349</v>
      </c>
      <c r="B2297" s="5">
        <v>43948.0</v>
      </c>
      <c r="C2297" s="6" t="s">
        <v>3651</v>
      </c>
      <c r="D2297" s="10">
        <f t="shared" si="1"/>
        <v>67</v>
      </c>
      <c r="E2297" s="8" t="str">
        <f t="shared" si="2"/>
        <v>https://resources.simonelectric.com/simon-ebook-vehiculo-electrico</v>
      </c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</row>
    <row r="2298" ht="15.75" customHeight="1">
      <c r="A2298" s="5" t="s">
        <v>3036</v>
      </c>
      <c r="B2298" s="5">
        <v>43948.0</v>
      </c>
      <c r="C2298" s="6" t="s">
        <v>3652</v>
      </c>
      <c r="D2298" s="10">
        <f t="shared" si="1"/>
        <v>67</v>
      </c>
      <c r="E2298" s="8" t="str">
        <f t="shared" si="2"/>
        <v>https://resources.simonelectric.com/simon-ebook-vehiculo-electrico</v>
      </c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</row>
    <row r="2299" ht="15.75" customHeight="1">
      <c r="A2299" s="5" t="s">
        <v>3653</v>
      </c>
      <c r="B2299" s="5">
        <v>43948.0</v>
      </c>
      <c r="C2299" s="6" t="s">
        <v>3654</v>
      </c>
      <c r="D2299" s="10">
        <f t="shared" si="1"/>
        <v>67</v>
      </c>
      <c r="E2299" s="8" t="str">
        <f t="shared" si="2"/>
        <v>https://resources.simonelectric.com/simon-ebook-vehiculo-electrico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</row>
    <row r="2300" ht="15.75" customHeight="1">
      <c r="A2300" s="5" t="s">
        <v>3258</v>
      </c>
      <c r="B2300" s="5">
        <v>43948.0</v>
      </c>
      <c r="C2300" s="6" t="s">
        <v>3655</v>
      </c>
      <c r="D2300" s="10">
        <f t="shared" si="1"/>
        <v>70</v>
      </c>
      <c r="E2300" s="8" t="str">
        <f t="shared" si="2"/>
        <v>https://resources.simonelectric.com/simon-catalogo-vehiculo-electrico</v>
      </c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</row>
    <row r="2301" ht="15.75" customHeight="1">
      <c r="A2301" s="5" t="s">
        <v>3656</v>
      </c>
      <c r="B2301" s="5">
        <v>43948.0</v>
      </c>
      <c r="C2301" s="6" t="s">
        <v>6</v>
      </c>
      <c r="D2301" s="10">
        <f t="shared" si="1"/>
        <v>67</v>
      </c>
      <c r="E2301" s="8" t="str">
        <f t="shared" si="2"/>
        <v>https://resources.simonelectric.com/simon-ebook-vehiculo-electrico</v>
      </c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</row>
    <row r="2302" ht="15.75" customHeight="1">
      <c r="A2302" s="5" t="s">
        <v>3657</v>
      </c>
      <c r="B2302" s="5">
        <v>43947.0</v>
      </c>
      <c r="C2302" s="6" t="s">
        <v>55</v>
      </c>
      <c r="D2302" s="10">
        <f t="shared" si="1"/>
        <v>71</v>
      </c>
      <c r="E2302" s="8" t="str">
        <f t="shared" si="2"/>
        <v>https://resources.simonelectric.com/simon-ebook-vehiculo-electrico-ppc</v>
      </c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</row>
    <row r="2303" ht="15.75" customHeight="1">
      <c r="A2303" s="5" t="s">
        <v>3658</v>
      </c>
      <c r="B2303" s="5">
        <v>43947.0</v>
      </c>
      <c r="C2303" s="6" t="s">
        <v>689</v>
      </c>
      <c r="D2303" s="10">
        <f t="shared" si="1"/>
        <v>67</v>
      </c>
      <c r="E2303" s="8" t="str">
        <f t="shared" si="2"/>
        <v>https://resources.simonelectric.com/simon-ebook-vehiculo-electrico</v>
      </c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</row>
    <row r="2304" ht="15.75" customHeight="1">
      <c r="A2304" s="5" t="s">
        <v>512</v>
      </c>
      <c r="B2304" s="5">
        <v>43947.0</v>
      </c>
      <c r="C2304" s="6" t="s">
        <v>3659</v>
      </c>
      <c r="D2304" s="10">
        <f t="shared" si="1"/>
        <v>69</v>
      </c>
      <c r="E2304" s="8" t="str">
        <f t="shared" si="2"/>
        <v>https://resources.simonelectric.com/simon-ebook-vehiculo-electrico-0</v>
      </c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</row>
    <row r="2305" ht="15.75" customHeight="1">
      <c r="A2305" s="5" t="s">
        <v>3660</v>
      </c>
      <c r="B2305" s="5">
        <v>43947.0</v>
      </c>
      <c r="C2305" s="6" t="s">
        <v>10</v>
      </c>
      <c r="D2305" s="10" t="str">
        <f t="shared" si="1"/>
        <v>https://resources.simonelectric.com/simon-catalogo-vehiculo-electrico</v>
      </c>
      <c r="E2305" s="8" t="str">
        <f t="shared" si="2"/>
        <v>https://resources.simonelectric.com/simon-catalogo-vehiculo-electrico</v>
      </c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</row>
    <row r="2306" ht="15.75" customHeight="1">
      <c r="A2306" s="5" t="s">
        <v>3661</v>
      </c>
      <c r="B2306" s="5">
        <v>43947.0</v>
      </c>
      <c r="C2306" s="6" t="s">
        <v>55</v>
      </c>
      <c r="D2306" s="10">
        <f t="shared" si="1"/>
        <v>71</v>
      </c>
      <c r="E2306" s="8" t="str">
        <f t="shared" si="2"/>
        <v>https://resources.simonelectric.com/simon-ebook-vehiculo-electrico-ppc</v>
      </c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</row>
    <row r="2307" ht="15.75" customHeight="1">
      <c r="A2307" s="5" t="s">
        <v>2600</v>
      </c>
      <c r="B2307" s="5">
        <v>43947.0</v>
      </c>
      <c r="C2307" s="6" t="s">
        <v>3662</v>
      </c>
      <c r="D2307" s="10">
        <f t="shared" si="1"/>
        <v>69</v>
      </c>
      <c r="E2307" s="8" t="str">
        <f t="shared" si="2"/>
        <v>https://resources.simonelectric.com/simon-ebook-vehiculo-electrico-0</v>
      </c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</row>
    <row r="2308" ht="15.75" customHeight="1">
      <c r="A2308" s="5" t="s">
        <v>3663</v>
      </c>
      <c r="B2308" s="5">
        <v>43947.0</v>
      </c>
      <c r="C2308" s="6" t="s">
        <v>55</v>
      </c>
      <c r="D2308" s="10">
        <f t="shared" si="1"/>
        <v>71</v>
      </c>
      <c r="E2308" s="8" t="str">
        <f t="shared" si="2"/>
        <v>https://resources.simonelectric.com/simon-ebook-vehiculo-electrico-ppc</v>
      </c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</row>
    <row r="2309" ht="15.75" customHeight="1">
      <c r="A2309" s="5" t="s">
        <v>3664</v>
      </c>
      <c r="B2309" s="5">
        <v>43947.0</v>
      </c>
      <c r="C2309" s="6" t="s">
        <v>3665</v>
      </c>
      <c r="D2309" s="10">
        <f t="shared" si="1"/>
        <v>69</v>
      </c>
      <c r="E2309" s="8" t="str">
        <f t="shared" si="2"/>
        <v>https://resources.simonelectric.com/simon-ebook-vehiculo-electrico-0</v>
      </c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</row>
    <row r="2310" ht="15.75" customHeight="1">
      <c r="A2310" s="5" t="s">
        <v>3666</v>
      </c>
      <c r="B2310" s="5">
        <v>43946.0</v>
      </c>
      <c r="C2310" s="6" t="s">
        <v>3667</v>
      </c>
      <c r="D2310" s="10">
        <f t="shared" si="1"/>
        <v>69</v>
      </c>
      <c r="E2310" s="8" t="str">
        <f t="shared" si="2"/>
        <v>https://resources.simonelectric.com/simon-ebook-vehiculo-electrico-0</v>
      </c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</row>
    <row r="2311" ht="15.75" customHeight="1">
      <c r="A2311" s="5" t="s">
        <v>3668</v>
      </c>
      <c r="B2311" s="5">
        <v>43946.0</v>
      </c>
      <c r="C2311" s="6" t="s">
        <v>3669</v>
      </c>
      <c r="D2311" s="10">
        <f t="shared" si="1"/>
        <v>70</v>
      </c>
      <c r="E2311" s="8" t="str">
        <f t="shared" si="2"/>
        <v>https://resources.simonelectric.com/simon-catalogo-vehiculo-electrico</v>
      </c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</row>
    <row r="2312" ht="15.75" customHeight="1">
      <c r="A2312" s="5" t="s">
        <v>3670</v>
      </c>
      <c r="B2312" s="5">
        <v>43946.0</v>
      </c>
      <c r="C2312" s="6" t="s">
        <v>3671</v>
      </c>
      <c r="D2312" s="10">
        <f t="shared" si="1"/>
        <v>69</v>
      </c>
      <c r="E2312" s="8" t="str">
        <f t="shared" si="2"/>
        <v>https://resources.simonelectric.com/simon-ebook-vehiculo-electrico-0</v>
      </c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</row>
    <row r="2313" ht="15.75" customHeight="1">
      <c r="A2313" s="5" t="s">
        <v>3672</v>
      </c>
      <c r="B2313" s="5">
        <v>43946.0</v>
      </c>
      <c r="C2313" s="6" t="s">
        <v>3673</v>
      </c>
      <c r="D2313" s="10">
        <f t="shared" si="1"/>
        <v>69</v>
      </c>
      <c r="E2313" s="8" t="str">
        <f t="shared" si="2"/>
        <v>https://resources.simonelectric.com/simon-ebook-vehiculo-electrico-0</v>
      </c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</row>
    <row r="2314" ht="15.75" customHeight="1">
      <c r="A2314" s="5" t="s">
        <v>1750</v>
      </c>
      <c r="B2314" s="5">
        <v>43946.0</v>
      </c>
      <c r="C2314" s="6" t="s">
        <v>3674</v>
      </c>
      <c r="D2314" s="10">
        <f t="shared" si="1"/>
        <v>69</v>
      </c>
      <c r="E2314" s="8" t="str">
        <f t="shared" si="2"/>
        <v>https://resources.simonelectric.com/simon-ebook-vehiculo-electrico-0</v>
      </c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</row>
    <row r="2315" ht="15.75" customHeight="1">
      <c r="A2315" s="5" t="s">
        <v>3675</v>
      </c>
      <c r="B2315" s="5">
        <v>43946.0</v>
      </c>
      <c r="C2315" s="6" t="s">
        <v>3676</v>
      </c>
      <c r="D2315" s="10">
        <f t="shared" si="1"/>
        <v>69</v>
      </c>
      <c r="E2315" s="8" t="str">
        <f t="shared" si="2"/>
        <v>https://resources.simonelectric.com/simon-ebook-vehiculo-electrico-0</v>
      </c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</row>
    <row r="2316" ht="15.75" customHeight="1">
      <c r="A2316" s="5" t="s">
        <v>3321</v>
      </c>
      <c r="B2316" s="5">
        <v>43946.0</v>
      </c>
      <c r="C2316" s="6" t="s">
        <v>55</v>
      </c>
      <c r="D2316" s="10">
        <f t="shared" si="1"/>
        <v>71</v>
      </c>
      <c r="E2316" s="8" t="str">
        <f t="shared" si="2"/>
        <v>https://resources.simonelectric.com/simon-ebook-vehiculo-electrico-ppc</v>
      </c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</row>
    <row r="2317" ht="15.75" customHeight="1">
      <c r="A2317" s="5" t="s">
        <v>3677</v>
      </c>
      <c r="B2317" s="5">
        <v>43946.0</v>
      </c>
      <c r="C2317" s="6" t="s">
        <v>55</v>
      </c>
      <c r="D2317" s="10">
        <f t="shared" si="1"/>
        <v>71</v>
      </c>
      <c r="E2317" s="8" t="str">
        <f t="shared" si="2"/>
        <v>https://resources.simonelectric.com/simon-ebook-vehiculo-electrico-ppc</v>
      </c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</row>
    <row r="2318" ht="15.75" customHeight="1">
      <c r="A2318" s="5" t="s">
        <v>3678</v>
      </c>
      <c r="B2318" s="5">
        <v>43946.0</v>
      </c>
      <c r="C2318" s="6" t="s">
        <v>3679</v>
      </c>
      <c r="D2318" s="10">
        <f t="shared" si="1"/>
        <v>70</v>
      </c>
      <c r="E2318" s="8" t="str">
        <f t="shared" si="2"/>
        <v>https://resources.simonelectric.com/simon-catalogo-vehiculo-electrico</v>
      </c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</row>
    <row r="2319" ht="15.75" customHeight="1">
      <c r="A2319" s="5" t="s">
        <v>3678</v>
      </c>
      <c r="B2319" s="5">
        <v>43946.0</v>
      </c>
      <c r="C2319" s="6" t="s">
        <v>299</v>
      </c>
      <c r="D2319" s="10" t="str">
        <f t="shared" si="1"/>
        <v>https://resources.simonelectric.com/simon-material-formativo-vehiculo-electrico</v>
      </c>
      <c r="E2319" s="8" t="str">
        <f t="shared" si="2"/>
        <v>https://resources.simonelectric.com/simon-material-formativo-vehiculo-electrico</v>
      </c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</row>
    <row r="2320" ht="15.75" customHeight="1">
      <c r="A2320" s="5" t="s">
        <v>3678</v>
      </c>
      <c r="B2320" s="5">
        <v>43946.0</v>
      </c>
      <c r="C2320" s="6" t="s">
        <v>28</v>
      </c>
      <c r="D2320" s="10" t="str">
        <f t="shared" si="1"/>
        <v>https://resources.simonelectric.com/simon-ebook-vehiculo-electrico</v>
      </c>
      <c r="E2320" s="8" t="str">
        <f t="shared" si="2"/>
        <v>https://resources.simonelectric.com/simon-ebook-vehiculo-electrico</v>
      </c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</row>
    <row r="2321" ht="15.75" customHeight="1">
      <c r="A2321" s="5" t="s">
        <v>3680</v>
      </c>
      <c r="B2321" s="5">
        <v>43946.0</v>
      </c>
      <c r="C2321" s="6" t="s">
        <v>3681</v>
      </c>
      <c r="D2321" s="10">
        <f t="shared" si="1"/>
        <v>67</v>
      </c>
      <c r="E2321" s="8" t="str">
        <f t="shared" si="2"/>
        <v>https://resources.simonelectric.com/simon-ebook-vehiculo-electrico</v>
      </c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</row>
    <row r="2322" ht="15.75" customHeight="1">
      <c r="A2322" s="5" t="s">
        <v>3682</v>
      </c>
      <c r="B2322" s="5">
        <v>43946.0</v>
      </c>
      <c r="C2322" s="6" t="s">
        <v>55</v>
      </c>
      <c r="D2322" s="10">
        <f t="shared" si="1"/>
        <v>71</v>
      </c>
      <c r="E2322" s="8" t="str">
        <f t="shared" si="2"/>
        <v>https://resources.simonelectric.com/simon-ebook-vehiculo-electrico-ppc</v>
      </c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</row>
    <row r="2323" ht="15.75" customHeight="1">
      <c r="A2323" s="5" t="s">
        <v>3683</v>
      </c>
      <c r="B2323" s="5">
        <v>43946.0</v>
      </c>
      <c r="C2323" s="6" t="s">
        <v>3684</v>
      </c>
      <c r="D2323" s="10">
        <f t="shared" si="1"/>
        <v>67</v>
      </c>
      <c r="E2323" s="8" t="str">
        <f t="shared" si="2"/>
        <v>https://resources.simonelectric.com/simon-ebook-vehiculo-electrico</v>
      </c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</row>
    <row r="2324" ht="15.75" customHeight="1">
      <c r="A2324" s="5" t="s">
        <v>2180</v>
      </c>
      <c r="B2324" s="5">
        <v>43945.0</v>
      </c>
      <c r="C2324" s="6" t="s">
        <v>3685</v>
      </c>
      <c r="D2324" s="10">
        <f t="shared" si="1"/>
        <v>69</v>
      </c>
      <c r="E2324" s="8" t="str">
        <f t="shared" si="2"/>
        <v>https://resources.simonelectric.com/simon-ebook-vehiculo-electrico-0</v>
      </c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</row>
    <row r="2325" ht="15.75" customHeight="1">
      <c r="A2325" s="5" t="s">
        <v>3686</v>
      </c>
      <c r="B2325" s="5">
        <v>43945.0</v>
      </c>
      <c r="C2325" s="6" t="s">
        <v>3687</v>
      </c>
      <c r="D2325" s="10">
        <f t="shared" si="1"/>
        <v>69</v>
      </c>
      <c r="E2325" s="8" t="str">
        <f t="shared" si="2"/>
        <v>https://resources.simonelectric.com/simon-ebook-vehiculo-electrico-0</v>
      </c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</row>
    <row r="2326" ht="15.75" customHeight="1">
      <c r="A2326" s="5" t="s">
        <v>3688</v>
      </c>
      <c r="B2326" s="5">
        <v>43945.0</v>
      </c>
      <c r="C2326" s="6" t="s">
        <v>299</v>
      </c>
      <c r="D2326" s="10" t="str">
        <f t="shared" si="1"/>
        <v>https://resources.simonelectric.com/simon-material-formativo-vehiculo-electrico</v>
      </c>
      <c r="E2326" s="8" t="str">
        <f t="shared" si="2"/>
        <v>https://resources.simonelectric.com/simon-material-formativo-vehiculo-electrico</v>
      </c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</row>
    <row r="2327" ht="15.75" customHeight="1">
      <c r="A2327" s="5" t="s">
        <v>3689</v>
      </c>
      <c r="B2327" s="5">
        <v>43945.0</v>
      </c>
      <c r="C2327" s="6" t="s">
        <v>8</v>
      </c>
      <c r="D2327" s="10">
        <f t="shared" si="1"/>
        <v>67</v>
      </c>
      <c r="E2327" s="8" t="str">
        <f t="shared" si="2"/>
        <v>https://resources.simonelectric.com/simon-ebook-vehiculo-electrico</v>
      </c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</row>
    <row r="2328" ht="15.75" customHeight="1">
      <c r="A2328" s="5" t="s">
        <v>3690</v>
      </c>
      <c r="B2328" s="5">
        <v>43945.0</v>
      </c>
      <c r="C2328" s="6" t="s">
        <v>3691</v>
      </c>
      <c r="D2328" s="10">
        <f t="shared" si="1"/>
        <v>69</v>
      </c>
      <c r="E2328" s="8" t="str">
        <f t="shared" si="2"/>
        <v>https://resources.simonelectric.com/simon-ebook-vehiculo-electrico-0</v>
      </c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</row>
    <row r="2329" ht="15.75" customHeight="1">
      <c r="A2329" s="5" t="s">
        <v>3692</v>
      </c>
      <c r="B2329" s="5">
        <v>43945.0</v>
      </c>
      <c r="C2329" s="6" t="s">
        <v>3693</v>
      </c>
      <c r="D2329" s="10">
        <f t="shared" si="1"/>
        <v>69</v>
      </c>
      <c r="E2329" s="8" t="str">
        <f t="shared" si="2"/>
        <v>https://resources.simonelectric.com/simon-ebook-vehiculo-electrico-0</v>
      </c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</row>
    <row r="2330" ht="15.75" customHeight="1">
      <c r="A2330" s="5" t="s">
        <v>3694</v>
      </c>
      <c r="B2330" s="5">
        <v>43945.0</v>
      </c>
      <c r="C2330" s="6" t="s">
        <v>3695</v>
      </c>
      <c r="D2330" s="10">
        <f t="shared" si="1"/>
        <v>69</v>
      </c>
      <c r="E2330" s="8" t="str">
        <f t="shared" si="2"/>
        <v>https://resources.simonelectric.com/simon-ebook-vehiculo-electrico-0</v>
      </c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</row>
    <row r="2331" ht="15.75" customHeight="1">
      <c r="A2331" s="5" t="s">
        <v>3696</v>
      </c>
      <c r="B2331" s="5">
        <v>43945.0</v>
      </c>
      <c r="C2331" s="6" t="s">
        <v>299</v>
      </c>
      <c r="D2331" s="10" t="str">
        <f t="shared" si="1"/>
        <v>https://resources.simonelectric.com/simon-material-formativo-vehiculo-electrico</v>
      </c>
      <c r="E2331" s="8" t="str">
        <f t="shared" si="2"/>
        <v>https://resources.simonelectric.com/simon-material-formativo-vehiculo-electrico</v>
      </c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</row>
    <row r="2332" ht="15.75" customHeight="1">
      <c r="A2332" s="5" t="s">
        <v>3697</v>
      </c>
      <c r="B2332" s="5">
        <v>43945.0</v>
      </c>
      <c r="C2332" s="6" t="s">
        <v>55</v>
      </c>
      <c r="D2332" s="10">
        <f t="shared" si="1"/>
        <v>71</v>
      </c>
      <c r="E2332" s="8" t="str">
        <f t="shared" si="2"/>
        <v>https://resources.simonelectric.com/simon-ebook-vehiculo-electrico-ppc</v>
      </c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</row>
    <row r="2333" ht="15.75" customHeight="1">
      <c r="A2333" s="5" t="s">
        <v>3698</v>
      </c>
      <c r="B2333" s="5">
        <v>43945.0</v>
      </c>
      <c r="C2333" s="6" t="s">
        <v>55</v>
      </c>
      <c r="D2333" s="10">
        <f t="shared" si="1"/>
        <v>71</v>
      </c>
      <c r="E2333" s="8" t="str">
        <f t="shared" si="2"/>
        <v>https://resources.simonelectric.com/simon-ebook-vehiculo-electrico-ppc</v>
      </c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</row>
    <row r="2334" ht="15.75" customHeight="1">
      <c r="A2334" s="5" t="s">
        <v>3699</v>
      </c>
      <c r="B2334" s="5">
        <v>43945.0</v>
      </c>
      <c r="C2334" s="6" t="s">
        <v>299</v>
      </c>
      <c r="D2334" s="10" t="str">
        <f t="shared" si="1"/>
        <v>https://resources.simonelectric.com/simon-material-formativo-vehiculo-electrico</v>
      </c>
      <c r="E2334" s="8" t="str">
        <f t="shared" si="2"/>
        <v>https://resources.simonelectric.com/simon-material-formativo-vehiculo-electrico</v>
      </c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</row>
    <row r="2335" ht="15.75" customHeight="1">
      <c r="A2335" s="5" t="s">
        <v>2598</v>
      </c>
      <c r="B2335" s="5">
        <v>43945.0</v>
      </c>
      <c r="C2335" s="6" t="s">
        <v>299</v>
      </c>
      <c r="D2335" s="10" t="str">
        <f t="shared" si="1"/>
        <v>https://resources.simonelectric.com/simon-material-formativo-vehiculo-electrico</v>
      </c>
      <c r="E2335" s="8" t="str">
        <f t="shared" si="2"/>
        <v>https://resources.simonelectric.com/simon-material-formativo-vehiculo-electrico</v>
      </c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</row>
    <row r="2336" ht="15.75" customHeight="1">
      <c r="A2336" s="5" t="s">
        <v>1519</v>
      </c>
      <c r="B2336" s="5">
        <v>43945.0</v>
      </c>
      <c r="C2336" s="6" t="s">
        <v>299</v>
      </c>
      <c r="D2336" s="10" t="str">
        <f t="shared" si="1"/>
        <v>https://resources.simonelectric.com/simon-material-formativo-vehiculo-electrico</v>
      </c>
      <c r="E2336" s="8" t="str">
        <f t="shared" si="2"/>
        <v>https://resources.simonelectric.com/simon-material-formativo-vehiculo-electrico</v>
      </c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</row>
    <row r="2337" ht="15.75" customHeight="1">
      <c r="A2337" s="5" t="s">
        <v>3700</v>
      </c>
      <c r="B2337" s="5">
        <v>43945.0</v>
      </c>
      <c r="C2337" s="6" t="s">
        <v>299</v>
      </c>
      <c r="D2337" s="10" t="str">
        <f t="shared" si="1"/>
        <v>https://resources.simonelectric.com/simon-material-formativo-vehiculo-electrico</v>
      </c>
      <c r="E2337" s="8" t="str">
        <f t="shared" si="2"/>
        <v>https://resources.simonelectric.com/simon-material-formativo-vehiculo-electrico</v>
      </c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</row>
    <row r="2338" ht="15.75" customHeight="1">
      <c r="A2338" s="5" t="s">
        <v>1462</v>
      </c>
      <c r="B2338" s="5">
        <v>43945.0</v>
      </c>
      <c r="C2338" s="6" t="s">
        <v>299</v>
      </c>
      <c r="D2338" s="10" t="str">
        <f t="shared" si="1"/>
        <v>https://resources.simonelectric.com/simon-material-formativo-vehiculo-electrico</v>
      </c>
      <c r="E2338" s="8" t="str">
        <f t="shared" si="2"/>
        <v>https://resources.simonelectric.com/simon-material-formativo-vehiculo-electrico</v>
      </c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</row>
    <row r="2339" ht="15.75" customHeight="1">
      <c r="A2339" s="5" t="s">
        <v>412</v>
      </c>
      <c r="B2339" s="5">
        <v>43945.0</v>
      </c>
      <c r="C2339" s="6" t="s">
        <v>299</v>
      </c>
      <c r="D2339" s="10" t="str">
        <f t="shared" si="1"/>
        <v>https://resources.simonelectric.com/simon-material-formativo-vehiculo-electrico</v>
      </c>
      <c r="E2339" s="8" t="str">
        <f t="shared" si="2"/>
        <v>https://resources.simonelectric.com/simon-material-formativo-vehiculo-electrico</v>
      </c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</row>
    <row r="2340" ht="15.75" customHeight="1">
      <c r="A2340" s="5" t="s">
        <v>3701</v>
      </c>
      <c r="B2340" s="5">
        <v>43945.0</v>
      </c>
      <c r="C2340" s="6" t="s">
        <v>299</v>
      </c>
      <c r="D2340" s="10" t="str">
        <f t="shared" si="1"/>
        <v>https://resources.simonelectric.com/simon-material-formativo-vehiculo-electrico</v>
      </c>
      <c r="E2340" s="8" t="str">
        <f t="shared" si="2"/>
        <v>https://resources.simonelectric.com/simon-material-formativo-vehiculo-electrico</v>
      </c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</row>
    <row r="2341" ht="15.75" customHeight="1">
      <c r="A2341" s="5" t="s">
        <v>3702</v>
      </c>
      <c r="B2341" s="5">
        <v>43945.0</v>
      </c>
      <c r="C2341" s="6" t="s">
        <v>299</v>
      </c>
      <c r="D2341" s="10" t="str">
        <f t="shared" si="1"/>
        <v>https://resources.simonelectric.com/simon-material-formativo-vehiculo-electrico</v>
      </c>
      <c r="E2341" s="8" t="str">
        <f t="shared" si="2"/>
        <v>https://resources.simonelectric.com/simon-material-formativo-vehiculo-electrico</v>
      </c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</row>
    <row r="2342" ht="15.75" customHeight="1">
      <c r="A2342" s="5" t="s">
        <v>3703</v>
      </c>
      <c r="B2342" s="5">
        <v>43945.0</v>
      </c>
      <c r="C2342" s="6" t="s">
        <v>299</v>
      </c>
      <c r="D2342" s="10" t="str">
        <f t="shared" si="1"/>
        <v>https://resources.simonelectric.com/simon-material-formativo-vehiculo-electrico</v>
      </c>
      <c r="E2342" s="8" t="str">
        <f t="shared" si="2"/>
        <v>https://resources.simonelectric.com/simon-material-formativo-vehiculo-electrico</v>
      </c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</row>
    <row r="2343" ht="15.75" customHeight="1">
      <c r="A2343" s="5" t="s">
        <v>1264</v>
      </c>
      <c r="B2343" s="5">
        <v>43945.0</v>
      </c>
      <c r="C2343" s="6" t="s">
        <v>299</v>
      </c>
      <c r="D2343" s="10" t="str">
        <f t="shared" si="1"/>
        <v>https://resources.simonelectric.com/simon-material-formativo-vehiculo-electrico</v>
      </c>
      <c r="E2343" s="8" t="str">
        <f t="shared" si="2"/>
        <v>https://resources.simonelectric.com/simon-material-formativo-vehiculo-electrico</v>
      </c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</row>
    <row r="2344" ht="15.75" customHeight="1">
      <c r="A2344" s="5" t="s">
        <v>1839</v>
      </c>
      <c r="B2344" s="5">
        <v>43945.0</v>
      </c>
      <c r="C2344" s="6" t="s">
        <v>3704</v>
      </c>
      <c r="D2344" s="10">
        <f t="shared" si="1"/>
        <v>67</v>
      </c>
      <c r="E2344" s="8" t="str">
        <f t="shared" si="2"/>
        <v>https://resources.simonelectric.com/simon-ebook-vehiculo-electrico</v>
      </c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</row>
    <row r="2345" ht="15.75" customHeight="1">
      <c r="A2345" s="5" t="s">
        <v>3705</v>
      </c>
      <c r="B2345" s="5">
        <v>43945.0</v>
      </c>
      <c r="C2345" s="6" t="s">
        <v>3706</v>
      </c>
      <c r="D2345" s="10">
        <f t="shared" si="1"/>
        <v>67</v>
      </c>
      <c r="E2345" s="8" t="str">
        <f t="shared" si="2"/>
        <v>https://resources.simonelectric.com/simon-ebook-vehiculo-electrico</v>
      </c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</row>
    <row r="2346" ht="15.75" customHeight="1">
      <c r="A2346" s="5" t="s">
        <v>3707</v>
      </c>
      <c r="B2346" s="5">
        <v>43945.0</v>
      </c>
      <c r="C2346" s="6" t="s">
        <v>55</v>
      </c>
      <c r="D2346" s="10">
        <f t="shared" si="1"/>
        <v>71</v>
      </c>
      <c r="E2346" s="8" t="str">
        <f t="shared" si="2"/>
        <v>https://resources.simonelectric.com/simon-ebook-vehiculo-electrico-ppc</v>
      </c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</row>
    <row r="2347" ht="15.75" customHeight="1">
      <c r="A2347" s="5" t="s">
        <v>3708</v>
      </c>
      <c r="B2347" s="5">
        <v>43945.0</v>
      </c>
      <c r="C2347" s="6" t="s">
        <v>3709</v>
      </c>
      <c r="D2347" s="10">
        <f t="shared" si="1"/>
        <v>71</v>
      </c>
      <c r="E2347" s="8" t="str">
        <f t="shared" si="2"/>
        <v>https://resources.simonelectric.com/simon-ebook-vehiculo-electrico-ppc</v>
      </c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</row>
    <row r="2348" ht="15.75" customHeight="1">
      <c r="A2348" s="5" t="s">
        <v>3710</v>
      </c>
      <c r="B2348" s="5">
        <v>43944.0</v>
      </c>
      <c r="C2348" s="6" t="s">
        <v>299</v>
      </c>
      <c r="D2348" s="10" t="str">
        <f t="shared" si="1"/>
        <v>https://resources.simonelectric.com/simon-material-formativo-vehiculo-electrico</v>
      </c>
      <c r="E2348" s="8" t="str">
        <f t="shared" si="2"/>
        <v>https://resources.simonelectric.com/simon-material-formativo-vehiculo-electrico</v>
      </c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</row>
    <row r="2349" ht="15.75" customHeight="1">
      <c r="A2349" s="5" t="s">
        <v>3711</v>
      </c>
      <c r="B2349" s="5">
        <v>43944.0</v>
      </c>
      <c r="C2349" s="6" t="s">
        <v>3712</v>
      </c>
      <c r="D2349" s="10">
        <f t="shared" si="1"/>
        <v>70</v>
      </c>
      <c r="E2349" s="8" t="str">
        <f t="shared" si="2"/>
        <v>https://resources.simonelectric.com/simon-catalogo-vehiculo-electrico</v>
      </c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</row>
    <row r="2350" ht="15.75" customHeight="1">
      <c r="A2350" s="5" t="s">
        <v>3621</v>
      </c>
      <c r="B2350" s="5">
        <v>43944.0</v>
      </c>
      <c r="C2350" s="6" t="s">
        <v>299</v>
      </c>
      <c r="D2350" s="10" t="str">
        <f t="shared" si="1"/>
        <v>https://resources.simonelectric.com/simon-material-formativo-vehiculo-electrico</v>
      </c>
      <c r="E2350" s="8" t="str">
        <f t="shared" si="2"/>
        <v>https://resources.simonelectric.com/simon-material-formativo-vehiculo-electrico</v>
      </c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</row>
    <row r="2351" ht="15.75" customHeight="1">
      <c r="A2351" s="5" t="s">
        <v>3711</v>
      </c>
      <c r="B2351" s="5">
        <v>43944.0</v>
      </c>
      <c r="C2351" s="6" t="s">
        <v>689</v>
      </c>
      <c r="D2351" s="10">
        <f t="shared" si="1"/>
        <v>67</v>
      </c>
      <c r="E2351" s="8" t="str">
        <f t="shared" si="2"/>
        <v>https://resources.simonelectric.com/simon-ebook-vehiculo-electrico</v>
      </c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</row>
    <row r="2352" ht="15.75" customHeight="1">
      <c r="A2352" s="5" t="s">
        <v>3713</v>
      </c>
      <c r="B2352" s="5">
        <v>43944.0</v>
      </c>
      <c r="C2352" s="6" t="s">
        <v>299</v>
      </c>
      <c r="D2352" s="10" t="str">
        <f t="shared" si="1"/>
        <v>https://resources.simonelectric.com/simon-material-formativo-vehiculo-electrico</v>
      </c>
      <c r="E2352" s="8" t="str">
        <f t="shared" si="2"/>
        <v>https://resources.simonelectric.com/simon-material-formativo-vehiculo-electrico</v>
      </c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</row>
    <row r="2353" ht="15.75" customHeight="1">
      <c r="A2353" s="5" t="s">
        <v>2782</v>
      </c>
      <c r="B2353" s="5">
        <v>43944.0</v>
      </c>
      <c r="C2353" s="6" t="s">
        <v>299</v>
      </c>
      <c r="D2353" s="10" t="str">
        <f t="shared" si="1"/>
        <v>https://resources.simonelectric.com/simon-material-formativo-vehiculo-electrico</v>
      </c>
      <c r="E2353" s="8" t="str">
        <f t="shared" si="2"/>
        <v>https://resources.simonelectric.com/simon-material-formativo-vehiculo-electrico</v>
      </c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</row>
    <row r="2354" ht="15.75" customHeight="1">
      <c r="A2354" s="5" t="s">
        <v>3617</v>
      </c>
      <c r="B2354" s="5">
        <v>43944.0</v>
      </c>
      <c r="C2354" s="6" t="s">
        <v>299</v>
      </c>
      <c r="D2354" s="10" t="str">
        <f t="shared" si="1"/>
        <v>https://resources.simonelectric.com/simon-material-formativo-vehiculo-electrico</v>
      </c>
      <c r="E2354" s="8" t="str">
        <f t="shared" si="2"/>
        <v>https://resources.simonelectric.com/simon-material-formativo-vehiculo-electrico</v>
      </c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</row>
    <row r="2355" ht="15.75" customHeight="1">
      <c r="A2355" s="5" t="s">
        <v>3714</v>
      </c>
      <c r="B2355" s="5">
        <v>43944.0</v>
      </c>
      <c r="C2355" s="6" t="s">
        <v>299</v>
      </c>
      <c r="D2355" s="10" t="str">
        <f t="shared" si="1"/>
        <v>https://resources.simonelectric.com/simon-material-formativo-vehiculo-electrico</v>
      </c>
      <c r="E2355" s="8" t="str">
        <f t="shared" si="2"/>
        <v>https://resources.simonelectric.com/simon-material-formativo-vehiculo-electrico</v>
      </c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</row>
    <row r="2356" ht="15.75" customHeight="1">
      <c r="A2356" s="5" t="s">
        <v>3715</v>
      </c>
      <c r="B2356" s="5">
        <v>43944.0</v>
      </c>
      <c r="C2356" s="6" t="s">
        <v>299</v>
      </c>
      <c r="D2356" s="10" t="str">
        <f t="shared" si="1"/>
        <v>https://resources.simonelectric.com/simon-material-formativo-vehiculo-electrico</v>
      </c>
      <c r="E2356" s="8" t="str">
        <f t="shared" si="2"/>
        <v>https://resources.simonelectric.com/simon-material-formativo-vehiculo-electrico</v>
      </c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</row>
    <row r="2357" ht="15.75" customHeight="1">
      <c r="A2357" s="5" t="s">
        <v>3716</v>
      </c>
      <c r="B2357" s="5">
        <v>43944.0</v>
      </c>
      <c r="C2357" s="6" t="s">
        <v>299</v>
      </c>
      <c r="D2357" s="10" t="str">
        <f t="shared" si="1"/>
        <v>https://resources.simonelectric.com/simon-material-formativo-vehiculo-electrico</v>
      </c>
      <c r="E2357" s="8" t="str">
        <f t="shared" si="2"/>
        <v>https://resources.simonelectric.com/simon-material-formativo-vehiculo-electrico</v>
      </c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</row>
    <row r="2358" ht="15.75" customHeight="1">
      <c r="A2358" s="5" t="s">
        <v>3717</v>
      </c>
      <c r="B2358" s="5">
        <v>43944.0</v>
      </c>
      <c r="C2358" s="6" t="s">
        <v>299</v>
      </c>
      <c r="D2358" s="10" t="str">
        <f t="shared" si="1"/>
        <v>https://resources.simonelectric.com/simon-material-formativo-vehiculo-electrico</v>
      </c>
      <c r="E2358" s="8" t="str">
        <f t="shared" si="2"/>
        <v>https://resources.simonelectric.com/simon-material-formativo-vehiculo-electrico</v>
      </c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</row>
    <row r="2359" ht="15.75" customHeight="1">
      <c r="A2359" s="5" t="s">
        <v>3718</v>
      </c>
      <c r="B2359" s="5">
        <v>43944.0</v>
      </c>
      <c r="C2359" s="6" t="s">
        <v>299</v>
      </c>
      <c r="D2359" s="10" t="str">
        <f t="shared" si="1"/>
        <v>https://resources.simonelectric.com/simon-material-formativo-vehiculo-electrico</v>
      </c>
      <c r="E2359" s="8" t="str">
        <f t="shared" si="2"/>
        <v>https://resources.simonelectric.com/simon-material-formativo-vehiculo-electrico</v>
      </c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</row>
    <row r="2360" ht="15.75" customHeight="1">
      <c r="A2360" s="5" t="s">
        <v>3719</v>
      </c>
      <c r="B2360" s="5">
        <v>43944.0</v>
      </c>
      <c r="C2360" s="6" t="s">
        <v>299</v>
      </c>
      <c r="D2360" s="10" t="str">
        <f t="shared" si="1"/>
        <v>https://resources.simonelectric.com/simon-material-formativo-vehiculo-electrico</v>
      </c>
      <c r="E2360" s="8" t="str">
        <f t="shared" si="2"/>
        <v>https://resources.simonelectric.com/simon-material-formativo-vehiculo-electrico</v>
      </c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</row>
    <row r="2361" ht="15.75" customHeight="1">
      <c r="A2361" s="5" t="s">
        <v>723</v>
      </c>
      <c r="B2361" s="5">
        <v>43944.0</v>
      </c>
      <c r="C2361" s="6" t="s">
        <v>299</v>
      </c>
      <c r="D2361" s="10" t="str">
        <f t="shared" si="1"/>
        <v>https://resources.simonelectric.com/simon-material-formativo-vehiculo-electrico</v>
      </c>
      <c r="E2361" s="8" t="str">
        <f t="shared" si="2"/>
        <v>https://resources.simonelectric.com/simon-material-formativo-vehiculo-electrico</v>
      </c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</row>
    <row r="2362" ht="15.75" customHeight="1">
      <c r="A2362" s="5" t="s">
        <v>3720</v>
      </c>
      <c r="B2362" s="5">
        <v>43944.0</v>
      </c>
      <c r="C2362" s="6" t="s">
        <v>299</v>
      </c>
      <c r="D2362" s="10" t="str">
        <f t="shared" si="1"/>
        <v>https://resources.simonelectric.com/simon-material-formativo-vehiculo-electrico</v>
      </c>
      <c r="E2362" s="8" t="str">
        <f t="shared" si="2"/>
        <v>https://resources.simonelectric.com/simon-material-formativo-vehiculo-electrico</v>
      </c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</row>
    <row r="2363" ht="15.75" customHeight="1">
      <c r="A2363" s="5" t="s">
        <v>3193</v>
      </c>
      <c r="B2363" s="5">
        <v>43944.0</v>
      </c>
      <c r="C2363" s="6" t="s">
        <v>299</v>
      </c>
      <c r="D2363" s="10" t="str">
        <f t="shared" si="1"/>
        <v>https://resources.simonelectric.com/simon-material-formativo-vehiculo-electrico</v>
      </c>
      <c r="E2363" s="8" t="str">
        <f t="shared" si="2"/>
        <v>https://resources.simonelectric.com/simon-material-formativo-vehiculo-electrico</v>
      </c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</row>
    <row r="2364" ht="15.75" customHeight="1">
      <c r="A2364" s="5" t="s">
        <v>3721</v>
      </c>
      <c r="B2364" s="5">
        <v>43944.0</v>
      </c>
      <c r="C2364" s="6" t="s">
        <v>299</v>
      </c>
      <c r="D2364" s="10" t="str">
        <f t="shared" si="1"/>
        <v>https://resources.simonelectric.com/simon-material-formativo-vehiculo-electrico</v>
      </c>
      <c r="E2364" s="8" t="str">
        <f t="shared" si="2"/>
        <v>https://resources.simonelectric.com/simon-material-formativo-vehiculo-electrico</v>
      </c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</row>
    <row r="2365" ht="15.75" customHeight="1">
      <c r="A2365" s="5" t="s">
        <v>3722</v>
      </c>
      <c r="B2365" s="5">
        <v>43944.0</v>
      </c>
      <c r="C2365" s="6" t="s">
        <v>299</v>
      </c>
      <c r="D2365" s="10" t="str">
        <f t="shared" si="1"/>
        <v>https://resources.simonelectric.com/simon-material-formativo-vehiculo-electrico</v>
      </c>
      <c r="E2365" s="8" t="str">
        <f t="shared" si="2"/>
        <v>https://resources.simonelectric.com/simon-material-formativo-vehiculo-electrico</v>
      </c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</row>
    <row r="2366" ht="15.75" customHeight="1">
      <c r="A2366" s="5" t="s">
        <v>3036</v>
      </c>
      <c r="B2366" s="5">
        <v>43944.0</v>
      </c>
      <c r="C2366" s="6" t="s">
        <v>299</v>
      </c>
      <c r="D2366" s="10" t="str">
        <f t="shared" si="1"/>
        <v>https://resources.simonelectric.com/simon-material-formativo-vehiculo-electrico</v>
      </c>
      <c r="E2366" s="8" t="str">
        <f t="shared" si="2"/>
        <v>https://resources.simonelectric.com/simon-material-formativo-vehiculo-electrico</v>
      </c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</row>
    <row r="2367" ht="15.75" customHeight="1">
      <c r="A2367" s="5" t="s">
        <v>2234</v>
      </c>
      <c r="B2367" s="5">
        <v>43944.0</v>
      </c>
      <c r="C2367" s="6" t="s">
        <v>28</v>
      </c>
      <c r="D2367" s="10" t="str">
        <f t="shared" si="1"/>
        <v>https://resources.simonelectric.com/simon-ebook-vehiculo-electrico</v>
      </c>
      <c r="E2367" s="8" t="str">
        <f t="shared" si="2"/>
        <v>https://resources.simonelectric.com/simon-ebook-vehiculo-electrico</v>
      </c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</row>
    <row r="2368" ht="15.75" customHeight="1">
      <c r="A2368" s="5" t="s">
        <v>3723</v>
      </c>
      <c r="B2368" s="5">
        <v>43944.0</v>
      </c>
      <c r="C2368" s="6" t="s">
        <v>299</v>
      </c>
      <c r="D2368" s="10" t="str">
        <f t="shared" si="1"/>
        <v>https://resources.simonelectric.com/simon-material-formativo-vehiculo-electrico</v>
      </c>
      <c r="E2368" s="8" t="str">
        <f t="shared" si="2"/>
        <v>https://resources.simonelectric.com/simon-material-formativo-vehiculo-electrico</v>
      </c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</row>
    <row r="2369" ht="15.75" customHeight="1">
      <c r="A2369" s="5" t="s">
        <v>3724</v>
      </c>
      <c r="B2369" s="5">
        <v>43944.0</v>
      </c>
      <c r="C2369" s="6" t="s">
        <v>28</v>
      </c>
      <c r="D2369" s="10" t="str">
        <f t="shared" si="1"/>
        <v>https://resources.simonelectric.com/simon-ebook-vehiculo-electrico</v>
      </c>
      <c r="E2369" s="8" t="str">
        <f t="shared" si="2"/>
        <v>https://resources.simonelectric.com/simon-ebook-vehiculo-electrico</v>
      </c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</row>
    <row r="2370" ht="15.75" customHeight="1">
      <c r="A2370" s="5" t="s">
        <v>3725</v>
      </c>
      <c r="B2370" s="5">
        <v>43944.0</v>
      </c>
      <c r="C2370" s="6" t="s">
        <v>299</v>
      </c>
      <c r="D2370" s="10" t="str">
        <f t="shared" si="1"/>
        <v>https://resources.simonelectric.com/simon-material-formativo-vehiculo-electrico</v>
      </c>
      <c r="E2370" s="8" t="str">
        <f t="shared" si="2"/>
        <v>https://resources.simonelectric.com/simon-material-formativo-vehiculo-electrico</v>
      </c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</row>
    <row r="2371" ht="15.75" customHeight="1">
      <c r="A2371" s="5" t="s">
        <v>3726</v>
      </c>
      <c r="B2371" s="5">
        <v>43944.0</v>
      </c>
      <c r="C2371" s="6" t="s">
        <v>299</v>
      </c>
      <c r="D2371" s="10" t="str">
        <f t="shared" si="1"/>
        <v>https://resources.simonelectric.com/simon-material-formativo-vehiculo-electrico</v>
      </c>
      <c r="E2371" s="8" t="str">
        <f t="shared" si="2"/>
        <v>https://resources.simonelectric.com/simon-material-formativo-vehiculo-electrico</v>
      </c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</row>
    <row r="2372" ht="15.75" customHeight="1">
      <c r="A2372" s="5" t="s">
        <v>3727</v>
      </c>
      <c r="B2372" s="5">
        <v>43944.0</v>
      </c>
      <c r="C2372" s="6" t="s">
        <v>299</v>
      </c>
      <c r="D2372" s="10" t="str">
        <f t="shared" si="1"/>
        <v>https://resources.simonelectric.com/simon-material-formativo-vehiculo-electrico</v>
      </c>
      <c r="E2372" s="8" t="str">
        <f t="shared" si="2"/>
        <v>https://resources.simonelectric.com/simon-material-formativo-vehiculo-electrico</v>
      </c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</row>
    <row r="2373" ht="15.75" customHeight="1">
      <c r="A2373" s="5" t="s">
        <v>3724</v>
      </c>
      <c r="B2373" s="5">
        <v>43944.0</v>
      </c>
      <c r="C2373" s="6" t="s">
        <v>299</v>
      </c>
      <c r="D2373" s="10" t="str">
        <f t="shared" si="1"/>
        <v>https://resources.simonelectric.com/simon-material-formativo-vehiculo-electrico</v>
      </c>
      <c r="E2373" s="8" t="str">
        <f t="shared" si="2"/>
        <v>https://resources.simonelectric.com/simon-material-formativo-vehiculo-electrico</v>
      </c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</row>
    <row r="2374" ht="15.75" customHeight="1">
      <c r="A2374" s="5" t="s">
        <v>3728</v>
      </c>
      <c r="B2374" s="5">
        <v>43944.0</v>
      </c>
      <c r="C2374" s="6" t="s">
        <v>299</v>
      </c>
      <c r="D2374" s="10" t="str">
        <f t="shared" si="1"/>
        <v>https://resources.simonelectric.com/simon-material-formativo-vehiculo-electrico</v>
      </c>
      <c r="E2374" s="8" t="str">
        <f t="shared" si="2"/>
        <v>https://resources.simonelectric.com/simon-material-formativo-vehiculo-electrico</v>
      </c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</row>
    <row r="2375" ht="15.75" customHeight="1">
      <c r="A2375" s="5" t="s">
        <v>2234</v>
      </c>
      <c r="B2375" s="5">
        <v>43944.0</v>
      </c>
      <c r="C2375" s="6" t="s">
        <v>299</v>
      </c>
      <c r="D2375" s="10" t="str">
        <f t="shared" si="1"/>
        <v>https://resources.simonelectric.com/simon-material-formativo-vehiculo-electrico</v>
      </c>
      <c r="E2375" s="8" t="str">
        <f t="shared" si="2"/>
        <v>https://resources.simonelectric.com/simon-material-formativo-vehiculo-electrico</v>
      </c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</row>
    <row r="2376" ht="15.75" customHeight="1">
      <c r="A2376" s="5" t="s">
        <v>3729</v>
      </c>
      <c r="B2376" s="5">
        <v>43944.0</v>
      </c>
      <c r="C2376" s="6" t="s">
        <v>299</v>
      </c>
      <c r="D2376" s="10" t="str">
        <f t="shared" si="1"/>
        <v>https://resources.simonelectric.com/simon-material-formativo-vehiculo-electrico</v>
      </c>
      <c r="E2376" s="8" t="str">
        <f t="shared" si="2"/>
        <v>https://resources.simonelectric.com/simon-material-formativo-vehiculo-electrico</v>
      </c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</row>
    <row r="2377" ht="15.75" customHeight="1">
      <c r="A2377" s="5" t="s">
        <v>3730</v>
      </c>
      <c r="B2377" s="5">
        <v>43944.0</v>
      </c>
      <c r="C2377" s="6" t="s">
        <v>299</v>
      </c>
      <c r="D2377" s="10" t="str">
        <f t="shared" si="1"/>
        <v>https://resources.simonelectric.com/simon-material-formativo-vehiculo-electrico</v>
      </c>
      <c r="E2377" s="8" t="str">
        <f t="shared" si="2"/>
        <v>https://resources.simonelectric.com/simon-material-formativo-vehiculo-electrico</v>
      </c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</row>
    <row r="2378" ht="15.75" customHeight="1">
      <c r="A2378" s="5" t="s">
        <v>3731</v>
      </c>
      <c r="B2378" s="5">
        <v>43944.0</v>
      </c>
      <c r="C2378" s="6" t="s">
        <v>299</v>
      </c>
      <c r="D2378" s="10" t="str">
        <f t="shared" si="1"/>
        <v>https://resources.simonelectric.com/simon-material-formativo-vehiculo-electrico</v>
      </c>
      <c r="E2378" s="8" t="str">
        <f t="shared" si="2"/>
        <v>https://resources.simonelectric.com/simon-material-formativo-vehiculo-electrico</v>
      </c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</row>
    <row r="2379" ht="15.75" customHeight="1">
      <c r="A2379" s="5" t="s">
        <v>3732</v>
      </c>
      <c r="B2379" s="5">
        <v>43944.0</v>
      </c>
      <c r="C2379" s="6" t="s">
        <v>299</v>
      </c>
      <c r="D2379" s="10" t="str">
        <f t="shared" si="1"/>
        <v>https://resources.simonelectric.com/simon-material-formativo-vehiculo-electrico</v>
      </c>
      <c r="E2379" s="8" t="str">
        <f t="shared" si="2"/>
        <v>https://resources.simonelectric.com/simon-material-formativo-vehiculo-electrico</v>
      </c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</row>
    <row r="2380" ht="15.75" customHeight="1">
      <c r="A2380" s="5" t="s">
        <v>3733</v>
      </c>
      <c r="B2380" s="5">
        <v>43944.0</v>
      </c>
      <c r="C2380" s="6" t="s">
        <v>299</v>
      </c>
      <c r="D2380" s="10" t="str">
        <f t="shared" si="1"/>
        <v>https://resources.simonelectric.com/simon-material-formativo-vehiculo-electrico</v>
      </c>
      <c r="E2380" s="8" t="str">
        <f t="shared" si="2"/>
        <v>https://resources.simonelectric.com/simon-material-formativo-vehiculo-electrico</v>
      </c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</row>
    <row r="2381" ht="15.75" customHeight="1">
      <c r="A2381" s="5" t="s">
        <v>3734</v>
      </c>
      <c r="B2381" s="5">
        <v>43944.0</v>
      </c>
      <c r="C2381" s="6" t="s">
        <v>299</v>
      </c>
      <c r="D2381" s="10" t="str">
        <f t="shared" si="1"/>
        <v>https://resources.simonelectric.com/simon-material-formativo-vehiculo-electrico</v>
      </c>
      <c r="E2381" s="8" t="str">
        <f t="shared" si="2"/>
        <v>https://resources.simonelectric.com/simon-material-formativo-vehiculo-electrico</v>
      </c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</row>
    <row r="2382" ht="15.75" customHeight="1">
      <c r="A2382" s="5" t="s">
        <v>3735</v>
      </c>
      <c r="B2382" s="5">
        <v>43944.0</v>
      </c>
      <c r="C2382" s="6" t="s">
        <v>299</v>
      </c>
      <c r="D2382" s="10" t="str">
        <f t="shared" si="1"/>
        <v>https://resources.simonelectric.com/simon-material-formativo-vehiculo-electrico</v>
      </c>
      <c r="E2382" s="8" t="str">
        <f t="shared" si="2"/>
        <v>https://resources.simonelectric.com/simon-material-formativo-vehiculo-electrico</v>
      </c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</row>
    <row r="2383" ht="15.75" customHeight="1">
      <c r="A2383" s="5" t="s">
        <v>1987</v>
      </c>
      <c r="B2383" s="5">
        <v>43944.0</v>
      </c>
      <c r="C2383" s="6" t="s">
        <v>299</v>
      </c>
      <c r="D2383" s="10" t="str">
        <f t="shared" si="1"/>
        <v>https://resources.simonelectric.com/simon-material-formativo-vehiculo-electrico</v>
      </c>
      <c r="E2383" s="8" t="str">
        <f t="shared" si="2"/>
        <v>https://resources.simonelectric.com/simon-material-formativo-vehiculo-electrico</v>
      </c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</row>
    <row r="2384" ht="15.75" customHeight="1">
      <c r="A2384" s="5" t="s">
        <v>3736</v>
      </c>
      <c r="B2384" s="5">
        <v>43944.0</v>
      </c>
      <c r="C2384" s="6" t="s">
        <v>299</v>
      </c>
      <c r="D2384" s="10" t="str">
        <f t="shared" si="1"/>
        <v>https://resources.simonelectric.com/simon-material-formativo-vehiculo-electrico</v>
      </c>
      <c r="E2384" s="8" t="str">
        <f t="shared" si="2"/>
        <v>https://resources.simonelectric.com/simon-material-formativo-vehiculo-electrico</v>
      </c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</row>
    <row r="2385" ht="15.75" customHeight="1">
      <c r="A2385" s="5" t="s">
        <v>3239</v>
      </c>
      <c r="B2385" s="5">
        <v>43944.0</v>
      </c>
      <c r="C2385" s="6" t="s">
        <v>299</v>
      </c>
      <c r="D2385" s="10" t="str">
        <f t="shared" si="1"/>
        <v>https://resources.simonelectric.com/simon-material-formativo-vehiculo-electrico</v>
      </c>
      <c r="E2385" s="8" t="str">
        <f t="shared" si="2"/>
        <v>https://resources.simonelectric.com/simon-material-formativo-vehiculo-electrico</v>
      </c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</row>
    <row r="2386" ht="15.75" customHeight="1">
      <c r="A2386" s="5" t="s">
        <v>3737</v>
      </c>
      <c r="B2386" s="5">
        <v>43944.0</v>
      </c>
      <c r="C2386" s="6" t="s">
        <v>299</v>
      </c>
      <c r="D2386" s="10" t="str">
        <f t="shared" si="1"/>
        <v>https://resources.simonelectric.com/simon-material-formativo-vehiculo-electrico</v>
      </c>
      <c r="E2386" s="8" t="str">
        <f t="shared" si="2"/>
        <v>https://resources.simonelectric.com/simon-material-formativo-vehiculo-electrico</v>
      </c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</row>
    <row r="2387" ht="15.75" customHeight="1">
      <c r="A2387" s="5" t="s">
        <v>3738</v>
      </c>
      <c r="B2387" s="5">
        <v>43944.0</v>
      </c>
      <c r="C2387" s="6" t="s">
        <v>299</v>
      </c>
      <c r="D2387" s="10" t="str">
        <f t="shared" si="1"/>
        <v>https://resources.simonelectric.com/simon-material-formativo-vehiculo-electrico</v>
      </c>
      <c r="E2387" s="8" t="str">
        <f t="shared" si="2"/>
        <v>https://resources.simonelectric.com/simon-material-formativo-vehiculo-electrico</v>
      </c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</row>
    <row r="2388" ht="15.75" customHeight="1">
      <c r="A2388" s="5" t="s">
        <v>1850</v>
      </c>
      <c r="B2388" s="5">
        <v>43944.0</v>
      </c>
      <c r="C2388" s="6" t="s">
        <v>299</v>
      </c>
      <c r="D2388" s="10" t="str">
        <f t="shared" si="1"/>
        <v>https://resources.simonelectric.com/simon-material-formativo-vehiculo-electrico</v>
      </c>
      <c r="E2388" s="8" t="str">
        <f t="shared" si="2"/>
        <v>https://resources.simonelectric.com/simon-material-formativo-vehiculo-electrico</v>
      </c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</row>
    <row r="2389" ht="15.75" customHeight="1">
      <c r="A2389" s="5" t="s">
        <v>3739</v>
      </c>
      <c r="B2389" s="5">
        <v>43944.0</v>
      </c>
      <c r="C2389" s="6" t="s">
        <v>299</v>
      </c>
      <c r="D2389" s="10" t="str">
        <f t="shared" si="1"/>
        <v>https://resources.simonelectric.com/simon-material-formativo-vehiculo-electrico</v>
      </c>
      <c r="E2389" s="8" t="str">
        <f t="shared" si="2"/>
        <v>https://resources.simonelectric.com/simon-material-formativo-vehiculo-electrico</v>
      </c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</row>
    <row r="2390" ht="15.75" customHeight="1">
      <c r="A2390" s="5" t="s">
        <v>3740</v>
      </c>
      <c r="B2390" s="5">
        <v>43944.0</v>
      </c>
      <c r="C2390" s="6" t="s">
        <v>299</v>
      </c>
      <c r="D2390" s="10" t="str">
        <f t="shared" si="1"/>
        <v>https://resources.simonelectric.com/simon-material-formativo-vehiculo-electrico</v>
      </c>
      <c r="E2390" s="8" t="str">
        <f t="shared" si="2"/>
        <v>https://resources.simonelectric.com/simon-material-formativo-vehiculo-electrico</v>
      </c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</row>
    <row r="2391" ht="15.75" customHeight="1">
      <c r="A2391" s="5" t="s">
        <v>3741</v>
      </c>
      <c r="B2391" s="5">
        <v>43944.0</v>
      </c>
      <c r="C2391" s="6" t="s">
        <v>299</v>
      </c>
      <c r="D2391" s="10" t="str">
        <f t="shared" si="1"/>
        <v>https://resources.simonelectric.com/simon-material-formativo-vehiculo-electrico</v>
      </c>
      <c r="E2391" s="8" t="str">
        <f t="shared" si="2"/>
        <v>https://resources.simonelectric.com/simon-material-formativo-vehiculo-electrico</v>
      </c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</row>
    <row r="2392" ht="15.75" customHeight="1">
      <c r="A2392" s="5" t="s">
        <v>3742</v>
      </c>
      <c r="B2392" s="5">
        <v>43944.0</v>
      </c>
      <c r="C2392" s="6" t="s">
        <v>299</v>
      </c>
      <c r="D2392" s="10" t="str">
        <f t="shared" si="1"/>
        <v>https://resources.simonelectric.com/simon-material-formativo-vehiculo-electrico</v>
      </c>
      <c r="E2392" s="8" t="str">
        <f t="shared" si="2"/>
        <v>https://resources.simonelectric.com/simon-material-formativo-vehiculo-electrico</v>
      </c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</row>
    <row r="2393" ht="15.75" customHeight="1">
      <c r="A2393" s="5" t="s">
        <v>3743</v>
      </c>
      <c r="B2393" s="5">
        <v>43944.0</v>
      </c>
      <c r="C2393" s="6" t="s">
        <v>299</v>
      </c>
      <c r="D2393" s="10" t="str">
        <f t="shared" si="1"/>
        <v>https://resources.simonelectric.com/simon-material-formativo-vehiculo-electrico</v>
      </c>
      <c r="E2393" s="8" t="str">
        <f t="shared" si="2"/>
        <v>https://resources.simonelectric.com/simon-material-formativo-vehiculo-electrico</v>
      </c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</row>
    <row r="2394" ht="15.75" customHeight="1">
      <c r="A2394" s="5" t="s">
        <v>3744</v>
      </c>
      <c r="B2394" s="5">
        <v>43944.0</v>
      </c>
      <c r="C2394" s="6" t="s">
        <v>299</v>
      </c>
      <c r="D2394" s="10" t="str">
        <f t="shared" si="1"/>
        <v>https://resources.simonelectric.com/simon-material-formativo-vehiculo-electrico</v>
      </c>
      <c r="E2394" s="8" t="str">
        <f t="shared" si="2"/>
        <v>https://resources.simonelectric.com/simon-material-formativo-vehiculo-electrico</v>
      </c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</row>
    <row r="2395" ht="15.75" customHeight="1">
      <c r="A2395" s="5" t="s">
        <v>2668</v>
      </c>
      <c r="B2395" s="5">
        <v>43944.0</v>
      </c>
      <c r="C2395" s="6" t="s">
        <v>299</v>
      </c>
      <c r="D2395" s="10" t="str">
        <f t="shared" si="1"/>
        <v>https://resources.simonelectric.com/simon-material-formativo-vehiculo-electrico</v>
      </c>
      <c r="E2395" s="8" t="str">
        <f t="shared" si="2"/>
        <v>https://resources.simonelectric.com/simon-material-formativo-vehiculo-electrico</v>
      </c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</row>
    <row r="2396" ht="15.75" customHeight="1">
      <c r="A2396" s="5" t="s">
        <v>3745</v>
      </c>
      <c r="B2396" s="5">
        <v>43944.0</v>
      </c>
      <c r="C2396" s="6" t="s">
        <v>299</v>
      </c>
      <c r="D2396" s="10" t="str">
        <f t="shared" si="1"/>
        <v>https://resources.simonelectric.com/simon-material-formativo-vehiculo-electrico</v>
      </c>
      <c r="E2396" s="8" t="str">
        <f t="shared" si="2"/>
        <v>https://resources.simonelectric.com/simon-material-formativo-vehiculo-electrico</v>
      </c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</row>
    <row r="2397" ht="15.75" customHeight="1">
      <c r="A2397" s="5" t="s">
        <v>3122</v>
      </c>
      <c r="B2397" s="5">
        <v>43944.0</v>
      </c>
      <c r="C2397" s="6" t="s">
        <v>299</v>
      </c>
      <c r="D2397" s="10" t="str">
        <f t="shared" si="1"/>
        <v>https://resources.simonelectric.com/simon-material-formativo-vehiculo-electrico</v>
      </c>
      <c r="E2397" s="8" t="str">
        <f t="shared" si="2"/>
        <v>https://resources.simonelectric.com/simon-material-formativo-vehiculo-electrico</v>
      </c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</row>
    <row r="2398" ht="15.75" customHeight="1">
      <c r="A2398" s="5" t="s">
        <v>3599</v>
      </c>
      <c r="B2398" s="5">
        <v>43944.0</v>
      </c>
      <c r="C2398" s="6" t="s">
        <v>299</v>
      </c>
      <c r="D2398" s="10" t="str">
        <f t="shared" si="1"/>
        <v>https://resources.simonelectric.com/simon-material-formativo-vehiculo-electrico</v>
      </c>
      <c r="E2398" s="8" t="str">
        <f t="shared" si="2"/>
        <v>https://resources.simonelectric.com/simon-material-formativo-vehiculo-electrico</v>
      </c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</row>
    <row r="2399" ht="15.75" customHeight="1">
      <c r="A2399" s="5" t="s">
        <v>3724</v>
      </c>
      <c r="B2399" s="5">
        <v>43944.0</v>
      </c>
      <c r="C2399" s="6" t="s">
        <v>299</v>
      </c>
      <c r="D2399" s="10" t="str">
        <f t="shared" si="1"/>
        <v>https://resources.simonelectric.com/simon-material-formativo-vehiculo-electrico</v>
      </c>
      <c r="E2399" s="8" t="str">
        <f t="shared" si="2"/>
        <v>https://resources.simonelectric.com/simon-material-formativo-vehiculo-electrico</v>
      </c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</row>
    <row r="2400" ht="15.75" customHeight="1">
      <c r="A2400" s="5" t="s">
        <v>3575</v>
      </c>
      <c r="B2400" s="5">
        <v>43944.0</v>
      </c>
      <c r="C2400" s="6" t="s">
        <v>299</v>
      </c>
      <c r="D2400" s="10" t="str">
        <f t="shared" si="1"/>
        <v>https://resources.simonelectric.com/simon-material-formativo-vehiculo-electrico</v>
      </c>
      <c r="E2400" s="8" t="str">
        <f t="shared" si="2"/>
        <v>https://resources.simonelectric.com/simon-material-formativo-vehiculo-electrico</v>
      </c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</row>
    <row r="2401" ht="15.75" customHeight="1">
      <c r="A2401" s="5" t="s">
        <v>1691</v>
      </c>
      <c r="B2401" s="5">
        <v>43944.0</v>
      </c>
      <c r="C2401" s="6" t="s">
        <v>299</v>
      </c>
      <c r="D2401" s="10" t="str">
        <f t="shared" si="1"/>
        <v>https://resources.simonelectric.com/simon-material-formativo-vehiculo-electrico</v>
      </c>
      <c r="E2401" s="8" t="str">
        <f t="shared" si="2"/>
        <v>https://resources.simonelectric.com/simon-material-formativo-vehiculo-electrico</v>
      </c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</row>
    <row r="2402" ht="15.75" customHeight="1">
      <c r="A2402" s="5" t="s">
        <v>3481</v>
      </c>
      <c r="B2402" s="5">
        <v>43944.0</v>
      </c>
      <c r="C2402" s="6" t="s">
        <v>299</v>
      </c>
      <c r="D2402" s="10" t="str">
        <f t="shared" si="1"/>
        <v>https://resources.simonelectric.com/simon-material-formativo-vehiculo-electrico</v>
      </c>
      <c r="E2402" s="8" t="str">
        <f t="shared" si="2"/>
        <v>https://resources.simonelectric.com/simon-material-formativo-vehiculo-electrico</v>
      </c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</row>
    <row r="2403" ht="15.75" customHeight="1">
      <c r="A2403" s="5" t="s">
        <v>3746</v>
      </c>
      <c r="B2403" s="5">
        <v>43944.0</v>
      </c>
      <c r="C2403" s="6" t="s">
        <v>28</v>
      </c>
      <c r="D2403" s="10" t="str">
        <f t="shared" si="1"/>
        <v>https://resources.simonelectric.com/simon-ebook-vehiculo-electrico</v>
      </c>
      <c r="E2403" s="8" t="str">
        <f t="shared" si="2"/>
        <v>https://resources.simonelectric.com/simon-ebook-vehiculo-electrico</v>
      </c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</row>
    <row r="2404" ht="15.75" customHeight="1">
      <c r="A2404" s="5" t="s">
        <v>3606</v>
      </c>
      <c r="B2404" s="5">
        <v>43944.0</v>
      </c>
      <c r="C2404" s="6" t="s">
        <v>299</v>
      </c>
      <c r="D2404" s="10" t="str">
        <f t="shared" si="1"/>
        <v>https://resources.simonelectric.com/simon-material-formativo-vehiculo-electrico</v>
      </c>
      <c r="E2404" s="8" t="str">
        <f t="shared" si="2"/>
        <v>https://resources.simonelectric.com/simon-material-formativo-vehiculo-electrico</v>
      </c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</row>
    <row r="2405" ht="15.75" customHeight="1">
      <c r="A2405" s="5" t="s">
        <v>3747</v>
      </c>
      <c r="B2405" s="5">
        <v>43944.0</v>
      </c>
      <c r="C2405" s="6" t="s">
        <v>299</v>
      </c>
      <c r="D2405" s="10" t="str">
        <f t="shared" si="1"/>
        <v>https://resources.simonelectric.com/simon-material-formativo-vehiculo-electrico</v>
      </c>
      <c r="E2405" s="8" t="str">
        <f t="shared" si="2"/>
        <v>https://resources.simonelectric.com/simon-material-formativo-vehiculo-electrico</v>
      </c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</row>
    <row r="2406" ht="15.75" customHeight="1">
      <c r="A2406" s="5" t="s">
        <v>3748</v>
      </c>
      <c r="B2406" s="5">
        <v>43944.0</v>
      </c>
      <c r="C2406" s="6" t="s">
        <v>299</v>
      </c>
      <c r="D2406" s="10" t="str">
        <f t="shared" si="1"/>
        <v>https://resources.simonelectric.com/simon-material-formativo-vehiculo-electrico</v>
      </c>
      <c r="E2406" s="8" t="str">
        <f t="shared" si="2"/>
        <v>https://resources.simonelectric.com/simon-material-formativo-vehiculo-electrico</v>
      </c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</row>
    <row r="2407" ht="15.75" customHeight="1">
      <c r="A2407" s="5" t="s">
        <v>3610</v>
      </c>
      <c r="B2407" s="5">
        <v>43944.0</v>
      </c>
      <c r="C2407" s="6" t="s">
        <v>299</v>
      </c>
      <c r="D2407" s="10" t="str">
        <f t="shared" si="1"/>
        <v>https://resources.simonelectric.com/simon-material-formativo-vehiculo-electrico</v>
      </c>
      <c r="E2407" s="8" t="str">
        <f t="shared" si="2"/>
        <v>https://resources.simonelectric.com/simon-material-formativo-vehiculo-electrico</v>
      </c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</row>
    <row r="2408" ht="15.75" customHeight="1">
      <c r="A2408" s="5" t="s">
        <v>3636</v>
      </c>
      <c r="B2408" s="5">
        <v>43944.0</v>
      </c>
      <c r="C2408" s="6" t="s">
        <v>299</v>
      </c>
      <c r="D2408" s="10" t="str">
        <f t="shared" si="1"/>
        <v>https://resources.simonelectric.com/simon-material-formativo-vehiculo-electrico</v>
      </c>
      <c r="E2408" s="8" t="str">
        <f t="shared" si="2"/>
        <v>https://resources.simonelectric.com/simon-material-formativo-vehiculo-electrico</v>
      </c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</row>
    <row r="2409" ht="15.75" customHeight="1">
      <c r="A2409" s="5" t="s">
        <v>2102</v>
      </c>
      <c r="B2409" s="5">
        <v>43944.0</v>
      </c>
      <c r="C2409" s="6" t="s">
        <v>28</v>
      </c>
      <c r="D2409" s="10" t="str">
        <f t="shared" si="1"/>
        <v>https://resources.simonelectric.com/simon-ebook-vehiculo-electrico</v>
      </c>
      <c r="E2409" s="8" t="str">
        <f t="shared" si="2"/>
        <v>https://resources.simonelectric.com/simon-ebook-vehiculo-electrico</v>
      </c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</row>
    <row r="2410" ht="15.75" customHeight="1">
      <c r="A2410" s="5" t="s">
        <v>3749</v>
      </c>
      <c r="B2410" s="5">
        <v>43944.0</v>
      </c>
      <c r="C2410" s="6" t="s">
        <v>299</v>
      </c>
      <c r="D2410" s="10" t="str">
        <f t="shared" si="1"/>
        <v>https://resources.simonelectric.com/simon-material-formativo-vehiculo-electrico</v>
      </c>
      <c r="E2410" s="8" t="str">
        <f t="shared" si="2"/>
        <v>https://resources.simonelectric.com/simon-material-formativo-vehiculo-electrico</v>
      </c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</row>
    <row r="2411" ht="15.75" customHeight="1">
      <c r="A2411" s="5" t="s">
        <v>3750</v>
      </c>
      <c r="B2411" s="5">
        <v>43944.0</v>
      </c>
      <c r="C2411" s="6" t="s">
        <v>299</v>
      </c>
      <c r="D2411" s="10" t="str">
        <f t="shared" si="1"/>
        <v>https://resources.simonelectric.com/simon-material-formativo-vehiculo-electrico</v>
      </c>
      <c r="E2411" s="8" t="str">
        <f t="shared" si="2"/>
        <v>https://resources.simonelectric.com/simon-material-formativo-vehiculo-electrico</v>
      </c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</row>
    <row r="2412" ht="15.75" customHeight="1">
      <c r="A2412" s="5" t="s">
        <v>3631</v>
      </c>
      <c r="B2412" s="5">
        <v>43944.0</v>
      </c>
      <c r="C2412" s="6" t="s">
        <v>299</v>
      </c>
      <c r="D2412" s="10" t="str">
        <f t="shared" si="1"/>
        <v>https://resources.simonelectric.com/simon-material-formativo-vehiculo-electrico</v>
      </c>
      <c r="E2412" s="8" t="str">
        <f t="shared" si="2"/>
        <v>https://resources.simonelectric.com/simon-material-formativo-vehiculo-electrico</v>
      </c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</row>
    <row r="2413" ht="15.75" customHeight="1">
      <c r="A2413" s="5" t="s">
        <v>3751</v>
      </c>
      <c r="B2413" s="5">
        <v>43944.0</v>
      </c>
      <c r="C2413" s="6" t="s">
        <v>299</v>
      </c>
      <c r="D2413" s="10" t="str">
        <f t="shared" si="1"/>
        <v>https://resources.simonelectric.com/simon-material-formativo-vehiculo-electrico</v>
      </c>
      <c r="E2413" s="8" t="str">
        <f t="shared" si="2"/>
        <v>https://resources.simonelectric.com/simon-material-formativo-vehiculo-electrico</v>
      </c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</row>
    <row r="2414" ht="15.75" customHeight="1">
      <c r="A2414" s="5" t="s">
        <v>2007</v>
      </c>
      <c r="B2414" s="5">
        <v>43944.0</v>
      </c>
      <c r="C2414" s="6" t="s">
        <v>299</v>
      </c>
      <c r="D2414" s="10" t="str">
        <f t="shared" si="1"/>
        <v>https://resources.simonelectric.com/simon-material-formativo-vehiculo-electrico</v>
      </c>
      <c r="E2414" s="8" t="str">
        <f t="shared" si="2"/>
        <v>https://resources.simonelectric.com/simon-material-formativo-vehiculo-electrico</v>
      </c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</row>
    <row r="2415" ht="15.75" customHeight="1">
      <c r="A2415" s="5" t="s">
        <v>3752</v>
      </c>
      <c r="B2415" s="5">
        <v>43944.0</v>
      </c>
      <c r="C2415" s="6" t="s">
        <v>299</v>
      </c>
      <c r="D2415" s="10" t="str">
        <f t="shared" si="1"/>
        <v>https://resources.simonelectric.com/simon-material-formativo-vehiculo-electrico</v>
      </c>
      <c r="E2415" s="8" t="str">
        <f t="shared" si="2"/>
        <v>https://resources.simonelectric.com/simon-material-formativo-vehiculo-electrico</v>
      </c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</row>
    <row r="2416" ht="15.75" customHeight="1">
      <c r="A2416" s="5" t="s">
        <v>3753</v>
      </c>
      <c r="B2416" s="5">
        <v>43944.0</v>
      </c>
      <c r="C2416" s="6" t="s">
        <v>299</v>
      </c>
      <c r="D2416" s="10" t="str">
        <f t="shared" si="1"/>
        <v>https://resources.simonelectric.com/simon-material-formativo-vehiculo-electrico</v>
      </c>
      <c r="E2416" s="8" t="str">
        <f t="shared" si="2"/>
        <v>https://resources.simonelectric.com/simon-material-formativo-vehiculo-electrico</v>
      </c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</row>
    <row r="2417" ht="15.75" customHeight="1">
      <c r="A2417" s="5" t="s">
        <v>3624</v>
      </c>
      <c r="B2417" s="5">
        <v>43944.0</v>
      </c>
      <c r="C2417" s="6" t="s">
        <v>299</v>
      </c>
      <c r="D2417" s="10" t="str">
        <f t="shared" si="1"/>
        <v>https://resources.simonelectric.com/simon-material-formativo-vehiculo-electrico</v>
      </c>
      <c r="E2417" s="8" t="str">
        <f t="shared" si="2"/>
        <v>https://resources.simonelectric.com/simon-material-formativo-vehiculo-electrico</v>
      </c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</row>
    <row r="2418" ht="15.75" customHeight="1">
      <c r="A2418" s="5" t="s">
        <v>3754</v>
      </c>
      <c r="B2418" s="5">
        <v>43944.0</v>
      </c>
      <c r="C2418" s="6" t="s">
        <v>299</v>
      </c>
      <c r="D2418" s="10" t="str">
        <f t="shared" si="1"/>
        <v>https://resources.simonelectric.com/simon-material-formativo-vehiculo-electrico</v>
      </c>
      <c r="E2418" s="8" t="str">
        <f t="shared" si="2"/>
        <v>https://resources.simonelectric.com/simon-material-formativo-vehiculo-electrico</v>
      </c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</row>
    <row r="2419" ht="15.75" customHeight="1">
      <c r="A2419" s="5" t="s">
        <v>3755</v>
      </c>
      <c r="B2419" s="5">
        <v>43944.0</v>
      </c>
      <c r="C2419" s="6" t="s">
        <v>3756</v>
      </c>
      <c r="D2419" s="10">
        <f t="shared" si="1"/>
        <v>70</v>
      </c>
      <c r="E2419" s="8" t="str">
        <f t="shared" si="2"/>
        <v>https://resources.simonelectric.com/simon-catalogo-vehiculo-electrico</v>
      </c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</row>
    <row r="2420" ht="15.75" customHeight="1">
      <c r="A2420" s="5" t="s">
        <v>3755</v>
      </c>
      <c r="B2420" s="5">
        <v>43944.0</v>
      </c>
      <c r="C2420" s="6" t="s">
        <v>28</v>
      </c>
      <c r="D2420" s="10" t="str">
        <f t="shared" si="1"/>
        <v>https://resources.simonelectric.com/simon-ebook-vehiculo-electrico</v>
      </c>
      <c r="E2420" s="8" t="str">
        <f t="shared" si="2"/>
        <v>https://resources.simonelectric.com/simon-ebook-vehiculo-electrico</v>
      </c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</row>
    <row r="2421" ht="15.75" customHeight="1">
      <c r="A2421" s="5" t="s">
        <v>2007</v>
      </c>
      <c r="B2421" s="5">
        <v>43944.0</v>
      </c>
      <c r="C2421" s="6" t="s">
        <v>28</v>
      </c>
      <c r="D2421" s="10" t="str">
        <f t="shared" si="1"/>
        <v>https://resources.simonelectric.com/simon-ebook-vehiculo-electrico</v>
      </c>
      <c r="E2421" s="8" t="str">
        <f t="shared" si="2"/>
        <v>https://resources.simonelectric.com/simon-ebook-vehiculo-electrico</v>
      </c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</row>
    <row r="2422" ht="15.75" customHeight="1">
      <c r="A2422" s="5" t="s">
        <v>2007</v>
      </c>
      <c r="B2422" s="5">
        <v>43944.0</v>
      </c>
      <c r="C2422" s="6" t="s">
        <v>3757</v>
      </c>
      <c r="D2422" s="10">
        <f t="shared" si="1"/>
        <v>70</v>
      </c>
      <c r="E2422" s="8" t="str">
        <f t="shared" si="2"/>
        <v>https://resources.simonelectric.com/simon-catalogo-vehiculo-electrico</v>
      </c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</row>
    <row r="2423" ht="15.75" customHeight="1">
      <c r="A2423" s="5" t="s">
        <v>1233</v>
      </c>
      <c r="B2423" s="5">
        <v>43944.0</v>
      </c>
      <c r="C2423" s="6" t="s">
        <v>10</v>
      </c>
      <c r="D2423" s="10" t="str">
        <f t="shared" si="1"/>
        <v>https://resources.simonelectric.com/simon-catalogo-vehiculo-electrico</v>
      </c>
      <c r="E2423" s="8" t="str">
        <f t="shared" si="2"/>
        <v>https://resources.simonelectric.com/simon-catalogo-vehiculo-electrico</v>
      </c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</row>
    <row r="2424" ht="15.75" customHeight="1">
      <c r="A2424" s="5" t="s">
        <v>3755</v>
      </c>
      <c r="B2424" s="5">
        <v>43944.0</v>
      </c>
      <c r="C2424" s="6" t="s">
        <v>28</v>
      </c>
      <c r="D2424" s="10" t="str">
        <f t="shared" si="1"/>
        <v>https://resources.simonelectric.com/simon-ebook-vehiculo-electrico</v>
      </c>
      <c r="E2424" s="8" t="str">
        <f t="shared" si="2"/>
        <v>https://resources.simonelectric.com/simon-ebook-vehiculo-electrico</v>
      </c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</row>
    <row r="2425" ht="15.75" customHeight="1">
      <c r="A2425" s="5" t="s">
        <v>1233</v>
      </c>
      <c r="B2425" s="5">
        <v>43944.0</v>
      </c>
      <c r="C2425" s="6" t="s">
        <v>28</v>
      </c>
      <c r="D2425" s="10" t="str">
        <f t="shared" si="1"/>
        <v>https://resources.simonelectric.com/simon-ebook-vehiculo-electrico</v>
      </c>
      <c r="E2425" s="8" t="str">
        <f t="shared" si="2"/>
        <v>https://resources.simonelectric.com/simon-ebook-vehiculo-electrico</v>
      </c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</row>
    <row r="2426" ht="15.75" customHeight="1">
      <c r="A2426" s="5" t="s">
        <v>3758</v>
      </c>
      <c r="B2426" s="5">
        <v>43944.0</v>
      </c>
      <c r="C2426" s="6" t="s">
        <v>3759</v>
      </c>
      <c r="D2426" s="11">
        <f t="shared" si="1"/>
        <v>70</v>
      </c>
      <c r="E2426" s="8" t="str">
        <f t="shared" si="2"/>
        <v>https://resources.simonelectric.com/simon-catalogo-vehiculo-electrico</v>
      </c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</row>
    <row r="2427" ht="15.75" customHeight="1">
      <c r="A2427" s="5" t="s">
        <v>3746</v>
      </c>
      <c r="B2427" s="5">
        <v>43944.0</v>
      </c>
      <c r="C2427" s="6" t="s">
        <v>299</v>
      </c>
      <c r="D2427" s="10" t="str">
        <f t="shared" si="1"/>
        <v>https://resources.simonelectric.com/simon-material-formativo-vehiculo-electrico</v>
      </c>
      <c r="E2427" s="8" t="str">
        <f t="shared" si="2"/>
        <v>https://resources.simonelectric.com/simon-material-formativo-vehiculo-electrico</v>
      </c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</row>
    <row r="2428" ht="15.75" customHeight="1">
      <c r="A2428" s="5" t="s">
        <v>3578</v>
      </c>
      <c r="B2428" s="5">
        <v>43944.0</v>
      </c>
      <c r="C2428" s="6" t="s">
        <v>299</v>
      </c>
      <c r="D2428" s="10" t="str">
        <f t="shared" si="1"/>
        <v>https://resources.simonelectric.com/simon-material-formativo-vehiculo-electrico</v>
      </c>
      <c r="E2428" s="8" t="str">
        <f t="shared" si="2"/>
        <v>https://resources.simonelectric.com/simon-material-formativo-vehiculo-electrico</v>
      </c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</row>
    <row r="2429" ht="15.75" customHeight="1">
      <c r="A2429" s="5" t="s">
        <v>3760</v>
      </c>
      <c r="B2429" s="5">
        <v>43944.0</v>
      </c>
      <c r="C2429" s="6" t="s">
        <v>299</v>
      </c>
      <c r="D2429" s="10" t="str">
        <f t="shared" si="1"/>
        <v>https://resources.simonelectric.com/simon-material-formativo-vehiculo-electrico</v>
      </c>
      <c r="E2429" s="8" t="str">
        <f t="shared" si="2"/>
        <v>https://resources.simonelectric.com/simon-material-formativo-vehiculo-electrico</v>
      </c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</row>
    <row r="2430" ht="15.75" customHeight="1">
      <c r="A2430" s="5" t="s">
        <v>3626</v>
      </c>
      <c r="B2430" s="5">
        <v>43944.0</v>
      </c>
      <c r="C2430" s="6" t="s">
        <v>299</v>
      </c>
      <c r="D2430" s="10" t="str">
        <f t="shared" si="1"/>
        <v>https://resources.simonelectric.com/simon-material-formativo-vehiculo-electrico</v>
      </c>
      <c r="E2430" s="8" t="str">
        <f t="shared" si="2"/>
        <v>https://resources.simonelectric.com/simon-material-formativo-vehiculo-electrico</v>
      </c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</row>
    <row r="2431" ht="15.75" customHeight="1">
      <c r="A2431" s="5" t="s">
        <v>1850</v>
      </c>
      <c r="B2431" s="5">
        <v>43944.0</v>
      </c>
      <c r="C2431" s="6" t="s">
        <v>28</v>
      </c>
      <c r="D2431" s="10" t="str">
        <f t="shared" si="1"/>
        <v>https://resources.simonelectric.com/simon-ebook-vehiculo-electrico</v>
      </c>
      <c r="E2431" s="8" t="str">
        <f t="shared" si="2"/>
        <v>https://resources.simonelectric.com/simon-ebook-vehiculo-electrico</v>
      </c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</row>
    <row r="2432" ht="15.75" customHeight="1">
      <c r="A2432" s="5" t="s">
        <v>3761</v>
      </c>
      <c r="B2432" s="5">
        <v>43944.0</v>
      </c>
      <c r="C2432" s="6" t="s">
        <v>299</v>
      </c>
      <c r="D2432" s="10" t="str">
        <f t="shared" si="1"/>
        <v>https://resources.simonelectric.com/simon-material-formativo-vehiculo-electrico</v>
      </c>
      <c r="E2432" s="8" t="str">
        <f t="shared" si="2"/>
        <v>https://resources.simonelectric.com/simon-material-formativo-vehiculo-electrico</v>
      </c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</row>
    <row r="2433" ht="15.75" customHeight="1">
      <c r="A2433" s="5" t="s">
        <v>3762</v>
      </c>
      <c r="B2433" s="5">
        <v>43944.0</v>
      </c>
      <c r="C2433" s="6" t="s">
        <v>28</v>
      </c>
      <c r="D2433" s="10" t="str">
        <f t="shared" si="1"/>
        <v>https://resources.simonelectric.com/simon-ebook-vehiculo-electrico</v>
      </c>
      <c r="E2433" s="8" t="str">
        <f t="shared" si="2"/>
        <v>https://resources.simonelectric.com/simon-ebook-vehiculo-electrico</v>
      </c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</row>
    <row r="2434" ht="15.75" customHeight="1">
      <c r="A2434" s="5" t="s">
        <v>732</v>
      </c>
      <c r="B2434" s="5">
        <v>43944.0</v>
      </c>
      <c r="C2434" s="6" t="s">
        <v>299</v>
      </c>
      <c r="D2434" s="10" t="str">
        <f t="shared" si="1"/>
        <v>https://resources.simonelectric.com/simon-material-formativo-vehiculo-electrico</v>
      </c>
      <c r="E2434" s="8" t="str">
        <f t="shared" si="2"/>
        <v>https://resources.simonelectric.com/simon-material-formativo-vehiculo-electrico</v>
      </c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</row>
    <row r="2435" ht="15.75" customHeight="1">
      <c r="A2435" s="5" t="s">
        <v>3589</v>
      </c>
      <c r="B2435" s="5">
        <v>43944.0</v>
      </c>
      <c r="C2435" s="6" t="s">
        <v>299</v>
      </c>
      <c r="D2435" s="10" t="str">
        <f t="shared" si="1"/>
        <v>https://resources.simonelectric.com/simon-material-formativo-vehiculo-electrico</v>
      </c>
      <c r="E2435" s="8" t="str">
        <f t="shared" si="2"/>
        <v>https://resources.simonelectric.com/simon-material-formativo-vehiculo-electrico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</row>
    <row r="2436" ht="15.75" customHeight="1">
      <c r="A2436" s="5" t="s">
        <v>3763</v>
      </c>
      <c r="B2436" s="5">
        <v>43944.0</v>
      </c>
      <c r="C2436" s="6" t="s">
        <v>299</v>
      </c>
      <c r="D2436" s="10" t="str">
        <f t="shared" si="1"/>
        <v>https://resources.simonelectric.com/simon-material-formativo-vehiculo-electrico</v>
      </c>
      <c r="E2436" s="8" t="str">
        <f t="shared" si="2"/>
        <v>https://resources.simonelectric.com/simon-material-formativo-vehiculo-electrico</v>
      </c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</row>
    <row r="2437" ht="15.75" customHeight="1">
      <c r="A2437" s="5" t="s">
        <v>3764</v>
      </c>
      <c r="B2437" s="5">
        <v>43944.0</v>
      </c>
      <c r="C2437" s="6" t="s">
        <v>299</v>
      </c>
      <c r="D2437" s="10" t="str">
        <f t="shared" si="1"/>
        <v>https://resources.simonelectric.com/simon-material-formativo-vehiculo-electrico</v>
      </c>
      <c r="E2437" s="8" t="str">
        <f t="shared" si="2"/>
        <v>https://resources.simonelectric.com/simon-material-formativo-vehiculo-electrico</v>
      </c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</row>
    <row r="2438" ht="15.75" customHeight="1">
      <c r="A2438" s="5" t="s">
        <v>3751</v>
      </c>
      <c r="B2438" s="5">
        <v>43944.0</v>
      </c>
      <c r="C2438" s="6" t="s">
        <v>299</v>
      </c>
      <c r="D2438" s="10" t="str">
        <f t="shared" si="1"/>
        <v>https://resources.simonelectric.com/simon-material-formativo-vehiculo-electrico</v>
      </c>
      <c r="E2438" s="8" t="str">
        <f t="shared" si="2"/>
        <v>https://resources.simonelectric.com/simon-material-formativo-vehiculo-electrico</v>
      </c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</row>
    <row r="2439" ht="15.75" customHeight="1">
      <c r="A2439" s="5" t="s">
        <v>2445</v>
      </c>
      <c r="B2439" s="5">
        <v>43944.0</v>
      </c>
      <c r="C2439" s="6" t="s">
        <v>299</v>
      </c>
      <c r="D2439" s="10" t="str">
        <f t="shared" si="1"/>
        <v>https://resources.simonelectric.com/simon-material-formativo-vehiculo-electrico</v>
      </c>
      <c r="E2439" s="8" t="str">
        <f t="shared" si="2"/>
        <v>https://resources.simonelectric.com/simon-material-formativo-vehiculo-electrico</v>
      </c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</row>
    <row r="2440" ht="15.75" customHeight="1">
      <c r="A2440" s="5" t="s">
        <v>3765</v>
      </c>
      <c r="B2440" s="5">
        <v>43944.0</v>
      </c>
      <c r="C2440" s="6" t="s">
        <v>299</v>
      </c>
      <c r="D2440" s="10" t="str">
        <f t="shared" si="1"/>
        <v>https://resources.simonelectric.com/simon-material-formativo-vehiculo-electrico</v>
      </c>
      <c r="E2440" s="8" t="str">
        <f t="shared" si="2"/>
        <v>https://resources.simonelectric.com/simon-material-formativo-vehiculo-electrico</v>
      </c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</row>
    <row r="2441" ht="15.75" customHeight="1">
      <c r="A2441" s="5" t="s">
        <v>3624</v>
      </c>
      <c r="B2441" s="5">
        <v>43944.0</v>
      </c>
      <c r="C2441" s="6" t="s">
        <v>299</v>
      </c>
      <c r="D2441" s="10" t="str">
        <f t="shared" si="1"/>
        <v>https://resources.simonelectric.com/simon-material-formativo-vehiculo-electrico</v>
      </c>
      <c r="E2441" s="8" t="str">
        <f t="shared" si="2"/>
        <v>https://resources.simonelectric.com/simon-material-formativo-vehiculo-electrico</v>
      </c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</row>
    <row r="2442" ht="15.75" customHeight="1">
      <c r="A2442" s="5" t="s">
        <v>3608</v>
      </c>
      <c r="B2442" s="5">
        <v>43944.0</v>
      </c>
      <c r="C2442" s="6" t="s">
        <v>299</v>
      </c>
      <c r="D2442" s="10" t="str">
        <f t="shared" si="1"/>
        <v>https://resources.simonelectric.com/simon-material-formativo-vehiculo-electrico</v>
      </c>
      <c r="E2442" s="8" t="str">
        <f t="shared" si="2"/>
        <v>https://resources.simonelectric.com/simon-material-formativo-vehiculo-electrico</v>
      </c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</row>
    <row r="2443" ht="15.75" customHeight="1">
      <c r="A2443" s="5" t="s">
        <v>3766</v>
      </c>
      <c r="B2443" s="5">
        <v>43944.0</v>
      </c>
      <c r="C2443" s="6" t="s">
        <v>299</v>
      </c>
      <c r="D2443" s="10" t="str">
        <f t="shared" si="1"/>
        <v>https://resources.simonelectric.com/simon-material-formativo-vehiculo-electrico</v>
      </c>
      <c r="E2443" s="8" t="str">
        <f t="shared" si="2"/>
        <v>https://resources.simonelectric.com/simon-material-formativo-vehiculo-electrico</v>
      </c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</row>
    <row r="2444" ht="15.75" customHeight="1">
      <c r="A2444" s="5" t="s">
        <v>3620</v>
      </c>
      <c r="B2444" s="5">
        <v>43944.0</v>
      </c>
      <c r="C2444" s="6" t="s">
        <v>299</v>
      </c>
      <c r="D2444" s="10" t="str">
        <f t="shared" si="1"/>
        <v>https://resources.simonelectric.com/simon-material-formativo-vehiculo-electrico</v>
      </c>
      <c r="E2444" s="8" t="str">
        <f t="shared" si="2"/>
        <v>https://resources.simonelectric.com/simon-material-formativo-vehiculo-electrico</v>
      </c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</row>
    <row r="2445" ht="15.75" customHeight="1">
      <c r="A2445" s="5" t="s">
        <v>3767</v>
      </c>
      <c r="B2445" s="5">
        <v>43944.0</v>
      </c>
      <c r="C2445" s="6" t="s">
        <v>299</v>
      </c>
      <c r="D2445" s="10" t="str">
        <f t="shared" si="1"/>
        <v>https://resources.simonelectric.com/simon-material-formativo-vehiculo-electrico</v>
      </c>
      <c r="E2445" s="8" t="str">
        <f t="shared" si="2"/>
        <v>https://resources.simonelectric.com/simon-material-formativo-vehiculo-electrico</v>
      </c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</row>
    <row r="2446" ht="15.75" customHeight="1">
      <c r="A2446" s="5" t="s">
        <v>3768</v>
      </c>
      <c r="B2446" s="5">
        <v>43944.0</v>
      </c>
      <c r="C2446" s="6" t="s">
        <v>299</v>
      </c>
      <c r="D2446" s="10" t="str">
        <f t="shared" si="1"/>
        <v>https://resources.simonelectric.com/simon-material-formativo-vehiculo-electrico</v>
      </c>
      <c r="E2446" s="8" t="str">
        <f t="shared" si="2"/>
        <v>https://resources.simonelectric.com/simon-material-formativo-vehiculo-electrico</v>
      </c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</row>
    <row r="2447" ht="15.75" customHeight="1">
      <c r="A2447" s="5" t="s">
        <v>3752</v>
      </c>
      <c r="B2447" s="5">
        <v>43944.0</v>
      </c>
      <c r="C2447" s="6" t="s">
        <v>299</v>
      </c>
      <c r="D2447" s="10" t="str">
        <f t="shared" si="1"/>
        <v>https://resources.simonelectric.com/simon-material-formativo-vehiculo-electrico</v>
      </c>
      <c r="E2447" s="8" t="str">
        <f t="shared" si="2"/>
        <v>https://resources.simonelectric.com/simon-material-formativo-vehiculo-electrico</v>
      </c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</row>
    <row r="2448" ht="15.75" customHeight="1">
      <c r="A2448" s="5" t="s">
        <v>3769</v>
      </c>
      <c r="B2448" s="5">
        <v>43944.0</v>
      </c>
      <c r="C2448" s="6" t="s">
        <v>299</v>
      </c>
      <c r="D2448" s="10" t="str">
        <f t="shared" si="1"/>
        <v>https://resources.simonelectric.com/simon-material-formativo-vehiculo-electrico</v>
      </c>
      <c r="E2448" s="8" t="str">
        <f t="shared" si="2"/>
        <v>https://resources.simonelectric.com/simon-material-formativo-vehiculo-electrico</v>
      </c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</row>
    <row r="2449" ht="15.75" customHeight="1">
      <c r="A2449" s="5" t="s">
        <v>3427</v>
      </c>
      <c r="B2449" s="5">
        <v>43944.0</v>
      </c>
      <c r="C2449" s="6" t="s">
        <v>299</v>
      </c>
      <c r="D2449" s="10" t="str">
        <f t="shared" si="1"/>
        <v>https://resources.simonelectric.com/simon-material-formativo-vehiculo-electrico</v>
      </c>
      <c r="E2449" s="8" t="str">
        <f t="shared" si="2"/>
        <v>https://resources.simonelectric.com/simon-material-formativo-vehiculo-electrico</v>
      </c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</row>
    <row r="2450" ht="15.75" customHeight="1">
      <c r="A2450" s="5" t="s">
        <v>3770</v>
      </c>
      <c r="B2450" s="5">
        <v>43944.0</v>
      </c>
      <c r="C2450" s="6" t="s">
        <v>299</v>
      </c>
      <c r="D2450" s="10" t="str">
        <f t="shared" si="1"/>
        <v>https://resources.simonelectric.com/simon-material-formativo-vehiculo-electrico</v>
      </c>
      <c r="E2450" s="8" t="str">
        <f t="shared" si="2"/>
        <v>https://resources.simonelectric.com/simon-material-formativo-vehiculo-electrico</v>
      </c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</row>
    <row r="2451" ht="15.75" customHeight="1">
      <c r="A2451" s="5" t="s">
        <v>3771</v>
      </c>
      <c r="B2451" s="5">
        <v>43944.0</v>
      </c>
      <c r="C2451" s="6" t="s">
        <v>299</v>
      </c>
      <c r="D2451" s="10" t="str">
        <f t="shared" si="1"/>
        <v>https://resources.simonelectric.com/simon-material-formativo-vehiculo-electrico</v>
      </c>
      <c r="E2451" s="8" t="str">
        <f t="shared" si="2"/>
        <v>https://resources.simonelectric.com/simon-material-formativo-vehiculo-electrico</v>
      </c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</row>
    <row r="2452" ht="15.75" customHeight="1">
      <c r="A2452" s="5" t="s">
        <v>3772</v>
      </c>
      <c r="B2452" s="5">
        <v>43944.0</v>
      </c>
      <c r="C2452" s="6" t="s">
        <v>299</v>
      </c>
      <c r="D2452" s="10" t="str">
        <f t="shared" si="1"/>
        <v>https://resources.simonelectric.com/simon-material-formativo-vehiculo-electrico</v>
      </c>
      <c r="E2452" s="8" t="str">
        <f t="shared" si="2"/>
        <v>https://resources.simonelectric.com/simon-material-formativo-vehiculo-electrico</v>
      </c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</row>
    <row r="2453" ht="15.75" customHeight="1">
      <c r="A2453" s="5" t="s">
        <v>3578</v>
      </c>
      <c r="B2453" s="5">
        <v>43944.0</v>
      </c>
      <c r="C2453" s="6" t="s">
        <v>299</v>
      </c>
      <c r="D2453" s="10" t="str">
        <f t="shared" si="1"/>
        <v>https://resources.simonelectric.com/simon-material-formativo-vehiculo-electrico</v>
      </c>
      <c r="E2453" s="8" t="str">
        <f t="shared" si="2"/>
        <v>https://resources.simonelectric.com/simon-material-formativo-vehiculo-electrico</v>
      </c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</row>
    <row r="2454" ht="15.75" customHeight="1">
      <c r="A2454" s="5" t="s">
        <v>3624</v>
      </c>
      <c r="B2454" s="5">
        <v>43944.0</v>
      </c>
      <c r="C2454" s="6" t="s">
        <v>299</v>
      </c>
      <c r="D2454" s="10" t="str">
        <f t="shared" si="1"/>
        <v>https://resources.simonelectric.com/simon-material-formativo-vehiculo-electrico</v>
      </c>
      <c r="E2454" s="8" t="str">
        <f t="shared" si="2"/>
        <v>https://resources.simonelectric.com/simon-material-formativo-vehiculo-electrico</v>
      </c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</row>
    <row r="2455" ht="15.75" customHeight="1">
      <c r="A2455" s="5" t="s">
        <v>3773</v>
      </c>
      <c r="B2455" s="5">
        <v>43944.0</v>
      </c>
      <c r="C2455" s="6" t="s">
        <v>299</v>
      </c>
      <c r="D2455" s="10" t="str">
        <f t="shared" si="1"/>
        <v>https://resources.simonelectric.com/simon-material-formativo-vehiculo-electrico</v>
      </c>
      <c r="E2455" s="8" t="str">
        <f t="shared" si="2"/>
        <v>https://resources.simonelectric.com/simon-material-formativo-vehiculo-electrico</v>
      </c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</row>
    <row r="2456" ht="15.75" customHeight="1">
      <c r="A2456" s="5" t="s">
        <v>3774</v>
      </c>
      <c r="B2456" s="5">
        <v>43944.0</v>
      </c>
      <c r="C2456" s="6" t="s">
        <v>299</v>
      </c>
      <c r="D2456" s="10" t="str">
        <f t="shared" si="1"/>
        <v>https://resources.simonelectric.com/simon-material-formativo-vehiculo-electrico</v>
      </c>
      <c r="E2456" s="8" t="str">
        <f t="shared" si="2"/>
        <v>https://resources.simonelectric.com/simon-material-formativo-vehiculo-electrico</v>
      </c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</row>
    <row r="2457" ht="15.75" customHeight="1">
      <c r="A2457" s="5" t="s">
        <v>3775</v>
      </c>
      <c r="B2457" s="5">
        <v>43944.0</v>
      </c>
      <c r="C2457" s="6" t="s">
        <v>299</v>
      </c>
      <c r="D2457" s="10" t="str">
        <f t="shared" si="1"/>
        <v>https://resources.simonelectric.com/simon-material-formativo-vehiculo-electrico</v>
      </c>
      <c r="E2457" s="8" t="str">
        <f t="shared" si="2"/>
        <v>https://resources.simonelectric.com/simon-material-formativo-vehiculo-electrico</v>
      </c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</row>
    <row r="2458" ht="15.75" customHeight="1">
      <c r="A2458" s="5" t="s">
        <v>3349</v>
      </c>
      <c r="B2458" s="5">
        <v>43944.0</v>
      </c>
      <c r="C2458" s="6" t="s">
        <v>299</v>
      </c>
      <c r="D2458" s="10" t="str">
        <f t="shared" si="1"/>
        <v>https://resources.simonelectric.com/simon-material-formativo-vehiculo-electrico</v>
      </c>
      <c r="E2458" s="8" t="str">
        <f t="shared" si="2"/>
        <v>https://resources.simonelectric.com/simon-material-formativo-vehiculo-electrico</v>
      </c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</row>
    <row r="2459" ht="15.75" customHeight="1">
      <c r="A2459" s="5" t="s">
        <v>3776</v>
      </c>
      <c r="B2459" s="5">
        <v>43944.0</v>
      </c>
      <c r="C2459" s="6" t="s">
        <v>299</v>
      </c>
      <c r="D2459" s="10" t="str">
        <f t="shared" si="1"/>
        <v>https://resources.simonelectric.com/simon-material-formativo-vehiculo-electrico</v>
      </c>
      <c r="E2459" s="8" t="str">
        <f t="shared" si="2"/>
        <v>https://resources.simonelectric.com/simon-material-formativo-vehiculo-electrico</v>
      </c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</row>
    <row r="2460" ht="15.75" customHeight="1">
      <c r="A2460" s="5" t="s">
        <v>3770</v>
      </c>
      <c r="B2460" s="5">
        <v>43944.0</v>
      </c>
      <c r="C2460" s="6" t="s">
        <v>299</v>
      </c>
      <c r="D2460" s="10" t="str">
        <f t="shared" si="1"/>
        <v>https://resources.simonelectric.com/simon-material-formativo-vehiculo-electrico</v>
      </c>
      <c r="E2460" s="8" t="str">
        <f t="shared" si="2"/>
        <v>https://resources.simonelectric.com/simon-material-formativo-vehiculo-electrico</v>
      </c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</row>
    <row r="2461" ht="15.75" customHeight="1">
      <c r="A2461" s="5" t="s">
        <v>3620</v>
      </c>
      <c r="B2461" s="5">
        <v>43944.0</v>
      </c>
      <c r="C2461" s="6" t="s">
        <v>299</v>
      </c>
      <c r="D2461" s="10" t="str">
        <f t="shared" si="1"/>
        <v>https://resources.simonelectric.com/simon-material-formativo-vehiculo-electrico</v>
      </c>
      <c r="E2461" s="8" t="str">
        <f t="shared" si="2"/>
        <v>https://resources.simonelectric.com/simon-material-formativo-vehiculo-electrico</v>
      </c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</row>
    <row r="2462" ht="15.75" customHeight="1">
      <c r="A2462" s="5" t="s">
        <v>3774</v>
      </c>
      <c r="B2462" s="5">
        <v>43944.0</v>
      </c>
      <c r="C2462" s="6" t="s">
        <v>299</v>
      </c>
      <c r="D2462" s="10" t="str">
        <f t="shared" si="1"/>
        <v>https://resources.simonelectric.com/simon-material-formativo-vehiculo-electrico</v>
      </c>
      <c r="E2462" s="8" t="str">
        <f t="shared" si="2"/>
        <v>https://resources.simonelectric.com/simon-material-formativo-vehiculo-electrico</v>
      </c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</row>
    <row r="2463" ht="15.75" customHeight="1">
      <c r="A2463" s="5" t="s">
        <v>3777</v>
      </c>
      <c r="B2463" s="5">
        <v>43944.0</v>
      </c>
      <c r="C2463" s="6" t="s">
        <v>299</v>
      </c>
      <c r="D2463" s="10" t="str">
        <f t="shared" si="1"/>
        <v>https://resources.simonelectric.com/simon-material-formativo-vehiculo-electrico</v>
      </c>
      <c r="E2463" s="8" t="str">
        <f t="shared" si="2"/>
        <v>https://resources.simonelectric.com/simon-material-formativo-vehiculo-electrico</v>
      </c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</row>
    <row r="2464" ht="15.75" customHeight="1">
      <c r="A2464" s="5" t="s">
        <v>3766</v>
      </c>
      <c r="B2464" s="5">
        <v>43944.0</v>
      </c>
      <c r="C2464" s="6" t="s">
        <v>299</v>
      </c>
      <c r="D2464" s="10" t="str">
        <f t="shared" si="1"/>
        <v>https://resources.simonelectric.com/simon-material-formativo-vehiculo-electrico</v>
      </c>
      <c r="E2464" s="8" t="str">
        <f t="shared" si="2"/>
        <v>https://resources.simonelectric.com/simon-material-formativo-vehiculo-electrico</v>
      </c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</row>
    <row r="2465" ht="15.75" customHeight="1">
      <c r="A2465" s="5" t="s">
        <v>3778</v>
      </c>
      <c r="B2465" s="5">
        <v>43944.0</v>
      </c>
      <c r="C2465" s="6" t="s">
        <v>299</v>
      </c>
      <c r="D2465" s="10" t="str">
        <f t="shared" si="1"/>
        <v>https://resources.simonelectric.com/simon-material-formativo-vehiculo-electrico</v>
      </c>
      <c r="E2465" s="8" t="str">
        <f t="shared" si="2"/>
        <v>https://resources.simonelectric.com/simon-material-formativo-vehiculo-electrico</v>
      </c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</row>
    <row r="2466" ht="15.75" customHeight="1">
      <c r="A2466" s="5" t="s">
        <v>3779</v>
      </c>
      <c r="B2466" s="5">
        <v>43944.0</v>
      </c>
      <c r="C2466" s="6" t="s">
        <v>299</v>
      </c>
      <c r="D2466" s="10" t="str">
        <f t="shared" si="1"/>
        <v>https://resources.simonelectric.com/simon-material-formativo-vehiculo-electrico</v>
      </c>
      <c r="E2466" s="8" t="str">
        <f t="shared" si="2"/>
        <v>https://resources.simonelectric.com/simon-material-formativo-vehiculo-electrico</v>
      </c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</row>
    <row r="2467" ht="15.75" customHeight="1">
      <c r="A2467" s="5" t="s">
        <v>3780</v>
      </c>
      <c r="B2467" s="5">
        <v>43944.0</v>
      </c>
      <c r="C2467" s="6" t="s">
        <v>55</v>
      </c>
      <c r="D2467" s="11">
        <f t="shared" si="1"/>
        <v>71</v>
      </c>
      <c r="E2467" s="8" t="str">
        <f t="shared" si="2"/>
        <v>https://resources.simonelectric.com/simon-ebook-vehiculo-electrico-ppc</v>
      </c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</row>
    <row r="2468" ht="15.75" customHeight="1">
      <c r="A2468" s="5" t="s">
        <v>3608</v>
      </c>
      <c r="B2468" s="5">
        <v>43944.0</v>
      </c>
      <c r="C2468" s="6" t="s">
        <v>299</v>
      </c>
      <c r="D2468" s="10" t="str">
        <f t="shared" si="1"/>
        <v>https://resources.simonelectric.com/simon-material-formativo-vehiculo-electrico</v>
      </c>
      <c r="E2468" s="8" t="str">
        <f t="shared" si="2"/>
        <v>https://resources.simonelectric.com/simon-material-formativo-vehiculo-electrico</v>
      </c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</row>
    <row r="2469" ht="15.75" customHeight="1">
      <c r="A2469" s="5" t="s">
        <v>1621</v>
      </c>
      <c r="B2469" s="5">
        <v>43944.0</v>
      </c>
      <c r="C2469" s="6" t="s">
        <v>299</v>
      </c>
      <c r="D2469" s="10" t="str">
        <f t="shared" si="1"/>
        <v>https://resources.simonelectric.com/simon-material-formativo-vehiculo-electrico</v>
      </c>
      <c r="E2469" s="8" t="str">
        <f t="shared" si="2"/>
        <v>https://resources.simonelectric.com/simon-material-formativo-vehiculo-electrico</v>
      </c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</row>
    <row r="2470" ht="15.75" customHeight="1">
      <c r="A2470" s="5" t="s">
        <v>3781</v>
      </c>
      <c r="B2470" s="5">
        <v>43944.0</v>
      </c>
      <c r="C2470" s="6" t="s">
        <v>299</v>
      </c>
      <c r="D2470" s="10" t="str">
        <f t="shared" si="1"/>
        <v>https://resources.simonelectric.com/simon-material-formativo-vehiculo-electrico</v>
      </c>
      <c r="E2470" s="8" t="str">
        <f t="shared" si="2"/>
        <v>https://resources.simonelectric.com/simon-material-formativo-vehiculo-electrico</v>
      </c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</row>
    <row r="2471" ht="15.75" customHeight="1">
      <c r="A2471" s="5" t="s">
        <v>3773</v>
      </c>
      <c r="B2471" s="5">
        <v>43944.0</v>
      </c>
      <c r="C2471" s="6" t="s">
        <v>299</v>
      </c>
      <c r="D2471" s="10" t="str">
        <f t="shared" si="1"/>
        <v>https://resources.simonelectric.com/simon-material-formativo-vehiculo-electrico</v>
      </c>
      <c r="E2471" s="8" t="str">
        <f t="shared" si="2"/>
        <v>https://resources.simonelectric.com/simon-material-formativo-vehiculo-electrico</v>
      </c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</row>
    <row r="2472" ht="15.75" customHeight="1">
      <c r="A2472" s="5" t="s">
        <v>3782</v>
      </c>
      <c r="B2472" s="5">
        <v>43944.0</v>
      </c>
      <c r="C2472" s="6" t="s">
        <v>299</v>
      </c>
      <c r="D2472" s="10" t="str">
        <f t="shared" si="1"/>
        <v>https://resources.simonelectric.com/simon-material-formativo-vehiculo-electrico</v>
      </c>
      <c r="E2472" s="8" t="str">
        <f t="shared" si="2"/>
        <v>https://resources.simonelectric.com/simon-material-formativo-vehiculo-electrico</v>
      </c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</row>
    <row r="2473" ht="15.75" customHeight="1">
      <c r="A2473" s="5" t="s">
        <v>3624</v>
      </c>
      <c r="B2473" s="5">
        <v>43944.0</v>
      </c>
      <c r="C2473" s="6" t="s">
        <v>299</v>
      </c>
      <c r="D2473" s="10" t="str">
        <f t="shared" si="1"/>
        <v>https://resources.simonelectric.com/simon-material-formativo-vehiculo-electrico</v>
      </c>
      <c r="E2473" s="8" t="str">
        <f t="shared" si="2"/>
        <v>https://resources.simonelectric.com/simon-material-formativo-vehiculo-electrico</v>
      </c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</row>
    <row r="2474" ht="15.75" customHeight="1">
      <c r="A2474" s="5" t="s">
        <v>3783</v>
      </c>
      <c r="B2474" s="5">
        <v>43944.0</v>
      </c>
      <c r="C2474" s="6" t="s">
        <v>299</v>
      </c>
      <c r="D2474" s="10" t="str">
        <f t="shared" si="1"/>
        <v>https://resources.simonelectric.com/simon-material-formativo-vehiculo-electrico</v>
      </c>
      <c r="E2474" s="8" t="str">
        <f t="shared" si="2"/>
        <v>https://resources.simonelectric.com/simon-material-formativo-vehiculo-electrico</v>
      </c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</row>
    <row r="2475" ht="15.75" customHeight="1">
      <c r="A2475" s="5" t="s">
        <v>3784</v>
      </c>
      <c r="B2475" s="5">
        <v>43944.0</v>
      </c>
      <c r="C2475" s="6" t="s">
        <v>299</v>
      </c>
      <c r="D2475" s="10" t="str">
        <f t="shared" si="1"/>
        <v>https://resources.simonelectric.com/simon-material-formativo-vehiculo-electrico</v>
      </c>
      <c r="E2475" s="8" t="str">
        <f t="shared" si="2"/>
        <v>https://resources.simonelectric.com/simon-material-formativo-vehiculo-electrico</v>
      </c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</row>
    <row r="2476" ht="15.75" customHeight="1">
      <c r="A2476" s="5" t="s">
        <v>3751</v>
      </c>
      <c r="B2476" s="5">
        <v>43944.0</v>
      </c>
      <c r="C2476" s="6" t="s">
        <v>299</v>
      </c>
      <c r="D2476" s="10" t="str">
        <f t="shared" si="1"/>
        <v>https://resources.simonelectric.com/simon-material-formativo-vehiculo-electrico</v>
      </c>
      <c r="E2476" s="8" t="str">
        <f t="shared" si="2"/>
        <v>https://resources.simonelectric.com/simon-material-formativo-vehiculo-electrico</v>
      </c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</row>
    <row r="2477" ht="15.75" customHeight="1">
      <c r="A2477" s="5" t="s">
        <v>3785</v>
      </c>
      <c r="B2477" s="5">
        <v>43944.0</v>
      </c>
      <c r="C2477" s="6" t="s">
        <v>299</v>
      </c>
      <c r="D2477" s="10" t="str">
        <f t="shared" si="1"/>
        <v>https://resources.simonelectric.com/simon-material-formativo-vehiculo-electrico</v>
      </c>
      <c r="E2477" s="8" t="str">
        <f t="shared" si="2"/>
        <v>https://resources.simonelectric.com/simon-material-formativo-vehiculo-electrico</v>
      </c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</row>
    <row r="2478" ht="15.75" customHeight="1">
      <c r="A2478" s="5" t="s">
        <v>970</v>
      </c>
      <c r="B2478" s="5">
        <v>43944.0</v>
      </c>
      <c r="C2478" s="6" t="s">
        <v>299</v>
      </c>
      <c r="D2478" s="10" t="str">
        <f t="shared" si="1"/>
        <v>https://resources.simonelectric.com/simon-material-formativo-vehiculo-electrico</v>
      </c>
      <c r="E2478" s="8" t="str">
        <f t="shared" si="2"/>
        <v>https://resources.simonelectric.com/simon-material-formativo-vehiculo-electrico</v>
      </c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</row>
    <row r="2479" ht="15.75" customHeight="1">
      <c r="A2479" s="5" t="s">
        <v>3786</v>
      </c>
      <c r="B2479" s="5">
        <v>43944.0</v>
      </c>
      <c r="C2479" s="6" t="s">
        <v>299</v>
      </c>
      <c r="D2479" s="10" t="str">
        <f t="shared" si="1"/>
        <v>https://resources.simonelectric.com/simon-material-formativo-vehiculo-electrico</v>
      </c>
      <c r="E2479" s="8" t="str">
        <f t="shared" si="2"/>
        <v>https://resources.simonelectric.com/simon-material-formativo-vehiculo-electrico</v>
      </c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</row>
    <row r="2480" ht="15.75" customHeight="1">
      <c r="A2480" s="5" t="s">
        <v>3776</v>
      </c>
      <c r="B2480" s="5">
        <v>43944.0</v>
      </c>
      <c r="C2480" s="6" t="s">
        <v>299</v>
      </c>
      <c r="D2480" s="10" t="str">
        <f t="shared" si="1"/>
        <v>https://resources.simonelectric.com/simon-material-formativo-vehiculo-electrico</v>
      </c>
      <c r="E2480" s="8" t="str">
        <f t="shared" si="2"/>
        <v>https://resources.simonelectric.com/simon-material-formativo-vehiculo-electrico</v>
      </c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</row>
    <row r="2481" ht="15.75" customHeight="1">
      <c r="A2481" s="5" t="s">
        <v>3787</v>
      </c>
      <c r="B2481" s="5">
        <v>43944.0</v>
      </c>
      <c r="C2481" s="6" t="s">
        <v>28</v>
      </c>
      <c r="D2481" s="10" t="str">
        <f t="shared" si="1"/>
        <v>https://resources.simonelectric.com/simon-ebook-vehiculo-electrico</v>
      </c>
      <c r="E2481" s="8" t="str">
        <f t="shared" si="2"/>
        <v>https://resources.simonelectric.com/simon-ebook-vehiculo-electrico</v>
      </c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</row>
    <row r="2482" ht="15.75" customHeight="1">
      <c r="A2482" s="5" t="s">
        <v>3578</v>
      </c>
      <c r="B2482" s="5">
        <v>43944.0</v>
      </c>
      <c r="C2482" s="6" t="s">
        <v>299</v>
      </c>
      <c r="D2482" s="10" t="str">
        <f t="shared" si="1"/>
        <v>https://resources.simonelectric.com/simon-material-formativo-vehiculo-electrico</v>
      </c>
      <c r="E2482" s="8" t="str">
        <f t="shared" si="2"/>
        <v>https://resources.simonelectric.com/simon-material-formativo-vehiculo-electrico</v>
      </c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</row>
    <row r="2483" ht="15.75" customHeight="1">
      <c r="A2483" s="5" t="s">
        <v>3427</v>
      </c>
      <c r="B2483" s="5">
        <v>43944.0</v>
      </c>
      <c r="C2483" s="6" t="s">
        <v>299</v>
      </c>
      <c r="D2483" s="10" t="str">
        <f t="shared" si="1"/>
        <v>https://resources.simonelectric.com/simon-material-formativo-vehiculo-electrico</v>
      </c>
      <c r="E2483" s="8" t="str">
        <f t="shared" si="2"/>
        <v>https://resources.simonelectric.com/simon-material-formativo-vehiculo-electrico</v>
      </c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</row>
    <row r="2484" ht="15.75" customHeight="1">
      <c r="A2484" s="5" t="s">
        <v>3752</v>
      </c>
      <c r="B2484" s="5">
        <v>43944.0</v>
      </c>
      <c r="C2484" s="6" t="s">
        <v>299</v>
      </c>
      <c r="D2484" s="10" t="str">
        <f t="shared" si="1"/>
        <v>https://resources.simonelectric.com/simon-material-formativo-vehiculo-electrico</v>
      </c>
      <c r="E2484" s="8" t="str">
        <f t="shared" si="2"/>
        <v>https://resources.simonelectric.com/simon-material-formativo-vehiculo-electrico</v>
      </c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</row>
    <row r="2485" ht="15.75" customHeight="1">
      <c r="A2485" s="5" t="s">
        <v>3764</v>
      </c>
      <c r="B2485" s="5">
        <v>43944.0</v>
      </c>
      <c r="C2485" s="6" t="s">
        <v>299</v>
      </c>
      <c r="D2485" s="10" t="str">
        <f t="shared" si="1"/>
        <v>https://resources.simonelectric.com/simon-material-formativo-vehiculo-electrico</v>
      </c>
      <c r="E2485" s="8" t="str">
        <f t="shared" si="2"/>
        <v>https://resources.simonelectric.com/simon-material-formativo-vehiculo-electrico</v>
      </c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</row>
    <row r="2486" ht="15.75" customHeight="1">
      <c r="A2486" s="5" t="s">
        <v>3763</v>
      </c>
      <c r="B2486" s="5">
        <v>43944.0</v>
      </c>
      <c r="C2486" s="6" t="s">
        <v>299</v>
      </c>
      <c r="D2486" s="10" t="str">
        <f t="shared" si="1"/>
        <v>https://resources.simonelectric.com/simon-material-formativo-vehiculo-electrico</v>
      </c>
      <c r="E2486" s="8" t="str">
        <f t="shared" si="2"/>
        <v>https://resources.simonelectric.com/simon-material-formativo-vehiculo-electrico</v>
      </c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</row>
    <row r="2487" ht="15.75" customHeight="1">
      <c r="A2487" s="5" t="s">
        <v>3788</v>
      </c>
      <c r="B2487" s="5">
        <v>43944.0</v>
      </c>
      <c r="C2487" s="6" t="s">
        <v>299</v>
      </c>
      <c r="D2487" s="10" t="str">
        <f t="shared" si="1"/>
        <v>https://resources.simonelectric.com/simon-material-formativo-vehiculo-electrico</v>
      </c>
      <c r="E2487" s="8" t="str">
        <f t="shared" si="2"/>
        <v>https://resources.simonelectric.com/simon-material-formativo-vehiculo-electrico</v>
      </c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</row>
    <row r="2488" ht="15.75" customHeight="1">
      <c r="A2488" s="5" t="s">
        <v>3649</v>
      </c>
      <c r="B2488" s="5">
        <v>43944.0</v>
      </c>
      <c r="C2488" s="6" t="s">
        <v>299</v>
      </c>
      <c r="D2488" s="10" t="str">
        <f t="shared" si="1"/>
        <v>https://resources.simonelectric.com/simon-material-formativo-vehiculo-electrico</v>
      </c>
      <c r="E2488" s="8" t="str">
        <f t="shared" si="2"/>
        <v>https://resources.simonelectric.com/simon-material-formativo-vehiculo-electrico</v>
      </c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</row>
    <row r="2489" ht="15.75" customHeight="1">
      <c r="A2489" s="5" t="s">
        <v>3787</v>
      </c>
      <c r="B2489" s="5">
        <v>43944.0</v>
      </c>
      <c r="C2489" s="6" t="s">
        <v>299</v>
      </c>
      <c r="D2489" s="10" t="str">
        <f t="shared" si="1"/>
        <v>https://resources.simonelectric.com/simon-material-formativo-vehiculo-electrico</v>
      </c>
      <c r="E2489" s="8" t="str">
        <f t="shared" si="2"/>
        <v>https://resources.simonelectric.com/simon-material-formativo-vehiculo-electrico</v>
      </c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</row>
    <row r="2490" ht="15.75" customHeight="1">
      <c r="A2490" s="5" t="s">
        <v>2445</v>
      </c>
      <c r="B2490" s="5">
        <v>43944.0</v>
      </c>
      <c r="C2490" s="6" t="s">
        <v>28</v>
      </c>
      <c r="D2490" s="10" t="str">
        <f t="shared" si="1"/>
        <v>https://resources.simonelectric.com/simon-ebook-vehiculo-electrico</v>
      </c>
      <c r="E2490" s="8" t="str">
        <f t="shared" si="2"/>
        <v>https://resources.simonelectric.com/simon-ebook-vehiculo-electrico</v>
      </c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</row>
    <row r="2491" ht="15.75" customHeight="1">
      <c r="A2491" s="5" t="s">
        <v>3789</v>
      </c>
      <c r="B2491" s="5">
        <v>43944.0</v>
      </c>
      <c r="C2491" s="6" t="s">
        <v>299</v>
      </c>
      <c r="D2491" s="10" t="str">
        <f t="shared" si="1"/>
        <v>https://resources.simonelectric.com/simon-material-formativo-vehiculo-electrico</v>
      </c>
      <c r="E2491" s="8" t="str">
        <f t="shared" si="2"/>
        <v>https://resources.simonelectric.com/simon-material-formativo-vehiculo-electrico</v>
      </c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</row>
    <row r="2492" ht="15.75" customHeight="1">
      <c r="A2492" s="5" t="s">
        <v>3790</v>
      </c>
      <c r="B2492" s="5">
        <v>43944.0</v>
      </c>
      <c r="C2492" s="6" t="s">
        <v>299</v>
      </c>
      <c r="D2492" s="10" t="str">
        <f t="shared" si="1"/>
        <v>https://resources.simonelectric.com/simon-material-formativo-vehiculo-electrico</v>
      </c>
      <c r="E2492" s="8" t="str">
        <f t="shared" si="2"/>
        <v>https://resources.simonelectric.com/simon-material-formativo-vehiculo-electrico</v>
      </c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</row>
    <row r="2493" ht="15.75" customHeight="1">
      <c r="A2493" s="5" t="s">
        <v>3791</v>
      </c>
      <c r="B2493" s="5">
        <v>43944.0</v>
      </c>
      <c r="C2493" s="6" t="s">
        <v>299</v>
      </c>
      <c r="D2493" s="10" t="str">
        <f t="shared" si="1"/>
        <v>https://resources.simonelectric.com/simon-material-formativo-vehiculo-electrico</v>
      </c>
      <c r="E2493" s="8" t="str">
        <f t="shared" si="2"/>
        <v>https://resources.simonelectric.com/simon-material-formativo-vehiculo-electrico</v>
      </c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</row>
    <row r="2494" ht="15.75" customHeight="1">
      <c r="A2494" s="5" t="s">
        <v>3792</v>
      </c>
      <c r="B2494" s="5">
        <v>43944.0</v>
      </c>
      <c r="C2494" s="6" t="s">
        <v>299</v>
      </c>
      <c r="D2494" s="10" t="str">
        <f t="shared" si="1"/>
        <v>https://resources.simonelectric.com/simon-material-formativo-vehiculo-electrico</v>
      </c>
      <c r="E2494" s="8" t="str">
        <f t="shared" si="2"/>
        <v>https://resources.simonelectric.com/simon-material-formativo-vehiculo-electrico</v>
      </c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</row>
    <row r="2495" ht="15.75" customHeight="1">
      <c r="A2495" s="5" t="s">
        <v>3793</v>
      </c>
      <c r="B2495" s="5">
        <v>43944.0</v>
      </c>
      <c r="C2495" s="6" t="s">
        <v>299</v>
      </c>
      <c r="D2495" s="10" t="str">
        <f t="shared" si="1"/>
        <v>https://resources.simonelectric.com/simon-material-formativo-vehiculo-electrico</v>
      </c>
      <c r="E2495" s="8" t="str">
        <f t="shared" si="2"/>
        <v>https://resources.simonelectric.com/simon-material-formativo-vehiculo-electrico</v>
      </c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</row>
    <row r="2496" ht="15.75" customHeight="1">
      <c r="A2496" s="5" t="s">
        <v>970</v>
      </c>
      <c r="B2496" s="5">
        <v>43944.0</v>
      </c>
      <c r="C2496" s="6" t="s">
        <v>299</v>
      </c>
      <c r="D2496" s="10" t="str">
        <f t="shared" si="1"/>
        <v>https://resources.simonelectric.com/simon-material-formativo-vehiculo-electrico</v>
      </c>
      <c r="E2496" s="8" t="str">
        <f t="shared" si="2"/>
        <v>https://resources.simonelectric.com/simon-material-formativo-vehiculo-electrico</v>
      </c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</row>
    <row r="2497" ht="15.75" customHeight="1">
      <c r="A2497" s="5" t="s">
        <v>3794</v>
      </c>
      <c r="B2497" s="5">
        <v>43944.0</v>
      </c>
      <c r="C2497" s="6" t="s">
        <v>299</v>
      </c>
      <c r="D2497" s="10" t="str">
        <f t="shared" si="1"/>
        <v>https://resources.simonelectric.com/simon-material-formativo-vehiculo-electrico</v>
      </c>
      <c r="E2497" s="8" t="str">
        <f t="shared" si="2"/>
        <v>https://resources.simonelectric.com/simon-material-formativo-vehiculo-electrico</v>
      </c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</row>
    <row r="2498" ht="15.75" customHeight="1">
      <c r="A2498" s="5" t="s">
        <v>3795</v>
      </c>
      <c r="B2498" s="5">
        <v>43944.0</v>
      </c>
      <c r="C2498" s="6" t="s">
        <v>28</v>
      </c>
      <c r="D2498" s="10" t="str">
        <f t="shared" si="1"/>
        <v>https://resources.simonelectric.com/simon-ebook-vehiculo-electrico</v>
      </c>
      <c r="E2498" s="8" t="str">
        <f t="shared" si="2"/>
        <v>https://resources.simonelectric.com/simon-ebook-vehiculo-electrico</v>
      </c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</row>
    <row r="2499" ht="15.75" customHeight="1">
      <c r="A2499" s="5" t="s">
        <v>3796</v>
      </c>
      <c r="B2499" s="5">
        <v>43944.0</v>
      </c>
      <c r="C2499" s="6" t="s">
        <v>299</v>
      </c>
      <c r="D2499" s="10" t="str">
        <f t="shared" si="1"/>
        <v>https://resources.simonelectric.com/simon-material-formativo-vehiculo-electrico</v>
      </c>
      <c r="E2499" s="8" t="str">
        <f t="shared" si="2"/>
        <v>https://resources.simonelectric.com/simon-material-formativo-vehiculo-electrico</v>
      </c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</row>
    <row r="2500" ht="15.75" customHeight="1">
      <c r="A2500" s="5" t="s">
        <v>2445</v>
      </c>
      <c r="B2500" s="5">
        <v>43944.0</v>
      </c>
      <c r="C2500" s="6" t="s">
        <v>299</v>
      </c>
      <c r="D2500" s="10" t="str">
        <f t="shared" si="1"/>
        <v>https://resources.simonelectric.com/simon-material-formativo-vehiculo-electrico</v>
      </c>
      <c r="E2500" s="8" t="str">
        <f t="shared" si="2"/>
        <v>https://resources.simonelectric.com/simon-material-formativo-vehiculo-electrico</v>
      </c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</row>
    <row r="2501" ht="15.75" customHeight="1">
      <c r="A2501" s="5" t="s">
        <v>3797</v>
      </c>
      <c r="B2501" s="5">
        <v>43944.0</v>
      </c>
      <c r="C2501" s="6" t="s">
        <v>299</v>
      </c>
      <c r="D2501" s="10" t="str">
        <f t="shared" si="1"/>
        <v>https://resources.simonelectric.com/simon-material-formativo-vehiculo-electrico</v>
      </c>
      <c r="E2501" s="8" t="str">
        <f t="shared" si="2"/>
        <v>https://resources.simonelectric.com/simon-material-formativo-vehiculo-electrico</v>
      </c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</row>
    <row r="2502" ht="15.75" customHeight="1">
      <c r="A2502" s="5" t="s">
        <v>3798</v>
      </c>
      <c r="B2502" s="5">
        <v>43944.0</v>
      </c>
      <c r="C2502" s="6" t="s">
        <v>299</v>
      </c>
      <c r="D2502" s="10" t="str">
        <f t="shared" si="1"/>
        <v>https://resources.simonelectric.com/simon-material-formativo-vehiculo-electrico</v>
      </c>
      <c r="E2502" s="8" t="str">
        <f t="shared" si="2"/>
        <v>https://resources.simonelectric.com/simon-material-formativo-vehiculo-electrico</v>
      </c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</row>
    <row r="2503" ht="15.75" customHeight="1">
      <c r="A2503" s="5" t="s">
        <v>3758</v>
      </c>
      <c r="B2503" s="5">
        <v>43944.0</v>
      </c>
      <c r="C2503" s="6" t="s">
        <v>299</v>
      </c>
      <c r="D2503" s="10" t="str">
        <f t="shared" si="1"/>
        <v>https://resources.simonelectric.com/simon-material-formativo-vehiculo-electrico</v>
      </c>
      <c r="E2503" s="8" t="str">
        <f t="shared" si="2"/>
        <v>https://resources.simonelectric.com/simon-material-formativo-vehiculo-electrico</v>
      </c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</row>
    <row r="2504" ht="15.75" customHeight="1">
      <c r="A2504" s="5" t="s">
        <v>732</v>
      </c>
      <c r="B2504" s="5">
        <v>43944.0</v>
      </c>
      <c r="C2504" s="6" t="s">
        <v>299</v>
      </c>
      <c r="D2504" s="10" t="str">
        <f t="shared" si="1"/>
        <v>https://resources.simonelectric.com/simon-material-formativo-vehiculo-electrico</v>
      </c>
      <c r="E2504" s="8" t="str">
        <f t="shared" si="2"/>
        <v>https://resources.simonelectric.com/simon-material-formativo-vehiculo-electrico</v>
      </c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</row>
    <row r="2505" ht="15.75" customHeight="1">
      <c r="A2505" s="5" t="s">
        <v>3784</v>
      </c>
      <c r="B2505" s="5">
        <v>43944.0</v>
      </c>
      <c r="C2505" s="6" t="s">
        <v>299</v>
      </c>
      <c r="D2505" s="10" t="str">
        <f t="shared" si="1"/>
        <v>https://resources.simonelectric.com/simon-material-formativo-vehiculo-electrico</v>
      </c>
      <c r="E2505" s="8" t="str">
        <f t="shared" si="2"/>
        <v>https://resources.simonelectric.com/simon-material-formativo-vehiculo-electrico</v>
      </c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</row>
    <row r="2506" ht="15.75" customHeight="1">
      <c r="A2506" s="5" t="s">
        <v>3799</v>
      </c>
      <c r="B2506" s="5">
        <v>43944.0</v>
      </c>
      <c r="C2506" s="6" t="s">
        <v>299</v>
      </c>
      <c r="D2506" s="10" t="str">
        <f t="shared" si="1"/>
        <v>https://resources.simonelectric.com/simon-material-formativo-vehiculo-electrico</v>
      </c>
      <c r="E2506" s="8" t="str">
        <f t="shared" si="2"/>
        <v>https://resources.simonelectric.com/simon-material-formativo-vehiculo-electrico</v>
      </c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</row>
    <row r="2507" ht="15.75" customHeight="1">
      <c r="A2507" s="5" t="s">
        <v>3751</v>
      </c>
      <c r="B2507" s="5">
        <v>43944.0</v>
      </c>
      <c r="C2507" s="6" t="s">
        <v>299</v>
      </c>
      <c r="D2507" s="10" t="str">
        <f t="shared" si="1"/>
        <v>https://resources.simonelectric.com/simon-material-formativo-vehiculo-electrico</v>
      </c>
      <c r="E2507" s="8" t="str">
        <f t="shared" si="2"/>
        <v>https://resources.simonelectric.com/simon-material-formativo-vehiculo-electrico</v>
      </c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</row>
    <row r="2508" ht="15.75" customHeight="1">
      <c r="A2508" s="5" t="s">
        <v>3800</v>
      </c>
      <c r="B2508" s="5">
        <v>43944.0</v>
      </c>
      <c r="C2508" s="6" t="s">
        <v>299</v>
      </c>
      <c r="D2508" s="10" t="str">
        <f t="shared" si="1"/>
        <v>https://resources.simonelectric.com/simon-material-formativo-vehiculo-electrico</v>
      </c>
      <c r="E2508" s="8" t="str">
        <f t="shared" si="2"/>
        <v>https://resources.simonelectric.com/simon-material-formativo-vehiculo-electrico</v>
      </c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</row>
    <row r="2509" ht="15.75" customHeight="1">
      <c r="A2509" s="5" t="s">
        <v>3801</v>
      </c>
      <c r="B2509" s="5">
        <v>43944.0</v>
      </c>
      <c r="C2509" s="6" t="s">
        <v>299</v>
      </c>
      <c r="D2509" s="10" t="str">
        <f t="shared" si="1"/>
        <v>https://resources.simonelectric.com/simon-material-formativo-vehiculo-electrico</v>
      </c>
      <c r="E2509" s="8" t="str">
        <f t="shared" si="2"/>
        <v>https://resources.simonelectric.com/simon-material-formativo-vehiculo-electrico</v>
      </c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</row>
    <row r="2510" ht="15.75" customHeight="1">
      <c r="A2510" s="5" t="s">
        <v>3802</v>
      </c>
      <c r="B2510" s="5">
        <v>43944.0</v>
      </c>
      <c r="C2510" s="6" t="s">
        <v>299</v>
      </c>
      <c r="D2510" s="10" t="str">
        <f t="shared" si="1"/>
        <v>https://resources.simonelectric.com/simon-material-formativo-vehiculo-electrico</v>
      </c>
      <c r="E2510" s="8" t="str">
        <f t="shared" si="2"/>
        <v>https://resources.simonelectric.com/simon-material-formativo-vehiculo-electrico</v>
      </c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</row>
    <row r="2511" ht="15.75" customHeight="1">
      <c r="A2511" s="5" t="s">
        <v>3772</v>
      </c>
      <c r="B2511" s="5">
        <v>43944.0</v>
      </c>
      <c r="C2511" s="6" t="s">
        <v>299</v>
      </c>
      <c r="D2511" s="10" t="str">
        <f t="shared" si="1"/>
        <v>https://resources.simonelectric.com/simon-material-formativo-vehiculo-electrico</v>
      </c>
      <c r="E2511" s="8" t="str">
        <f t="shared" si="2"/>
        <v>https://resources.simonelectric.com/simon-material-formativo-vehiculo-electrico</v>
      </c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</row>
    <row r="2512" ht="15.75" customHeight="1">
      <c r="A2512" s="5" t="s">
        <v>3795</v>
      </c>
      <c r="B2512" s="5">
        <v>43944.0</v>
      </c>
      <c r="C2512" s="6" t="s">
        <v>299</v>
      </c>
      <c r="D2512" s="10" t="str">
        <f t="shared" si="1"/>
        <v>https://resources.simonelectric.com/simon-material-formativo-vehiculo-electrico</v>
      </c>
      <c r="E2512" s="8" t="str">
        <f t="shared" si="2"/>
        <v>https://resources.simonelectric.com/simon-material-formativo-vehiculo-electrico</v>
      </c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</row>
    <row r="2513" ht="15.75" customHeight="1">
      <c r="A2513" s="5" t="s">
        <v>3803</v>
      </c>
      <c r="B2513" s="5">
        <v>43944.0</v>
      </c>
      <c r="C2513" s="6" t="s">
        <v>28</v>
      </c>
      <c r="D2513" s="10" t="str">
        <f t="shared" si="1"/>
        <v>https://resources.simonelectric.com/simon-ebook-vehiculo-electrico</v>
      </c>
      <c r="E2513" s="8" t="str">
        <f t="shared" si="2"/>
        <v>https://resources.simonelectric.com/simon-ebook-vehiculo-electrico</v>
      </c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</row>
    <row r="2514" ht="15.75" customHeight="1">
      <c r="A2514" s="5" t="s">
        <v>1995</v>
      </c>
      <c r="B2514" s="5">
        <v>43944.0</v>
      </c>
      <c r="C2514" s="6" t="s">
        <v>299</v>
      </c>
      <c r="D2514" s="10" t="str">
        <f t="shared" si="1"/>
        <v>https://resources.simonelectric.com/simon-material-formativo-vehiculo-electrico</v>
      </c>
      <c r="E2514" s="8" t="str">
        <f t="shared" si="2"/>
        <v>https://resources.simonelectric.com/simon-material-formativo-vehiculo-electrico</v>
      </c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</row>
    <row r="2515" ht="15.75" customHeight="1">
      <c r="A2515" s="5" t="s">
        <v>3803</v>
      </c>
      <c r="B2515" s="5">
        <v>43944.0</v>
      </c>
      <c r="C2515" s="6" t="s">
        <v>299</v>
      </c>
      <c r="D2515" s="10" t="str">
        <f t="shared" si="1"/>
        <v>https://resources.simonelectric.com/simon-material-formativo-vehiculo-electrico</v>
      </c>
      <c r="E2515" s="8" t="str">
        <f t="shared" si="2"/>
        <v>https://resources.simonelectric.com/simon-material-formativo-vehiculo-electrico</v>
      </c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</row>
    <row r="2516" ht="15.75" customHeight="1">
      <c r="A2516" s="5" t="s">
        <v>3770</v>
      </c>
      <c r="B2516" s="5">
        <v>43944.0</v>
      </c>
      <c r="C2516" s="6" t="s">
        <v>299</v>
      </c>
      <c r="D2516" s="10" t="str">
        <f t="shared" si="1"/>
        <v>https://resources.simonelectric.com/simon-material-formativo-vehiculo-electrico</v>
      </c>
      <c r="E2516" s="8" t="str">
        <f t="shared" si="2"/>
        <v>https://resources.simonelectric.com/simon-material-formativo-vehiculo-electrico</v>
      </c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</row>
    <row r="2517" ht="15.75" customHeight="1">
      <c r="A2517" s="5" t="s">
        <v>3631</v>
      </c>
      <c r="B2517" s="5">
        <v>43944.0</v>
      </c>
      <c r="C2517" s="6" t="s">
        <v>299</v>
      </c>
      <c r="D2517" s="10" t="str">
        <f t="shared" si="1"/>
        <v>https://resources.simonelectric.com/simon-material-formativo-vehiculo-electrico</v>
      </c>
      <c r="E2517" s="8" t="str">
        <f t="shared" si="2"/>
        <v>https://resources.simonelectric.com/simon-material-formativo-vehiculo-electrico</v>
      </c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</row>
    <row r="2518" ht="15.75" customHeight="1">
      <c r="A2518" s="5" t="s">
        <v>2439</v>
      </c>
      <c r="B2518" s="5">
        <v>43944.0</v>
      </c>
      <c r="C2518" s="6" t="s">
        <v>299</v>
      </c>
      <c r="D2518" s="10" t="str">
        <f t="shared" si="1"/>
        <v>https://resources.simonelectric.com/simon-material-formativo-vehiculo-electrico</v>
      </c>
      <c r="E2518" s="8" t="str">
        <f t="shared" si="2"/>
        <v>https://resources.simonelectric.com/simon-material-formativo-vehiculo-electrico</v>
      </c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</row>
    <row r="2519" ht="15.75" customHeight="1">
      <c r="A2519" s="5" t="s">
        <v>2954</v>
      </c>
      <c r="B2519" s="5">
        <v>43944.0</v>
      </c>
      <c r="C2519" s="6" t="s">
        <v>299</v>
      </c>
      <c r="D2519" s="10" t="str">
        <f t="shared" si="1"/>
        <v>https://resources.simonelectric.com/simon-material-formativo-vehiculo-electrico</v>
      </c>
      <c r="E2519" s="8" t="str">
        <f t="shared" si="2"/>
        <v>https://resources.simonelectric.com/simon-material-formativo-vehiculo-electrico</v>
      </c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</row>
    <row r="2520" ht="15.75" customHeight="1">
      <c r="A2520" s="5" t="s">
        <v>3642</v>
      </c>
      <c r="B2520" s="5">
        <v>43944.0</v>
      </c>
      <c r="C2520" s="6" t="s">
        <v>299</v>
      </c>
      <c r="D2520" s="10" t="str">
        <f t="shared" si="1"/>
        <v>https://resources.simonelectric.com/simon-material-formativo-vehiculo-electrico</v>
      </c>
      <c r="E2520" s="8" t="str">
        <f t="shared" si="2"/>
        <v>https://resources.simonelectric.com/simon-material-formativo-vehiculo-electrico</v>
      </c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</row>
    <row r="2521" ht="15.75" customHeight="1">
      <c r="A2521" s="5" t="s">
        <v>1987</v>
      </c>
      <c r="B2521" s="5">
        <v>43944.0</v>
      </c>
      <c r="C2521" s="6" t="s">
        <v>299</v>
      </c>
      <c r="D2521" s="10" t="str">
        <f t="shared" si="1"/>
        <v>https://resources.simonelectric.com/simon-material-formativo-vehiculo-electrico</v>
      </c>
      <c r="E2521" s="8" t="str">
        <f t="shared" si="2"/>
        <v>https://resources.simonelectric.com/simon-material-formativo-vehiculo-electrico</v>
      </c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</row>
    <row r="2522" ht="15.75" customHeight="1">
      <c r="A2522" s="5" t="s">
        <v>2062</v>
      </c>
      <c r="B2522" s="5">
        <v>43944.0</v>
      </c>
      <c r="C2522" s="6" t="s">
        <v>299</v>
      </c>
      <c r="D2522" s="10" t="str">
        <f t="shared" si="1"/>
        <v>https://resources.simonelectric.com/simon-material-formativo-vehiculo-electrico</v>
      </c>
      <c r="E2522" s="8" t="str">
        <f t="shared" si="2"/>
        <v>https://resources.simonelectric.com/simon-material-formativo-vehiculo-electrico</v>
      </c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</row>
    <row r="2523" ht="15.75" customHeight="1">
      <c r="A2523" s="5" t="s">
        <v>3804</v>
      </c>
      <c r="B2523" s="5">
        <v>43944.0</v>
      </c>
      <c r="C2523" s="6" t="s">
        <v>299</v>
      </c>
      <c r="D2523" s="10" t="str">
        <f t="shared" si="1"/>
        <v>https://resources.simonelectric.com/simon-material-formativo-vehiculo-electrico</v>
      </c>
      <c r="E2523" s="8" t="str">
        <f t="shared" si="2"/>
        <v>https://resources.simonelectric.com/simon-material-formativo-vehiculo-electrico</v>
      </c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</row>
    <row r="2524" ht="15.75" customHeight="1">
      <c r="A2524" s="5" t="s">
        <v>3805</v>
      </c>
      <c r="B2524" s="5">
        <v>43944.0</v>
      </c>
      <c r="C2524" s="6" t="s">
        <v>299</v>
      </c>
      <c r="D2524" s="10" t="str">
        <f t="shared" si="1"/>
        <v>https://resources.simonelectric.com/simon-material-formativo-vehiculo-electrico</v>
      </c>
      <c r="E2524" s="8" t="str">
        <f t="shared" si="2"/>
        <v>https://resources.simonelectric.com/simon-material-formativo-vehiculo-electrico</v>
      </c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</row>
    <row r="2525" ht="15.75" customHeight="1">
      <c r="A2525" s="5" t="s">
        <v>3595</v>
      </c>
      <c r="B2525" s="5">
        <v>43944.0</v>
      </c>
      <c r="C2525" s="6" t="s">
        <v>299</v>
      </c>
      <c r="D2525" s="10" t="str">
        <f t="shared" si="1"/>
        <v>https://resources.simonelectric.com/simon-material-formativo-vehiculo-electrico</v>
      </c>
      <c r="E2525" s="8" t="str">
        <f t="shared" si="2"/>
        <v>https://resources.simonelectric.com/simon-material-formativo-vehiculo-electrico</v>
      </c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</row>
    <row r="2526" ht="15.75" customHeight="1">
      <c r="A2526" s="5" t="s">
        <v>3783</v>
      </c>
      <c r="B2526" s="5">
        <v>43944.0</v>
      </c>
      <c r="C2526" s="6" t="s">
        <v>299</v>
      </c>
      <c r="D2526" s="10" t="str">
        <f t="shared" si="1"/>
        <v>https://resources.simonelectric.com/simon-material-formativo-vehiculo-electrico</v>
      </c>
      <c r="E2526" s="8" t="str">
        <f t="shared" si="2"/>
        <v>https://resources.simonelectric.com/simon-material-formativo-vehiculo-electrico</v>
      </c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</row>
    <row r="2527" ht="15.75" customHeight="1">
      <c r="A2527" s="5" t="s">
        <v>3640</v>
      </c>
      <c r="B2527" s="5">
        <v>43944.0</v>
      </c>
      <c r="C2527" s="6" t="s">
        <v>299</v>
      </c>
      <c r="D2527" s="10" t="str">
        <f t="shared" si="1"/>
        <v>https://resources.simonelectric.com/simon-material-formativo-vehiculo-electrico</v>
      </c>
      <c r="E2527" s="8" t="str">
        <f t="shared" si="2"/>
        <v>https://resources.simonelectric.com/simon-material-formativo-vehiculo-electrico</v>
      </c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</row>
    <row r="2528" ht="15.75" customHeight="1">
      <c r="A2528" s="5" t="s">
        <v>3645</v>
      </c>
      <c r="B2528" s="5">
        <v>43944.0</v>
      </c>
      <c r="C2528" s="6" t="s">
        <v>299</v>
      </c>
      <c r="D2528" s="10" t="str">
        <f t="shared" si="1"/>
        <v>https://resources.simonelectric.com/simon-material-formativo-vehiculo-electrico</v>
      </c>
      <c r="E2528" s="8" t="str">
        <f t="shared" si="2"/>
        <v>https://resources.simonelectric.com/simon-material-formativo-vehiculo-electrico</v>
      </c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</row>
    <row r="2529" ht="15.75" customHeight="1">
      <c r="A2529" s="5" t="s">
        <v>3613</v>
      </c>
      <c r="B2529" s="5">
        <v>43944.0</v>
      </c>
      <c r="C2529" s="6" t="s">
        <v>299</v>
      </c>
      <c r="D2529" s="10" t="str">
        <f t="shared" si="1"/>
        <v>https://resources.simonelectric.com/simon-material-formativo-vehiculo-electrico</v>
      </c>
      <c r="E2529" s="8" t="str">
        <f t="shared" si="2"/>
        <v>https://resources.simonelectric.com/simon-material-formativo-vehiculo-electrico</v>
      </c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</row>
    <row r="2530" ht="15.75" customHeight="1">
      <c r="A2530" s="5" t="s">
        <v>3806</v>
      </c>
      <c r="B2530" s="5">
        <v>43944.0</v>
      </c>
      <c r="C2530" s="6" t="s">
        <v>299</v>
      </c>
      <c r="D2530" s="10" t="str">
        <f t="shared" si="1"/>
        <v>https://resources.simonelectric.com/simon-material-formativo-vehiculo-electrico</v>
      </c>
      <c r="E2530" s="8" t="str">
        <f t="shared" si="2"/>
        <v>https://resources.simonelectric.com/simon-material-formativo-vehiculo-electrico</v>
      </c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</row>
    <row r="2531" ht="15.75" customHeight="1">
      <c r="A2531" s="5" t="s">
        <v>3807</v>
      </c>
      <c r="B2531" s="5">
        <v>43944.0</v>
      </c>
      <c r="C2531" s="6" t="s">
        <v>299</v>
      </c>
      <c r="D2531" s="10" t="str">
        <f t="shared" si="1"/>
        <v>https://resources.simonelectric.com/simon-material-formativo-vehiculo-electrico</v>
      </c>
      <c r="E2531" s="8" t="str">
        <f t="shared" si="2"/>
        <v>https://resources.simonelectric.com/simon-material-formativo-vehiculo-electrico</v>
      </c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</row>
    <row r="2532" ht="15.75" customHeight="1">
      <c r="A2532" s="5" t="s">
        <v>3653</v>
      </c>
      <c r="B2532" s="5">
        <v>43944.0</v>
      </c>
      <c r="C2532" s="6" t="s">
        <v>299</v>
      </c>
      <c r="D2532" s="10" t="str">
        <f t="shared" si="1"/>
        <v>https://resources.simonelectric.com/simon-material-formativo-vehiculo-electrico</v>
      </c>
      <c r="E2532" s="8" t="str">
        <f t="shared" si="2"/>
        <v>https://resources.simonelectric.com/simon-material-formativo-vehiculo-electrico</v>
      </c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</row>
    <row r="2533" ht="15.75" customHeight="1">
      <c r="A2533" s="5" t="s">
        <v>3696</v>
      </c>
      <c r="B2533" s="5">
        <v>43944.0</v>
      </c>
      <c r="C2533" s="6" t="s">
        <v>299</v>
      </c>
      <c r="D2533" s="10" t="str">
        <f t="shared" si="1"/>
        <v>https://resources.simonelectric.com/simon-material-formativo-vehiculo-electrico</v>
      </c>
      <c r="E2533" s="8" t="str">
        <f t="shared" si="2"/>
        <v>https://resources.simonelectric.com/simon-material-formativo-vehiculo-electrico</v>
      </c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</row>
    <row r="2534" ht="15.75" customHeight="1">
      <c r="A2534" s="5" t="s">
        <v>3808</v>
      </c>
      <c r="B2534" s="5">
        <v>43944.0</v>
      </c>
      <c r="C2534" s="6" t="s">
        <v>299</v>
      </c>
      <c r="D2534" s="10" t="str">
        <f t="shared" si="1"/>
        <v>https://resources.simonelectric.com/simon-material-formativo-vehiculo-electrico</v>
      </c>
      <c r="E2534" s="8" t="str">
        <f t="shared" si="2"/>
        <v>https://resources.simonelectric.com/simon-material-formativo-vehiculo-electrico</v>
      </c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</row>
    <row r="2535" ht="15.75" customHeight="1">
      <c r="A2535" s="5" t="s">
        <v>3809</v>
      </c>
      <c r="B2535" s="5">
        <v>43944.0</v>
      </c>
      <c r="C2535" s="6" t="s">
        <v>299</v>
      </c>
      <c r="D2535" s="10" t="str">
        <f t="shared" si="1"/>
        <v>https://resources.simonelectric.com/simon-material-formativo-vehiculo-electrico</v>
      </c>
      <c r="E2535" s="8" t="str">
        <f t="shared" si="2"/>
        <v>https://resources.simonelectric.com/simon-material-formativo-vehiculo-electrico</v>
      </c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</row>
    <row r="2536" ht="15.75" customHeight="1">
      <c r="A2536" s="5" t="s">
        <v>3810</v>
      </c>
      <c r="B2536" s="5">
        <v>43944.0</v>
      </c>
      <c r="C2536" s="6" t="s">
        <v>299</v>
      </c>
      <c r="D2536" s="10" t="str">
        <f t="shared" si="1"/>
        <v>https://resources.simonelectric.com/simon-material-formativo-vehiculo-electrico</v>
      </c>
      <c r="E2536" s="8" t="str">
        <f t="shared" si="2"/>
        <v>https://resources.simonelectric.com/simon-material-formativo-vehiculo-electrico</v>
      </c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</row>
    <row r="2537" ht="15.75" customHeight="1">
      <c r="A2537" s="5" t="s">
        <v>3593</v>
      </c>
      <c r="B2537" s="5">
        <v>43944.0</v>
      </c>
      <c r="C2537" s="6" t="s">
        <v>299</v>
      </c>
      <c r="D2537" s="10" t="str">
        <f t="shared" si="1"/>
        <v>https://resources.simonelectric.com/simon-material-formativo-vehiculo-electrico</v>
      </c>
      <c r="E2537" s="8" t="str">
        <f t="shared" si="2"/>
        <v>https://resources.simonelectric.com/simon-material-formativo-vehiculo-electrico</v>
      </c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</row>
    <row r="2538" ht="15.75" customHeight="1">
      <c r="A2538" s="5" t="s">
        <v>3811</v>
      </c>
      <c r="B2538" s="5">
        <v>43944.0</v>
      </c>
      <c r="C2538" s="6" t="s">
        <v>299</v>
      </c>
      <c r="D2538" s="10" t="str">
        <f t="shared" si="1"/>
        <v>https://resources.simonelectric.com/simon-material-formativo-vehiculo-electrico</v>
      </c>
      <c r="E2538" s="8" t="str">
        <f t="shared" si="2"/>
        <v>https://resources.simonelectric.com/simon-material-formativo-vehiculo-electrico</v>
      </c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</row>
    <row r="2539" ht="15.75" customHeight="1">
      <c r="A2539" s="5" t="s">
        <v>2861</v>
      </c>
      <c r="B2539" s="5">
        <v>43944.0</v>
      </c>
      <c r="C2539" s="6" t="s">
        <v>299</v>
      </c>
      <c r="D2539" s="10" t="str">
        <f t="shared" si="1"/>
        <v>https://resources.simonelectric.com/simon-material-formativo-vehiculo-electrico</v>
      </c>
      <c r="E2539" s="8" t="str">
        <f t="shared" si="2"/>
        <v>https://resources.simonelectric.com/simon-material-formativo-vehiculo-electrico</v>
      </c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</row>
    <row r="2540" ht="15.75" customHeight="1">
      <c r="A2540" s="5" t="s">
        <v>3771</v>
      </c>
      <c r="B2540" s="5">
        <v>43944.0</v>
      </c>
      <c r="C2540" s="6" t="s">
        <v>299</v>
      </c>
      <c r="D2540" s="10" t="str">
        <f t="shared" si="1"/>
        <v>https://resources.simonelectric.com/simon-material-formativo-vehiculo-electrico</v>
      </c>
      <c r="E2540" s="8" t="str">
        <f t="shared" si="2"/>
        <v>https://resources.simonelectric.com/simon-material-formativo-vehiculo-electrico</v>
      </c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</row>
    <row r="2541" ht="15.75" customHeight="1">
      <c r="A2541" s="5" t="s">
        <v>3812</v>
      </c>
      <c r="B2541" s="5">
        <v>43944.0</v>
      </c>
      <c r="C2541" s="6" t="s">
        <v>299</v>
      </c>
      <c r="D2541" s="10" t="str">
        <f t="shared" si="1"/>
        <v>https://resources.simonelectric.com/simon-material-formativo-vehiculo-electrico</v>
      </c>
      <c r="E2541" s="8" t="str">
        <f t="shared" si="2"/>
        <v>https://resources.simonelectric.com/simon-material-formativo-vehiculo-electrico</v>
      </c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</row>
    <row r="2542" ht="15.75" customHeight="1">
      <c r="A2542" s="5" t="s">
        <v>3813</v>
      </c>
      <c r="B2542" s="5">
        <v>43944.0</v>
      </c>
      <c r="C2542" s="6" t="s">
        <v>299</v>
      </c>
      <c r="D2542" s="10" t="str">
        <f t="shared" si="1"/>
        <v>https://resources.simonelectric.com/simon-material-formativo-vehiculo-electrico</v>
      </c>
      <c r="E2542" s="8" t="str">
        <f t="shared" si="2"/>
        <v>https://resources.simonelectric.com/simon-material-formativo-vehiculo-electrico</v>
      </c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</row>
    <row r="2543" ht="15.75" customHeight="1">
      <c r="A2543" s="5" t="s">
        <v>3814</v>
      </c>
      <c r="B2543" s="5">
        <v>43944.0</v>
      </c>
      <c r="C2543" s="6" t="s">
        <v>299</v>
      </c>
      <c r="D2543" s="10" t="str">
        <f t="shared" si="1"/>
        <v>https://resources.simonelectric.com/simon-material-formativo-vehiculo-electrico</v>
      </c>
      <c r="E2543" s="8" t="str">
        <f t="shared" si="2"/>
        <v>https://resources.simonelectric.com/simon-material-formativo-vehiculo-electrico</v>
      </c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</row>
    <row r="2544" ht="15.75" customHeight="1">
      <c r="A2544" s="5" t="s">
        <v>3815</v>
      </c>
      <c r="B2544" s="5">
        <v>43944.0</v>
      </c>
      <c r="C2544" s="6" t="s">
        <v>299</v>
      </c>
      <c r="D2544" s="10" t="str">
        <f t="shared" si="1"/>
        <v>https://resources.simonelectric.com/simon-material-formativo-vehiculo-electrico</v>
      </c>
      <c r="E2544" s="8" t="str">
        <f t="shared" si="2"/>
        <v>https://resources.simonelectric.com/simon-material-formativo-vehiculo-electrico</v>
      </c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</row>
    <row r="2545" ht="15.75" customHeight="1">
      <c r="A2545" s="5" t="s">
        <v>3816</v>
      </c>
      <c r="B2545" s="5">
        <v>43944.0</v>
      </c>
      <c r="C2545" s="6" t="s">
        <v>299</v>
      </c>
      <c r="D2545" s="10" t="str">
        <f t="shared" si="1"/>
        <v>https://resources.simonelectric.com/simon-material-formativo-vehiculo-electrico</v>
      </c>
      <c r="E2545" s="8" t="str">
        <f t="shared" si="2"/>
        <v>https://resources.simonelectric.com/simon-material-formativo-vehiculo-electrico</v>
      </c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</row>
    <row r="2546" ht="15.75" customHeight="1">
      <c r="A2546" s="5" t="s">
        <v>3817</v>
      </c>
      <c r="B2546" s="5">
        <v>43944.0</v>
      </c>
      <c r="C2546" s="6" t="s">
        <v>299</v>
      </c>
      <c r="D2546" s="10" t="str">
        <f t="shared" si="1"/>
        <v>https://resources.simonelectric.com/simon-material-formativo-vehiculo-electrico</v>
      </c>
      <c r="E2546" s="8" t="str">
        <f t="shared" si="2"/>
        <v>https://resources.simonelectric.com/simon-material-formativo-vehiculo-electrico</v>
      </c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</row>
    <row r="2547" ht="15.75" customHeight="1">
      <c r="A2547" s="5" t="s">
        <v>3818</v>
      </c>
      <c r="B2547" s="5">
        <v>43944.0</v>
      </c>
      <c r="C2547" s="6" t="s">
        <v>299</v>
      </c>
      <c r="D2547" s="10" t="str">
        <f t="shared" si="1"/>
        <v>https://resources.simonelectric.com/simon-material-formativo-vehiculo-electrico</v>
      </c>
      <c r="E2547" s="8" t="str">
        <f t="shared" si="2"/>
        <v>https://resources.simonelectric.com/simon-material-formativo-vehiculo-electrico</v>
      </c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</row>
    <row r="2548" ht="15.75" customHeight="1">
      <c r="A2548" s="5" t="s">
        <v>3819</v>
      </c>
      <c r="B2548" s="5">
        <v>43944.0</v>
      </c>
      <c r="C2548" s="6" t="s">
        <v>299</v>
      </c>
      <c r="D2548" s="10" t="str">
        <f t="shared" si="1"/>
        <v>https://resources.simonelectric.com/simon-material-formativo-vehiculo-electrico</v>
      </c>
      <c r="E2548" s="8" t="str">
        <f t="shared" si="2"/>
        <v>https://resources.simonelectric.com/simon-material-formativo-vehiculo-electrico</v>
      </c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</row>
    <row r="2549" ht="15.75" customHeight="1">
      <c r="A2549" s="5" t="s">
        <v>3820</v>
      </c>
      <c r="B2549" s="5">
        <v>43944.0</v>
      </c>
      <c r="C2549" s="6" t="s">
        <v>299</v>
      </c>
      <c r="D2549" s="10" t="str">
        <f t="shared" si="1"/>
        <v>https://resources.simonelectric.com/simon-material-formativo-vehiculo-electrico</v>
      </c>
      <c r="E2549" s="8" t="str">
        <f t="shared" si="2"/>
        <v>https://resources.simonelectric.com/simon-material-formativo-vehiculo-electrico</v>
      </c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</row>
    <row r="2550" ht="15.75" customHeight="1">
      <c r="A2550" s="5" t="s">
        <v>3821</v>
      </c>
      <c r="B2550" s="5">
        <v>43944.0</v>
      </c>
      <c r="C2550" s="6" t="s">
        <v>299</v>
      </c>
      <c r="D2550" s="10" t="str">
        <f t="shared" si="1"/>
        <v>https://resources.simonelectric.com/simon-material-formativo-vehiculo-electrico</v>
      </c>
      <c r="E2550" s="8" t="str">
        <f t="shared" si="2"/>
        <v>https://resources.simonelectric.com/simon-material-formativo-vehiculo-electrico</v>
      </c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</row>
    <row r="2551" ht="15.75" customHeight="1">
      <c r="A2551" s="5" t="s">
        <v>2475</v>
      </c>
      <c r="B2551" s="5">
        <v>43944.0</v>
      </c>
      <c r="C2551" s="6" t="s">
        <v>299</v>
      </c>
      <c r="D2551" s="10" t="str">
        <f t="shared" si="1"/>
        <v>https://resources.simonelectric.com/simon-material-formativo-vehiculo-electrico</v>
      </c>
      <c r="E2551" s="8" t="str">
        <f t="shared" si="2"/>
        <v>https://resources.simonelectric.com/simon-material-formativo-vehiculo-electrico</v>
      </c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</row>
    <row r="2552" ht="15.75" customHeight="1">
      <c r="A2552" s="5" t="s">
        <v>3822</v>
      </c>
      <c r="B2552" s="5">
        <v>43944.0</v>
      </c>
      <c r="C2552" s="6" t="s">
        <v>299</v>
      </c>
      <c r="D2552" s="10" t="str">
        <f t="shared" si="1"/>
        <v>https://resources.simonelectric.com/simon-material-formativo-vehiculo-electrico</v>
      </c>
      <c r="E2552" s="8" t="str">
        <f t="shared" si="2"/>
        <v>https://resources.simonelectric.com/simon-material-formativo-vehiculo-electrico</v>
      </c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</row>
    <row r="2553" ht="15.75" customHeight="1">
      <c r="A2553" s="5" t="s">
        <v>1233</v>
      </c>
      <c r="B2553" s="5">
        <v>43944.0</v>
      </c>
      <c r="C2553" s="6" t="s">
        <v>299</v>
      </c>
      <c r="D2553" s="10" t="str">
        <f t="shared" si="1"/>
        <v>https://resources.simonelectric.com/simon-material-formativo-vehiculo-electrico</v>
      </c>
      <c r="E2553" s="8" t="str">
        <f t="shared" si="2"/>
        <v>https://resources.simonelectric.com/simon-material-formativo-vehiculo-electrico</v>
      </c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</row>
    <row r="2554" ht="15.75" customHeight="1">
      <c r="A2554" s="5" t="s">
        <v>3823</v>
      </c>
      <c r="B2554" s="5">
        <v>43944.0</v>
      </c>
      <c r="C2554" s="6" t="s">
        <v>299</v>
      </c>
      <c r="D2554" s="10" t="str">
        <f t="shared" si="1"/>
        <v>https://resources.simonelectric.com/simon-material-formativo-vehiculo-electrico</v>
      </c>
      <c r="E2554" s="8" t="str">
        <f t="shared" si="2"/>
        <v>https://resources.simonelectric.com/simon-material-formativo-vehiculo-electrico</v>
      </c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</row>
    <row r="2555" ht="15.75" customHeight="1">
      <c r="A2555" s="5" t="s">
        <v>3824</v>
      </c>
      <c r="B2555" s="5">
        <v>43944.0</v>
      </c>
      <c r="C2555" s="6" t="s">
        <v>299</v>
      </c>
      <c r="D2555" s="10" t="str">
        <f t="shared" si="1"/>
        <v>https://resources.simonelectric.com/simon-material-formativo-vehiculo-electrico</v>
      </c>
      <c r="E2555" s="8" t="str">
        <f t="shared" si="2"/>
        <v>https://resources.simonelectric.com/simon-material-formativo-vehiculo-electrico</v>
      </c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</row>
    <row r="2556" ht="15.75" customHeight="1">
      <c r="A2556" s="5" t="s">
        <v>3769</v>
      </c>
      <c r="B2556" s="5">
        <v>43944.0</v>
      </c>
      <c r="C2556" s="6" t="s">
        <v>299</v>
      </c>
      <c r="D2556" s="10" t="str">
        <f t="shared" si="1"/>
        <v>https://resources.simonelectric.com/simon-material-formativo-vehiculo-electrico</v>
      </c>
      <c r="E2556" s="8" t="str">
        <f t="shared" si="2"/>
        <v>https://resources.simonelectric.com/simon-material-formativo-vehiculo-electrico</v>
      </c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</row>
    <row r="2557" ht="15.75" customHeight="1">
      <c r="A2557" s="5" t="s">
        <v>3782</v>
      </c>
      <c r="B2557" s="5">
        <v>43944.0</v>
      </c>
      <c r="C2557" s="6" t="s">
        <v>299</v>
      </c>
      <c r="D2557" s="10" t="str">
        <f t="shared" si="1"/>
        <v>https://resources.simonelectric.com/simon-material-formativo-vehiculo-electrico</v>
      </c>
      <c r="E2557" s="8" t="str">
        <f t="shared" si="2"/>
        <v>https://resources.simonelectric.com/simon-material-formativo-vehiculo-electrico</v>
      </c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</row>
    <row r="2558" ht="15.75" customHeight="1">
      <c r="A2558" s="5" t="s">
        <v>3768</v>
      </c>
      <c r="B2558" s="5">
        <v>43944.0</v>
      </c>
      <c r="C2558" s="6" t="s">
        <v>299</v>
      </c>
      <c r="D2558" s="10" t="str">
        <f t="shared" si="1"/>
        <v>https://resources.simonelectric.com/simon-material-formativo-vehiculo-electrico</v>
      </c>
      <c r="E2558" s="8" t="str">
        <f t="shared" si="2"/>
        <v>https://resources.simonelectric.com/simon-material-formativo-vehiculo-electrico</v>
      </c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</row>
    <row r="2559" ht="15.75" customHeight="1">
      <c r="A2559" s="5" t="s">
        <v>3825</v>
      </c>
      <c r="B2559" s="5">
        <v>43944.0</v>
      </c>
      <c r="C2559" s="6" t="s">
        <v>299</v>
      </c>
      <c r="D2559" s="10" t="str">
        <f t="shared" si="1"/>
        <v>https://resources.simonelectric.com/simon-material-formativo-vehiculo-electrico</v>
      </c>
      <c r="E2559" s="8" t="str">
        <f t="shared" si="2"/>
        <v>https://resources.simonelectric.com/simon-material-formativo-vehiculo-electrico</v>
      </c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</row>
    <row r="2560" ht="15.75" customHeight="1">
      <c r="A2560" s="5" t="s">
        <v>3754</v>
      </c>
      <c r="B2560" s="5">
        <v>43944.0</v>
      </c>
      <c r="C2560" s="6" t="s">
        <v>299</v>
      </c>
      <c r="D2560" s="10" t="str">
        <f t="shared" si="1"/>
        <v>https://resources.simonelectric.com/simon-material-formativo-vehiculo-electrico</v>
      </c>
      <c r="E2560" s="8" t="str">
        <f t="shared" si="2"/>
        <v>https://resources.simonelectric.com/simon-material-formativo-vehiculo-electrico</v>
      </c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</row>
    <row r="2561" ht="15.75" customHeight="1">
      <c r="A2561" s="5" t="s">
        <v>3826</v>
      </c>
      <c r="B2561" s="5">
        <v>43944.0</v>
      </c>
      <c r="C2561" s="6" t="s">
        <v>299</v>
      </c>
      <c r="D2561" s="10" t="str">
        <f t="shared" si="1"/>
        <v>https://resources.simonelectric.com/simon-material-formativo-vehiculo-electrico</v>
      </c>
      <c r="E2561" s="8" t="str">
        <f t="shared" si="2"/>
        <v>https://resources.simonelectric.com/simon-material-formativo-vehiculo-electrico</v>
      </c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</row>
    <row r="2562" ht="15.75" customHeight="1">
      <c r="A2562" s="5" t="s">
        <v>3474</v>
      </c>
      <c r="B2562" s="5">
        <v>43944.0</v>
      </c>
      <c r="C2562" s="6" t="s">
        <v>299</v>
      </c>
      <c r="D2562" s="10" t="str">
        <f t="shared" si="1"/>
        <v>https://resources.simonelectric.com/simon-material-formativo-vehiculo-electrico</v>
      </c>
      <c r="E2562" s="8" t="str">
        <f t="shared" si="2"/>
        <v>https://resources.simonelectric.com/simon-material-formativo-vehiculo-electrico</v>
      </c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</row>
    <row r="2563" ht="15.75" customHeight="1">
      <c r="A2563" s="5" t="s">
        <v>3774</v>
      </c>
      <c r="B2563" s="5">
        <v>43944.0</v>
      </c>
      <c r="C2563" s="6" t="s">
        <v>299</v>
      </c>
      <c r="D2563" s="10" t="str">
        <f t="shared" si="1"/>
        <v>https://resources.simonelectric.com/simon-material-formativo-vehiculo-electrico</v>
      </c>
      <c r="E2563" s="8" t="str">
        <f t="shared" si="2"/>
        <v>https://resources.simonelectric.com/simon-material-formativo-vehiculo-electrico</v>
      </c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</row>
    <row r="2564" ht="15.75" customHeight="1">
      <c r="A2564" s="5" t="s">
        <v>3821</v>
      </c>
      <c r="B2564" s="5">
        <v>43944.0</v>
      </c>
      <c r="C2564" s="6" t="s">
        <v>8</v>
      </c>
      <c r="D2564" s="11">
        <f t="shared" si="1"/>
        <v>67</v>
      </c>
      <c r="E2564" s="8" t="str">
        <f t="shared" si="2"/>
        <v>https://resources.simonelectric.com/simon-ebook-vehiculo-electrico</v>
      </c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</row>
    <row r="2565" ht="15.75" customHeight="1">
      <c r="A2565" s="5" t="s">
        <v>3827</v>
      </c>
      <c r="B2565" s="5">
        <v>43944.0</v>
      </c>
      <c r="C2565" s="6" t="s">
        <v>28</v>
      </c>
      <c r="D2565" s="10" t="str">
        <f t="shared" si="1"/>
        <v>https://resources.simonelectric.com/simon-ebook-vehiculo-electrico</v>
      </c>
      <c r="E2565" s="8" t="str">
        <f t="shared" si="2"/>
        <v>https://resources.simonelectric.com/simon-ebook-vehiculo-electrico</v>
      </c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</row>
    <row r="2566" ht="15.75" customHeight="1">
      <c r="A2566" s="5" t="s">
        <v>3821</v>
      </c>
      <c r="B2566" s="5">
        <v>43944.0</v>
      </c>
      <c r="C2566" s="6" t="s">
        <v>28</v>
      </c>
      <c r="D2566" s="10" t="str">
        <f t="shared" si="1"/>
        <v>https://resources.simonelectric.com/simon-ebook-vehiculo-electrico</v>
      </c>
      <c r="E2566" s="8" t="str">
        <f t="shared" si="2"/>
        <v>https://resources.simonelectric.com/simon-ebook-vehiculo-electrico</v>
      </c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</row>
    <row r="2567" ht="15.75" customHeight="1">
      <c r="A2567" s="5" t="s">
        <v>3768</v>
      </c>
      <c r="B2567" s="5">
        <v>43944.0</v>
      </c>
      <c r="C2567" s="6" t="s">
        <v>28</v>
      </c>
      <c r="D2567" s="10" t="str">
        <f t="shared" si="1"/>
        <v>https://resources.simonelectric.com/simon-ebook-vehiculo-electrico</v>
      </c>
      <c r="E2567" s="8" t="str">
        <f t="shared" si="2"/>
        <v>https://resources.simonelectric.com/simon-ebook-vehiculo-electrico</v>
      </c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</row>
    <row r="2568" ht="15.75" customHeight="1">
      <c r="A2568" s="5" t="s">
        <v>3769</v>
      </c>
      <c r="B2568" s="5">
        <v>43944.0</v>
      </c>
      <c r="C2568" s="6" t="s">
        <v>28</v>
      </c>
      <c r="D2568" s="10" t="str">
        <f t="shared" si="1"/>
        <v>https://resources.simonelectric.com/simon-ebook-vehiculo-electrico</v>
      </c>
      <c r="E2568" s="8" t="str">
        <f t="shared" si="2"/>
        <v>https://resources.simonelectric.com/simon-ebook-vehiculo-electrico</v>
      </c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</row>
    <row r="2569" ht="15.75" customHeight="1">
      <c r="A2569" s="5" t="s">
        <v>3784</v>
      </c>
      <c r="B2569" s="5">
        <v>43944.0</v>
      </c>
      <c r="C2569" s="6" t="s">
        <v>28</v>
      </c>
      <c r="D2569" s="10" t="str">
        <f t="shared" si="1"/>
        <v>https://resources.simonelectric.com/simon-ebook-vehiculo-electrico</v>
      </c>
      <c r="E2569" s="8" t="str">
        <f t="shared" si="2"/>
        <v>https://resources.simonelectric.com/simon-ebook-vehiculo-electrico</v>
      </c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</row>
    <row r="2570" ht="15.75" customHeight="1">
      <c r="A2570" s="5" t="s">
        <v>3782</v>
      </c>
      <c r="B2570" s="5">
        <v>43944.0</v>
      </c>
      <c r="C2570" s="6" t="s">
        <v>28</v>
      </c>
      <c r="D2570" s="10" t="str">
        <f t="shared" si="1"/>
        <v>https://resources.simonelectric.com/simon-ebook-vehiculo-electrico</v>
      </c>
      <c r="E2570" s="8" t="str">
        <f t="shared" si="2"/>
        <v>https://resources.simonelectric.com/simon-ebook-vehiculo-electrico</v>
      </c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</row>
    <row r="2571" ht="15.75" customHeight="1">
      <c r="A2571" s="5" t="s">
        <v>3474</v>
      </c>
      <c r="B2571" s="5">
        <v>43944.0</v>
      </c>
      <c r="C2571" s="6" t="s">
        <v>28</v>
      </c>
      <c r="D2571" s="10" t="str">
        <f t="shared" si="1"/>
        <v>https://resources.simonelectric.com/simon-ebook-vehiculo-electrico</v>
      </c>
      <c r="E2571" s="8" t="str">
        <f t="shared" si="2"/>
        <v>https://resources.simonelectric.com/simon-ebook-vehiculo-electrico</v>
      </c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</row>
    <row r="2572" ht="15.75" customHeight="1">
      <c r="A2572" s="5" t="s">
        <v>3819</v>
      </c>
      <c r="B2572" s="5">
        <v>43944.0</v>
      </c>
      <c r="C2572" s="6" t="s">
        <v>28</v>
      </c>
      <c r="D2572" s="10" t="str">
        <f t="shared" si="1"/>
        <v>https://resources.simonelectric.com/simon-ebook-vehiculo-electrico</v>
      </c>
      <c r="E2572" s="8" t="str">
        <f t="shared" si="2"/>
        <v>https://resources.simonelectric.com/simon-ebook-vehiculo-electrico</v>
      </c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</row>
    <row r="2573" ht="15.75" customHeight="1">
      <c r="A2573" s="5" t="s">
        <v>3825</v>
      </c>
      <c r="B2573" s="5">
        <v>43944.0</v>
      </c>
      <c r="C2573" s="6" t="s">
        <v>28</v>
      </c>
      <c r="D2573" s="10" t="str">
        <f t="shared" si="1"/>
        <v>https://resources.simonelectric.com/simon-ebook-vehiculo-electrico</v>
      </c>
      <c r="E2573" s="8" t="str">
        <f t="shared" si="2"/>
        <v>https://resources.simonelectric.com/simon-ebook-vehiculo-electrico</v>
      </c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</row>
    <row r="2574" ht="15.75" customHeight="1">
      <c r="A2574" s="5" t="s">
        <v>3812</v>
      </c>
      <c r="B2574" s="5">
        <v>43944.0</v>
      </c>
      <c r="C2574" s="6" t="s">
        <v>28</v>
      </c>
      <c r="D2574" s="10" t="str">
        <f t="shared" si="1"/>
        <v>https://resources.simonelectric.com/simon-ebook-vehiculo-electrico</v>
      </c>
      <c r="E2574" s="8" t="str">
        <f t="shared" si="2"/>
        <v>https://resources.simonelectric.com/simon-ebook-vehiculo-electrico</v>
      </c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</row>
    <row r="2575" ht="15.75" customHeight="1">
      <c r="A2575" s="5" t="s">
        <v>3823</v>
      </c>
      <c r="B2575" s="5">
        <v>43944.0</v>
      </c>
      <c r="C2575" s="6" t="s">
        <v>28</v>
      </c>
      <c r="D2575" s="10" t="str">
        <f t="shared" si="1"/>
        <v>https://resources.simonelectric.com/simon-ebook-vehiculo-electrico</v>
      </c>
      <c r="E2575" s="8" t="str">
        <f t="shared" si="2"/>
        <v>https://resources.simonelectric.com/simon-ebook-vehiculo-electrico</v>
      </c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</row>
    <row r="2576" ht="15.75" customHeight="1">
      <c r="A2576" s="5" t="s">
        <v>3799</v>
      </c>
      <c r="B2576" s="5">
        <v>43944.0</v>
      </c>
      <c r="C2576" s="6" t="s">
        <v>28</v>
      </c>
      <c r="D2576" s="10" t="str">
        <f t="shared" si="1"/>
        <v>https://resources.simonelectric.com/simon-ebook-vehiculo-electrico</v>
      </c>
      <c r="E2576" s="8" t="str">
        <f t="shared" si="2"/>
        <v>https://resources.simonelectric.com/simon-ebook-vehiculo-electrico</v>
      </c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</row>
    <row r="2577" ht="15.75" customHeight="1">
      <c r="A2577" s="5" t="s">
        <v>3828</v>
      </c>
      <c r="B2577" s="5">
        <v>43944.0</v>
      </c>
      <c r="C2577" s="6" t="s">
        <v>28</v>
      </c>
      <c r="D2577" s="10" t="str">
        <f t="shared" si="1"/>
        <v>https://resources.simonelectric.com/simon-ebook-vehiculo-electrico</v>
      </c>
      <c r="E2577" s="8" t="str">
        <f t="shared" si="2"/>
        <v>https://resources.simonelectric.com/simon-ebook-vehiculo-electrico</v>
      </c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</row>
    <row r="2578" ht="15.75" customHeight="1">
      <c r="A2578" s="5" t="s">
        <v>3774</v>
      </c>
      <c r="B2578" s="5">
        <v>43944.0</v>
      </c>
      <c r="C2578" s="6" t="s">
        <v>28</v>
      </c>
      <c r="D2578" s="10" t="str">
        <f t="shared" si="1"/>
        <v>https://resources.simonelectric.com/simon-ebook-vehiculo-electrico</v>
      </c>
      <c r="E2578" s="8" t="str">
        <f t="shared" si="2"/>
        <v>https://resources.simonelectric.com/simon-ebook-vehiculo-electrico</v>
      </c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</row>
    <row r="2579" ht="15.75" customHeight="1">
      <c r="A2579" s="5" t="s">
        <v>3751</v>
      </c>
      <c r="B2579" s="5">
        <v>43944.0</v>
      </c>
      <c r="C2579" s="6" t="s">
        <v>28</v>
      </c>
      <c r="D2579" s="10" t="str">
        <f t="shared" si="1"/>
        <v>https://resources.simonelectric.com/simon-ebook-vehiculo-electrico</v>
      </c>
      <c r="E2579" s="8" t="str">
        <f t="shared" si="2"/>
        <v>https://resources.simonelectric.com/simon-ebook-vehiculo-electrico</v>
      </c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</row>
    <row r="2580" ht="15.75" customHeight="1">
      <c r="A2580" s="5" t="s">
        <v>3826</v>
      </c>
      <c r="B2580" s="5">
        <v>43944.0</v>
      </c>
      <c r="C2580" s="6" t="s">
        <v>28</v>
      </c>
      <c r="D2580" s="10" t="str">
        <f t="shared" si="1"/>
        <v>https://resources.simonelectric.com/simon-ebook-vehiculo-electrico</v>
      </c>
      <c r="E2580" s="8" t="str">
        <f t="shared" si="2"/>
        <v>https://resources.simonelectric.com/simon-ebook-vehiculo-electrico</v>
      </c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</row>
    <row r="2581" ht="15.75" customHeight="1">
      <c r="A2581" s="5" t="s">
        <v>3771</v>
      </c>
      <c r="B2581" s="5">
        <v>43944.0</v>
      </c>
      <c r="C2581" s="6" t="s">
        <v>28</v>
      </c>
      <c r="D2581" s="10" t="str">
        <f t="shared" si="1"/>
        <v>https://resources.simonelectric.com/simon-ebook-vehiculo-electrico</v>
      </c>
      <c r="E2581" s="8" t="str">
        <f t="shared" si="2"/>
        <v>https://resources.simonelectric.com/simon-ebook-vehiculo-electrico</v>
      </c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</row>
    <row r="2582" ht="15.75" customHeight="1">
      <c r="A2582" s="5" t="s">
        <v>3829</v>
      </c>
      <c r="B2582" s="5">
        <v>43944.0</v>
      </c>
      <c r="C2582" s="6" t="s">
        <v>28</v>
      </c>
      <c r="D2582" s="10" t="str">
        <f t="shared" si="1"/>
        <v>https://resources.simonelectric.com/simon-ebook-vehiculo-electrico</v>
      </c>
      <c r="E2582" s="8" t="str">
        <f t="shared" si="2"/>
        <v>https://resources.simonelectric.com/simon-ebook-vehiculo-electrico</v>
      </c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</row>
    <row r="2583" ht="15.75" customHeight="1">
      <c r="A2583" s="5" t="s">
        <v>3830</v>
      </c>
      <c r="B2583" s="5">
        <v>43944.0</v>
      </c>
      <c r="C2583" s="6" t="s">
        <v>28</v>
      </c>
      <c r="D2583" s="10" t="str">
        <f t="shared" si="1"/>
        <v>https://resources.simonelectric.com/simon-ebook-vehiculo-electrico</v>
      </c>
      <c r="E2583" s="8" t="str">
        <f t="shared" si="2"/>
        <v>https://resources.simonelectric.com/simon-ebook-vehiculo-electrico</v>
      </c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</row>
    <row r="2584" ht="15.75" customHeight="1">
      <c r="A2584" s="5" t="s">
        <v>2007</v>
      </c>
      <c r="B2584" s="5">
        <v>43944.0</v>
      </c>
      <c r="C2584" s="6" t="s">
        <v>28</v>
      </c>
      <c r="D2584" s="10" t="str">
        <f t="shared" si="1"/>
        <v>https://resources.simonelectric.com/simon-ebook-vehiculo-electrico</v>
      </c>
      <c r="E2584" s="8" t="str">
        <f t="shared" si="2"/>
        <v>https://resources.simonelectric.com/simon-ebook-vehiculo-electrico</v>
      </c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</row>
    <row r="2585" ht="15.75" customHeight="1">
      <c r="A2585" s="5" t="s">
        <v>3772</v>
      </c>
      <c r="B2585" s="5">
        <v>43944.0</v>
      </c>
      <c r="C2585" s="6" t="s">
        <v>28</v>
      </c>
      <c r="D2585" s="10" t="str">
        <f t="shared" si="1"/>
        <v>https://resources.simonelectric.com/simon-ebook-vehiculo-electrico</v>
      </c>
      <c r="E2585" s="8" t="str">
        <f t="shared" si="2"/>
        <v>https://resources.simonelectric.com/simon-ebook-vehiculo-electrico</v>
      </c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</row>
    <row r="2586" ht="15.75" customHeight="1">
      <c r="A2586" s="5" t="s">
        <v>3831</v>
      </c>
      <c r="B2586" s="5">
        <v>43944.0</v>
      </c>
      <c r="C2586" s="6" t="s">
        <v>28</v>
      </c>
      <c r="D2586" s="10" t="str">
        <f t="shared" si="1"/>
        <v>https://resources.simonelectric.com/simon-ebook-vehiculo-electrico</v>
      </c>
      <c r="E2586" s="8" t="str">
        <f t="shared" si="2"/>
        <v>https://resources.simonelectric.com/simon-ebook-vehiculo-electrico</v>
      </c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</row>
    <row r="2587" ht="15.75" customHeight="1">
      <c r="A2587" s="5" t="s">
        <v>3195</v>
      </c>
      <c r="B2587" s="5">
        <v>43944.0</v>
      </c>
      <c r="C2587" s="6" t="s">
        <v>28</v>
      </c>
      <c r="D2587" s="10" t="str">
        <f t="shared" si="1"/>
        <v>https://resources.simonelectric.com/simon-ebook-vehiculo-electrico</v>
      </c>
      <c r="E2587" s="8" t="str">
        <f t="shared" si="2"/>
        <v>https://resources.simonelectric.com/simon-ebook-vehiculo-electrico</v>
      </c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</row>
    <row r="2588" ht="15.75" customHeight="1">
      <c r="A2588" s="5" t="s">
        <v>3832</v>
      </c>
      <c r="B2588" s="5">
        <v>43944.0</v>
      </c>
      <c r="C2588" s="6" t="s">
        <v>28</v>
      </c>
      <c r="D2588" s="10" t="str">
        <f t="shared" si="1"/>
        <v>https://resources.simonelectric.com/simon-ebook-vehiculo-electrico</v>
      </c>
      <c r="E2588" s="8" t="str">
        <f t="shared" si="2"/>
        <v>https://resources.simonelectric.com/simon-ebook-vehiculo-electrico</v>
      </c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</row>
    <row r="2589" ht="15.75" customHeight="1">
      <c r="A2589" s="5" t="s">
        <v>3798</v>
      </c>
      <c r="B2589" s="5">
        <v>43944.0</v>
      </c>
      <c r="C2589" s="6" t="s">
        <v>28</v>
      </c>
      <c r="D2589" s="10" t="str">
        <f t="shared" si="1"/>
        <v>https://resources.simonelectric.com/simon-ebook-vehiculo-electrico</v>
      </c>
      <c r="E2589" s="8" t="str">
        <f t="shared" si="2"/>
        <v>https://resources.simonelectric.com/simon-ebook-vehiculo-electrico</v>
      </c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</row>
    <row r="2590" ht="15.75" customHeight="1">
      <c r="A2590" s="5" t="s">
        <v>3753</v>
      </c>
      <c r="B2590" s="5">
        <v>43944.0</v>
      </c>
      <c r="C2590" s="6" t="s">
        <v>28</v>
      </c>
      <c r="D2590" s="10" t="str">
        <f t="shared" si="1"/>
        <v>https://resources.simonelectric.com/simon-ebook-vehiculo-electrico</v>
      </c>
      <c r="E2590" s="8" t="str">
        <f t="shared" si="2"/>
        <v>https://resources.simonelectric.com/simon-ebook-vehiculo-electrico</v>
      </c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</row>
    <row r="2591" ht="15.75" customHeight="1">
      <c r="A2591" s="5" t="s">
        <v>732</v>
      </c>
      <c r="B2591" s="5">
        <v>43944.0</v>
      </c>
      <c r="C2591" s="6" t="s">
        <v>28</v>
      </c>
      <c r="D2591" s="10" t="str">
        <f t="shared" si="1"/>
        <v>https://resources.simonelectric.com/simon-ebook-vehiculo-electrico</v>
      </c>
      <c r="E2591" s="8" t="str">
        <f t="shared" si="2"/>
        <v>https://resources.simonelectric.com/simon-ebook-vehiculo-electrico</v>
      </c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</row>
    <row r="2592" ht="15.75" customHeight="1">
      <c r="A2592" s="5" t="s">
        <v>3833</v>
      </c>
      <c r="B2592" s="5">
        <v>43944.0</v>
      </c>
      <c r="C2592" s="6" t="s">
        <v>28</v>
      </c>
      <c r="D2592" s="10" t="str">
        <f t="shared" si="1"/>
        <v>https://resources.simonelectric.com/simon-ebook-vehiculo-electrico</v>
      </c>
      <c r="E2592" s="8" t="str">
        <f t="shared" si="2"/>
        <v>https://resources.simonelectric.com/simon-ebook-vehiculo-electrico</v>
      </c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</row>
    <row r="2593" ht="15.75" customHeight="1">
      <c r="A2593" s="5" t="s">
        <v>3834</v>
      </c>
      <c r="B2593" s="5">
        <v>43944.0</v>
      </c>
      <c r="C2593" s="6" t="s">
        <v>28</v>
      </c>
      <c r="D2593" s="10" t="str">
        <f t="shared" si="1"/>
        <v>https://resources.simonelectric.com/simon-ebook-vehiculo-electrico</v>
      </c>
      <c r="E2593" s="8" t="str">
        <f t="shared" si="2"/>
        <v>https://resources.simonelectric.com/simon-ebook-vehiculo-electrico</v>
      </c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</row>
    <row r="2594" ht="15.75" customHeight="1">
      <c r="A2594" s="5" t="s">
        <v>3818</v>
      </c>
      <c r="B2594" s="5">
        <v>43944.0</v>
      </c>
      <c r="C2594" s="6" t="s">
        <v>28</v>
      </c>
      <c r="D2594" s="10" t="str">
        <f t="shared" si="1"/>
        <v>https://resources.simonelectric.com/simon-ebook-vehiculo-electrico</v>
      </c>
      <c r="E2594" s="8" t="str">
        <f t="shared" si="2"/>
        <v>https://resources.simonelectric.com/simon-ebook-vehiculo-electrico</v>
      </c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</row>
    <row r="2595" ht="15.75" customHeight="1">
      <c r="A2595" s="5" t="s">
        <v>2906</v>
      </c>
      <c r="B2595" s="5">
        <v>43944.0</v>
      </c>
      <c r="C2595" s="6" t="s">
        <v>28</v>
      </c>
      <c r="D2595" s="10" t="str">
        <f t="shared" si="1"/>
        <v>https://resources.simonelectric.com/simon-ebook-vehiculo-electrico</v>
      </c>
      <c r="E2595" s="8" t="str">
        <f t="shared" si="2"/>
        <v>https://resources.simonelectric.com/simon-ebook-vehiculo-electrico</v>
      </c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</row>
    <row r="2596" ht="15.75" customHeight="1">
      <c r="A2596" s="5" t="s">
        <v>3802</v>
      </c>
      <c r="B2596" s="5">
        <v>43944.0</v>
      </c>
      <c r="C2596" s="6" t="s">
        <v>28</v>
      </c>
      <c r="D2596" s="10" t="str">
        <f t="shared" si="1"/>
        <v>https://resources.simonelectric.com/simon-ebook-vehiculo-electrico</v>
      </c>
      <c r="E2596" s="8" t="str">
        <f t="shared" si="2"/>
        <v>https://resources.simonelectric.com/simon-ebook-vehiculo-electrico</v>
      </c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</row>
    <row r="2597" ht="15.75" customHeight="1">
      <c r="A2597" s="5" t="s">
        <v>3824</v>
      </c>
      <c r="B2597" s="5">
        <v>43944.0</v>
      </c>
      <c r="C2597" s="6" t="s">
        <v>28</v>
      </c>
      <c r="D2597" s="10" t="str">
        <f t="shared" si="1"/>
        <v>https://resources.simonelectric.com/simon-ebook-vehiculo-electrico</v>
      </c>
      <c r="E2597" s="8" t="str">
        <f t="shared" si="2"/>
        <v>https://resources.simonelectric.com/simon-ebook-vehiculo-electrico</v>
      </c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</row>
    <row r="2598" ht="15.75" customHeight="1">
      <c r="A2598" s="5" t="s">
        <v>3835</v>
      </c>
      <c r="B2598" s="5">
        <v>43944.0</v>
      </c>
      <c r="C2598" s="6" t="s">
        <v>28</v>
      </c>
      <c r="D2598" s="10" t="str">
        <f t="shared" si="1"/>
        <v>https://resources.simonelectric.com/simon-ebook-vehiculo-electrico</v>
      </c>
      <c r="E2598" s="8" t="str">
        <f t="shared" si="2"/>
        <v>https://resources.simonelectric.com/simon-ebook-vehiculo-electrico</v>
      </c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</row>
    <row r="2599" ht="15.75" customHeight="1">
      <c r="A2599" s="5" t="s">
        <v>3836</v>
      </c>
      <c r="B2599" s="5">
        <v>43944.0</v>
      </c>
      <c r="C2599" s="6" t="s">
        <v>28</v>
      </c>
      <c r="D2599" s="10" t="str">
        <f t="shared" si="1"/>
        <v>https://resources.simonelectric.com/simon-ebook-vehiculo-electrico</v>
      </c>
      <c r="E2599" s="8" t="str">
        <f t="shared" si="2"/>
        <v>https://resources.simonelectric.com/simon-ebook-vehiculo-electrico</v>
      </c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</row>
    <row r="2600" ht="15.75" customHeight="1">
      <c r="A2600" s="5" t="s">
        <v>3758</v>
      </c>
      <c r="B2600" s="5">
        <v>43944.0</v>
      </c>
      <c r="C2600" s="6" t="s">
        <v>28</v>
      </c>
      <c r="D2600" s="10" t="str">
        <f t="shared" si="1"/>
        <v>https://resources.simonelectric.com/simon-ebook-vehiculo-electrico</v>
      </c>
      <c r="E2600" s="8" t="str">
        <f t="shared" si="2"/>
        <v>https://resources.simonelectric.com/simon-ebook-vehiculo-electrico</v>
      </c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</row>
    <row r="2601" ht="15.75" customHeight="1">
      <c r="A2601" s="5" t="s">
        <v>3837</v>
      </c>
      <c r="B2601" s="5">
        <v>43944.0</v>
      </c>
      <c r="C2601" s="6" t="s">
        <v>28</v>
      </c>
      <c r="D2601" s="10" t="str">
        <f t="shared" si="1"/>
        <v>https://resources.simonelectric.com/simon-ebook-vehiculo-electrico</v>
      </c>
      <c r="E2601" s="8" t="str">
        <f t="shared" si="2"/>
        <v>https://resources.simonelectric.com/simon-ebook-vehiculo-electrico</v>
      </c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</row>
    <row r="2602" ht="15.75" customHeight="1">
      <c r="A2602" s="5" t="s">
        <v>3810</v>
      </c>
      <c r="B2602" s="5">
        <v>43944.0</v>
      </c>
      <c r="C2602" s="6" t="s">
        <v>28</v>
      </c>
      <c r="D2602" s="10" t="str">
        <f t="shared" si="1"/>
        <v>https://resources.simonelectric.com/simon-ebook-vehiculo-electrico</v>
      </c>
      <c r="E2602" s="8" t="str">
        <f t="shared" si="2"/>
        <v>https://resources.simonelectric.com/simon-ebook-vehiculo-electrico</v>
      </c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</row>
    <row r="2603" ht="15.75" customHeight="1">
      <c r="A2603" s="5" t="s">
        <v>3774</v>
      </c>
      <c r="B2603" s="5">
        <v>43944.0</v>
      </c>
      <c r="C2603" s="6" t="s">
        <v>28</v>
      </c>
      <c r="D2603" s="10" t="str">
        <f t="shared" si="1"/>
        <v>https://resources.simonelectric.com/simon-ebook-vehiculo-electrico</v>
      </c>
      <c r="E2603" s="8" t="str">
        <f t="shared" si="2"/>
        <v>https://resources.simonelectric.com/simon-ebook-vehiculo-electrico</v>
      </c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</row>
    <row r="2604" ht="15.75" customHeight="1">
      <c r="A2604" s="5" t="s">
        <v>3754</v>
      </c>
      <c r="B2604" s="5">
        <v>43944.0</v>
      </c>
      <c r="C2604" s="6" t="s">
        <v>28</v>
      </c>
      <c r="D2604" s="10" t="str">
        <f t="shared" si="1"/>
        <v>https://resources.simonelectric.com/simon-ebook-vehiculo-electrico</v>
      </c>
      <c r="E2604" s="8" t="str">
        <f t="shared" si="2"/>
        <v>https://resources.simonelectric.com/simon-ebook-vehiculo-electrico</v>
      </c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</row>
    <row r="2605" ht="15.75" customHeight="1">
      <c r="A2605" s="5" t="s">
        <v>3838</v>
      </c>
      <c r="B2605" s="5">
        <v>43944.0</v>
      </c>
      <c r="C2605" s="6" t="s">
        <v>28</v>
      </c>
      <c r="D2605" s="10" t="str">
        <f t="shared" si="1"/>
        <v>https://resources.simonelectric.com/simon-ebook-vehiculo-electrico</v>
      </c>
      <c r="E2605" s="8" t="str">
        <f t="shared" si="2"/>
        <v>https://resources.simonelectric.com/simon-ebook-vehiculo-electrico</v>
      </c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</row>
    <row r="2606" ht="15.75" customHeight="1">
      <c r="A2606" s="5" t="s">
        <v>3839</v>
      </c>
      <c r="B2606" s="5">
        <v>43944.0</v>
      </c>
      <c r="C2606" s="6" t="s">
        <v>28</v>
      </c>
      <c r="D2606" s="10" t="str">
        <f t="shared" si="1"/>
        <v>https://resources.simonelectric.com/simon-ebook-vehiculo-electrico</v>
      </c>
      <c r="E2606" s="8" t="str">
        <f t="shared" si="2"/>
        <v>https://resources.simonelectric.com/simon-ebook-vehiculo-electrico</v>
      </c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</row>
    <row r="2607" ht="15.75" customHeight="1">
      <c r="A2607" s="5" t="s">
        <v>3766</v>
      </c>
      <c r="B2607" s="5">
        <v>43944.0</v>
      </c>
      <c r="C2607" s="6" t="s">
        <v>28</v>
      </c>
      <c r="D2607" s="10" t="str">
        <f t="shared" si="1"/>
        <v>https://resources.simonelectric.com/simon-ebook-vehiculo-electrico</v>
      </c>
      <c r="E2607" s="8" t="str">
        <f t="shared" si="2"/>
        <v>https://resources.simonelectric.com/simon-ebook-vehiculo-electrico</v>
      </c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</row>
    <row r="2608" ht="15.75" customHeight="1">
      <c r="A2608" s="5" t="s">
        <v>3840</v>
      </c>
      <c r="B2608" s="5">
        <v>43944.0</v>
      </c>
      <c r="C2608" s="6" t="s">
        <v>3841</v>
      </c>
      <c r="D2608" s="11">
        <f t="shared" si="1"/>
        <v>71</v>
      </c>
      <c r="E2608" s="8" t="str">
        <f t="shared" si="2"/>
        <v>https://resources.simonelectric.com/simon-ebook-vehiculo-electrico-ppc</v>
      </c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</row>
    <row r="2609" ht="15.75" customHeight="1">
      <c r="A2609" s="5" t="s">
        <v>3842</v>
      </c>
      <c r="B2609" s="5">
        <v>43944.0</v>
      </c>
      <c r="C2609" s="6" t="s">
        <v>55</v>
      </c>
      <c r="D2609" s="11">
        <f t="shared" si="1"/>
        <v>71</v>
      </c>
      <c r="E2609" s="8" t="str">
        <f t="shared" si="2"/>
        <v>https://resources.simonelectric.com/simon-ebook-vehiculo-electrico-ppc</v>
      </c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</row>
    <row r="2610" ht="15.75" customHeight="1">
      <c r="A2610" s="5" t="s">
        <v>3843</v>
      </c>
      <c r="B2610" s="5">
        <v>43944.0</v>
      </c>
      <c r="C2610" s="6" t="s">
        <v>8</v>
      </c>
      <c r="D2610" s="11">
        <f t="shared" si="1"/>
        <v>67</v>
      </c>
      <c r="E2610" s="8" t="str">
        <f t="shared" si="2"/>
        <v>https://resources.simonelectric.com/simon-ebook-vehiculo-electrico</v>
      </c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</row>
    <row r="2611" ht="15.75" customHeight="1">
      <c r="A2611" s="5" t="s">
        <v>2938</v>
      </c>
      <c r="B2611" s="5">
        <v>43944.0</v>
      </c>
      <c r="C2611" s="6" t="s">
        <v>3844</v>
      </c>
      <c r="D2611" s="11">
        <f t="shared" si="1"/>
        <v>67</v>
      </c>
      <c r="E2611" s="8" t="str">
        <f t="shared" si="2"/>
        <v>https://resources.simonelectric.com/simon-ebook-vehiculo-electrico</v>
      </c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</row>
    <row r="2612" ht="15.75" customHeight="1">
      <c r="A2612" s="5" t="s">
        <v>3761</v>
      </c>
      <c r="B2612" s="5">
        <v>43944.0</v>
      </c>
      <c r="C2612" s="6" t="s">
        <v>299</v>
      </c>
      <c r="D2612" s="10" t="str">
        <f t="shared" si="1"/>
        <v>https://resources.simonelectric.com/simon-material-formativo-vehiculo-electrico</v>
      </c>
      <c r="E2612" s="8" t="str">
        <f t="shared" si="2"/>
        <v>https://resources.simonelectric.com/simon-material-formativo-vehiculo-electrico</v>
      </c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</row>
    <row r="2613" ht="15.75" customHeight="1">
      <c r="A2613" s="5" t="s">
        <v>3845</v>
      </c>
      <c r="B2613" s="5">
        <v>43944.0</v>
      </c>
      <c r="C2613" s="6" t="s">
        <v>55</v>
      </c>
      <c r="D2613" s="10">
        <f t="shared" si="1"/>
        <v>71</v>
      </c>
      <c r="E2613" s="8" t="str">
        <f t="shared" si="2"/>
        <v>https://resources.simonelectric.com/simon-ebook-vehiculo-electrico-ppc</v>
      </c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</row>
    <row r="2614" ht="15.75" customHeight="1">
      <c r="A2614" s="5" t="s">
        <v>3761</v>
      </c>
      <c r="B2614" s="5">
        <v>43944.0</v>
      </c>
      <c r="C2614" s="6" t="s">
        <v>3846</v>
      </c>
      <c r="D2614" s="11">
        <f t="shared" si="1"/>
        <v>67</v>
      </c>
      <c r="E2614" s="8" t="str">
        <f t="shared" si="2"/>
        <v>https://resources.simonelectric.com/simon-ebook-vehiculo-electrico</v>
      </c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</row>
    <row r="2615" ht="15.75" customHeight="1">
      <c r="A2615" s="5" t="s">
        <v>3847</v>
      </c>
      <c r="B2615" s="5">
        <v>43944.0</v>
      </c>
      <c r="C2615" s="6" t="s">
        <v>55</v>
      </c>
      <c r="D2615" s="11">
        <f t="shared" si="1"/>
        <v>71</v>
      </c>
      <c r="E2615" s="8" t="str">
        <f t="shared" si="2"/>
        <v>https://resources.simonelectric.com/simon-ebook-vehiculo-electrico-ppc</v>
      </c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</row>
    <row r="2616" ht="15.75" customHeight="1">
      <c r="A2616" s="5" t="s">
        <v>3848</v>
      </c>
      <c r="B2616" s="5">
        <v>43943.0</v>
      </c>
      <c r="C2616" s="6" t="s">
        <v>8</v>
      </c>
      <c r="D2616" s="11">
        <f t="shared" si="1"/>
        <v>67</v>
      </c>
      <c r="E2616" s="8" t="str">
        <f t="shared" si="2"/>
        <v>https://resources.simonelectric.com/simon-ebook-vehiculo-electrico</v>
      </c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</row>
    <row r="2617" ht="15.75" customHeight="1">
      <c r="A2617" s="5" t="s">
        <v>3849</v>
      </c>
      <c r="B2617" s="5">
        <v>43943.0</v>
      </c>
      <c r="C2617" s="6" t="s">
        <v>75</v>
      </c>
      <c r="D2617" s="11">
        <f t="shared" si="1"/>
        <v>67</v>
      </c>
      <c r="E2617" s="8" t="str">
        <f t="shared" si="2"/>
        <v>https://resources.simonelectric.com/simon-ebook-vehiculo-electrico</v>
      </c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</row>
    <row r="2618" ht="15.75" customHeight="1">
      <c r="A2618" s="5" t="s">
        <v>3850</v>
      </c>
      <c r="B2618" s="5">
        <v>43943.0</v>
      </c>
      <c r="C2618" s="6" t="s">
        <v>3851</v>
      </c>
      <c r="D2618" s="11">
        <f t="shared" si="1"/>
        <v>71</v>
      </c>
      <c r="E2618" s="8" t="str">
        <f t="shared" si="2"/>
        <v>https://resources.simonelectric.com/simon-ebook-vehiculo-electrico-ppc</v>
      </c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</row>
    <row r="2619" ht="15.75" customHeight="1">
      <c r="A2619" s="5" t="s">
        <v>2614</v>
      </c>
      <c r="B2619" s="5">
        <v>43943.0</v>
      </c>
      <c r="C2619" s="6" t="s">
        <v>3852</v>
      </c>
      <c r="D2619" s="11">
        <f t="shared" si="1"/>
        <v>70</v>
      </c>
      <c r="E2619" s="8" t="str">
        <f t="shared" si="2"/>
        <v>https://resources.simonelectric.com/simon-catalogo-vehiculo-electrico</v>
      </c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</row>
    <row r="2620" ht="15.75" customHeight="1">
      <c r="A2620" s="5" t="s">
        <v>2614</v>
      </c>
      <c r="B2620" s="5">
        <v>43943.0</v>
      </c>
      <c r="C2620" s="6" t="s">
        <v>28</v>
      </c>
      <c r="D2620" s="10" t="str">
        <f t="shared" si="1"/>
        <v>https://resources.simonelectric.com/simon-ebook-vehiculo-electrico</v>
      </c>
      <c r="E2620" s="8" t="str">
        <f t="shared" si="2"/>
        <v>https://resources.simonelectric.com/simon-ebook-vehiculo-electrico</v>
      </c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</row>
    <row r="2621" ht="15.75" customHeight="1">
      <c r="A2621" s="5" t="s">
        <v>2889</v>
      </c>
      <c r="B2621" s="5">
        <v>43943.0</v>
      </c>
      <c r="C2621" s="6" t="s">
        <v>55</v>
      </c>
      <c r="D2621" s="11">
        <f t="shared" si="1"/>
        <v>71</v>
      </c>
      <c r="E2621" s="8" t="str">
        <f t="shared" si="2"/>
        <v>https://resources.simonelectric.com/simon-ebook-vehiculo-electrico-ppc</v>
      </c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</row>
    <row r="2622" ht="15.75" customHeight="1">
      <c r="A2622" s="5" t="s">
        <v>3761</v>
      </c>
      <c r="B2622" s="5">
        <v>43943.0</v>
      </c>
      <c r="C2622" s="6" t="s">
        <v>28</v>
      </c>
      <c r="D2622" s="10" t="str">
        <f t="shared" si="1"/>
        <v>https://resources.simonelectric.com/simon-ebook-vehiculo-electrico</v>
      </c>
      <c r="E2622" s="8" t="str">
        <f t="shared" si="2"/>
        <v>https://resources.simonelectric.com/simon-ebook-vehiculo-electrico</v>
      </c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</row>
    <row r="2623" ht="15.75" customHeight="1">
      <c r="A2623" s="5" t="s">
        <v>2212</v>
      </c>
      <c r="B2623" s="5">
        <v>43943.0</v>
      </c>
      <c r="C2623" s="6" t="s">
        <v>3853</v>
      </c>
      <c r="D2623" s="11">
        <f t="shared" si="1"/>
        <v>70</v>
      </c>
      <c r="E2623" s="8" t="str">
        <f t="shared" si="2"/>
        <v>https://resources.simonelectric.com/simon-catalogo-vehiculo-electrico</v>
      </c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</row>
    <row r="2624" ht="15.75" customHeight="1">
      <c r="A2624" s="5" t="s">
        <v>2212</v>
      </c>
      <c r="B2624" s="5">
        <v>43943.0</v>
      </c>
      <c r="C2624" s="6" t="s">
        <v>28</v>
      </c>
      <c r="D2624" s="10" t="str">
        <f t="shared" si="1"/>
        <v>https://resources.simonelectric.com/simon-ebook-vehiculo-electrico</v>
      </c>
      <c r="E2624" s="8" t="str">
        <f t="shared" si="2"/>
        <v>https://resources.simonelectric.com/simon-ebook-vehiculo-electrico</v>
      </c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</row>
    <row r="2625" ht="15.75" customHeight="1">
      <c r="A2625" s="5" t="s">
        <v>3854</v>
      </c>
      <c r="B2625" s="5">
        <v>43943.0</v>
      </c>
      <c r="C2625" s="6" t="s">
        <v>55</v>
      </c>
      <c r="D2625" s="11">
        <f t="shared" si="1"/>
        <v>71</v>
      </c>
      <c r="E2625" s="8" t="str">
        <f t="shared" si="2"/>
        <v>https://resources.simonelectric.com/simon-ebook-vehiculo-electrico-ppc</v>
      </c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</row>
    <row r="2626" ht="15.75" customHeight="1">
      <c r="A2626" s="5" t="s">
        <v>3855</v>
      </c>
      <c r="B2626" s="5">
        <v>43942.0</v>
      </c>
      <c r="C2626" s="6" t="s">
        <v>55</v>
      </c>
      <c r="D2626" s="11">
        <f t="shared" si="1"/>
        <v>71</v>
      </c>
      <c r="E2626" s="8" t="str">
        <f t="shared" si="2"/>
        <v>https://resources.simonelectric.com/simon-ebook-vehiculo-electrico-ppc</v>
      </c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</row>
    <row r="2627" ht="15.75" customHeight="1">
      <c r="A2627" s="5" t="s">
        <v>3856</v>
      </c>
      <c r="B2627" s="5">
        <v>43942.0</v>
      </c>
      <c r="C2627" s="6" t="s">
        <v>3857</v>
      </c>
      <c r="D2627" s="11">
        <f t="shared" si="1"/>
        <v>67</v>
      </c>
      <c r="E2627" s="8" t="str">
        <f t="shared" si="2"/>
        <v>https://resources.simonelectric.com/simon-ebook-vehiculo-electrico</v>
      </c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</row>
    <row r="2628" ht="15.75" customHeight="1">
      <c r="A2628" s="5" t="s">
        <v>3766</v>
      </c>
      <c r="B2628" s="5">
        <v>43942.0</v>
      </c>
      <c r="C2628" s="6" t="s">
        <v>299</v>
      </c>
      <c r="D2628" s="10" t="str">
        <f t="shared" si="1"/>
        <v>https://resources.simonelectric.com/simon-material-formativo-vehiculo-electrico</v>
      </c>
      <c r="E2628" s="8" t="str">
        <f t="shared" si="2"/>
        <v>https://resources.simonelectric.com/simon-material-formativo-vehiculo-electrico</v>
      </c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</row>
    <row r="2629" ht="15.75" customHeight="1">
      <c r="A2629" s="5" t="s">
        <v>3766</v>
      </c>
      <c r="B2629" s="5">
        <v>43942.0</v>
      </c>
      <c r="C2629" s="6" t="s">
        <v>299</v>
      </c>
      <c r="D2629" s="10" t="str">
        <f t="shared" si="1"/>
        <v>https://resources.simonelectric.com/simon-material-formativo-vehiculo-electrico</v>
      </c>
      <c r="E2629" s="8" t="str">
        <f t="shared" si="2"/>
        <v>https://resources.simonelectric.com/simon-material-formativo-vehiculo-electrico</v>
      </c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</row>
    <row r="2630" ht="15.75" customHeight="1">
      <c r="A2630" s="5" t="s">
        <v>3858</v>
      </c>
      <c r="B2630" s="5">
        <v>43942.0</v>
      </c>
      <c r="C2630" s="6" t="s">
        <v>55</v>
      </c>
      <c r="D2630" s="11">
        <f t="shared" si="1"/>
        <v>71</v>
      </c>
      <c r="E2630" s="8" t="str">
        <f t="shared" si="2"/>
        <v>https://resources.simonelectric.com/simon-ebook-vehiculo-electrico-ppc</v>
      </c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</row>
    <row r="2631" ht="15.75" customHeight="1">
      <c r="A2631" s="5" t="s">
        <v>3859</v>
      </c>
      <c r="B2631" s="5">
        <v>43942.0</v>
      </c>
      <c r="C2631" s="6" t="s">
        <v>3860</v>
      </c>
      <c r="D2631" s="11">
        <f t="shared" si="1"/>
        <v>67</v>
      </c>
      <c r="E2631" s="8" t="str">
        <f t="shared" si="2"/>
        <v>https://resources.simonelectric.com/simon-ebook-vehiculo-electrico</v>
      </c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</row>
    <row r="2632" ht="15.75" customHeight="1">
      <c r="A2632" s="5" t="s">
        <v>3861</v>
      </c>
      <c r="B2632" s="5">
        <v>43942.0</v>
      </c>
      <c r="C2632" s="6" t="s">
        <v>55</v>
      </c>
      <c r="D2632" s="11">
        <f t="shared" si="1"/>
        <v>71</v>
      </c>
      <c r="E2632" s="8" t="str">
        <f t="shared" si="2"/>
        <v>https://resources.simonelectric.com/simon-ebook-vehiculo-electrico-ppc</v>
      </c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</row>
    <row r="2633" ht="15.75" customHeight="1">
      <c r="A2633" s="5" t="s">
        <v>3862</v>
      </c>
      <c r="B2633" s="5">
        <v>43942.0</v>
      </c>
      <c r="C2633" s="6" t="s">
        <v>55</v>
      </c>
      <c r="D2633" s="10">
        <f t="shared" si="1"/>
        <v>71</v>
      </c>
      <c r="E2633" s="8" t="str">
        <f t="shared" si="2"/>
        <v>https://resources.simonelectric.com/simon-ebook-vehiculo-electrico-ppc</v>
      </c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</row>
    <row r="2634" ht="15.75" customHeight="1">
      <c r="A2634" s="5" t="s">
        <v>2245</v>
      </c>
      <c r="B2634" s="5">
        <v>43942.0</v>
      </c>
      <c r="C2634" s="6" t="s">
        <v>689</v>
      </c>
      <c r="D2634" s="10">
        <f t="shared" si="1"/>
        <v>67</v>
      </c>
      <c r="E2634" s="8" t="str">
        <f t="shared" si="2"/>
        <v>https://resources.simonelectric.com/simon-ebook-vehiculo-electrico</v>
      </c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</row>
    <row r="2635" ht="15.75" customHeight="1">
      <c r="A2635" s="5" t="s">
        <v>2245</v>
      </c>
      <c r="B2635" s="5">
        <v>43942.0</v>
      </c>
      <c r="C2635" s="6" t="s">
        <v>689</v>
      </c>
      <c r="D2635" s="11">
        <f t="shared" si="1"/>
        <v>67</v>
      </c>
      <c r="E2635" s="8" t="str">
        <f t="shared" si="2"/>
        <v>https://resources.simonelectric.com/simon-ebook-vehiculo-electrico</v>
      </c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</row>
    <row r="2636" ht="15.75" customHeight="1">
      <c r="A2636" s="5" t="s">
        <v>3863</v>
      </c>
      <c r="B2636" s="5">
        <v>43942.0</v>
      </c>
      <c r="C2636" s="6" t="s">
        <v>8</v>
      </c>
      <c r="D2636" s="11">
        <f t="shared" si="1"/>
        <v>67</v>
      </c>
      <c r="E2636" s="8" t="str">
        <f t="shared" si="2"/>
        <v>https://resources.simonelectric.com/simon-ebook-vehiculo-electrico</v>
      </c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</row>
    <row r="2637" ht="15.75" customHeight="1">
      <c r="A2637" s="5" t="s">
        <v>2590</v>
      </c>
      <c r="B2637" s="5">
        <v>43942.0</v>
      </c>
      <c r="C2637" s="6" t="s">
        <v>689</v>
      </c>
      <c r="D2637" s="11">
        <f t="shared" si="1"/>
        <v>67</v>
      </c>
      <c r="E2637" s="8" t="str">
        <f t="shared" si="2"/>
        <v>https://resources.simonelectric.com/simon-ebook-vehiculo-electrico</v>
      </c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</row>
    <row r="2638" ht="15.75" customHeight="1">
      <c r="A2638" s="5" t="s">
        <v>818</v>
      </c>
      <c r="B2638" s="5">
        <v>43942.0</v>
      </c>
      <c r="C2638" s="6" t="s">
        <v>3864</v>
      </c>
      <c r="D2638" s="11">
        <f t="shared" si="1"/>
        <v>71</v>
      </c>
      <c r="E2638" s="8" t="str">
        <f t="shared" si="2"/>
        <v>https://resources.simonelectric.com/simon-ebook-vehiculo-electrico-ppc</v>
      </c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</row>
    <row r="2639" ht="15.75" customHeight="1">
      <c r="A2639" s="5" t="s">
        <v>3865</v>
      </c>
      <c r="B2639" s="5">
        <v>43942.0</v>
      </c>
      <c r="C2639" s="6" t="s">
        <v>3866</v>
      </c>
      <c r="D2639" s="11">
        <f t="shared" si="1"/>
        <v>69</v>
      </c>
      <c r="E2639" s="8" t="str">
        <f t="shared" si="2"/>
        <v>https://resources.simonelectric.com/simon-ebook-vehiculo-electrico-0</v>
      </c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</row>
    <row r="2640" ht="15.75" customHeight="1">
      <c r="A2640" s="5" t="s">
        <v>3867</v>
      </c>
      <c r="B2640" s="5">
        <v>43941.0</v>
      </c>
      <c r="C2640" s="6" t="s">
        <v>75</v>
      </c>
      <c r="D2640" s="11">
        <f t="shared" si="1"/>
        <v>67</v>
      </c>
      <c r="E2640" s="8" t="str">
        <f t="shared" si="2"/>
        <v>https://resources.simonelectric.com/simon-ebook-vehiculo-electrico</v>
      </c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</row>
    <row r="2641" ht="15.75" customHeight="1">
      <c r="A2641" s="5" t="s">
        <v>3868</v>
      </c>
      <c r="B2641" s="5">
        <v>43941.0</v>
      </c>
      <c r="C2641" s="6" t="s">
        <v>31</v>
      </c>
      <c r="D2641" s="11">
        <f t="shared" si="1"/>
        <v>67</v>
      </c>
      <c r="E2641" s="8" t="str">
        <f t="shared" si="2"/>
        <v>https://resources.simonelectric.com/simon-ebook-vehiculo-electrico</v>
      </c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</row>
    <row r="2642" ht="15.75" customHeight="1">
      <c r="A2642" s="5" t="s">
        <v>3869</v>
      </c>
      <c r="B2642" s="5">
        <v>43941.0</v>
      </c>
      <c r="C2642" s="6" t="s">
        <v>55</v>
      </c>
      <c r="D2642" s="11">
        <f t="shared" si="1"/>
        <v>71</v>
      </c>
      <c r="E2642" s="8" t="str">
        <f t="shared" si="2"/>
        <v>https://resources.simonelectric.com/simon-ebook-vehiculo-electrico-ppc</v>
      </c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</row>
    <row r="2643" ht="15.75" customHeight="1">
      <c r="A2643" s="5" t="s">
        <v>3870</v>
      </c>
      <c r="B2643" s="5">
        <v>43941.0</v>
      </c>
      <c r="C2643" s="6" t="s">
        <v>8</v>
      </c>
      <c r="D2643" s="11">
        <f t="shared" si="1"/>
        <v>67</v>
      </c>
      <c r="E2643" s="8" t="str">
        <f t="shared" si="2"/>
        <v>https://resources.simonelectric.com/simon-ebook-vehiculo-electrico</v>
      </c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</row>
    <row r="2644" ht="15.75" customHeight="1">
      <c r="A2644" s="5" t="s">
        <v>2685</v>
      </c>
      <c r="B2644" s="5">
        <v>43941.0</v>
      </c>
      <c r="C2644" s="6" t="s">
        <v>28</v>
      </c>
      <c r="D2644" s="10" t="str">
        <f t="shared" si="1"/>
        <v>https://resources.simonelectric.com/simon-ebook-vehiculo-electrico</v>
      </c>
      <c r="E2644" s="8" t="str">
        <f t="shared" si="2"/>
        <v>https://resources.simonelectric.com/simon-ebook-vehiculo-electrico</v>
      </c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</row>
    <row r="2645" ht="15.75" customHeight="1">
      <c r="A2645" s="5" t="s">
        <v>2685</v>
      </c>
      <c r="B2645" s="5">
        <v>43941.0</v>
      </c>
      <c r="C2645" s="6" t="s">
        <v>3871</v>
      </c>
      <c r="D2645" s="11">
        <f t="shared" si="1"/>
        <v>70</v>
      </c>
      <c r="E2645" s="8" t="str">
        <f t="shared" si="2"/>
        <v>https://resources.simonelectric.com/simon-catalogo-vehiculo-electrico</v>
      </c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</row>
    <row r="2646" ht="15.75" customHeight="1">
      <c r="A2646" s="5" t="s">
        <v>2358</v>
      </c>
      <c r="B2646" s="5">
        <v>43941.0</v>
      </c>
      <c r="C2646" s="6" t="s">
        <v>8</v>
      </c>
      <c r="D2646" s="11">
        <f t="shared" si="1"/>
        <v>67</v>
      </c>
      <c r="E2646" s="8" t="str">
        <f t="shared" si="2"/>
        <v>https://resources.simonelectric.com/simon-ebook-vehiculo-electrico</v>
      </c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</row>
    <row r="2647" ht="15.75" customHeight="1">
      <c r="A2647" s="5" t="s">
        <v>3872</v>
      </c>
      <c r="B2647" s="5">
        <v>43941.0</v>
      </c>
      <c r="C2647" s="6" t="s">
        <v>3873</v>
      </c>
      <c r="D2647" s="11">
        <f t="shared" si="1"/>
        <v>67</v>
      </c>
      <c r="E2647" s="8" t="str">
        <f t="shared" si="2"/>
        <v>https://resources.simonelectric.com/simon-ebook-vehiculo-electrico</v>
      </c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</row>
    <row r="2648" ht="15.75" customHeight="1">
      <c r="A2648" s="5" t="s">
        <v>3874</v>
      </c>
      <c r="B2648" s="5">
        <v>43941.0</v>
      </c>
      <c r="C2648" s="6" t="s">
        <v>3875</v>
      </c>
      <c r="D2648" s="11">
        <f t="shared" si="1"/>
        <v>67</v>
      </c>
      <c r="E2648" s="8" t="str">
        <f t="shared" si="2"/>
        <v>https://resources.simonelectric.com/simon-ebook-vehiculo-electrico</v>
      </c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</row>
    <row r="2649" ht="15.75" customHeight="1">
      <c r="A2649" s="5" t="s">
        <v>3876</v>
      </c>
      <c r="B2649" s="5">
        <v>43941.0</v>
      </c>
      <c r="C2649" s="6" t="s">
        <v>55</v>
      </c>
      <c r="D2649" s="11">
        <f t="shared" si="1"/>
        <v>71</v>
      </c>
      <c r="E2649" s="8" t="str">
        <f t="shared" si="2"/>
        <v>https://resources.simonelectric.com/simon-ebook-vehiculo-electrico-ppc</v>
      </c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</row>
    <row r="2650" ht="15.75" customHeight="1">
      <c r="A2650" s="5" t="s">
        <v>3877</v>
      </c>
      <c r="B2650" s="5">
        <v>43941.0</v>
      </c>
      <c r="C2650" s="6" t="s">
        <v>10</v>
      </c>
      <c r="D2650" s="10" t="str">
        <f t="shared" si="1"/>
        <v>https://resources.simonelectric.com/simon-catalogo-vehiculo-electrico</v>
      </c>
      <c r="E2650" s="8" t="str">
        <f t="shared" si="2"/>
        <v>https://resources.simonelectric.com/simon-catalogo-vehiculo-electrico</v>
      </c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</row>
    <row r="2651" ht="15.75" customHeight="1">
      <c r="A2651" s="5" t="s">
        <v>3585</v>
      </c>
      <c r="B2651" s="5">
        <v>43941.0</v>
      </c>
      <c r="C2651" s="6" t="s">
        <v>3878</v>
      </c>
      <c r="D2651" s="11">
        <f t="shared" si="1"/>
        <v>67</v>
      </c>
      <c r="E2651" s="8" t="str">
        <f t="shared" si="2"/>
        <v>https://resources.simonelectric.com/simon-ebook-vehiculo-electrico</v>
      </c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</row>
    <row r="2652" ht="15.75" customHeight="1">
      <c r="A2652" s="5" t="s">
        <v>543</v>
      </c>
      <c r="B2652" s="5">
        <v>43941.0</v>
      </c>
      <c r="C2652" s="6" t="s">
        <v>3879</v>
      </c>
      <c r="D2652" s="11">
        <f t="shared" si="1"/>
        <v>67</v>
      </c>
      <c r="E2652" s="8" t="str">
        <f t="shared" si="2"/>
        <v>https://resources.simonelectric.com/simon-ebook-vehiculo-electrico</v>
      </c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</row>
    <row r="2653" ht="15.75" customHeight="1">
      <c r="A2653" s="5" t="s">
        <v>1993</v>
      </c>
      <c r="B2653" s="5">
        <v>43941.0</v>
      </c>
      <c r="C2653" s="6" t="s">
        <v>75</v>
      </c>
      <c r="D2653" s="11">
        <f t="shared" si="1"/>
        <v>67</v>
      </c>
      <c r="E2653" s="8" t="str">
        <f t="shared" si="2"/>
        <v>https://resources.simonelectric.com/simon-ebook-vehiculo-electrico</v>
      </c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</row>
    <row r="2654" ht="15.75" customHeight="1">
      <c r="A2654" s="5" t="s">
        <v>3880</v>
      </c>
      <c r="B2654" s="5">
        <v>43941.0</v>
      </c>
      <c r="C2654" s="6" t="s">
        <v>75</v>
      </c>
      <c r="D2654" s="11">
        <f t="shared" si="1"/>
        <v>67</v>
      </c>
      <c r="E2654" s="8" t="str">
        <f t="shared" si="2"/>
        <v>https://resources.simonelectric.com/simon-ebook-vehiculo-electrico</v>
      </c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</row>
    <row r="2655" ht="15.75" customHeight="1">
      <c r="A2655" s="5" t="s">
        <v>3258</v>
      </c>
      <c r="B2655" s="5">
        <v>43941.0</v>
      </c>
      <c r="C2655" s="6" t="s">
        <v>75</v>
      </c>
      <c r="D2655" s="11">
        <f t="shared" si="1"/>
        <v>67</v>
      </c>
      <c r="E2655" s="8" t="str">
        <f t="shared" si="2"/>
        <v>https://resources.simonelectric.com/simon-ebook-vehiculo-electrico</v>
      </c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</row>
    <row r="2656" ht="15.75" customHeight="1">
      <c r="A2656" s="5" t="s">
        <v>3881</v>
      </c>
      <c r="B2656" s="5">
        <v>43941.0</v>
      </c>
      <c r="C2656" s="6" t="s">
        <v>3882</v>
      </c>
      <c r="D2656" s="11">
        <f t="shared" si="1"/>
        <v>69</v>
      </c>
      <c r="E2656" s="8" t="str">
        <f t="shared" si="2"/>
        <v>https://resources.simonelectric.com/simon-ebook-vehiculo-electrico-0</v>
      </c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</row>
    <row r="2657" ht="15.75" customHeight="1">
      <c r="A2657" s="5" t="s">
        <v>3883</v>
      </c>
      <c r="B2657" s="5">
        <v>43940.0</v>
      </c>
      <c r="C2657" s="6" t="s">
        <v>3884</v>
      </c>
      <c r="D2657" s="11">
        <f t="shared" si="1"/>
        <v>71</v>
      </c>
      <c r="E2657" s="8" t="str">
        <f t="shared" si="2"/>
        <v>https://resources.simonelectric.com/simon-ebook-vehiculo-electrico-ppc</v>
      </c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</row>
    <row r="2658" ht="15.75" customHeight="1">
      <c r="A2658" s="5" t="s">
        <v>3885</v>
      </c>
      <c r="B2658" s="5">
        <v>43940.0</v>
      </c>
      <c r="C2658" s="6" t="s">
        <v>3886</v>
      </c>
      <c r="D2658" s="11">
        <f t="shared" si="1"/>
        <v>67</v>
      </c>
      <c r="E2658" s="8" t="str">
        <f t="shared" si="2"/>
        <v>https://resources.simonelectric.com/simon-ebook-vehiculo-electrico</v>
      </c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</row>
    <row r="2659" ht="15.75" customHeight="1">
      <c r="A2659" s="5" t="s">
        <v>3887</v>
      </c>
      <c r="B2659" s="5">
        <v>43940.0</v>
      </c>
      <c r="C2659" s="6" t="s">
        <v>3888</v>
      </c>
      <c r="D2659" s="11">
        <f t="shared" si="1"/>
        <v>70</v>
      </c>
      <c r="E2659" s="8" t="str">
        <f t="shared" si="2"/>
        <v>https://resources.simonelectric.com/simon-catalogo-vehiculo-electrico</v>
      </c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</row>
    <row r="2660" ht="15.75" customHeight="1">
      <c r="A2660" s="5" t="s">
        <v>3889</v>
      </c>
      <c r="B2660" s="5">
        <v>43940.0</v>
      </c>
      <c r="C2660" s="6" t="s">
        <v>8</v>
      </c>
      <c r="D2660" s="11">
        <f t="shared" si="1"/>
        <v>67</v>
      </c>
      <c r="E2660" s="8" t="str">
        <f t="shared" si="2"/>
        <v>https://resources.simonelectric.com/simon-ebook-vehiculo-electrico</v>
      </c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</row>
    <row r="2661" ht="15.75" customHeight="1">
      <c r="A2661" s="5" t="s">
        <v>3890</v>
      </c>
      <c r="B2661" s="5">
        <v>43940.0</v>
      </c>
      <c r="C2661" s="6" t="s">
        <v>55</v>
      </c>
      <c r="D2661" s="11">
        <f t="shared" si="1"/>
        <v>71</v>
      </c>
      <c r="E2661" s="8" t="str">
        <f t="shared" si="2"/>
        <v>https://resources.simonelectric.com/simon-ebook-vehiculo-electrico-ppc</v>
      </c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</row>
    <row r="2662" ht="15.75" customHeight="1">
      <c r="A2662" s="5" t="s">
        <v>3891</v>
      </c>
      <c r="B2662" s="5">
        <v>43940.0</v>
      </c>
      <c r="C2662" s="6" t="s">
        <v>3892</v>
      </c>
      <c r="D2662" s="11">
        <f t="shared" si="1"/>
        <v>71</v>
      </c>
      <c r="E2662" s="8" t="str">
        <f t="shared" si="2"/>
        <v>https://resources.simonelectric.com/simon-ebook-vehiculo-electrico-ppc</v>
      </c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</row>
    <row r="2663" ht="15.75" customHeight="1">
      <c r="A2663" s="5" t="s">
        <v>3893</v>
      </c>
      <c r="B2663" s="5">
        <v>43940.0</v>
      </c>
      <c r="C2663" s="6" t="s">
        <v>3894</v>
      </c>
      <c r="D2663" s="11">
        <f t="shared" si="1"/>
        <v>71</v>
      </c>
      <c r="E2663" s="8" t="str">
        <f t="shared" si="2"/>
        <v>https://resources.simonelectric.com/simon-ebook-vehiculo-electrico-ppc</v>
      </c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</row>
    <row r="2664" ht="15.75" customHeight="1">
      <c r="A2664" s="5" t="s">
        <v>3895</v>
      </c>
      <c r="B2664" s="5">
        <v>43939.0</v>
      </c>
      <c r="C2664" s="6" t="s">
        <v>55</v>
      </c>
      <c r="D2664" s="11">
        <f t="shared" si="1"/>
        <v>71</v>
      </c>
      <c r="E2664" s="8" t="str">
        <f t="shared" si="2"/>
        <v>https://resources.simonelectric.com/simon-ebook-vehiculo-electrico-ppc</v>
      </c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</row>
    <row r="2665" ht="15.75" customHeight="1">
      <c r="A2665" s="5" t="s">
        <v>1678</v>
      </c>
      <c r="B2665" s="5">
        <v>43939.0</v>
      </c>
      <c r="C2665" s="6" t="s">
        <v>8</v>
      </c>
      <c r="D2665" s="11">
        <f t="shared" si="1"/>
        <v>67</v>
      </c>
      <c r="E2665" s="8" t="str">
        <f t="shared" si="2"/>
        <v>https://resources.simonelectric.com/simon-ebook-vehiculo-electrico</v>
      </c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</row>
    <row r="2666" ht="15.75" customHeight="1">
      <c r="A2666" s="5" t="s">
        <v>3896</v>
      </c>
      <c r="B2666" s="5">
        <v>43939.0</v>
      </c>
      <c r="C2666" s="6" t="s">
        <v>55</v>
      </c>
      <c r="D2666" s="11">
        <f t="shared" si="1"/>
        <v>71</v>
      </c>
      <c r="E2666" s="8" t="str">
        <f t="shared" si="2"/>
        <v>https://resources.simonelectric.com/simon-ebook-vehiculo-electrico-ppc</v>
      </c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</row>
    <row r="2667" ht="15.75" customHeight="1">
      <c r="A2667" s="5" t="s">
        <v>3897</v>
      </c>
      <c r="B2667" s="5">
        <v>43939.0</v>
      </c>
      <c r="C2667" s="6" t="s">
        <v>55</v>
      </c>
      <c r="D2667" s="11">
        <f t="shared" si="1"/>
        <v>71</v>
      </c>
      <c r="E2667" s="8" t="str">
        <f t="shared" si="2"/>
        <v>https://resources.simonelectric.com/simon-ebook-vehiculo-electrico-ppc</v>
      </c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</row>
    <row r="2668" ht="15.75" customHeight="1">
      <c r="A2668" s="5" t="s">
        <v>3898</v>
      </c>
      <c r="B2668" s="5">
        <v>43939.0</v>
      </c>
      <c r="C2668" s="6" t="s">
        <v>55</v>
      </c>
      <c r="D2668" s="11">
        <f t="shared" si="1"/>
        <v>71</v>
      </c>
      <c r="E2668" s="8" t="str">
        <f t="shared" si="2"/>
        <v>https://resources.simonelectric.com/simon-ebook-vehiculo-electrico-ppc</v>
      </c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</row>
    <row r="2669" ht="15.75" customHeight="1">
      <c r="A2669" s="5" t="s">
        <v>3899</v>
      </c>
      <c r="B2669" s="5">
        <v>43938.0</v>
      </c>
      <c r="C2669" s="6" t="s">
        <v>3900</v>
      </c>
      <c r="D2669" s="11">
        <f t="shared" si="1"/>
        <v>67</v>
      </c>
      <c r="E2669" s="8" t="str">
        <f t="shared" si="2"/>
        <v>https://resources.simonelectric.com/simon-ebook-vehiculo-electrico</v>
      </c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</row>
    <row r="2670" ht="15.75" customHeight="1">
      <c r="A2670" s="5" t="s">
        <v>3901</v>
      </c>
      <c r="B2670" s="5">
        <v>43938.0</v>
      </c>
      <c r="C2670" s="6" t="s">
        <v>55</v>
      </c>
      <c r="D2670" s="11">
        <f t="shared" si="1"/>
        <v>71</v>
      </c>
      <c r="E2670" s="8" t="str">
        <f t="shared" si="2"/>
        <v>https://resources.simonelectric.com/simon-ebook-vehiculo-electrico-ppc</v>
      </c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</row>
    <row r="2671" ht="15.75" customHeight="1">
      <c r="A2671" s="5" t="s">
        <v>3902</v>
      </c>
      <c r="B2671" s="5">
        <v>43938.0</v>
      </c>
      <c r="C2671" s="6" t="s">
        <v>3903</v>
      </c>
      <c r="D2671" s="11">
        <f t="shared" si="1"/>
        <v>71</v>
      </c>
      <c r="E2671" s="8" t="str">
        <f t="shared" si="2"/>
        <v>https://resources.simonelectric.com/simon-ebook-vehiculo-electrico-ppc</v>
      </c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</row>
    <row r="2672" ht="15.75" customHeight="1">
      <c r="A2672" s="5" t="s">
        <v>3904</v>
      </c>
      <c r="B2672" s="5">
        <v>43938.0</v>
      </c>
      <c r="C2672" s="6" t="s">
        <v>3905</v>
      </c>
      <c r="D2672" s="11">
        <f t="shared" si="1"/>
        <v>67</v>
      </c>
      <c r="E2672" s="8" t="str">
        <f t="shared" si="2"/>
        <v>https://resources.simonelectric.com/simon-ebook-vehiculo-electrico</v>
      </c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</row>
    <row r="2673" ht="15.75" customHeight="1">
      <c r="A2673" s="5" t="s">
        <v>3906</v>
      </c>
      <c r="B2673" s="5">
        <v>43938.0</v>
      </c>
      <c r="C2673" s="6" t="s">
        <v>3907</v>
      </c>
      <c r="D2673" s="11">
        <f t="shared" si="1"/>
        <v>67</v>
      </c>
      <c r="E2673" s="8" t="str">
        <f t="shared" si="2"/>
        <v>https://resources.simonelectric.com/simon-ebook-vehiculo-electrico</v>
      </c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</row>
    <row r="2674" ht="15.75" customHeight="1">
      <c r="A2674" s="5" t="s">
        <v>1812</v>
      </c>
      <c r="B2674" s="5">
        <v>43938.0</v>
      </c>
      <c r="C2674" s="6" t="s">
        <v>75</v>
      </c>
      <c r="D2674" s="11">
        <f t="shared" si="1"/>
        <v>67</v>
      </c>
      <c r="E2674" s="8" t="str">
        <f t="shared" si="2"/>
        <v>https://resources.simonelectric.com/simon-ebook-vehiculo-electrico</v>
      </c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</row>
    <row r="2675" ht="15.75" customHeight="1">
      <c r="A2675" s="5" t="s">
        <v>3908</v>
      </c>
      <c r="B2675" s="5">
        <v>43938.0</v>
      </c>
      <c r="C2675" s="6" t="s">
        <v>31</v>
      </c>
      <c r="D2675" s="10">
        <f t="shared" si="1"/>
        <v>67</v>
      </c>
      <c r="E2675" s="8" t="str">
        <f t="shared" si="2"/>
        <v>https://resources.simonelectric.com/simon-ebook-vehiculo-electrico</v>
      </c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</row>
    <row r="2676" ht="15.75" customHeight="1">
      <c r="A2676" s="5" t="s">
        <v>3887</v>
      </c>
      <c r="B2676" s="5">
        <v>43938.0</v>
      </c>
      <c r="C2676" s="6" t="s">
        <v>3888</v>
      </c>
      <c r="D2676" s="11">
        <f t="shared" si="1"/>
        <v>70</v>
      </c>
      <c r="E2676" s="8" t="str">
        <f t="shared" si="2"/>
        <v>https://resources.simonelectric.com/simon-catalogo-vehiculo-electrico</v>
      </c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</row>
    <row r="2677" ht="15.75" customHeight="1">
      <c r="A2677" s="5" t="s">
        <v>3904</v>
      </c>
      <c r="B2677" s="5">
        <v>43938.0</v>
      </c>
      <c r="C2677" s="6" t="s">
        <v>3905</v>
      </c>
      <c r="D2677" s="11">
        <f t="shared" si="1"/>
        <v>67</v>
      </c>
      <c r="E2677" s="8" t="str">
        <f t="shared" si="2"/>
        <v>https://resources.simonelectric.com/simon-ebook-vehiculo-electrico</v>
      </c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</row>
    <row r="2678" ht="15.75" customHeight="1">
      <c r="A2678" s="5" t="s">
        <v>3909</v>
      </c>
      <c r="B2678" s="5">
        <v>43938.0</v>
      </c>
      <c r="C2678" s="6" t="s">
        <v>3907</v>
      </c>
      <c r="D2678" s="11">
        <f t="shared" si="1"/>
        <v>67</v>
      </c>
      <c r="E2678" s="8" t="str">
        <f t="shared" si="2"/>
        <v>https://resources.simonelectric.com/simon-ebook-vehiculo-electrico</v>
      </c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</row>
    <row r="2679" ht="15.75" customHeight="1">
      <c r="A2679" s="5" t="s">
        <v>3910</v>
      </c>
      <c r="B2679" s="5">
        <v>43937.0</v>
      </c>
      <c r="C2679" s="6" t="s">
        <v>55</v>
      </c>
      <c r="D2679" s="11">
        <f t="shared" si="1"/>
        <v>71</v>
      </c>
      <c r="E2679" s="8" t="str">
        <f t="shared" si="2"/>
        <v>https://resources.simonelectric.com/simon-ebook-vehiculo-electrico-ppc</v>
      </c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</row>
    <row r="2680" ht="15.75" customHeight="1">
      <c r="A2680" s="5" t="s">
        <v>3911</v>
      </c>
      <c r="B2680" s="5">
        <v>43937.0</v>
      </c>
      <c r="C2680" s="6" t="s">
        <v>689</v>
      </c>
      <c r="D2680" s="11">
        <f t="shared" si="1"/>
        <v>67</v>
      </c>
      <c r="E2680" s="8" t="str">
        <f t="shared" si="2"/>
        <v>https://resources.simonelectric.com/simon-ebook-vehiculo-electrico</v>
      </c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</row>
    <row r="2681" ht="15.75" customHeight="1">
      <c r="A2681" s="5" t="s">
        <v>3912</v>
      </c>
      <c r="B2681" s="5">
        <v>43937.0</v>
      </c>
      <c r="C2681" s="6" t="s">
        <v>689</v>
      </c>
      <c r="D2681" s="11">
        <f t="shared" si="1"/>
        <v>67</v>
      </c>
      <c r="E2681" s="8" t="str">
        <f t="shared" si="2"/>
        <v>https://resources.simonelectric.com/simon-ebook-vehiculo-electrico</v>
      </c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</row>
    <row r="2682" ht="15.75" customHeight="1">
      <c r="A2682" s="5" t="s">
        <v>3913</v>
      </c>
      <c r="B2682" s="5">
        <v>43937.0</v>
      </c>
      <c r="C2682" s="6" t="s">
        <v>8</v>
      </c>
      <c r="D2682" s="11">
        <f t="shared" si="1"/>
        <v>67</v>
      </c>
      <c r="E2682" s="8" t="str">
        <f t="shared" si="2"/>
        <v>https://resources.simonelectric.com/simon-ebook-vehiculo-electrico</v>
      </c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</row>
    <row r="2683" ht="15.75" customHeight="1">
      <c r="A2683" s="5" t="s">
        <v>3914</v>
      </c>
      <c r="B2683" s="5">
        <v>43937.0</v>
      </c>
      <c r="C2683" s="6" t="s">
        <v>6</v>
      </c>
      <c r="D2683" s="11">
        <f t="shared" si="1"/>
        <v>67</v>
      </c>
      <c r="E2683" s="8" t="str">
        <f t="shared" si="2"/>
        <v>https://resources.simonelectric.com/simon-ebook-vehiculo-electrico</v>
      </c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</row>
    <row r="2684" ht="15.75" customHeight="1">
      <c r="A2684" s="5" t="s">
        <v>3915</v>
      </c>
      <c r="B2684" s="5">
        <v>43937.0</v>
      </c>
      <c r="C2684" s="6" t="s">
        <v>689</v>
      </c>
      <c r="D2684" s="11">
        <f t="shared" si="1"/>
        <v>67</v>
      </c>
      <c r="E2684" s="8" t="str">
        <f t="shared" si="2"/>
        <v>https://resources.simonelectric.com/simon-ebook-vehiculo-electrico</v>
      </c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</row>
    <row r="2685" ht="15.75" customHeight="1">
      <c r="A2685" s="5" t="s">
        <v>3916</v>
      </c>
      <c r="B2685" s="5">
        <v>43937.0</v>
      </c>
      <c r="C2685" s="6" t="s">
        <v>28</v>
      </c>
      <c r="D2685" s="10" t="str">
        <f t="shared" si="1"/>
        <v>https://resources.simonelectric.com/simon-ebook-vehiculo-electrico</v>
      </c>
      <c r="E2685" s="8" t="str">
        <f t="shared" si="2"/>
        <v>https://resources.simonelectric.com/simon-ebook-vehiculo-electrico</v>
      </c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</row>
    <row r="2686" ht="15.75" customHeight="1">
      <c r="A2686" s="5" t="s">
        <v>3917</v>
      </c>
      <c r="B2686" s="5">
        <v>43937.0</v>
      </c>
      <c r="C2686" s="6" t="s">
        <v>8</v>
      </c>
      <c r="D2686" s="11">
        <f t="shared" si="1"/>
        <v>67</v>
      </c>
      <c r="E2686" s="8" t="str">
        <f t="shared" si="2"/>
        <v>https://resources.simonelectric.com/simon-ebook-vehiculo-electrico</v>
      </c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</row>
    <row r="2687" ht="15.75" customHeight="1">
      <c r="A2687" s="5" t="s">
        <v>3918</v>
      </c>
      <c r="B2687" s="5">
        <v>43937.0</v>
      </c>
      <c r="C2687" s="6" t="s">
        <v>3919</v>
      </c>
      <c r="D2687" s="11">
        <f t="shared" si="1"/>
        <v>70</v>
      </c>
      <c r="E2687" s="8" t="str">
        <f t="shared" si="2"/>
        <v>https://resources.simonelectric.com/simon-catalogo-vehiculo-electrico</v>
      </c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</row>
    <row r="2688" ht="15.75" customHeight="1">
      <c r="A2688" s="5" t="s">
        <v>3920</v>
      </c>
      <c r="B2688" s="5">
        <v>43937.0</v>
      </c>
      <c r="C2688" s="6" t="s">
        <v>231</v>
      </c>
      <c r="D2688" s="11">
        <f t="shared" si="1"/>
        <v>67</v>
      </c>
      <c r="E2688" s="8" t="str">
        <f t="shared" si="2"/>
        <v>https://resources.simonelectric.com/simon-ebook-vehiculo-electrico</v>
      </c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</row>
    <row r="2689" ht="15.75" customHeight="1">
      <c r="A2689" s="5" t="s">
        <v>1950</v>
      </c>
      <c r="B2689" s="5">
        <v>43937.0</v>
      </c>
      <c r="C2689" s="6" t="s">
        <v>48</v>
      </c>
      <c r="D2689" s="11">
        <f t="shared" si="1"/>
        <v>67</v>
      </c>
      <c r="E2689" s="8" t="str">
        <f t="shared" si="2"/>
        <v>https://resources.simonelectric.com/simon-ebook-vehiculo-electrico</v>
      </c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</row>
    <row r="2690" ht="15.75" customHeight="1">
      <c r="A2690" s="5" t="s">
        <v>3921</v>
      </c>
      <c r="B2690" s="5">
        <v>43937.0</v>
      </c>
      <c r="C2690" s="6" t="s">
        <v>8</v>
      </c>
      <c r="D2690" s="11">
        <f t="shared" si="1"/>
        <v>67</v>
      </c>
      <c r="E2690" s="8" t="str">
        <f t="shared" si="2"/>
        <v>https://resources.simonelectric.com/simon-ebook-vehiculo-electrico</v>
      </c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</row>
    <row r="2691" ht="15.75" customHeight="1">
      <c r="A2691" s="5" t="s">
        <v>1055</v>
      </c>
      <c r="B2691" s="5">
        <v>43937.0</v>
      </c>
      <c r="C2691" s="6" t="s">
        <v>31</v>
      </c>
      <c r="D2691" s="11">
        <f t="shared" si="1"/>
        <v>67</v>
      </c>
      <c r="E2691" s="8" t="str">
        <f t="shared" si="2"/>
        <v>https://resources.simonelectric.com/simon-ebook-vehiculo-electrico</v>
      </c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</row>
    <row r="2692" ht="15.75" customHeight="1">
      <c r="A2692" s="5" t="s">
        <v>1055</v>
      </c>
      <c r="B2692" s="5">
        <v>43937.0</v>
      </c>
      <c r="C2692" s="6" t="s">
        <v>3922</v>
      </c>
      <c r="D2692" s="11">
        <f t="shared" si="1"/>
        <v>67</v>
      </c>
      <c r="E2692" s="8" t="str">
        <f t="shared" si="2"/>
        <v>https://resources.simonelectric.com/simon-ebook-vehiculo-electrico</v>
      </c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</row>
    <row r="2693" ht="15.75" customHeight="1">
      <c r="A2693" s="5" t="s">
        <v>3923</v>
      </c>
      <c r="B2693" s="5">
        <v>43937.0</v>
      </c>
      <c r="C2693" s="6" t="s">
        <v>3924</v>
      </c>
      <c r="D2693" s="11">
        <f t="shared" si="1"/>
        <v>69</v>
      </c>
      <c r="E2693" s="8" t="str">
        <f t="shared" si="2"/>
        <v>https://resources.simonelectric.com/simon-ebook-vehiculo-electrico-0</v>
      </c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</row>
    <row r="2694" ht="15.75" customHeight="1">
      <c r="A2694" s="5" t="s">
        <v>1459</v>
      </c>
      <c r="B2694" s="5">
        <v>43936.0</v>
      </c>
      <c r="C2694" s="6" t="s">
        <v>75</v>
      </c>
      <c r="D2694" s="10">
        <f t="shared" si="1"/>
        <v>67</v>
      </c>
      <c r="E2694" s="8" t="str">
        <f t="shared" si="2"/>
        <v>https://resources.simonelectric.com/simon-ebook-vehiculo-electrico</v>
      </c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</row>
    <row r="2695" ht="15.75" customHeight="1">
      <c r="A2695" s="5" t="s">
        <v>1993</v>
      </c>
      <c r="B2695" s="5">
        <v>43936.0</v>
      </c>
      <c r="C2695" s="6" t="s">
        <v>48</v>
      </c>
      <c r="D2695" s="11">
        <f t="shared" si="1"/>
        <v>67</v>
      </c>
      <c r="E2695" s="8" t="str">
        <f t="shared" si="2"/>
        <v>https://resources.simonelectric.com/simon-ebook-vehiculo-electrico</v>
      </c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</row>
    <row r="2696" ht="15.75" customHeight="1">
      <c r="A2696" s="5" t="s">
        <v>2404</v>
      </c>
      <c r="B2696" s="5">
        <v>43936.0</v>
      </c>
      <c r="C2696" s="6" t="s">
        <v>3925</v>
      </c>
      <c r="D2696" s="11">
        <f t="shared" si="1"/>
        <v>67</v>
      </c>
      <c r="E2696" s="8" t="str">
        <f t="shared" si="2"/>
        <v>https://resources.simonelectric.com/simon-ebook-vehiculo-electrico</v>
      </c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</row>
    <row r="2697" ht="15.75" customHeight="1">
      <c r="A2697" s="5" t="s">
        <v>3926</v>
      </c>
      <c r="B2697" s="5">
        <v>43936.0</v>
      </c>
      <c r="C2697" s="6" t="s">
        <v>28</v>
      </c>
      <c r="D2697" s="10" t="str">
        <f t="shared" si="1"/>
        <v>https://resources.simonelectric.com/simon-ebook-vehiculo-electrico</v>
      </c>
      <c r="E2697" s="8" t="str">
        <f t="shared" si="2"/>
        <v>https://resources.simonelectric.com/simon-ebook-vehiculo-electrico</v>
      </c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</row>
    <row r="2698" ht="15.75" customHeight="1">
      <c r="A2698" s="5" t="s">
        <v>2635</v>
      </c>
      <c r="B2698" s="5">
        <v>43936.0</v>
      </c>
      <c r="C2698" s="6" t="s">
        <v>55</v>
      </c>
      <c r="D2698" s="11">
        <f t="shared" si="1"/>
        <v>71</v>
      </c>
      <c r="E2698" s="8" t="str">
        <f t="shared" si="2"/>
        <v>https://resources.simonelectric.com/simon-ebook-vehiculo-electrico-ppc</v>
      </c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</row>
    <row r="2699" ht="15.75" customHeight="1">
      <c r="A2699" s="5" t="s">
        <v>3537</v>
      </c>
      <c r="B2699" s="5">
        <v>43936.0</v>
      </c>
      <c r="C2699" s="6" t="s">
        <v>75</v>
      </c>
      <c r="D2699" s="11">
        <f t="shared" si="1"/>
        <v>67</v>
      </c>
      <c r="E2699" s="8" t="str">
        <f t="shared" si="2"/>
        <v>https://resources.simonelectric.com/simon-ebook-vehiculo-electrico</v>
      </c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</row>
    <row r="2700" ht="15.75" customHeight="1">
      <c r="A2700" s="5" t="s">
        <v>1957</v>
      </c>
      <c r="B2700" s="5">
        <v>43936.0</v>
      </c>
      <c r="C2700" s="6" t="s">
        <v>3927</v>
      </c>
      <c r="D2700" s="11">
        <f t="shared" si="1"/>
        <v>70</v>
      </c>
      <c r="E2700" s="8" t="str">
        <f t="shared" si="2"/>
        <v>https://resources.simonelectric.com/simon-catalogo-vehiculo-electrico</v>
      </c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</row>
    <row r="2701" ht="15.75" customHeight="1">
      <c r="A2701" s="5" t="s">
        <v>3928</v>
      </c>
      <c r="B2701" s="5">
        <v>43936.0</v>
      </c>
      <c r="C2701" s="6" t="s">
        <v>8</v>
      </c>
      <c r="D2701" s="11">
        <f t="shared" si="1"/>
        <v>67</v>
      </c>
      <c r="E2701" s="8" t="str">
        <f t="shared" si="2"/>
        <v>https://resources.simonelectric.com/simon-ebook-vehiculo-electrico</v>
      </c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</row>
    <row r="2702" ht="15.75" customHeight="1">
      <c r="A2702" s="5" t="s">
        <v>3929</v>
      </c>
      <c r="B2702" s="5">
        <v>43936.0</v>
      </c>
      <c r="C2702" s="6" t="s">
        <v>3930</v>
      </c>
      <c r="D2702" s="11">
        <f t="shared" si="1"/>
        <v>71</v>
      </c>
      <c r="E2702" s="8" t="str">
        <f t="shared" si="2"/>
        <v>https://resources.simonelectric.com/simon-ebook-vehiculo-electrico-ppc</v>
      </c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</row>
    <row r="2703" ht="15.75" customHeight="1">
      <c r="A2703" s="5" t="s">
        <v>3931</v>
      </c>
      <c r="B2703" s="5">
        <v>43936.0</v>
      </c>
      <c r="C2703" s="6" t="s">
        <v>55</v>
      </c>
      <c r="D2703" s="10">
        <f t="shared" si="1"/>
        <v>71</v>
      </c>
      <c r="E2703" s="8" t="str">
        <f t="shared" si="2"/>
        <v>https://resources.simonelectric.com/simon-ebook-vehiculo-electrico-ppc</v>
      </c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</row>
    <row r="2704" ht="15.75" customHeight="1">
      <c r="A2704" s="5" t="s">
        <v>3932</v>
      </c>
      <c r="B2704" s="5">
        <v>43935.0</v>
      </c>
      <c r="C2704" s="6" t="s">
        <v>3933</v>
      </c>
      <c r="D2704" s="11">
        <f t="shared" si="1"/>
        <v>71</v>
      </c>
      <c r="E2704" s="8" t="str">
        <f t="shared" si="2"/>
        <v>https://resources.simonelectric.com/simon-ebook-vehiculo-electrico-ppc</v>
      </c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</row>
    <row r="2705" ht="15.75" customHeight="1">
      <c r="A2705" s="5" t="s">
        <v>1739</v>
      </c>
      <c r="B2705" s="5">
        <v>43935.0</v>
      </c>
      <c r="C2705" s="6" t="s">
        <v>10</v>
      </c>
      <c r="D2705" s="10" t="str">
        <f t="shared" si="1"/>
        <v>https://resources.simonelectric.com/simon-catalogo-vehiculo-electrico</v>
      </c>
      <c r="E2705" s="8" t="str">
        <f t="shared" si="2"/>
        <v>https://resources.simonelectric.com/simon-catalogo-vehiculo-electrico</v>
      </c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</row>
    <row r="2706" ht="15.75" customHeight="1">
      <c r="A2706" s="5" t="s">
        <v>1739</v>
      </c>
      <c r="B2706" s="5">
        <v>43935.0</v>
      </c>
      <c r="C2706" s="6" t="s">
        <v>1560</v>
      </c>
      <c r="D2706" s="11">
        <f t="shared" si="1"/>
        <v>67</v>
      </c>
      <c r="E2706" s="8" t="str">
        <f t="shared" si="2"/>
        <v>https://resources.simonelectric.com/simon-ebook-vehiculo-electrico</v>
      </c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</row>
    <row r="2707" ht="15.75" customHeight="1">
      <c r="A2707" s="5" t="s">
        <v>3934</v>
      </c>
      <c r="B2707" s="5">
        <v>43935.0</v>
      </c>
      <c r="C2707" s="6" t="s">
        <v>3935</v>
      </c>
      <c r="D2707" s="11">
        <f t="shared" si="1"/>
        <v>71</v>
      </c>
      <c r="E2707" s="8" t="str">
        <f t="shared" si="2"/>
        <v>https://resources.simonelectric.com/simon-ebook-vehiculo-electrico-ppc</v>
      </c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</row>
    <row r="2708" ht="15.75" customHeight="1">
      <c r="A2708" s="5" t="s">
        <v>3936</v>
      </c>
      <c r="B2708" s="5">
        <v>43935.0</v>
      </c>
      <c r="C2708" s="6" t="s">
        <v>55</v>
      </c>
      <c r="D2708" s="11">
        <f t="shared" si="1"/>
        <v>71</v>
      </c>
      <c r="E2708" s="8" t="str">
        <f t="shared" si="2"/>
        <v>https://resources.simonelectric.com/simon-ebook-vehiculo-electrico-ppc</v>
      </c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</row>
    <row r="2709" ht="15.75" customHeight="1">
      <c r="A2709" s="5" t="s">
        <v>3937</v>
      </c>
      <c r="B2709" s="5">
        <v>43935.0</v>
      </c>
      <c r="C2709" s="6" t="s">
        <v>55</v>
      </c>
      <c r="D2709" s="11">
        <f t="shared" si="1"/>
        <v>71</v>
      </c>
      <c r="E2709" s="8" t="str">
        <f t="shared" si="2"/>
        <v>https://resources.simonelectric.com/simon-ebook-vehiculo-electrico-ppc</v>
      </c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</row>
    <row r="2710" ht="15.75" customHeight="1">
      <c r="A2710" s="5" t="s">
        <v>3938</v>
      </c>
      <c r="B2710" s="5">
        <v>43935.0</v>
      </c>
      <c r="C2710" s="6" t="s">
        <v>55</v>
      </c>
      <c r="D2710" s="11">
        <f t="shared" si="1"/>
        <v>71</v>
      </c>
      <c r="E2710" s="8" t="str">
        <f t="shared" si="2"/>
        <v>https://resources.simonelectric.com/simon-ebook-vehiculo-electrico-ppc</v>
      </c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</row>
    <row r="2711" ht="15.75" customHeight="1">
      <c r="A2711" s="5" t="s">
        <v>3939</v>
      </c>
      <c r="B2711" s="5">
        <v>43934.0</v>
      </c>
      <c r="C2711" s="6" t="s">
        <v>3940</v>
      </c>
      <c r="D2711" s="11">
        <f t="shared" si="1"/>
        <v>70</v>
      </c>
      <c r="E2711" s="8" t="str">
        <f t="shared" si="2"/>
        <v>https://resources.simonelectric.com/simon-catalogo-vehiculo-electrico</v>
      </c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</row>
    <row r="2712" ht="15.75" customHeight="1">
      <c r="A2712" s="5" t="s">
        <v>3941</v>
      </c>
      <c r="B2712" s="5">
        <v>43934.0</v>
      </c>
      <c r="C2712" s="6" t="s">
        <v>55</v>
      </c>
      <c r="D2712" s="11">
        <f t="shared" si="1"/>
        <v>71</v>
      </c>
      <c r="E2712" s="8" t="str">
        <f t="shared" si="2"/>
        <v>https://resources.simonelectric.com/simon-ebook-vehiculo-electrico-ppc</v>
      </c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</row>
    <row r="2713" ht="15.75" customHeight="1">
      <c r="A2713" s="5" t="s">
        <v>3942</v>
      </c>
      <c r="B2713" s="5">
        <v>43934.0</v>
      </c>
      <c r="C2713" s="6" t="s">
        <v>3943</v>
      </c>
      <c r="D2713" s="10">
        <f t="shared" si="1"/>
        <v>70</v>
      </c>
      <c r="E2713" s="8" t="str">
        <f t="shared" si="2"/>
        <v>https://resources.simonelectric.com/simon-catalogo-vehiculo-electrico</v>
      </c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</row>
    <row r="2714" ht="15.75" customHeight="1">
      <c r="A2714" s="5" t="s">
        <v>2921</v>
      </c>
      <c r="B2714" s="5">
        <v>43934.0</v>
      </c>
      <c r="C2714" s="6" t="s">
        <v>75</v>
      </c>
      <c r="D2714" s="11">
        <f t="shared" si="1"/>
        <v>67</v>
      </c>
      <c r="E2714" s="8" t="str">
        <f t="shared" si="2"/>
        <v>https://resources.simonelectric.com/simon-ebook-vehiculo-electrico</v>
      </c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</row>
    <row r="2715" ht="15.75" customHeight="1">
      <c r="A2715" s="5" t="s">
        <v>3849</v>
      </c>
      <c r="B2715" s="5">
        <v>43934.0</v>
      </c>
      <c r="C2715" s="6" t="s">
        <v>8</v>
      </c>
      <c r="D2715" s="11">
        <f t="shared" si="1"/>
        <v>67</v>
      </c>
      <c r="E2715" s="8" t="str">
        <f t="shared" si="2"/>
        <v>https://resources.simonelectric.com/simon-ebook-vehiculo-electrico</v>
      </c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</row>
    <row r="2716" ht="15.75" customHeight="1">
      <c r="A2716" s="5" t="s">
        <v>3944</v>
      </c>
      <c r="B2716" s="5">
        <v>43934.0</v>
      </c>
      <c r="C2716" s="6" t="s">
        <v>3945</v>
      </c>
      <c r="D2716" s="11">
        <f t="shared" si="1"/>
        <v>67</v>
      </c>
      <c r="E2716" s="8" t="str">
        <f t="shared" si="2"/>
        <v>https://resources.simonelectric.com/simon-ebook-vehiculo-electrico</v>
      </c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</row>
    <row r="2717" ht="15.75" customHeight="1">
      <c r="A2717" s="5" t="s">
        <v>3946</v>
      </c>
      <c r="B2717" s="5">
        <v>43934.0</v>
      </c>
      <c r="C2717" s="6" t="s">
        <v>3947</v>
      </c>
      <c r="D2717" s="11">
        <f t="shared" si="1"/>
        <v>67</v>
      </c>
      <c r="E2717" s="8" t="str">
        <f t="shared" si="2"/>
        <v>https://resources.simonelectric.com/simon-ebook-vehiculo-electrico</v>
      </c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</row>
    <row r="2718" ht="15.75" customHeight="1">
      <c r="A2718" s="5" t="s">
        <v>3555</v>
      </c>
      <c r="B2718" s="5">
        <v>43934.0</v>
      </c>
      <c r="C2718" s="6" t="s">
        <v>55</v>
      </c>
      <c r="D2718" s="11">
        <f t="shared" si="1"/>
        <v>71</v>
      </c>
      <c r="E2718" s="8" t="str">
        <f t="shared" si="2"/>
        <v>https://resources.simonelectric.com/simon-ebook-vehiculo-electrico-ppc</v>
      </c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</row>
    <row r="2719" ht="15.75" customHeight="1">
      <c r="A2719" s="5" t="s">
        <v>3948</v>
      </c>
      <c r="B2719" s="5">
        <v>43934.0</v>
      </c>
      <c r="C2719" s="6" t="s">
        <v>55</v>
      </c>
      <c r="D2719" s="10">
        <f t="shared" si="1"/>
        <v>71</v>
      </c>
      <c r="E2719" s="8" t="str">
        <f t="shared" si="2"/>
        <v>https://resources.simonelectric.com/simon-ebook-vehiculo-electrico-ppc</v>
      </c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</row>
    <row r="2720" ht="15.75" customHeight="1">
      <c r="A2720" s="5" t="s">
        <v>3258</v>
      </c>
      <c r="B2720" s="5">
        <v>43933.0</v>
      </c>
      <c r="C2720" s="6" t="s">
        <v>28</v>
      </c>
      <c r="D2720" s="10" t="str">
        <f t="shared" si="1"/>
        <v>https://resources.simonelectric.com/simon-ebook-vehiculo-electrico</v>
      </c>
      <c r="E2720" s="8" t="str">
        <f t="shared" si="2"/>
        <v>https://resources.simonelectric.com/simon-ebook-vehiculo-electrico</v>
      </c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</row>
    <row r="2721" ht="15.75" customHeight="1">
      <c r="A2721" s="5" t="s">
        <v>3949</v>
      </c>
      <c r="B2721" s="5">
        <v>43933.0</v>
      </c>
      <c r="C2721" s="6" t="s">
        <v>55</v>
      </c>
      <c r="D2721" s="11">
        <f t="shared" si="1"/>
        <v>71</v>
      </c>
      <c r="E2721" s="8" t="str">
        <f t="shared" si="2"/>
        <v>https://resources.simonelectric.com/simon-ebook-vehiculo-electrico-ppc</v>
      </c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</row>
    <row r="2722" ht="15.75" customHeight="1">
      <c r="A2722" s="5" t="s">
        <v>3950</v>
      </c>
      <c r="B2722" s="5">
        <v>43933.0</v>
      </c>
      <c r="C2722" s="6" t="s">
        <v>3951</v>
      </c>
      <c r="D2722" s="11">
        <f t="shared" si="1"/>
        <v>70</v>
      </c>
      <c r="E2722" s="8" t="str">
        <f t="shared" si="2"/>
        <v>https://resources.simonelectric.com/simon-catalogo-vehiculo-electrico</v>
      </c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</row>
    <row r="2723" ht="15.75" customHeight="1">
      <c r="A2723" s="5" t="s">
        <v>3952</v>
      </c>
      <c r="B2723" s="5">
        <v>43933.0</v>
      </c>
      <c r="C2723" s="6" t="s">
        <v>3953</v>
      </c>
      <c r="D2723" s="11">
        <f t="shared" si="1"/>
        <v>70</v>
      </c>
      <c r="E2723" s="8" t="str">
        <f t="shared" si="2"/>
        <v>https://resources.simonelectric.com/simon-catalogo-vehiculo-electrico</v>
      </c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</row>
    <row r="2724" ht="15.75" customHeight="1">
      <c r="A2724" s="5" t="s">
        <v>3954</v>
      </c>
      <c r="B2724" s="5">
        <v>43933.0</v>
      </c>
      <c r="C2724" s="6" t="s">
        <v>3955</v>
      </c>
      <c r="D2724" s="11">
        <f t="shared" si="1"/>
        <v>71</v>
      </c>
      <c r="E2724" s="8" t="str">
        <f t="shared" si="2"/>
        <v>https://resources.simonelectric.com/simon-ebook-vehiculo-electrico-ppc</v>
      </c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</row>
    <row r="2725" ht="15.75" customHeight="1">
      <c r="A2725" s="5" t="s">
        <v>3956</v>
      </c>
      <c r="B2725" s="5">
        <v>43933.0</v>
      </c>
      <c r="C2725" s="6" t="s">
        <v>55</v>
      </c>
      <c r="D2725" s="11">
        <f t="shared" si="1"/>
        <v>71</v>
      </c>
      <c r="E2725" s="8" t="str">
        <f t="shared" si="2"/>
        <v>https://resources.simonelectric.com/simon-ebook-vehiculo-electrico-ppc</v>
      </c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</row>
    <row r="2726" ht="15.75" customHeight="1">
      <c r="A2726" s="5" t="s">
        <v>3957</v>
      </c>
      <c r="B2726" s="5">
        <v>43933.0</v>
      </c>
      <c r="C2726" s="6" t="s">
        <v>3958</v>
      </c>
      <c r="D2726" s="11">
        <f t="shared" si="1"/>
        <v>69</v>
      </c>
      <c r="E2726" s="8" t="str">
        <f t="shared" si="2"/>
        <v>https://resources.simonelectric.com/simon-ebook-vehiculo-electrico-0</v>
      </c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</row>
    <row r="2727" ht="15.75" customHeight="1">
      <c r="A2727" s="5" t="s">
        <v>3959</v>
      </c>
      <c r="B2727" s="5">
        <v>43932.0</v>
      </c>
      <c r="C2727" s="6" t="s">
        <v>55</v>
      </c>
      <c r="D2727" s="11">
        <f t="shared" si="1"/>
        <v>71</v>
      </c>
      <c r="E2727" s="8" t="str">
        <f t="shared" si="2"/>
        <v>https://resources.simonelectric.com/simon-ebook-vehiculo-electrico-ppc</v>
      </c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</row>
    <row r="2728" ht="15.75" customHeight="1">
      <c r="A2728" s="5" t="s">
        <v>2088</v>
      </c>
      <c r="B2728" s="5">
        <v>43932.0</v>
      </c>
      <c r="C2728" s="6" t="s">
        <v>55</v>
      </c>
      <c r="D2728" s="11">
        <f t="shared" si="1"/>
        <v>71</v>
      </c>
      <c r="E2728" s="8" t="str">
        <f t="shared" si="2"/>
        <v>https://resources.simonelectric.com/simon-ebook-vehiculo-electrico-ppc</v>
      </c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</row>
    <row r="2729" ht="15.75" customHeight="1">
      <c r="A2729" s="5" t="s">
        <v>3960</v>
      </c>
      <c r="B2729" s="5">
        <v>43932.0</v>
      </c>
      <c r="C2729" s="6" t="s">
        <v>55</v>
      </c>
      <c r="D2729" s="11">
        <f t="shared" si="1"/>
        <v>71</v>
      </c>
      <c r="E2729" s="8" t="str">
        <f t="shared" si="2"/>
        <v>https://resources.simonelectric.com/simon-ebook-vehiculo-electrico-ppc</v>
      </c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</row>
    <row r="2730" ht="15.75" customHeight="1">
      <c r="A2730" s="5" t="s">
        <v>3961</v>
      </c>
      <c r="B2730" s="5">
        <v>43932.0</v>
      </c>
      <c r="C2730" s="6" t="s">
        <v>55</v>
      </c>
      <c r="D2730" s="11">
        <f t="shared" si="1"/>
        <v>71</v>
      </c>
      <c r="E2730" s="8" t="str">
        <f t="shared" si="2"/>
        <v>https://resources.simonelectric.com/simon-ebook-vehiculo-electrico-ppc</v>
      </c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</row>
    <row r="2731" ht="15.75" customHeight="1">
      <c r="A2731" s="5" t="s">
        <v>3962</v>
      </c>
      <c r="B2731" s="5">
        <v>43932.0</v>
      </c>
      <c r="C2731" s="6" t="s">
        <v>55</v>
      </c>
      <c r="D2731" s="11">
        <f t="shared" si="1"/>
        <v>71</v>
      </c>
      <c r="E2731" s="8" t="str">
        <f t="shared" si="2"/>
        <v>https://resources.simonelectric.com/simon-ebook-vehiculo-electrico-ppc</v>
      </c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</row>
    <row r="2732" ht="15.75" customHeight="1">
      <c r="A2732" s="5" t="s">
        <v>3963</v>
      </c>
      <c r="B2732" s="5">
        <v>43932.0</v>
      </c>
      <c r="C2732" s="6" t="s">
        <v>55</v>
      </c>
      <c r="D2732" s="11">
        <f t="shared" si="1"/>
        <v>71</v>
      </c>
      <c r="E2732" s="8" t="str">
        <f t="shared" si="2"/>
        <v>https://resources.simonelectric.com/simon-ebook-vehiculo-electrico-ppc</v>
      </c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</row>
    <row r="2733" ht="15.75" customHeight="1">
      <c r="A2733" s="5" t="s">
        <v>3964</v>
      </c>
      <c r="B2733" s="5">
        <v>43932.0</v>
      </c>
      <c r="C2733" s="6" t="s">
        <v>3965</v>
      </c>
      <c r="D2733" s="10">
        <f t="shared" si="1"/>
        <v>69</v>
      </c>
      <c r="E2733" s="8" t="str">
        <f t="shared" si="2"/>
        <v>https://resources.simonelectric.com/simon-ebook-vehiculo-electrico-0</v>
      </c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</row>
    <row r="2734" ht="15.75" customHeight="1">
      <c r="A2734" s="5" t="s">
        <v>3966</v>
      </c>
      <c r="B2734" s="5">
        <v>43932.0</v>
      </c>
      <c r="C2734" s="6" t="s">
        <v>75</v>
      </c>
      <c r="D2734" s="10">
        <f t="shared" si="1"/>
        <v>67</v>
      </c>
      <c r="E2734" s="8" t="str">
        <f t="shared" si="2"/>
        <v>https://resources.simonelectric.com/simon-ebook-vehiculo-electrico</v>
      </c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</row>
    <row r="2735" ht="15.75" customHeight="1">
      <c r="A2735" s="5" t="s">
        <v>3967</v>
      </c>
      <c r="B2735" s="5">
        <v>43931.0</v>
      </c>
      <c r="C2735" s="6" t="s">
        <v>55</v>
      </c>
      <c r="D2735" s="11">
        <f t="shared" si="1"/>
        <v>71</v>
      </c>
      <c r="E2735" s="8" t="str">
        <f t="shared" si="2"/>
        <v>https://resources.simonelectric.com/simon-ebook-vehiculo-electrico-ppc</v>
      </c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</row>
    <row r="2736" ht="15.75" customHeight="1">
      <c r="A2736" s="5" t="s">
        <v>3968</v>
      </c>
      <c r="B2736" s="5">
        <v>43931.0</v>
      </c>
      <c r="C2736" s="6" t="s">
        <v>8</v>
      </c>
      <c r="D2736" s="11">
        <f t="shared" si="1"/>
        <v>67</v>
      </c>
      <c r="E2736" s="8" t="str">
        <f t="shared" si="2"/>
        <v>https://resources.simonelectric.com/simon-ebook-vehiculo-electrico</v>
      </c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</row>
    <row r="2737" ht="15.75" customHeight="1">
      <c r="A2737" s="5" t="s">
        <v>3944</v>
      </c>
      <c r="B2737" s="5">
        <v>43931.0</v>
      </c>
      <c r="C2737" s="6" t="s">
        <v>55</v>
      </c>
      <c r="D2737" s="11">
        <f t="shared" si="1"/>
        <v>71</v>
      </c>
      <c r="E2737" s="8" t="str">
        <f t="shared" si="2"/>
        <v>https://resources.simonelectric.com/simon-ebook-vehiculo-electrico-ppc</v>
      </c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</row>
    <row r="2738" ht="15.75" customHeight="1">
      <c r="A2738" s="5" t="s">
        <v>3969</v>
      </c>
      <c r="B2738" s="5">
        <v>43931.0</v>
      </c>
      <c r="C2738" s="6" t="s">
        <v>55</v>
      </c>
      <c r="D2738" s="11">
        <f t="shared" si="1"/>
        <v>71</v>
      </c>
      <c r="E2738" s="8" t="str">
        <f t="shared" si="2"/>
        <v>https://resources.simonelectric.com/simon-ebook-vehiculo-electrico-ppc</v>
      </c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</row>
    <row r="2739" ht="15.75" customHeight="1">
      <c r="A2739" s="5" t="s">
        <v>2334</v>
      </c>
      <c r="B2739" s="5">
        <v>43931.0</v>
      </c>
      <c r="C2739" s="6" t="s">
        <v>8</v>
      </c>
      <c r="D2739" s="11">
        <f t="shared" si="1"/>
        <v>67</v>
      </c>
      <c r="E2739" s="8" t="str">
        <f t="shared" si="2"/>
        <v>https://resources.simonelectric.com/simon-ebook-vehiculo-electrico</v>
      </c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</row>
    <row r="2740" ht="15.75" customHeight="1">
      <c r="A2740" s="5" t="s">
        <v>3970</v>
      </c>
      <c r="B2740" s="5">
        <v>43931.0</v>
      </c>
      <c r="C2740" s="6" t="s">
        <v>3971</v>
      </c>
      <c r="D2740" s="11">
        <f t="shared" si="1"/>
        <v>71</v>
      </c>
      <c r="E2740" s="8" t="str">
        <f t="shared" si="2"/>
        <v>https://resources.simonelectric.com/simon-ebook-vehiculo-electrico-ppc</v>
      </c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</row>
    <row r="2741" ht="15.75" customHeight="1">
      <c r="A2741" s="5" t="s">
        <v>3972</v>
      </c>
      <c r="B2741" s="5">
        <v>43931.0</v>
      </c>
      <c r="C2741" s="6" t="s">
        <v>3973</v>
      </c>
      <c r="D2741" s="10">
        <f t="shared" si="1"/>
        <v>70</v>
      </c>
      <c r="E2741" s="8" t="str">
        <f t="shared" si="2"/>
        <v>https://resources.simonelectric.com/simon-catalogo-vehiculo-electrico</v>
      </c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</row>
    <row r="2742" ht="15.75" customHeight="1">
      <c r="A2742" s="5" t="s">
        <v>3972</v>
      </c>
      <c r="B2742" s="5">
        <v>43931.0</v>
      </c>
      <c r="C2742" s="6" t="s">
        <v>28</v>
      </c>
      <c r="D2742" s="10" t="str">
        <f t="shared" si="1"/>
        <v>https://resources.simonelectric.com/simon-ebook-vehiculo-electrico</v>
      </c>
      <c r="E2742" s="8" t="str">
        <f t="shared" si="2"/>
        <v>https://resources.simonelectric.com/simon-ebook-vehiculo-electrico</v>
      </c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</row>
    <row r="2743" ht="15.75" customHeight="1">
      <c r="A2743" s="5" t="s">
        <v>3974</v>
      </c>
      <c r="B2743" s="5">
        <v>43931.0</v>
      </c>
      <c r="C2743" s="6" t="s">
        <v>55</v>
      </c>
      <c r="D2743" s="11">
        <f t="shared" si="1"/>
        <v>71</v>
      </c>
      <c r="E2743" s="8" t="str">
        <f t="shared" si="2"/>
        <v>https://resources.simonelectric.com/simon-ebook-vehiculo-electrico-ppc</v>
      </c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</row>
    <row r="2744" ht="15.75" customHeight="1">
      <c r="A2744" s="5" t="s">
        <v>3975</v>
      </c>
      <c r="B2744" s="5">
        <v>43931.0</v>
      </c>
      <c r="C2744" s="6" t="s">
        <v>55</v>
      </c>
      <c r="D2744" s="11">
        <f t="shared" si="1"/>
        <v>71</v>
      </c>
      <c r="E2744" s="8" t="str">
        <f t="shared" si="2"/>
        <v>https://resources.simonelectric.com/simon-ebook-vehiculo-electrico-ppc</v>
      </c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</row>
    <row r="2745" ht="15.75" customHeight="1">
      <c r="A2745" s="5" t="s">
        <v>3976</v>
      </c>
      <c r="B2745" s="5">
        <v>43931.0</v>
      </c>
      <c r="C2745" s="6" t="s">
        <v>55</v>
      </c>
      <c r="D2745" s="11">
        <f t="shared" si="1"/>
        <v>71</v>
      </c>
      <c r="E2745" s="8" t="str">
        <f t="shared" si="2"/>
        <v>https://resources.simonelectric.com/simon-ebook-vehiculo-electrico-ppc</v>
      </c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</row>
    <row r="2746" ht="15.75" customHeight="1">
      <c r="A2746" s="5" t="s">
        <v>3977</v>
      </c>
      <c r="B2746" s="5">
        <v>43930.0</v>
      </c>
      <c r="C2746" s="6" t="s">
        <v>55</v>
      </c>
      <c r="D2746" s="11">
        <f t="shared" si="1"/>
        <v>71</v>
      </c>
      <c r="E2746" s="8" t="str">
        <f t="shared" si="2"/>
        <v>https://resources.simonelectric.com/simon-ebook-vehiculo-electrico-ppc</v>
      </c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</row>
    <row r="2747" ht="15.75" customHeight="1">
      <c r="A2747" s="5" t="s">
        <v>3978</v>
      </c>
      <c r="B2747" s="5">
        <v>43930.0</v>
      </c>
      <c r="C2747" s="6" t="s">
        <v>55</v>
      </c>
      <c r="D2747" s="11">
        <f t="shared" si="1"/>
        <v>71</v>
      </c>
      <c r="E2747" s="8" t="str">
        <f t="shared" si="2"/>
        <v>https://resources.simonelectric.com/simon-ebook-vehiculo-electrico-ppc</v>
      </c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</row>
    <row r="2748" ht="15.75" customHeight="1">
      <c r="A2748" s="5" t="s">
        <v>3979</v>
      </c>
      <c r="B2748" s="5">
        <v>43930.0</v>
      </c>
      <c r="C2748" s="6" t="s">
        <v>8</v>
      </c>
      <c r="D2748" s="10">
        <f t="shared" si="1"/>
        <v>67</v>
      </c>
      <c r="E2748" s="8" t="str">
        <f t="shared" si="2"/>
        <v>https://resources.simonelectric.com/simon-ebook-vehiculo-electrico</v>
      </c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</row>
    <row r="2749" ht="15.75" customHeight="1">
      <c r="A2749" s="5" t="s">
        <v>3477</v>
      </c>
      <c r="B2749" s="5">
        <v>43930.0</v>
      </c>
      <c r="C2749" s="6" t="s">
        <v>3980</v>
      </c>
      <c r="D2749" s="11">
        <f t="shared" si="1"/>
        <v>67</v>
      </c>
      <c r="E2749" s="8" t="str">
        <f t="shared" si="2"/>
        <v>https://resources.simonelectric.com/simon-ebook-vehiculo-electrico</v>
      </c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</row>
    <row r="2750" ht="15.75" customHeight="1">
      <c r="A2750" s="5" t="s">
        <v>1519</v>
      </c>
      <c r="B2750" s="5">
        <v>43930.0</v>
      </c>
      <c r="C2750" s="6" t="s">
        <v>3981</v>
      </c>
      <c r="D2750" s="10">
        <f t="shared" si="1"/>
        <v>67</v>
      </c>
      <c r="E2750" s="8" t="str">
        <f t="shared" si="2"/>
        <v>https://resources.simonelectric.com/simon-ebook-vehiculo-electrico</v>
      </c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</row>
    <row r="2751" ht="15.75" customHeight="1">
      <c r="A2751" s="5" t="s">
        <v>3982</v>
      </c>
      <c r="B2751" s="5">
        <v>43930.0</v>
      </c>
      <c r="C2751" s="6" t="s">
        <v>28</v>
      </c>
      <c r="D2751" s="10" t="str">
        <f t="shared" si="1"/>
        <v>https://resources.simonelectric.com/simon-ebook-vehiculo-electrico</v>
      </c>
      <c r="E2751" s="8" t="str">
        <f t="shared" si="2"/>
        <v>https://resources.simonelectric.com/simon-ebook-vehiculo-electrico</v>
      </c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</row>
    <row r="2752" ht="15.75" customHeight="1">
      <c r="A2752" s="5" t="s">
        <v>3983</v>
      </c>
      <c r="B2752" s="5">
        <v>43930.0</v>
      </c>
      <c r="C2752" s="6" t="s">
        <v>55</v>
      </c>
      <c r="D2752" s="11">
        <f t="shared" si="1"/>
        <v>71</v>
      </c>
      <c r="E2752" s="8" t="str">
        <f t="shared" si="2"/>
        <v>https://resources.simonelectric.com/simon-ebook-vehiculo-electrico-ppc</v>
      </c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</row>
    <row r="2753" ht="15.75" customHeight="1">
      <c r="A2753" s="5" t="s">
        <v>3800</v>
      </c>
      <c r="B2753" s="5">
        <v>43930.0</v>
      </c>
      <c r="C2753" s="6" t="s">
        <v>8</v>
      </c>
      <c r="D2753" s="11">
        <f t="shared" si="1"/>
        <v>67</v>
      </c>
      <c r="E2753" s="8" t="str">
        <f t="shared" si="2"/>
        <v>https://resources.simonelectric.com/simon-ebook-vehiculo-electrico</v>
      </c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</row>
    <row r="2754" ht="15.75" customHeight="1">
      <c r="A2754" s="5" t="s">
        <v>3984</v>
      </c>
      <c r="B2754" s="5">
        <v>43930.0</v>
      </c>
      <c r="C2754" s="6" t="s">
        <v>55</v>
      </c>
      <c r="D2754" s="11">
        <f t="shared" si="1"/>
        <v>71</v>
      </c>
      <c r="E2754" s="8" t="str">
        <f t="shared" si="2"/>
        <v>https://resources.simonelectric.com/simon-ebook-vehiculo-electrico-ppc</v>
      </c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</row>
    <row r="2755" ht="15.75" customHeight="1">
      <c r="A2755" s="5" t="s">
        <v>3985</v>
      </c>
      <c r="B2755" s="5">
        <v>43930.0</v>
      </c>
      <c r="C2755" s="6" t="s">
        <v>55</v>
      </c>
      <c r="D2755" s="11">
        <f t="shared" si="1"/>
        <v>71</v>
      </c>
      <c r="E2755" s="8" t="str">
        <f t="shared" si="2"/>
        <v>https://resources.simonelectric.com/simon-ebook-vehiculo-electrico-ppc</v>
      </c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</row>
    <row r="2756" ht="15.75" customHeight="1">
      <c r="A2756" s="5" t="s">
        <v>3986</v>
      </c>
      <c r="B2756" s="5">
        <v>43930.0</v>
      </c>
      <c r="C2756" s="6" t="s">
        <v>3987</v>
      </c>
      <c r="D2756" s="11">
        <f t="shared" si="1"/>
        <v>69</v>
      </c>
      <c r="E2756" s="8" t="str">
        <f t="shared" si="2"/>
        <v>https://resources.simonelectric.com/simon-ebook-vehiculo-electrico-0</v>
      </c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</row>
    <row r="2757" ht="15.75" customHeight="1">
      <c r="A2757" s="5" t="s">
        <v>3988</v>
      </c>
      <c r="B2757" s="5">
        <v>43930.0</v>
      </c>
      <c r="C2757" s="6" t="s">
        <v>3989</v>
      </c>
      <c r="D2757" s="11">
        <f t="shared" si="1"/>
        <v>71</v>
      </c>
      <c r="E2757" s="8" t="str">
        <f t="shared" si="2"/>
        <v>https://resources.simonelectric.com/simon-ebook-vehiculo-electrico-ppc</v>
      </c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</row>
    <row r="2758" ht="15.75" customHeight="1">
      <c r="A2758" s="5" t="s">
        <v>543</v>
      </c>
      <c r="B2758" s="5">
        <v>43929.0</v>
      </c>
      <c r="C2758" s="6" t="s">
        <v>231</v>
      </c>
      <c r="D2758" s="11">
        <f t="shared" si="1"/>
        <v>67</v>
      </c>
      <c r="E2758" s="8" t="str">
        <f t="shared" si="2"/>
        <v>https://resources.simonelectric.com/simon-ebook-vehiculo-electrico</v>
      </c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</row>
    <row r="2759" ht="15.75" customHeight="1">
      <c r="A2759" s="5" t="s">
        <v>3990</v>
      </c>
      <c r="B2759" s="5">
        <v>43929.0</v>
      </c>
      <c r="C2759" s="6" t="s">
        <v>3991</v>
      </c>
      <c r="D2759" s="11">
        <f t="shared" si="1"/>
        <v>71</v>
      </c>
      <c r="E2759" s="8" t="str">
        <f t="shared" si="2"/>
        <v>https://resources.simonelectric.com/simon-ebook-vehiculo-electrico-ppc</v>
      </c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</row>
    <row r="2760" ht="15.75" customHeight="1">
      <c r="A2760" s="5" t="s">
        <v>3992</v>
      </c>
      <c r="B2760" s="5">
        <v>43929.0</v>
      </c>
      <c r="C2760" s="6" t="s">
        <v>3993</v>
      </c>
      <c r="D2760" s="11">
        <f t="shared" si="1"/>
        <v>70</v>
      </c>
      <c r="E2760" s="8" t="str">
        <f t="shared" si="2"/>
        <v>https://resources.simonelectric.com/simon-catalogo-vehiculo-electrico</v>
      </c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</row>
    <row r="2761" ht="15.75" customHeight="1">
      <c r="A2761" s="5" t="s">
        <v>3992</v>
      </c>
      <c r="B2761" s="5">
        <v>43929.0</v>
      </c>
      <c r="C2761" s="6" t="s">
        <v>28</v>
      </c>
      <c r="D2761" s="10" t="str">
        <f t="shared" si="1"/>
        <v>https://resources.simonelectric.com/simon-ebook-vehiculo-electrico</v>
      </c>
      <c r="E2761" s="8" t="str">
        <f t="shared" si="2"/>
        <v>https://resources.simonelectric.com/simon-ebook-vehiculo-electrico</v>
      </c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</row>
    <row r="2762" ht="15.75" customHeight="1">
      <c r="A2762" s="5" t="s">
        <v>3994</v>
      </c>
      <c r="B2762" s="5">
        <v>43929.0</v>
      </c>
      <c r="C2762" s="6" t="s">
        <v>3995</v>
      </c>
      <c r="D2762" s="11">
        <f t="shared" si="1"/>
        <v>71</v>
      </c>
      <c r="E2762" s="8" t="str">
        <f t="shared" si="2"/>
        <v>https://resources.simonelectric.com/simon-ebook-vehiculo-electrico-ppc</v>
      </c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</row>
    <row r="2763" ht="15.75" customHeight="1">
      <c r="A2763" s="5" t="s">
        <v>3996</v>
      </c>
      <c r="B2763" s="5">
        <v>43929.0</v>
      </c>
      <c r="C2763" s="6" t="s">
        <v>8</v>
      </c>
      <c r="D2763" s="11">
        <f t="shared" si="1"/>
        <v>67</v>
      </c>
      <c r="E2763" s="8" t="str">
        <f t="shared" si="2"/>
        <v>https://resources.simonelectric.com/simon-ebook-vehiculo-electrico</v>
      </c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</row>
    <row r="2764" ht="15.75" customHeight="1">
      <c r="A2764" s="5" t="s">
        <v>3997</v>
      </c>
      <c r="B2764" s="5">
        <v>43929.0</v>
      </c>
      <c r="C2764" s="6" t="s">
        <v>8</v>
      </c>
      <c r="D2764" s="11">
        <f t="shared" si="1"/>
        <v>67</v>
      </c>
      <c r="E2764" s="8" t="str">
        <f t="shared" si="2"/>
        <v>https://resources.simonelectric.com/simon-ebook-vehiculo-electrico</v>
      </c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</row>
    <row r="2765" ht="15.75" customHeight="1">
      <c r="A2765" s="5" t="s">
        <v>3997</v>
      </c>
      <c r="B2765" s="5">
        <v>43929.0</v>
      </c>
      <c r="C2765" s="6" t="s">
        <v>28</v>
      </c>
      <c r="D2765" s="10" t="str">
        <f t="shared" si="1"/>
        <v>https://resources.simonelectric.com/simon-ebook-vehiculo-electrico</v>
      </c>
      <c r="E2765" s="8" t="str">
        <f t="shared" si="2"/>
        <v>https://resources.simonelectric.com/simon-ebook-vehiculo-electrico</v>
      </c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</row>
    <row r="2766" ht="15.75" customHeight="1">
      <c r="A2766" s="5" t="s">
        <v>3997</v>
      </c>
      <c r="B2766" s="5">
        <v>43929.0</v>
      </c>
      <c r="C2766" s="6" t="s">
        <v>8</v>
      </c>
      <c r="D2766" s="11">
        <f t="shared" si="1"/>
        <v>67</v>
      </c>
      <c r="E2766" s="8" t="str">
        <f t="shared" si="2"/>
        <v>https://resources.simonelectric.com/simon-ebook-vehiculo-electrico</v>
      </c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</row>
    <row r="2767" ht="15.75" customHeight="1">
      <c r="A2767" s="5" t="s">
        <v>3998</v>
      </c>
      <c r="B2767" s="5">
        <v>43929.0</v>
      </c>
      <c r="C2767" s="6" t="s">
        <v>55</v>
      </c>
      <c r="D2767" s="11">
        <f t="shared" si="1"/>
        <v>71</v>
      </c>
      <c r="E2767" s="8" t="str">
        <f t="shared" si="2"/>
        <v>https://resources.simonelectric.com/simon-ebook-vehiculo-electrico-ppc</v>
      </c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</row>
    <row r="2768" ht="15.75" customHeight="1">
      <c r="A2768" s="5" t="s">
        <v>3999</v>
      </c>
      <c r="B2768" s="5">
        <v>43929.0</v>
      </c>
      <c r="C2768" s="6" t="s">
        <v>4000</v>
      </c>
      <c r="D2768" s="11">
        <f t="shared" si="1"/>
        <v>70</v>
      </c>
      <c r="E2768" s="8" t="str">
        <f t="shared" si="2"/>
        <v>https://resources.simonelectric.com/simon-catalogo-vehiculo-electrico</v>
      </c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</row>
    <row r="2769" ht="15.75" customHeight="1">
      <c r="A2769" s="5" t="s">
        <v>4001</v>
      </c>
      <c r="B2769" s="5">
        <v>43929.0</v>
      </c>
      <c r="C2769" s="6" t="s">
        <v>55</v>
      </c>
      <c r="D2769" s="11">
        <f t="shared" si="1"/>
        <v>71</v>
      </c>
      <c r="E2769" s="8" t="str">
        <f t="shared" si="2"/>
        <v>https://resources.simonelectric.com/simon-ebook-vehiculo-electrico-ppc</v>
      </c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</row>
    <row r="2770" ht="15.75" customHeight="1">
      <c r="A2770" s="5" t="s">
        <v>4002</v>
      </c>
      <c r="B2770" s="5">
        <v>43929.0</v>
      </c>
      <c r="C2770" s="6" t="s">
        <v>4003</v>
      </c>
      <c r="D2770" s="10">
        <f t="shared" si="1"/>
        <v>69</v>
      </c>
      <c r="E2770" s="8" t="str">
        <f t="shared" si="2"/>
        <v>https://resources.simonelectric.com/simon-ebook-vehiculo-electrico-0</v>
      </c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</row>
    <row r="2771" ht="15.75" customHeight="1">
      <c r="A2771" s="5" t="s">
        <v>4004</v>
      </c>
      <c r="B2771" s="5">
        <v>43928.0</v>
      </c>
      <c r="C2771" s="6" t="s">
        <v>10</v>
      </c>
      <c r="D2771" s="10" t="str">
        <f t="shared" si="1"/>
        <v>https://resources.simonelectric.com/simon-catalogo-vehiculo-electrico</v>
      </c>
      <c r="E2771" s="8" t="str">
        <f t="shared" si="2"/>
        <v>https://resources.simonelectric.com/simon-catalogo-vehiculo-electrico</v>
      </c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</row>
    <row r="2772" ht="15.75" customHeight="1">
      <c r="A2772" s="5" t="s">
        <v>4004</v>
      </c>
      <c r="B2772" s="5">
        <v>43928.0</v>
      </c>
      <c r="C2772" s="6" t="s">
        <v>28</v>
      </c>
      <c r="D2772" s="10" t="str">
        <f t="shared" si="1"/>
        <v>https://resources.simonelectric.com/simon-ebook-vehiculo-electrico</v>
      </c>
      <c r="E2772" s="8" t="str">
        <f t="shared" si="2"/>
        <v>https://resources.simonelectric.com/simon-ebook-vehiculo-electrico</v>
      </c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</row>
    <row r="2773" ht="15.75" customHeight="1">
      <c r="A2773" s="5" t="s">
        <v>4005</v>
      </c>
      <c r="B2773" s="5">
        <v>43928.0</v>
      </c>
      <c r="C2773" s="6" t="s">
        <v>28</v>
      </c>
      <c r="D2773" s="10" t="str">
        <f t="shared" si="1"/>
        <v>https://resources.simonelectric.com/simon-ebook-vehiculo-electrico</v>
      </c>
      <c r="E2773" s="8" t="str">
        <f t="shared" si="2"/>
        <v>https://resources.simonelectric.com/simon-ebook-vehiculo-electrico</v>
      </c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</row>
    <row r="2774" ht="15.75" customHeight="1">
      <c r="A2774" s="5" t="s">
        <v>4006</v>
      </c>
      <c r="B2774" s="5">
        <v>43928.0</v>
      </c>
      <c r="C2774" s="6" t="s">
        <v>55</v>
      </c>
      <c r="D2774" s="11">
        <f t="shared" si="1"/>
        <v>71</v>
      </c>
      <c r="E2774" s="8" t="str">
        <f t="shared" si="2"/>
        <v>https://resources.simonelectric.com/simon-ebook-vehiculo-electrico-ppc</v>
      </c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</row>
    <row r="2775" ht="15.75" customHeight="1">
      <c r="A2775" s="5" t="s">
        <v>665</v>
      </c>
      <c r="B2775" s="5">
        <v>43928.0</v>
      </c>
      <c r="C2775" s="6" t="s">
        <v>8</v>
      </c>
      <c r="D2775" s="10">
        <f t="shared" si="1"/>
        <v>67</v>
      </c>
      <c r="E2775" s="8" t="str">
        <f t="shared" si="2"/>
        <v>https://resources.simonelectric.com/simon-ebook-vehiculo-electrico</v>
      </c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</row>
    <row r="2776" ht="15.75" customHeight="1">
      <c r="A2776" s="5" t="s">
        <v>4007</v>
      </c>
      <c r="B2776" s="5">
        <v>43928.0</v>
      </c>
      <c r="C2776" s="6" t="s">
        <v>4008</v>
      </c>
      <c r="D2776" s="11">
        <f t="shared" si="1"/>
        <v>67</v>
      </c>
      <c r="E2776" s="8" t="str">
        <f t="shared" si="2"/>
        <v>https://resources.simonelectric.com/simon-ebook-vehiculo-electrico</v>
      </c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</row>
    <row r="2777" ht="15.75" customHeight="1">
      <c r="A2777" s="5" t="s">
        <v>2475</v>
      </c>
      <c r="B2777" s="5">
        <v>43928.0</v>
      </c>
      <c r="C2777" s="6" t="s">
        <v>4009</v>
      </c>
      <c r="D2777" s="11">
        <f t="shared" si="1"/>
        <v>70</v>
      </c>
      <c r="E2777" s="8" t="str">
        <f t="shared" si="2"/>
        <v>https://resources.simonelectric.com/simon-catalogo-vehiculo-electrico</v>
      </c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</row>
    <row r="2778" ht="15.75" customHeight="1">
      <c r="A2778" s="5" t="s">
        <v>4010</v>
      </c>
      <c r="B2778" s="5">
        <v>43928.0</v>
      </c>
      <c r="C2778" s="6" t="s">
        <v>55</v>
      </c>
      <c r="D2778" s="11">
        <f t="shared" si="1"/>
        <v>71</v>
      </c>
      <c r="E2778" s="8" t="str">
        <f t="shared" si="2"/>
        <v>https://resources.simonelectric.com/simon-ebook-vehiculo-electrico-ppc</v>
      </c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</row>
    <row r="2779" ht="15.75" customHeight="1">
      <c r="A2779" s="5" t="s">
        <v>4011</v>
      </c>
      <c r="B2779" s="5">
        <v>43928.0</v>
      </c>
      <c r="C2779" s="6" t="s">
        <v>4012</v>
      </c>
      <c r="D2779" s="11">
        <f t="shared" si="1"/>
        <v>67</v>
      </c>
      <c r="E2779" s="8" t="str">
        <f t="shared" si="2"/>
        <v>https://resources.simonelectric.com/simon-ebook-vehiculo-electrico</v>
      </c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</row>
    <row r="2780" ht="15.75" customHeight="1">
      <c r="A2780" s="5" t="s">
        <v>4013</v>
      </c>
      <c r="B2780" s="5">
        <v>43928.0</v>
      </c>
      <c r="C2780" s="6" t="s">
        <v>55</v>
      </c>
      <c r="D2780" s="11">
        <f t="shared" si="1"/>
        <v>71</v>
      </c>
      <c r="E2780" s="8" t="str">
        <f t="shared" si="2"/>
        <v>https://resources.simonelectric.com/simon-ebook-vehiculo-electrico-ppc</v>
      </c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</row>
    <row r="2781" ht="15.75" customHeight="1">
      <c r="A2781" s="5" t="s">
        <v>2618</v>
      </c>
      <c r="B2781" s="5">
        <v>43928.0</v>
      </c>
      <c r="C2781" s="6" t="s">
        <v>4014</v>
      </c>
      <c r="D2781" s="11">
        <f t="shared" si="1"/>
        <v>70</v>
      </c>
      <c r="E2781" s="8" t="str">
        <f t="shared" si="2"/>
        <v>https://resources.simonelectric.com/simon-catalogo-vehiculo-electrico</v>
      </c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</row>
    <row r="2782" ht="15.75" customHeight="1">
      <c r="A2782" s="5" t="s">
        <v>4015</v>
      </c>
      <c r="B2782" s="5">
        <v>43928.0</v>
      </c>
      <c r="C2782" s="6" t="s">
        <v>4016</v>
      </c>
      <c r="D2782" s="11">
        <f t="shared" si="1"/>
        <v>70</v>
      </c>
      <c r="E2782" s="8" t="str">
        <f t="shared" si="2"/>
        <v>https://resources.simonelectric.com/simon-catalogo-vehiculo-electrico</v>
      </c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</row>
    <row r="2783" ht="15.75" customHeight="1">
      <c r="A2783" s="5" t="s">
        <v>4017</v>
      </c>
      <c r="B2783" s="5">
        <v>43928.0</v>
      </c>
      <c r="C2783" s="6" t="s">
        <v>4018</v>
      </c>
      <c r="D2783" s="11">
        <f t="shared" si="1"/>
        <v>69</v>
      </c>
      <c r="E2783" s="8" t="str">
        <f t="shared" si="2"/>
        <v>https://resources.simonelectric.com/simon-ebook-vehiculo-electrico-0</v>
      </c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</row>
    <row r="2784" ht="15.75" customHeight="1">
      <c r="A2784" s="5" t="s">
        <v>4019</v>
      </c>
      <c r="B2784" s="5">
        <v>43928.0</v>
      </c>
      <c r="C2784" s="6" t="s">
        <v>55</v>
      </c>
      <c r="D2784" s="11">
        <f t="shared" si="1"/>
        <v>71</v>
      </c>
      <c r="E2784" s="8" t="str">
        <f t="shared" si="2"/>
        <v>https://resources.simonelectric.com/simon-ebook-vehiculo-electrico-ppc</v>
      </c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</row>
    <row r="2785" ht="15.75" customHeight="1">
      <c r="A2785" s="5" t="s">
        <v>4020</v>
      </c>
      <c r="B2785" s="5">
        <v>43927.0</v>
      </c>
      <c r="C2785" s="6" t="s">
        <v>4021</v>
      </c>
      <c r="D2785" s="11">
        <f t="shared" si="1"/>
        <v>70</v>
      </c>
      <c r="E2785" s="8" t="str">
        <f t="shared" si="2"/>
        <v>https://resources.simonelectric.com/simon-catalogo-vehiculo-electrico</v>
      </c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</row>
    <row r="2786" ht="15.75" customHeight="1">
      <c r="A2786" s="5" t="s">
        <v>4020</v>
      </c>
      <c r="B2786" s="5">
        <v>43927.0</v>
      </c>
      <c r="C2786" s="6" t="s">
        <v>4022</v>
      </c>
      <c r="D2786" s="11">
        <f t="shared" si="1"/>
        <v>67</v>
      </c>
      <c r="E2786" s="8" t="str">
        <f t="shared" si="2"/>
        <v>https://resources.simonelectric.com/simon-ebook-vehiculo-electrico</v>
      </c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</row>
    <row r="2787" ht="15.75" customHeight="1">
      <c r="A2787" s="5" t="s">
        <v>4023</v>
      </c>
      <c r="B2787" s="5">
        <v>43927.0</v>
      </c>
      <c r="C2787" s="6" t="s">
        <v>55</v>
      </c>
      <c r="D2787" s="11">
        <f t="shared" si="1"/>
        <v>71</v>
      </c>
      <c r="E2787" s="8" t="str">
        <f t="shared" si="2"/>
        <v>https://resources.simonelectric.com/simon-ebook-vehiculo-electrico-ppc</v>
      </c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</row>
    <row r="2788" ht="15.75" customHeight="1">
      <c r="A2788" s="5" t="s">
        <v>4024</v>
      </c>
      <c r="B2788" s="5">
        <v>43927.0</v>
      </c>
      <c r="C2788" s="6" t="s">
        <v>4025</v>
      </c>
      <c r="D2788" s="11">
        <f t="shared" si="1"/>
        <v>67</v>
      </c>
      <c r="E2788" s="8" t="str">
        <f t="shared" si="2"/>
        <v>https://resources.simonelectric.com/simon-ebook-vehiculo-electrico</v>
      </c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</row>
    <row r="2789" ht="15.75" customHeight="1">
      <c r="A2789" s="5" t="s">
        <v>4026</v>
      </c>
      <c r="B2789" s="5">
        <v>43927.0</v>
      </c>
      <c r="C2789" s="6" t="s">
        <v>55</v>
      </c>
      <c r="D2789" s="11">
        <f t="shared" si="1"/>
        <v>71</v>
      </c>
      <c r="E2789" s="8" t="str">
        <f t="shared" si="2"/>
        <v>https://resources.simonelectric.com/simon-ebook-vehiculo-electrico-ppc</v>
      </c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</row>
    <row r="2790" ht="15.75" customHeight="1">
      <c r="A2790" s="5" t="s">
        <v>4027</v>
      </c>
      <c r="B2790" s="5">
        <v>43927.0</v>
      </c>
      <c r="C2790" s="6" t="s">
        <v>8</v>
      </c>
      <c r="D2790" s="11">
        <f t="shared" si="1"/>
        <v>67</v>
      </c>
      <c r="E2790" s="8" t="str">
        <f t="shared" si="2"/>
        <v>https://resources.simonelectric.com/simon-ebook-vehiculo-electrico</v>
      </c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</row>
    <row r="2791" ht="15.75" customHeight="1">
      <c r="A2791" s="5" t="s">
        <v>4028</v>
      </c>
      <c r="B2791" s="5">
        <v>43927.0</v>
      </c>
      <c r="C2791" s="6" t="s">
        <v>55</v>
      </c>
      <c r="D2791" s="11">
        <f t="shared" si="1"/>
        <v>71</v>
      </c>
      <c r="E2791" s="8" t="str">
        <f t="shared" si="2"/>
        <v>https://resources.simonelectric.com/simon-ebook-vehiculo-electrico-ppc</v>
      </c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</row>
    <row r="2792" ht="15.75" customHeight="1">
      <c r="A2792" s="5" t="s">
        <v>1519</v>
      </c>
      <c r="B2792" s="5">
        <v>43927.0</v>
      </c>
      <c r="C2792" s="6" t="s">
        <v>4029</v>
      </c>
      <c r="D2792" s="11">
        <f t="shared" si="1"/>
        <v>70</v>
      </c>
      <c r="E2792" s="8" t="str">
        <f t="shared" si="2"/>
        <v>https://resources.simonelectric.com/simon-catalogo-vehiculo-electrico</v>
      </c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</row>
    <row r="2793" ht="15.75" customHeight="1">
      <c r="A2793" s="5" t="s">
        <v>4030</v>
      </c>
      <c r="B2793" s="5">
        <v>43927.0</v>
      </c>
      <c r="C2793" s="6" t="s">
        <v>4031</v>
      </c>
      <c r="D2793" s="11">
        <f t="shared" si="1"/>
        <v>67</v>
      </c>
      <c r="E2793" s="8" t="str">
        <f t="shared" si="2"/>
        <v>https://resources.simonelectric.com/simon-ebook-vehiculo-electrico</v>
      </c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</row>
    <row r="2794" ht="15.75" customHeight="1">
      <c r="A2794" s="5" t="s">
        <v>4032</v>
      </c>
      <c r="B2794" s="5">
        <v>43927.0</v>
      </c>
      <c r="C2794" s="6" t="s">
        <v>4033</v>
      </c>
      <c r="D2794" s="11">
        <f t="shared" si="1"/>
        <v>70</v>
      </c>
      <c r="E2794" s="8" t="str">
        <f t="shared" si="2"/>
        <v>https://resources.simonelectric.com/simon-catalogo-vehiculo-electrico</v>
      </c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</row>
    <row r="2795" ht="15.75" customHeight="1">
      <c r="A2795" s="5" t="s">
        <v>4032</v>
      </c>
      <c r="B2795" s="5">
        <v>43927.0</v>
      </c>
      <c r="C2795" s="6" t="s">
        <v>28</v>
      </c>
      <c r="D2795" s="10" t="str">
        <f t="shared" si="1"/>
        <v>https://resources.simonelectric.com/simon-ebook-vehiculo-electrico</v>
      </c>
      <c r="E2795" s="8" t="str">
        <f t="shared" si="2"/>
        <v>https://resources.simonelectric.com/simon-ebook-vehiculo-electrico</v>
      </c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</row>
    <row r="2796" ht="15.75" customHeight="1">
      <c r="A2796" s="5" t="s">
        <v>4034</v>
      </c>
      <c r="B2796" s="5">
        <v>43927.0</v>
      </c>
      <c r="C2796" s="6" t="s">
        <v>55</v>
      </c>
      <c r="D2796" s="11">
        <f t="shared" si="1"/>
        <v>71</v>
      </c>
      <c r="E2796" s="8" t="str">
        <f t="shared" si="2"/>
        <v>https://resources.simonelectric.com/simon-ebook-vehiculo-electrico-ppc</v>
      </c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</row>
    <row r="2797" ht="15.75" customHeight="1">
      <c r="A2797" s="5" t="s">
        <v>4030</v>
      </c>
      <c r="B2797" s="5">
        <v>43927.0</v>
      </c>
      <c r="C2797" s="6" t="s">
        <v>4035</v>
      </c>
      <c r="D2797" s="11">
        <f t="shared" si="1"/>
        <v>67</v>
      </c>
      <c r="E2797" s="8" t="str">
        <f t="shared" si="2"/>
        <v>https://resources.simonelectric.com/simon-ebook-vehiculo-electrico</v>
      </c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</row>
    <row r="2798" ht="15.75" customHeight="1">
      <c r="A2798" s="5" t="s">
        <v>4036</v>
      </c>
      <c r="B2798" s="5">
        <v>43927.0</v>
      </c>
      <c r="C2798" s="6" t="s">
        <v>4037</v>
      </c>
      <c r="D2798" s="11">
        <f t="shared" si="1"/>
        <v>70</v>
      </c>
      <c r="E2798" s="8" t="str">
        <f t="shared" si="2"/>
        <v>https://resources.simonelectric.com/simon-catalogo-vehiculo-electrico</v>
      </c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</row>
    <row r="2799" ht="15.75" customHeight="1">
      <c r="A2799" s="5" t="s">
        <v>4038</v>
      </c>
      <c r="B2799" s="5">
        <v>43927.0</v>
      </c>
      <c r="C2799" s="6" t="s">
        <v>4039</v>
      </c>
      <c r="D2799" s="11">
        <f t="shared" si="1"/>
        <v>70</v>
      </c>
      <c r="E2799" s="8" t="str">
        <f t="shared" si="2"/>
        <v>https://resources.simonelectric.com/simon-catalogo-vehiculo-electrico</v>
      </c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</row>
    <row r="2800" ht="15.75" customHeight="1">
      <c r="A2800" s="5" t="s">
        <v>4040</v>
      </c>
      <c r="B2800" s="5">
        <v>43927.0</v>
      </c>
      <c r="C2800" s="6" t="s">
        <v>31</v>
      </c>
      <c r="D2800" s="11">
        <f t="shared" si="1"/>
        <v>67</v>
      </c>
      <c r="E2800" s="8" t="str">
        <f t="shared" si="2"/>
        <v>https://resources.simonelectric.com/simon-ebook-vehiculo-electrico</v>
      </c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</row>
    <row r="2801" ht="15.75" customHeight="1">
      <c r="A2801" s="5" t="s">
        <v>4041</v>
      </c>
      <c r="B2801" s="5">
        <v>43927.0</v>
      </c>
      <c r="C2801" s="6" t="s">
        <v>55</v>
      </c>
      <c r="D2801" s="11">
        <f t="shared" si="1"/>
        <v>71</v>
      </c>
      <c r="E2801" s="8" t="str">
        <f t="shared" si="2"/>
        <v>https://resources.simonelectric.com/simon-ebook-vehiculo-electrico-ppc</v>
      </c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</row>
    <row r="2802" ht="15.75" customHeight="1">
      <c r="A2802" s="5" t="s">
        <v>4042</v>
      </c>
      <c r="B2802" s="5">
        <v>43927.0</v>
      </c>
      <c r="C2802" s="6" t="s">
        <v>55</v>
      </c>
      <c r="D2802" s="11">
        <f t="shared" si="1"/>
        <v>71</v>
      </c>
      <c r="E2802" s="8" t="str">
        <f t="shared" si="2"/>
        <v>https://resources.simonelectric.com/simon-ebook-vehiculo-electrico-ppc</v>
      </c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</row>
    <row r="2803" ht="15.75" customHeight="1">
      <c r="A2803" s="5" t="s">
        <v>4043</v>
      </c>
      <c r="B2803" s="5">
        <v>43926.0</v>
      </c>
      <c r="C2803" s="6" t="s">
        <v>55</v>
      </c>
      <c r="D2803" s="11">
        <f t="shared" si="1"/>
        <v>71</v>
      </c>
      <c r="E2803" s="8" t="str">
        <f t="shared" si="2"/>
        <v>https://resources.simonelectric.com/simon-ebook-vehiculo-electrico-ppc</v>
      </c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</row>
    <row r="2804" ht="15.75" customHeight="1">
      <c r="A2804" s="5" t="s">
        <v>4044</v>
      </c>
      <c r="B2804" s="5">
        <v>43926.0</v>
      </c>
      <c r="C2804" s="6" t="s">
        <v>4045</v>
      </c>
      <c r="D2804" s="11">
        <f t="shared" si="1"/>
        <v>71</v>
      </c>
      <c r="E2804" s="8" t="str">
        <f t="shared" si="2"/>
        <v>https://resources.simonelectric.com/simon-ebook-vehiculo-electrico-ppc</v>
      </c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</row>
    <row r="2805" ht="15.75" customHeight="1">
      <c r="A2805" s="5" t="s">
        <v>4046</v>
      </c>
      <c r="B2805" s="5">
        <v>43926.0</v>
      </c>
      <c r="C2805" s="6" t="s">
        <v>55</v>
      </c>
      <c r="D2805" s="11">
        <f t="shared" si="1"/>
        <v>71</v>
      </c>
      <c r="E2805" s="8" t="str">
        <f t="shared" si="2"/>
        <v>https://resources.simonelectric.com/simon-ebook-vehiculo-electrico-ppc</v>
      </c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</row>
    <row r="2806" ht="15.75" customHeight="1">
      <c r="A2806" s="5" t="s">
        <v>4047</v>
      </c>
      <c r="B2806" s="5">
        <v>43926.0</v>
      </c>
      <c r="C2806" s="6" t="s">
        <v>55</v>
      </c>
      <c r="D2806" s="11">
        <f t="shared" si="1"/>
        <v>71</v>
      </c>
      <c r="E2806" s="8" t="str">
        <f t="shared" si="2"/>
        <v>https://resources.simonelectric.com/simon-ebook-vehiculo-electrico-ppc</v>
      </c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</row>
    <row r="2807" ht="15.75" customHeight="1">
      <c r="A2807" s="5" t="s">
        <v>4048</v>
      </c>
      <c r="B2807" s="5">
        <v>43926.0</v>
      </c>
      <c r="C2807" s="6" t="s">
        <v>55</v>
      </c>
      <c r="D2807" s="11">
        <f t="shared" si="1"/>
        <v>71</v>
      </c>
      <c r="E2807" s="8" t="str">
        <f t="shared" si="2"/>
        <v>https://resources.simonelectric.com/simon-ebook-vehiculo-electrico-ppc</v>
      </c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</row>
    <row r="2808" ht="15.75" customHeight="1">
      <c r="A2808" s="5" t="s">
        <v>4049</v>
      </c>
      <c r="B2808" s="5">
        <v>43925.0</v>
      </c>
      <c r="C2808" s="6" t="s">
        <v>55</v>
      </c>
      <c r="D2808" s="11">
        <f t="shared" si="1"/>
        <v>71</v>
      </c>
      <c r="E2808" s="8" t="str">
        <f t="shared" si="2"/>
        <v>https://resources.simonelectric.com/simon-ebook-vehiculo-electrico-ppc</v>
      </c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</row>
    <row r="2809" ht="15.75" customHeight="1">
      <c r="A2809" s="5" t="s">
        <v>2995</v>
      </c>
      <c r="B2809" s="5">
        <v>43925.0</v>
      </c>
      <c r="C2809" s="6" t="s">
        <v>75</v>
      </c>
      <c r="D2809" s="11">
        <f t="shared" si="1"/>
        <v>67</v>
      </c>
      <c r="E2809" s="8" t="str">
        <f t="shared" si="2"/>
        <v>https://resources.simonelectric.com/simon-ebook-vehiculo-electrico</v>
      </c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</row>
    <row r="2810" ht="15.75" customHeight="1">
      <c r="A2810" s="5" t="s">
        <v>4050</v>
      </c>
      <c r="B2810" s="5">
        <v>43925.0</v>
      </c>
      <c r="C2810" s="6" t="s">
        <v>55</v>
      </c>
      <c r="D2810" s="11">
        <f t="shared" si="1"/>
        <v>71</v>
      </c>
      <c r="E2810" s="8" t="str">
        <f t="shared" si="2"/>
        <v>https://resources.simonelectric.com/simon-ebook-vehiculo-electrico-ppc</v>
      </c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</row>
    <row r="2811" ht="15.75" customHeight="1">
      <c r="A2811" s="5" t="s">
        <v>4051</v>
      </c>
      <c r="B2811" s="5">
        <v>43925.0</v>
      </c>
      <c r="C2811" s="6" t="s">
        <v>55</v>
      </c>
      <c r="D2811" s="11">
        <f t="shared" si="1"/>
        <v>71</v>
      </c>
      <c r="E2811" s="8" t="str">
        <f t="shared" si="2"/>
        <v>https://resources.simonelectric.com/simon-ebook-vehiculo-electrico-ppc</v>
      </c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</row>
    <row r="2812" ht="15.75" customHeight="1">
      <c r="A2812" s="5" t="s">
        <v>4052</v>
      </c>
      <c r="B2812" s="5">
        <v>43925.0</v>
      </c>
      <c r="C2812" s="6" t="s">
        <v>55</v>
      </c>
      <c r="D2812" s="11">
        <f t="shared" si="1"/>
        <v>71</v>
      </c>
      <c r="E2812" s="8" t="str">
        <f t="shared" si="2"/>
        <v>https://resources.simonelectric.com/simon-ebook-vehiculo-electrico-ppc</v>
      </c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</row>
    <row r="2813" ht="15.75" customHeight="1">
      <c r="A2813" s="5" t="s">
        <v>3966</v>
      </c>
      <c r="B2813" s="5">
        <v>43925.0</v>
      </c>
      <c r="C2813" s="6" t="s">
        <v>55</v>
      </c>
      <c r="D2813" s="11">
        <f t="shared" si="1"/>
        <v>71</v>
      </c>
      <c r="E2813" s="8" t="str">
        <f t="shared" si="2"/>
        <v>https://resources.simonelectric.com/simon-ebook-vehiculo-electrico-ppc</v>
      </c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</row>
    <row r="2814" ht="15.75" customHeight="1">
      <c r="A2814" s="5" t="s">
        <v>4053</v>
      </c>
      <c r="B2814" s="5">
        <v>43925.0</v>
      </c>
      <c r="C2814" s="6" t="s">
        <v>55</v>
      </c>
      <c r="D2814" s="11">
        <f t="shared" si="1"/>
        <v>71</v>
      </c>
      <c r="E2814" s="8" t="str">
        <f t="shared" si="2"/>
        <v>https://resources.simonelectric.com/simon-ebook-vehiculo-electrico-ppc</v>
      </c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</row>
    <row r="2815" ht="15.75" customHeight="1">
      <c r="A2815" s="5" t="s">
        <v>4054</v>
      </c>
      <c r="B2815" s="5">
        <v>43925.0</v>
      </c>
      <c r="C2815" s="6" t="s">
        <v>28</v>
      </c>
      <c r="D2815" s="10" t="str">
        <f t="shared" si="1"/>
        <v>https://resources.simonelectric.com/simon-ebook-vehiculo-electrico</v>
      </c>
      <c r="E2815" s="8" t="str">
        <f t="shared" si="2"/>
        <v>https://resources.simonelectric.com/simon-ebook-vehiculo-electrico</v>
      </c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</row>
    <row r="2816" ht="15.75" customHeight="1">
      <c r="A2816" s="5" t="s">
        <v>4055</v>
      </c>
      <c r="B2816" s="5">
        <v>43924.0</v>
      </c>
      <c r="C2816" s="6" t="s">
        <v>28</v>
      </c>
      <c r="D2816" s="10" t="str">
        <f t="shared" si="1"/>
        <v>https://resources.simonelectric.com/simon-ebook-vehiculo-electrico</v>
      </c>
      <c r="E2816" s="8" t="str">
        <f t="shared" si="2"/>
        <v>https://resources.simonelectric.com/simon-ebook-vehiculo-electrico</v>
      </c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</row>
    <row r="2817" ht="15.75" customHeight="1">
      <c r="A2817" s="5" t="s">
        <v>4056</v>
      </c>
      <c r="B2817" s="5">
        <v>43924.0</v>
      </c>
      <c r="C2817" s="6" t="s">
        <v>55</v>
      </c>
      <c r="D2817" s="10">
        <f t="shared" si="1"/>
        <v>71</v>
      </c>
      <c r="E2817" s="8" t="str">
        <f t="shared" si="2"/>
        <v>https://resources.simonelectric.com/simon-ebook-vehiculo-electrico-ppc</v>
      </c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</row>
    <row r="2818" ht="15.75" customHeight="1">
      <c r="A2818" s="5" t="s">
        <v>4057</v>
      </c>
      <c r="B2818" s="5">
        <v>43924.0</v>
      </c>
      <c r="C2818" s="6" t="s">
        <v>6</v>
      </c>
      <c r="D2818" s="11">
        <f t="shared" si="1"/>
        <v>67</v>
      </c>
      <c r="E2818" s="8" t="str">
        <f t="shared" si="2"/>
        <v>https://resources.simonelectric.com/simon-ebook-vehiculo-electrico</v>
      </c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</row>
    <row r="2819" ht="15.75" customHeight="1">
      <c r="A2819" s="5" t="s">
        <v>4058</v>
      </c>
      <c r="B2819" s="5">
        <v>43924.0</v>
      </c>
      <c r="C2819" s="6" t="s">
        <v>8</v>
      </c>
      <c r="D2819" s="11">
        <f t="shared" si="1"/>
        <v>67</v>
      </c>
      <c r="E2819" s="8" t="str">
        <f t="shared" si="2"/>
        <v>https://resources.simonelectric.com/simon-ebook-vehiculo-electrico</v>
      </c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</row>
    <row r="2820" ht="15.75" customHeight="1">
      <c r="A2820" s="5" t="s">
        <v>4059</v>
      </c>
      <c r="B2820" s="5">
        <v>43924.0</v>
      </c>
      <c r="C2820" s="6" t="s">
        <v>55</v>
      </c>
      <c r="D2820" s="11">
        <f t="shared" si="1"/>
        <v>71</v>
      </c>
      <c r="E2820" s="8" t="str">
        <f t="shared" si="2"/>
        <v>https://resources.simonelectric.com/simon-ebook-vehiculo-electrico-ppc</v>
      </c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</row>
    <row r="2821" ht="15.75" customHeight="1">
      <c r="A2821" s="5" t="s">
        <v>4060</v>
      </c>
      <c r="B2821" s="5">
        <v>43924.0</v>
      </c>
      <c r="C2821" s="6" t="s">
        <v>55</v>
      </c>
      <c r="D2821" s="11">
        <f t="shared" si="1"/>
        <v>71</v>
      </c>
      <c r="E2821" s="8" t="str">
        <f t="shared" si="2"/>
        <v>https://resources.simonelectric.com/simon-ebook-vehiculo-electrico-ppc</v>
      </c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</row>
    <row r="2822" ht="15.75" customHeight="1">
      <c r="A2822" s="5" t="s">
        <v>4061</v>
      </c>
      <c r="B2822" s="5">
        <v>43924.0</v>
      </c>
      <c r="C2822" s="6" t="s">
        <v>4062</v>
      </c>
      <c r="D2822" s="11">
        <f t="shared" si="1"/>
        <v>71</v>
      </c>
      <c r="E2822" s="8" t="str">
        <f t="shared" si="2"/>
        <v>https://resources.simonelectric.com/simon-ebook-vehiculo-electrico-ppc</v>
      </c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</row>
    <row r="2823" ht="15.75" customHeight="1">
      <c r="A2823" s="5" t="s">
        <v>4063</v>
      </c>
      <c r="B2823" s="5">
        <v>43924.0</v>
      </c>
      <c r="C2823" s="6" t="s">
        <v>55</v>
      </c>
      <c r="D2823" s="11">
        <f t="shared" si="1"/>
        <v>71</v>
      </c>
      <c r="E2823" s="8" t="str">
        <f t="shared" si="2"/>
        <v>https://resources.simonelectric.com/simon-ebook-vehiculo-electrico-ppc</v>
      </c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</row>
    <row r="2824" ht="15.75" customHeight="1">
      <c r="A2824" s="5" t="s">
        <v>4064</v>
      </c>
      <c r="B2824" s="5">
        <v>43924.0</v>
      </c>
      <c r="C2824" s="6" t="s">
        <v>55</v>
      </c>
      <c r="D2824" s="11">
        <f t="shared" si="1"/>
        <v>71</v>
      </c>
      <c r="E2824" s="8" t="str">
        <f t="shared" si="2"/>
        <v>https://resources.simonelectric.com/simon-ebook-vehiculo-electrico-ppc</v>
      </c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</row>
    <row r="2825" ht="15.75" customHeight="1">
      <c r="A2825" s="5" t="s">
        <v>4065</v>
      </c>
      <c r="B2825" s="5">
        <v>43924.0</v>
      </c>
      <c r="C2825" s="6" t="s">
        <v>6</v>
      </c>
      <c r="D2825" s="11">
        <f t="shared" si="1"/>
        <v>67</v>
      </c>
      <c r="E2825" s="8" t="str">
        <f t="shared" si="2"/>
        <v>https://resources.simonelectric.com/simon-ebook-vehiculo-electrico</v>
      </c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</row>
    <row r="2826" ht="15.75" customHeight="1">
      <c r="A2826" s="5" t="s">
        <v>4066</v>
      </c>
      <c r="B2826" s="5">
        <v>43924.0</v>
      </c>
      <c r="C2826" s="6" t="s">
        <v>8</v>
      </c>
      <c r="D2826" s="11">
        <f t="shared" si="1"/>
        <v>67</v>
      </c>
      <c r="E2826" s="8" t="str">
        <f t="shared" si="2"/>
        <v>https://resources.simonelectric.com/simon-ebook-vehiculo-electrico</v>
      </c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</row>
    <row r="2827" ht="15.75" customHeight="1">
      <c r="A2827" s="5" t="s">
        <v>4066</v>
      </c>
      <c r="B2827" s="5">
        <v>43924.0</v>
      </c>
      <c r="C2827" s="6" t="s">
        <v>4067</v>
      </c>
      <c r="D2827" s="11">
        <f t="shared" si="1"/>
        <v>70</v>
      </c>
      <c r="E2827" s="8" t="str">
        <f t="shared" si="2"/>
        <v>https://resources.simonelectric.com/simon-catalogo-vehiculo-electrico</v>
      </c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</row>
    <row r="2828" ht="15.75" customHeight="1">
      <c r="A2828" s="5" t="s">
        <v>4066</v>
      </c>
      <c r="B2828" s="5">
        <v>43924.0</v>
      </c>
      <c r="C2828" s="6" t="s">
        <v>8</v>
      </c>
      <c r="D2828" s="11">
        <f t="shared" si="1"/>
        <v>67</v>
      </c>
      <c r="E2828" s="8" t="str">
        <f t="shared" si="2"/>
        <v>https://resources.simonelectric.com/simon-ebook-vehiculo-electrico</v>
      </c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</row>
    <row r="2829" ht="15.75" customHeight="1">
      <c r="A2829" s="5" t="s">
        <v>4068</v>
      </c>
      <c r="B2829" s="5">
        <v>43924.0</v>
      </c>
      <c r="C2829" s="6" t="s">
        <v>4069</v>
      </c>
      <c r="D2829" s="11">
        <f t="shared" si="1"/>
        <v>67</v>
      </c>
      <c r="E2829" s="8" t="str">
        <f t="shared" si="2"/>
        <v>https://resources.simonelectric.com/simon-ebook-vehiculo-electrico</v>
      </c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</row>
    <row r="2830" ht="15.75" customHeight="1">
      <c r="A2830" s="5" t="s">
        <v>4070</v>
      </c>
      <c r="B2830" s="5">
        <v>43924.0</v>
      </c>
      <c r="C2830" s="6" t="s">
        <v>55</v>
      </c>
      <c r="D2830" s="11">
        <f t="shared" si="1"/>
        <v>71</v>
      </c>
      <c r="E2830" s="8" t="str">
        <f t="shared" si="2"/>
        <v>https://resources.simonelectric.com/simon-ebook-vehiculo-electrico-ppc</v>
      </c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</row>
    <row r="2831" ht="15.75" customHeight="1">
      <c r="A2831" s="5" t="s">
        <v>4071</v>
      </c>
      <c r="B2831" s="5">
        <v>43924.0</v>
      </c>
      <c r="C2831" s="6" t="s">
        <v>4072</v>
      </c>
      <c r="D2831" s="11">
        <f t="shared" si="1"/>
        <v>69</v>
      </c>
      <c r="E2831" s="8" t="str">
        <f t="shared" si="2"/>
        <v>https://resources.simonelectric.com/simon-ebook-vehiculo-electrico-0</v>
      </c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</row>
    <row r="2832" ht="15.75" customHeight="1">
      <c r="A2832" s="5" t="s">
        <v>4073</v>
      </c>
      <c r="B2832" s="5">
        <v>43924.0</v>
      </c>
      <c r="C2832" s="6" t="s">
        <v>4074</v>
      </c>
      <c r="D2832" s="11">
        <f t="shared" si="1"/>
        <v>67</v>
      </c>
      <c r="E2832" s="8" t="str">
        <f t="shared" si="2"/>
        <v>https://resources.simonelectric.com/simon-ebook-vehiculo-electrico</v>
      </c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</row>
    <row r="2833" ht="15.75" customHeight="1">
      <c r="A2833" s="5" t="s">
        <v>4075</v>
      </c>
      <c r="B2833" s="5">
        <v>43924.0</v>
      </c>
      <c r="C2833" s="6" t="s">
        <v>55</v>
      </c>
      <c r="D2833" s="11">
        <f t="shared" si="1"/>
        <v>71</v>
      </c>
      <c r="E2833" s="8" t="str">
        <f t="shared" si="2"/>
        <v>https://resources.simonelectric.com/simon-ebook-vehiculo-electrico-ppc</v>
      </c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</row>
    <row r="2834" ht="15.75" customHeight="1">
      <c r="A2834" s="5" t="s">
        <v>4076</v>
      </c>
      <c r="B2834" s="5">
        <v>43924.0</v>
      </c>
      <c r="C2834" s="6" t="s">
        <v>4077</v>
      </c>
      <c r="D2834" s="11">
        <f t="shared" si="1"/>
        <v>69</v>
      </c>
      <c r="E2834" s="8" t="str">
        <f t="shared" si="2"/>
        <v>https://resources.simonelectric.com/simon-ebook-vehiculo-electrico-0</v>
      </c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</row>
    <row r="2835" ht="15.75" customHeight="1">
      <c r="A2835" s="5" t="s">
        <v>4078</v>
      </c>
      <c r="B2835" s="5">
        <v>43923.0</v>
      </c>
      <c r="C2835" s="6" t="s">
        <v>55</v>
      </c>
      <c r="D2835" s="11">
        <f t="shared" si="1"/>
        <v>71</v>
      </c>
      <c r="E2835" s="8" t="str">
        <f t="shared" si="2"/>
        <v>https://resources.simonelectric.com/simon-ebook-vehiculo-electrico-ppc</v>
      </c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</row>
    <row r="2836" ht="15.75" customHeight="1">
      <c r="A2836" s="5" t="s">
        <v>4079</v>
      </c>
      <c r="B2836" s="5">
        <v>43923.0</v>
      </c>
      <c r="C2836" s="6" t="s">
        <v>6</v>
      </c>
      <c r="D2836" s="11">
        <f t="shared" si="1"/>
        <v>67</v>
      </c>
      <c r="E2836" s="8" t="str">
        <f t="shared" si="2"/>
        <v>https://resources.simonelectric.com/simon-ebook-vehiculo-electrico</v>
      </c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</row>
    <row r="2837" ht="15.75" customHeight="1">
      <c r="A2837" s="5" t="s">
        <v>4080</v>
      </c>
      <c r="B2837" s="5">
        <v>43923.0</v>
      </c>
      <c r="C2837" s="6" t="s">
        <v>55</v>
      </c>
      <c r="D2837" s="11">
        <f t="shared" si="1"/>
        <v>71</v>
      </c>
      <c r="E2837" s="8" t="str">
        <f t="shared" si="2"/>
        <v>https://resources.simonelectric.com/simon-ebook-vehiculo-electrico-ppc</v>
      </c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</row>
    <row r="2838" ht="15.75" customHeight="1">
      <c r="A2838" s="5" t="s">
        <v>4081</v>
      </c>
      <c r="B2838" s="5">
        <v>43923.0</v>
      </c>
      <c r="C2838" s="6" t="s">
        <v>4082</v>
      </c>
      <c r="D2838" s="11">
        <f t="shared" si="1"/>
        <v>67</v>
      </c>
      <c r="E2838" s="8" t="str">
        <f t="shared" si="2"/>
        <v>https://resources.simonelectric.com/simon-ebook-vehiculo-electrico</v>
      </c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</row>
    <row r="2839" ht="15.75" customHeight="1">
      <c r="A2839" s="5" t="s">
        <v>4083</v>
      </c>
      <c r="B2839" s="5">
        <v>43923.0</v>
      </c>
      <c r="C2839" s="6" t="s">
        <v>55</v>
      </c>
      <c r="D2839" s="11">
        <f t="shared" si="1"/>
        <v>71</v>
      </c>
      <c r="E2839" s="8" t="str">
        <f t="shared" si="2"/>
        <v>https://resources.simonelectric.com/simon-ebook-vehiculo-electrico-ppc</v>
      </c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</row>
    <row r="2840" ht="15.75" customHeight="1">
      <c r="A2840" s="5" t="s">
        <v>4084</v>
      </c>
      <c r="B2840" s="5">
        <v>43923.0</v>
      </c>
      <c r="C2840" s="6" t="s">
        <v>8</v>
      </c>
      <c r="D2840" s="11">
        <f t="shared" si="1"/>
        <v>67</v>
      </c>
      <c r="E2840" s="8" t="str">
        <f t="shared" si="2"/>
        <v>https://resources.simonelectric.com/simon-ebook-vehiculo-electrico</v>
      </c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</row>
    <row r="2841" ht="15.75" customHeight="1">
      <c r="A2841" s="5" t="s">
        <v>1720</v>
      </c>
      <c r="B2841" s="5">
        <v>43923.0</v>
      </c>
      <c r="C2841" s="6" t="s">
        <v>4085</v>
      </c>
      <c r="D2841" s="11">
        <f t="shared" si="1"/>
        <v>67</v>
      </c>
      <c r="E2841" s="8" t="str">
        <f t="shared" si="2"/>
        <v>https://resources.simonelectric.com/simon-ebook-vehiculo-electrico</v>
      </c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</row>
    <row r="2842" ht="15.75" customHeight="1">
      <c r="A2842" s="5" t="s">
        <v>4086</v>
      </c>
      <c r="B2842" s="5">
        <v>43923.0</v>
      </c>
      <c r="C2842" s="6" t="s">
        <v>6</v>
      </c>
      <c r="D2842" s="11">
        <f t="shared" si="1"/>
        <v>67</v>
      </c>
      <c r="E2842" s="8" t="str">
        <f t="shared" si="2"/>
        <v>https://resources.simonelectric.com/simon-ebook-vehiculo-electrico</v>
      </c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</row>
    <row r="2843" ht="15.75" customHeight="1">
      <c r="A2843" s="5" t="s">
        <v>3553</v>
      </c>
      <c r="B2843" s="5">
        <v>43923.0</v>
      </c>
      <c r="C2843" s="6" t="s">
        <v>4087</v>
      </c>
      <c r="D2843" s="11">
        <f t="shared" si="1"/>
        <v>70</v>
      </c>
      <c r="E2843" s="8" t="str">
        <f t="shared" si="2"/>
        <v>https://resources.simonelectric.com/simon-catalogo-vehiculo-electrico</v>
      </c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</row>
    <row r="2844" ht="15.75" customHeight="1">
      <c r="A2844" s="5" t="s">
        <v>3553</v>
      </c>
      <c r="B2844" s="5">
        <v>43923.0</v>
      </c>
      <c r="C2844" s="6" t="s">
        <v>8</v>
      </c>
      <c r="D2844" s="11">
        <f t="shared" si="1"/>
        <v>67</v>
      </c>
      <c r="E2844" s="8" t="str">
        <f t="shared" si="2"/>
        <v>https://resources.simonelectric.com/simon-ebook-vehiculo-electrico</v>
      </c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</row>
    <row r="2845" ht="15.75" customHeight="1">
      <c r="A2845" s="5" t="s">
        <v>4088</v>
      </c>
      <c r="B2845" s="5">
        <v>43923.0</v>
      </c>
      <c r="C2845" s="6" t="s">
        <v>55</v>
      </c>
      <c r="D2845" s="11">
        <f t="shared" si="1"/>
        <v>71</v>
      </c>
      <c r="E2845" s="8" t="str">
        <f t="shared" si="2"/>
        <v>https://resources.simonelectric.com/simon-ebook-vehiculo-electrico-ppc</v>
      </c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</row>
    <row r="2846" ht="15.75" customHeight="1">
      <c r="A2846" s="5" t="s">
        <v>4089</v>
      </c>
      <c r="B2846" s="5">
        <v>43923.0</v>
      </c>
      <c r="C2846" s="6" t="s">
        <v>75</v>
      </c>
      <c r="D2846" s="11">
        <f t="shared" si="1"/>
        <v>67</v>
      </c>
      <c r="E2846" s="8" t="str">
        <f t="shared" si="2"/>
        <v>https://resources.simonelectric.com/simon-ebook-vehiculo-electrico</v>
      </c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</row>
    <row r="2847" ht="15.75" customHeight="1">
      <c r="A2847" s="5" t="s">
        <v>3145</v>
      </c>
      <c r="B2847" s="5">
        <v>43923.0</v>
      </c>
      <c r="C2847" s="6" t="s">
        <v>55</v>
      </c>
      <c r="D2847" s="11">
        <f t="shared" si="1"/>
        <v>71</v>
      </c>
      <c r="E2847" s="8" t="str">
        <f t="shared" si="2"/>
        <v>https://resources.simonelectric.com/simon-ebook-vehiculo-electrico-ppc</v>
      </c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</row>
    <row r="2848" ht="15.75" customHeight="1">
      <c r="A2848" s="5" t="s">
        <v>4090</v>
      </c>
      <c r="B2848" s="5">
        <v>43922.0</v>
      </c>
      <c r="C2848" s="6" t="s">
        <v>55</v>
      </c>
      <c r="D2848" s="11">
        <f t="shared" si="1"/>
        <v>71</v>
      </c>
      <c r="E2848" s="8" t="str">
        <f t="shared" si="2"/>
        <v>https://resources.simonelectric.com/simon-ebook-vehiculo-electrico-ppc</v>
      </c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</row>
    <row r="2849" ht="15.75" customHeight="1">
      <c r="A2849" s="5" t="s">
        <v>4091</v>
      </c>
      <c r="B2849" s="5">
        <v>43922.0</v>
      </c>
      <c r="C2849" s="6" t="s">
        <v>55</v>
      </c>
      <c r="D2849" s="11">
        <f t="shared" si="1"/>
        <v>71</v>
      </c>
      <c r="E2849" s="8" t="str">
        <f t="shared" si="2"/>
        <v>https://resources.simonelectric.com/simon-ebook-vehiculo-electrico-ppc</v>
      </c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</row>
    <row r="2850" ht="15.75" customHeight="1">
      <c r="A2850" s="5" t="s">
        <v>4092</v>
      </c>
      <c r="B2850" s="5">
        <v>43922.0</v>
      </c>
      <c r="C2850" s="6" t="s">
        <v>4093</v>
      </c>
      <c r="D2850" s="11">
        <f t="shared" si="1"/>
        <v>67</v>
      </c>
      <c r="E2850" s="8" t="str">
        <f t="shared" si="2"/>
        <v>https://resources.simonelectric.com/simon-ebook-vehiculo-electrico</v>
      </c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</row>
    <row r="2851" ht="15.75" customHeight="1">
      <c r="A2851" s="5" t="s">
        <v>4094</v>
      </c>
      <c r="B2851" s="5">
        <v>43922.0</v>
      </c>
      <c r="C2851" s="6" t="s">
        <v>55</v>
      </c>
      <c r="D2851" s="11">
        <f t="shared" si="1"/>
        <v>71</v>
      </c>
      <c r="E2851" s="8" t="str">
        <f t="shared" si="2"/>
        <v>https://resources.simonelectric.com/simon-ebook-vehiculo-electrico-ppc</v>
      </c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</row>
    <row r="2852" ht="15.75" customHeight="1">
      <c r="A2852" s="5" t="s">
        <v>4095</v>
      </c>
      <c r="B2852" s="5">
        <v>43922.0</v>
      </c>
      <c r="C2852" s="6" t="s">
        <v>75</v>
      </c>
      <c r="D2852" s="10">
        <f t="shared" si="1"/>
        <v>67</v>
      </c>
      <c r="E2852" s="8" t="str">
        <f t="shared" si="2"/>
        <v>https://resources.simonelectric.com/simon-ebook-vehiculo-electrico</v>
      </c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</row>
    <row r="2853" ht="15.75" customHeight="1">
      <c r="A2853" s="5" t="s">
        <v>4096</v>
      </c>
      <c r="B2853" s="5">
        <v>43922.0</v>
      </c>
      <c r="C2853" s="6" t="s">
        <v>4097</v>
      </c>
      <c r="D2853" s="11">
        <f t="shared" si="1"/>
        <v>71</v>
      </c>
      <c r="E2853" s="8" t="str">
        <f t="shared" si="2"/>
        <v>https://resources.simonelectric.com/simon-ebook-vehiculo-electrico-ppc</v>
      </c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</row>
    <row r="2854" ht="15.75" customHeight="1">
      <c r="A2854" s="5" t="s">
        <v>4098</v>
      </c>
      <c r="B2854" s="5">
        <v>43922.0</v>
      </c>
      <c r="C2854" s="6" t="s">
        <v>8</v>
      </c>
      <c r="D2854" s="11">
        <f t="shared" si="1"/>
        <v>67</v>
      </c>
      <c r="E2854" s="8" t="str">
        <f t="shared" si="2"/>
        <v>https://resources.simonelectric.com/simon-ebook-vehiculo-electrico</v>
      </c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</row>
    <row r="2855" ht="15.75" customHeight="1">
      <c r="A2855" s="5" t="s">
        <v>4099</v>
      </c>
      <c r="B2855" s="5">
        <v>43922.0</v>
      </c>
      <c r="C2855" s="6" t="s">
        <v>4100</v>
      </c>
      <c r="D2855" s="11">
        <f t="shared" si="1"/>
        <v>71</v>
      </c>
      <c r="E2855" s="8" t="str">
        <f t="shared" si="2"/>
        <v>https://resources.simonelectric.com/simon-ebook-vehiculo-electrico-ppc</v>
      </c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</row>
    <row r="2856" ht="15.75" customHeight="1">
      <c r="A2856" s="5" t="s">
        <v>4101</v>
      </c>
      <c r="B2856" s="5">
        <v>43922.0</v>
      </c>
      <c r="C2856" s="6" t="s">
        <v>55</v>
      </c>
      <c r="D2856" s="11">
        <f t="shared" si="1"/>
        <v>71</v>
      </c>
      <c r="E2856" s="8" t="str">
        <f t="shared" si="2"/>
        <v>https://resources.simonelectric.com/simon-ebook-vehiculo-electrico-ppc</v>
      </c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</row>
    <row r="2857" ht="15.75" customHeight="1">
      <c r="A2857" s="5" t="s">
        <v>4102</v>
      </c>
      <c r="B2857" s="5">
        <v>43922.0</v>
      </c>
      <c r="C2857" s="6" t="s">
        <v>28</v>
      </c>
      <c r="D2857" s="10" t="str">
        <f t="shared" si="1"/>
        <v>https://resources.simonelectric.com/simon-ebook-vehiculo-electrico</v>
      </c>
      <c r="E2857" s="8" t="str">
        <f t="shared" si="2"/>
        <v>https://resources.simonelectric.com/simon-ebook-vehiculo-electrico</v>
      </c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</row>
    <row r="2858" ht="15.75" customHeight="1">
      <c r="A2858" s="5" t="s">
        <v>4103</v>
      </c>
      <c r="B2858" s="5">
        <v>43922.0</v>
      </c>
      <c r="C2858" s="6" t="s">
        <v>4104</v>
      </c>
      <c r="D2858" s="11">
        <f t="shared" si="1"/>
        <v>69</v>
      </c>
      <c r="E2858" s="8" t="str">
        <f t="shared" si="2"/>
        <v>https://resources.simonelectric.com/simon-ebook-vehiculo-electrico-0</v>
      </c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</row>
    <row r="2859" ht="15.75" customHeight="1">
      <c r="A2859" s="5" t="s">
        <v>4105</v>
      </c>
      <c r="B2859" s="5">
        <v>43922.0</v>
      </c>
      <c r="C2859" s="6" t="s">
        <v>55</v>
      </c>
      <c r="D2859" s="11">
        <f t="shared" si="1"/>
        <v>71</v>
      </c>
      <c r="E2859" s="8" t="str">
        <f t="shared" si="2"/>
        <v>https://resources.simonelectric.com/simon-ebook-vehiculo-electrico-ppc</v>
      </c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</row>
    <row r="2860" ht="15.75" customHeight="1">
      <c r="A2860" s="5" t="s">
        <v>4106</v>
      </c>
      <c r="B2860" s="5">
        <v>43922.0</v>
      </c>
      <c r="C2860" s="6" t="s">
        <v>8</v>
      </c>
      <c r="D2860" s="11">
        <f t="shared" si="1"/>
        <v>67</v>
      </c>
      <c r="E2860" s="8" t="str">
        <f t="shared" si="2"/>
        <v>https://resources.simonelectric.com/simon-ebook-vehiculo-electrico</v>
      </c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</row>
    <row r="2861" ht="15.75" customHeight="1">
      <c r="A2861" s="5" t="s">
        <v>3205</v>
      </c>
      <c r="B2861" s="5">
        <v>43922.0</v>
      </c>
      <c r="C2861" s="6" t="s">
        <v>4107</v>
      </c>
      <c r="D2861" s="11">
        <f t="shared" si="1"/>
        <v>69</v>
      </c>
      <c r="E2861" s="8" t="str">
        <f t="shared" si="2"/>
        <v>https://resources.simonelectric.com/simon-ebook-vehiculo-electrico-0</v>
      </c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</row>
    <row r="2862" ht="15.75" customHeight="1">
      <c r="A2862" s="5" t="s">
        <v>4108</v>
      </c>
      <c r="B2862" s="5">
        <v>43922.0</v>
      </c>
      <c r="C2862" s="6" t="s">
        <v>4109</v>
      </c>
      <c r="D2862" s="11">
        <f t="shared" si="1"/>
        <v>67</v>
      </c>
      <c r="E2862" s="8" t="str">
        <f t="shared" si="2"/>
        <v>https://resources.simonelectric.com/simon-ebook-vehiculo-electrico</v>
      </c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</row>
    <row r="2863" ht="15.75" customHeight="1">
      <c r="A2863" s="5" t="s">
        <v>4110</v>
      </c>
      <c r="B2863" s="5">
        <v>43922.0</v>
      </c>
      <c r="C2863" s="6" t="s">
        <v>231</v>
      </c>
      <c r="D2863" s="11">
        <f t="shared" si="1"/>
        <v>67</v>
      </c>
      <c r="E2863" s="8" t="str">
        <f t="shared" si="2"/>
        <v>https://resources.simonelectric.com/simon-ebook-vehiculo-electrico</v>
      </c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</row>
    <row r="2864" ht="15.75" customHeight="1">
      <c r="A2864" s="5" t="s">
        <v>1030</v>
      </c>
      <c r="B2864" s="5">
        <v>43922.0</v>
      </c>
      <c r="C2864" s="6" t="s">
        <v>4111</v>
      </c>
      <c r="D2864" s="11">
        <f t="shared" si="1"/>
        <v>67</v>
      </c>
      <c r="E2864" s="8" t="str">
        <f t="shared" si="2"/>
        <v>https://resources.simonelectric.com/simon-ebook-vehiculo-electrico</v>
      </c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</row>
    <row r="2865" ht="15.75" customHeight="1">
      <c r="A2865" s="5" t="s">
        <v>4112</v>
      </c>
      <c r="B2865" s="5">
        <v>43922.0</v>
      </c>
      <c r="C2865" s="6" t="s">
        <v>55</v>
      </c>
      <c r="D2865" s="11">
        <f t="shared" si="1"/>
        <v>71</v>
      </c>
      <c r="E2865" s="8" t="str">
        <f t="shared" si="2"/>
        <v>https://resources.simonelectric.com/simon-ebook-vehiculo-electrico-ppc</v>
      </c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</row>
    <row r="2866" ht="15.75" customHeight="1">
      <c r="A2866" s="5" t="s">
        <v>4113</v>
      </c>
      <c r="B2866" s="5">
        <v>43921.0</v>
      </c>
      <c r="C2866" s="6" t="s">
        <v>55</v>
      </c>
      <c r="D2866" s="11">
        <f t="shared" si="1"/>
        <v>71</v>
      </c>
      <c r="E2866" s="8" t="str">
        <f t="shared" si="2"/>
        <v>https://resources.simonelectric.com/simon-ebook-vehiculo-electrico-ppc</v>
      </c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</row>
    <row r="2867" ht="15.75" customHeight="1">
      <c r="A2867" s="5" t="s">
        <v>1868</v>
      </c>
      <c r="B2867" s="5">
        <v>43921.0</v>
      </c>
      <c r="C2867" s="6" t="s">
        <v>75</v>
      </c>
      <c r="D2867" s="11">
        <f t="shared" si="1"/>
        <v>67</v>
      </c>
      <c r="E2867" s="8" t="str">
        <f t="shared" si="2"/>
        <v>https://resources.simonelectric.com/simon-ebook-vehiculo-electrico</v>
      </c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</row>
    <row r="2868" ht="15.75" customHeight="1">
      <c r="A2868" s="5" t="s">
        <v>853</v>
      </c>
      <c r="B2868" s="5">
        <v>43921.0</v>
      </c>
      <c r="C2868" s="6" t="s">
        <v>75</v>
      </c>
      <c r="D2868" s="11">
        <f t="shared" si="1"/>
        <v>67</v>
      </c>
      <c r="E2868" s="8" t="str">
        <f t="shared" si="2"/>
        <v>https://resources.simonelectric.com/simon-ebook-vehiculo-electrico</v>
      </c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</row>
    <row r="2869" ht="15.75" customHeight="1">
      <c r="A2869" s="5" t="s">
        <v>3942</v>
      </c>
      <c r="B2869" s="5">
        <v>43921.0</v>
      </c>
      <c r="C2869" s="6" t="s">
        <v>4114</v>
      </c>
      <c r="D2869" s="11">
        <f t="shared" si="1"/>
        <v>67</v>
      </c>
      <c r="E2869" s="8" t="str">
        <f t="shared" si="2"/>
        <v>https://resources.simonelectric.com/simon-ebook-vehiculo-electrico</v>
      </c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</row>
    <row r="2870" ht="15.75" customHeight="1">
      <c r="A2870" s="5" t="s">
        <v>4115</v>
      </c>
      <c r="B2870" s="5">
        <v>43921.0</v>
      </c>
      <c r="C2870" s="6" t="s">
        <v>75</v>
      </c>
      <c r="D2870" s="11">
        <f t="shared" si="1"/>
        <v>67</v>
      </c>
      <c r="E2870" s="8" t="str">
        <f t="shared" si="2"/>
        <v>https://resources.simonelectric.com/simon-ebook-vehiculo-electrico</v>
      </c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</row>
    <row r="2871" ht="15.75" customHeight="1">
      <c r="A2871" s="5" t="s">
        <v>4116</v>
      </c>
      <c r="B2871" s="5">
        <v>43921.0</v>
      </c>
      <c r="C2871" s="6" t="s">
        <v>4117</v>
      </c>
      <c r="D2871" s="11">
        <f t="shared" si="1"/>
        <v>67</v>
      </c>
      <c r="E2871" s="8" t="str">
        <f t="shared" si="2"/>
        <v>https://resources.simonelectric.com/simon-ebook-vehiculo-electrico</v>
      </c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</row>
    <row r="2872" ht="15.75" customHeight="1">
      <c r="A2872" s="5" t="s">
        <v>4068</v>
      </c>
      <c r="B2872" s="5">
        <v>43921.0</v>
      </c>
      <c r="C2872" s="6" t="s">
        <v>8</v>
      </c>
      <c r="D2872" s="11">
        <f t="shared" si="1"/>
        <v>67</v>
      </c>
      <c r="E2872" s="8" t="str">
        <f t="shared" si="2"/>
        <v>https://resources.simonelectric.com/simon-ebook-vehiculo-electrico</v>
      </c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</row>
    <row r="2873" ht="15.75" customHeight="1">
      <c r="A2873" s="5" t="s">
        <v>4118</v>
      </c>
      <c r="B2873" s="5">
        <v>43921.0</v>
      </c>
      <c r="C2873" s="6" t="s">
        <v>55</v>
      </c>
      <c r="D2873" s="11">
        <f t="shared" si="1"/>
        <v>71</v>
      </c>
      <c r="E2873" s="8" t="str">
        <f t="shared" si="2"/>
        <v>https://resources.simonelectric.com/simon-ebook-vehiculo-electrico-ppc</v>
      </c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</row>
    <row r="2874" ht="15.75" customHeight="1">
      <c r="A2874" s="5" t="s">
        <v>4119</v>
      </c>
      <c r="B2874" s="5">
        <v>43921.0</v>
      </c>
      <c r="C2874" s="6" t="s">
        <v>4120</v>
      </c>
      <c r="D2874" s="11">
        <f t="shared" si="1"/>
        <v>67</v>
      </c>
      <c r="E2874" s="8" t="str">
        <f t="shared" si="2"/>
        <v>https://resources.simonelectric.com/simon-ebook-vehiculo-electrico</v>
      </c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</row>
    <row r="2875" ht="15.75" customHeight="1">
      <c r="A2875" s="5" t="s">
        <v>4121</v>
      </c>
      <c r="B2875" s="5">
        <v>43921.0</v>
      </c>
      <c r="C2875" s="6" t="s">
        <v>4122</v>
      </c>
      <c r="D2875" s="11">
        <f t="shared" si="1"/>
        <v>70</v>
      </c>
      <c r="E2875" s="8" t="str">
        <f t="shared" si="2"/>
        <v>https://resources.simonelectric.com/simon-catalogo-vehiculo-electrico</v>
      </c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</row>
    <row r="2876" ht="15.75" customHeight="1">
      <c r="A2876" s="5" t="s">
        <v>4121</v>
      </c>
      <c r="B2876" s="5">
        <v>43921.0</v>
      </c>
      <c r="C2876" s="6" t="s">
        <v>28</v>
      </c>
      <c r="D2876" s="10" t="str">
        <f t="shared" si="1"/>
        <v>https://resources.simonelectric.com/simon-ebook-vehiculo-electrico</v>
      </c>
      <c r="E2876" s="8" t="str">
        <f t="shared" si="2"/>
        <v>https://resources.simonelectric.com/simon-ebook-vehiculo-electrico</v>
      </c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</row>
    <row r="2877" ht="15.75" customHeight="1">
      <c r="A2877" s="5" t="s">
        <v>4123</v>
      </c>
      <c r="B2877" s="5">
        <v>43921.0</v>
      </c>
      <c r="C2877" s="6" t="s">
        <v>48</v>
      </c>
      <c r="D2877" s="11">
        <f t="shared" si="1"/>
        <v>67</v>
      </c>
      <c r="E2877" s="8" t="str">
        <f t="shared" si="2"/>
        <v>https://resources.simonelectric.com/simon-ebook-vehiculo-electrico</v>
      </c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</row>
    <row r="2878" ht="15.75" customHeight="1">
      <c r="A2878" s="5" t="s">
        <v>4124</v>
      </c>
      <c r="B2878" s="5">
        <v>43921.0</v>
      </c>
      <c r="C2878" s="6" t="s">
        <v>55</v>
      </c>
      <c r="D2878" s="11">
        <f t="shared" si="1"/>
        <v>71</v>
      </c>
      <c r="E2878" s="8" t="str">
        <f t="shared" si="2"/>
        <v>https://resources.simonelectric.com/simon-ebook-vehiculo-electrico-ppc</v>
      </c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</row>
    <row r="2879" ht="15.75" customHeight="1">
      <c r="A2879" s="5" t="s">
        <v>4125</v>
      </c>
      <c r="B2879" s="5">
        <v>43921.0</v>
      </c>
      <c r="C2879" s="6" t="s">
        <v>4126</v>
      </c>
      <c r="D2879" s="11">
        <f t="shared" si="1"/>
        <v>69</v>
      </c>
      <c r="E2879" s="8" t="str">
        <f t="shared" si="2"/>
        <v>https://resources.simonelectric.com/simon-ebook-vehiculo-electrico-0</v>
      </c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</row>
    <row r="2880" ht="15.75" customHeight="1">
      <c r="A2880" s="5" t="s">
        <v>4127</v>
      </c>
      <c r="B2880" s="5">
        <v>43920.0</v>
      </c>
      <c r="C2880" s="6" t="s">
        <v>55</v>
      </c>
      <c r="D2880" s="11">
        <f t="shared" si="1"/>
        <v>71</v>
      </c>
      <c r="E2880" s="8" t="str">
        <f t="shared" si="2"/>
        <v>https://resources.simonelectric.com/simon-ebook-vehiculo-electrico-ppc</v>
      </c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</row>
    <row r="2881" ht="15.75" customHeight="1">
      <c r="A2881" s="5" t="s">
        <v>4128</v>
      </c>
      <c r="B2881" s="5">
        <v>43920.0</v>
      </c>
      <c r="C2881" s="6" t="s">
        <v>55</v>
      </c>
      <c r="D2881" s="11">
        <f t="shared" si="1"/>
        <v>71</v>
      </c>
      <c r="E2881" s="8" t="str">
        <f t="shared" si="2"/>
        <v>https://resources.simonelectric.com/simon-ebook-vehiculo-electrico-ppc</v>
      </c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</row>
    <row r="2882" ht="15.75" customHeight="1">
      <c r="A2882" s="5" t="s">
        <v>4129</v>
      </c>
      <c r="B2882" s="5">
        <v>43920.0</v>
      </c>
      <c r="C2882" s="6" t="s">
        <v>4130</v>
      </c>
      <c r="D2882" s="11">
        <f t="shared" si="1"/>
        <v>71</v>
      </c>
      <c r="E2882" s="8" t="str">
        <f t="shared" si="2"/>
        <v>https://resources.simonelectric.com/simon-ebook-vehiculo-electrico-ppc</v>
      </c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</row>
    <row r="2883" ht="15.75" customHeight="1">
      <c r="A2883" s="5" t="s">
        <v>4131</v>
      </c>
      <c r="B2883" s="5">
        <v>43920.0</v>
      </c>
      <c r="C2883" s="6" t="s">
        <v>4132</v>
      </c>
      <c r="D2883" s="11">
        <f t="shared" si="1"/>
        <v>71</v>
      </c>
      <c r="E2883" s="8" t="str">
        <f t="shared" si="2"/>
        <v>https://resources.simonelectric.com/simon-ebook-vehiculo-electrico-ppc</v>
      </c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</row>
    <row r="2884" ht="15.75" customHeight="1">
      <c r="A2884" s="5" t="s">
        <v>4133</v>
      </c>
      <c r="B2884" s="5">
        <v>43920.0</v>
      </c>
      <c r="C2884" s="6" t="s">
        <v>55</v>
      </c>
      <c r="D2884" s="11">
        <f t="shared" si="1"/>
        <v>71</v>
      </c>
      <c r="E2884" s="8" t="str">
        <f t="shared" si="2"/>
        <v>https://resources.simonelectric.com/simon-ebook-vehiculo-electrico-ppc</v>
      </c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</row>
    <row r="2885" ht="15.75" customHeight="1">
      <c r="A2885" s="5" t="s">
        <v>4134</v>
      </c>
      <c r="B2885" s="5">
        <v>43920.0</v>
      </c>
      <c r="C2885" s="6" t="s">
        <v>28</v>
      </c>
      <c r="D2885" s="10" t="str">
        <f t="shared" si="1"/>
        <v>https://resources.simonelectric.com/simon-ebook-vehiculo-electrico</v>
      </c>
      <c r="E2885" s="8" t="str">
        <f t="shared" si="2"/>
        <v>https://resources.simonelectric.com/simon-ebook-vehiculo-electrico</v>
      </c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</row>
    <row r="2886" ht="15.75" customHeight="1">
      <c r="A2886" s="5" t="s">
        <v>4134</v>
      </c>
      <c r="B2886" s="5">
        <v>43920.0</v>
      </c>
      <c r="C2886" s="6" t="s">
        <v>4135</v>
      </c>
      <c r="D2886" s="11">
        <f t="shared" si="1"/>
        <v>70</v>
      </c>
      <c r="E2886" s="8" t="str">
        <f t="shared" si="2"/>
        <v>https://resources.simonelectric.com/simon-catalogo-vehiculo-electrico</v>
      </c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</row>
    <row r="2887" ht="15.75" customHeight="1">
      <c r="A2887" s="5" t="s">
        <v>4027</v>
      </c>
      <c r="B2887" s="5">
        <v>43920.0</v>
      </c>
      <c r="C2887" s="6" t="s">
        <v>4136</v>
      </c>
      <c r="D2887" s="11">
        <f t="shared" si="1"/>
        <v>70</v>
      </c>
      <c r="E2887" s="8" t="str">
        <f t="shared" si="2"/>
        <v>https://resources.simonelectric.com/simon-catalogo-vehiculo-electrico</v>
      </c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</row>
    <row r="2888" ht="15.75" customHeight="1">
      <c r="A2888" s="5" t="s">
        <v>4027</v>
      </c>
      <c r="B2888" s="5">
        <v>43920.0</v>
      </c>
      <c r="C2888" s="6" t="s">
        <v>8</v>
      </c>
      <c r="D2888" s="11">
        <f t="shared" si="1"/>
        <v>67</v>
      </c>
      <c r="E2888" s="8" t="str">
        <f t="shared" si="2"/>
        <v>https://resources.simonelectric.com/simon-ebook-vehiculo-electrico</v>
      </c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</row>
    <row r="2889" ht="15.75" customHeight="1">
      <c r="A2889" s="5" t="s">
        <v>4137</v>
      </c>
      <c r="B2889" s="5">
        <v>43920.0</v>
      </c>
      <c r="C2889" s="6" t="s">
        <v>4138</v>
      </c>
      <c r="D2889" s="11">
        <f t="shared" si="1"/>
        <v>67</v>
      </c>
      <c r="E2889" s="8" t="str">
        <f t="shared" si="2"/>
        <v>https://resources.simonelectric.com/simon-ebook-vehiculo-electrico</v>
      </c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</row>
    <row r="2890" ht="15.75" customHeight="1">
      <c r="A2890" s="5" t="s">
        <v>244</v>
      </c>
      <c r="B2890" s="5">
        <v>43920.0</v>
      </c>
      <c r="C2890" s="6" t="s">
        <v>4139</v>
      </c>
      <c r="D2890" s="11">
        <f t="shared" si="1"/>
        <v>70</v>
      </c>
      <c r="E2890" s="8" t="str">
        <f t="shared" si="2"/>
        <v>https://resources.simonelectric.com/simon-catalogo-vehiculo-electrico</v>
      </c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</row>
    <row r="2891" ht="15.75" customHeight="1">
      <c r="A2891" s="5" t="s">
        <v>2689</v>
      </c>
      <c r="B2891" s="5">
        <v>43920.0</v>
      </c>
      <c r="C2891" s="6" t="s">
        <v>55</v>
      </c>
      <c r="D2891" s="11">
        <f t="shared" si="1"/>
        <v>71</v>
      </c>
      <c r="E2891" s="8" t="str">
        <f t="shared" si="2"/>
        <v>https://resources.simonelectric.com/simon-ebook-vehiculo-electrico-ppc</v>
      </c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</row>
    <row r="2892" ht="15.75" customHeight="1">
      <c r="A2892" s="5" t="s">
        <v>4140</v>
      </c>
      <c r="B2892" s="5">
        <v>43920.0</v>
      </c>
      <c r="C2892" s="6" t="s">
        <v>31</v>
      </c>
      <c r="D2892" s="11">
        <f t="shared" si="1"/>
        <v>67</v>
      </c>
      <c r="E2892" s="8" t="str">
        <f t="shared" si="2"/>
        <v>https://resources.simonelectric.com/simon-ebook-vehiculo-electrico</v>
      </c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</row>
    <row r="2893" ht="15.75" customHeight="1">
      <c r="A2893" s="5" t="s">
        <v>4141</v>
      </c>
      <c r="B2893" s="5">
        <v>43920.0</v>
      </c>
      <c r="C2893" s="6" t="s">
        <v>4142</v>
      </c>
      <c r="D2893" s="11">
        <f t="shared" si="1"/>
        <v>70</v>
      </c>
      <c r="E2893" s="8" t="str">
        <f t="shared" si="2"/>
        <v>https://resources.simonelectric.com/simon-catalogo-vehiculo-electrico</v>
      </c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</row>
    <row r="2894" ht="15.75" customHeight="1">
      <c r="A2894" s="5" t="s">
        <v>4143</v>
      </c>
      <c r="B2894" s="5">
        <v>43920.0</v>
      </c>
      <c r="C2894" s="6" t="s">
        <v>4144</v>
      </c>
      <c r="D2894" s="11">
        <f t="shared" si="1"/>
        <v>67</v>
      </c>
      <c r="E2894" s="8" t="str">
        <f t="shared" si="2"/>
        <v>https://resources.simonelectric.com/simon-ebook-vehiculo-electrico</v>
      </c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</row>
    <row r="2895" ht="15.75" customHeight="1">
      <c r="A2895" s="5" t="s">
        <v>4145</v>
      </c>
      <c r="B2895" s="5">
        <v>43919.0</v>
      </c>
      <c r="C2895" s="6" t="s">
        <v>28</v>
      </c>
      <c r="D2895" s="10" t="str">
        <f t="shared" si="1"/>
        <v>https://resources.simonelectric.com/simon-ebook-vehiculo-electrico</v>
      </c>
      <c r="E2895" s="8" t="str">
        <f t="shared" si="2"/>
        <v>https://resources.simonelectric.com/simon-ebook-vehiculo-electrico</v>
      </c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</row>
    <row r="2896" ht="15.75" customHeight="1">
      <c r="A2896" s="5" t="s">
        <v>4146</v>
      </c>
      <c r="B2896" s="5">
        <v>43919.0</v>
      </c>
      <c r="C2896" s="6" t="s">
        <v>8</v>
      </c>
      <c r="D2896" s="11">
        <f t="shared" si="1"/>
        <v>67</v>
      </c>
      <c r="E2896" s="8" t="str">
        <f t="shared" si="2"/>
        <v>https://resources.simonelectric.com/simon-ebook-vehiculo-electrico</v>
      </c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</row>
    <row r="2897" ht="15.75" customHeight="1">
      <c r="A2897" s="5" t="s">
        <v>4146</v>
      </c>
      <c r="B2897" s="5">
        <v>43919.0</v>
      </c>
      <c r="C2897" s="6" t="s">
        <v>75</v>
      </c>
      <c r="D2897" s="11">
        <f t="shared" si="1"/>
        <v>67</v>
      </c>
      <c r="E2897" s="8" t="str">
        <f t="shared" si="2"/>
        <v>https://resources.simonelectric.com/simon-ebook-vehiculo-electrico</v>
      </c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</row>
    <row r="2898" ht="15.75" customHeight="1">
      <c r="A2898" s="5" t="s">
        <v>4147</v>
      </c>
      <c r="B2898" s="5">
        <v>43919.0</v>
      </c>
      <c r="C2898" s="6" t="s">
        <v>4148</v>
      </c>
      <c r="D2898" s="11">
        <f t="shared" si="1"/>
        <v>69</v>
      </c>
      <c r="E2898" s="8" t="str">
        <f t="shared" si="2"/>
        <v>https://resources.simonelectric.com/simon-ebook-vehiculo-electrico-0</v>
      </c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</row>
    <row r="2899" ht="15.75" customHeight="1">
      <c r="A2899" s="5" t="s">
        <v>3166</v>
      </c>
      <c r="B2899" s="5">
        <v>43918.0</v>
      </c>
      <c r="C2899" s="6" t="s">
        <v>75</v>
      </c>
      <c r="D2899" s="11">
        <f t="shared" si="1"/>
        <v>67</v>
      </c>
      <c r="E2899" s="8" t="str">
        <f t="shared" si="2"/>
        <v>https://resources.simonelectric.com/simon-ebook-vehiculo-electrico</v>
      </c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</row>
    <row r="2900" ht="15.75" customHeight="1">
      <c r="A2900" s="5" t="s">
        <v>4149</v>
      </c>
      <c r="B2900" s="5">
        <v>43918.0</v>
      </c>
      <c r="C2900" s="6" t="s">
        <v>4150</v>
      </c>
      <c r="D2900" s="11">
        <f t="shared" si="1"/>
        <v>69</v>
      </c>
      <c r="E2900" s="8" t="str">
        <f t="shared" si="2"/>
        <v>https://resources.simonelectric.com/simon-ebook-vehiculo-electrico-0</v>
      </c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</row>
    <row r="2901" ht="15.75" customHeight="1">
      <c r="A2901" s="5" t="s">
        <v>4151</v>
      </c>
      <c r="B2901" s="5">
        <v>43917.0</v>
      </c>
      <c r="C2901" s="6" t="s">
        <v>28</v>
      </c>
      <c r="D2901" s="10" t="str">
        <f t="shared" si="1"/>
        <v>https://resources.simonelectric.com/simon-ebook-vehiculo-electrico</v>
      </c>
      <c r="E2901" s="8" t="str">
        <f t="shared" si="2"/>
        <v>https://resources.simonelectric.com/simon-ebook-vehiculo-electrico</v>
      </c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</row>
    <row r="2902" ht="15.75" customHeight="1">
      <c r="A2902" s="5" t="s">
        <v>2594</v>
      </c>
      <c r="B2902" s="5">
        <v>43917.0</v>
      </c>
      <c r="C2902" s="6" t="s">
        <v>4152</v>
      </c>
      <c r="D2902" s="11">
        <f t="shared" si="1"/>
        <v>67</v>
      </c>
      <c r="E2902" s="8" t="str">
        <f t="shared" si="2"/>
        <v>https://resources.simonelectric.com/simon-ebook-vehiculo-electrico</v>
      </c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</row>
    <row r="2903" ht="15.75" customHeight="1">
      <c r="A2903" s="5" t="s">
        <v>2018</v>
      </c>
      <c r="B2903" s="5">
        <v>43917.0</v>
      </c>
      <c r="C2903" s="6" t="s">
        <v>4153</v>
      </c>
      <c r="D2903" s="11">
        <f t="shared" si="1"/>
        <v>69</v>
      </c>
      <c r="E2903" s="8" t="str">
        <f t="shared" si="2"/>
        <v>https://resources.simonelectric.com/simon-ebook-vehiculo-electrico-0</v>
      </c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</row>
    <row r="2904" ht="15.75" customHeight="1">
      <c r="A2904" s="5" t="s">
        <v>4154</v>
      </c>
      <c r="B2904" s="5">
        <v>43917.0</v>
      </c>
      <c r="C2904" s="6" t="s">
        <v>4155</v>
      </c>
      <c r="D2904" s="11">
        <f t="shared" si="1"/>
        <v>70</v>
      </c>
      <c r="E2904" s="8" t="str">
        <f t="shared" si="2"/>
        <v>https://resources.simonelectric.com/simon-catalogo-vehiculo-electrico</v>
      </c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</row>
    <row r="2905" ht="15.75" customHeight="1">
      <c r="A2905" s="5" t="s">
        <v>4154</v>
      </c>
      <c r="B2905" s="5">
        <v>43917.0</v>
      </c>
      <c r="C2905" s="6" t="s">
        <v>8</v>
      </c>
      <c r="D2905" s="11">
        <f t="shared" si="1"/>
        <v>67</v>
      </c>
      <c r="E2905" s="8" t="str">
        <f t="shared" si="2"/>
        <v>https://resources.simonelectric.com/simon-ebook-vehiculo-electrico</v>
      </c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</row>
    <row r="2906" ht="15.75" customHeight="1">
      <c r="A2906" s="5" t="s">
        <v>4156</v>
      </c>
      <c r="B2906" s="5">
        <v>43917.0</v>
      </c>
      <c r="C2906" s="6" t="s">
        <v>4157</v>
      </c>
      <c r="D2906" s="11">
        <f t="shared" si="1"/>
        <v>67</v>
      </c>
      <c r="E2906" s="8" t="str">
        <f t="shared" si="2"/>
        <v>https://resources.simonelectric.com/simon-ebook-vehiculo-electrico</v>
      </c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</row>
    <row r="2907" ht="15.75" customHeight="1">
      <c r="A2907" s="5" t="s">
        <v>4158</v>
      </c>
      <c r="B2907" s="5">
        <v>43917.0</v>
      </c>
      <c r="C2907" s="6" t="s">
        <v>4159</v>
      </c>
      <c r="D2907" s="11">
        <f t="shared" si="1"/>
        <v>69</v>
      </c>
      <c r="E2907" s="8" t="str">
        <f t="shared" si="2"/>
        <v>https://resources.simonelectric.com/simon-ebook-vehiculo-electrico-0</v>
      </c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</row>
    <row r="2908" ht="15.75" customHeight="1">
      <c r="A2908" s="5" t="s">
        <v>4156</v>
      </c>
      <c r="B2908" s="5">
        <v>43917.0</v>
      </c>
      <c r="C2908" s="6" t="s">
        <v>4160</v>
      </c>
      <c r="D2908" s="11">
        <f t="shared" si="1"/>
        <v>70</v>
      </c>
      <c r="E2908" s="8" t="str">
        <f t="shared" si="2"/>
        <v>https://resources.simonelectric.com/simon-catalogo-vehiculo-electrico</v>
      </c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</row>
    <row r="2909" ht="15.75" customHeight="1">
      <c r="A2909" s="5" t="s">
        <v>4161</v>
      </c>
      <c r="B2909" s="5">
        <v>43917.0</v>
      </c>
      <c r="C2909" s="6" t="s">
        <v>4162</v>
      </c>
      <c r="D2909" s="11">
        <f t="shared" si="1"/>
        <v>67</v>
      </c>
      <c r="E2909" s="8" t="str">
        <f t="shared" si="2"/>
        <v>https://resources.simonelectric.com/simon-ebook-vehiculo-electrico</v>
      </c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</row>
    <row r="2910" ht="15.75" customHeight="1">
      <c r="A2910" s="5" t="s">
        <v>4163</v>
      </c>
      <c r="B2910" s="5">
        <v>43917.0</v>
      </c>
      <c r="C2910" s="6" t="s">
        <v>8</v>
      </c>
      <c r="D2910" s="11">
        <f t="shared" si="1"/>
        <v>67</v>
      </c>
      <c r="E2910" s="8" t="str">
        <f t="shared" si="2"/>
        <v>https://resources.simonelectric.com/simon-ebook-vehiculo-electrico</v>
      </c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</row>
    <row r="2911" ht="15.75" customHeight="1">
      <c r="A2911" s="5" t="s">
        <v>4040</v>
      </c>
      <c r="B2911" s="5">
        <v>43917.0</v>
      </c>
      <c r="C2911" s="6" t="s">
        <v>75</v>
      </c>
      <c r="D2911" s="11">
        <f t="shared" si="1"/>
        <v>67</v>
      </c>
      <c r="E2911" s="8" t="str">
        <f t="shared" si="2"/>
        <v>https://resources.simonelectric.com/simon-ebook-vehiculo-electrico</v>
      </c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</row>
    <row r="2912" ht="15.75" customHeight="1">
      <c r="A2912" s="5" t="s">
        <v>4040</v>
      </c>
      <c r="B2912" s="5">
        <v>43917.0</v>
      </c>
      <c r="C2912" s="6" t="s">
        <v>75</v>
      </c>
      <c r="D2912" s="11">
        <f t="shared" si="1"/>
        <v>67</v>
      </c>
      <c r="E2912" s="8" t="str">
        <f t="shared" si="2"/>
        <v>https://resources.simonelectric.com/simon-ebook-vehiculo-electrico</v>
      </c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</row>
    <row r="2913" ht="15.75" customHeight="1">
      <c r="A2913" s="5" t="s">
        <v>4164</v>
      </c>
      <c r="B2913" s="5">
        <v>43917.0</v>
      </c>
      <c r="C2913" s="6" t="s">
        <v>4165</v>
      </c>
      <c r="D2913" s="10">
        <f t="shared" si="1"/>
        <v>67</v>
      </c>
      <c r="E2913" s="8" t="str">
        <f t="shared" si="2"/>
        <v>https://resources.simonelectric.com/simon-ebook-vehiculo-electrico</v>
      </c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</row>
    <row r="2914" ht="15.75" customHeight="1">
      <c r="A2914" s="5" t="s">
        <v>4166</v>
      </c>
      <c r="B2914" s="5">
        <v>43917.0</v>
      </c>
      <c r="C2914" s="6" t="s">
        <v>4167</v>
      </c>
      <c r="D2914" s="11">
        <f t="shared" si="1"/>
        <v>70</v>
      </c>
      <c r="E2914" s="8" t="str">
        <f t="shared" si="2"/>
        <v>https://resources.simonelectric.com/simon-catalogo-vehiculo-electrico</v>
      </c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</row>
    <row r="2915" ht="15.75" customHeight="1">
      <c r="A2915" s="5" t="s">
        <v>4166</v>
      </c>
      <c r="B2915" s="5">
        <v>43917.0</v>
      </c>
      <c r="C2915" s="6" t="s">
        <v>28</v>
      </c>
      <c r="D2915" s="10" t="str">
        <f t="shared" si="1"/>
        <v>https://resources.simonelectric.com/simon-ebook-vehiculo-electrico</v>
      </c>
      <c r="E2915" s="8" t="str">
        <f t="shared" si="2"/>
        <v>https://resources.simonelectric.com/simon-ebook-vehiculo-electrico</v>
      </c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</row>
    <row r="2916" ht="15.75" customHeight="1">
      <c r="A2916" s="5" t="s">
        <v>4168</v>
      </c>
      <c r="B2916" s="5">
        <v>43917.0</v>
      </c>
      <c r="C2916" s="6" t="s">
        <v>10</v>
      </c>
      <c r="D2916" s="10" t="str">
        <f t="shared" si="1"/>
        <v>https://resources.simonelectric.com/simon-catalogo-vehiculo-electrico</v>
      </c>
      <c r="E2916" s="8" t="str">
        <f t="shared" si="2"/>
        <v>https://resources.simonelectric.com/simon-catalogo-vehiculo-electrico</v>
      </c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</row>
    <row r="2917" ht="15.75" customHeight="1">
      <c r="A2917" s="5" t="s">
        <v>1873</v>
      </c>
      <c r="B2917" s="5">
        <v>43916.0</v>
      </c>
      <c r="C2917" s="6" t="s">
        <v>4169</v>
      </c>
      <c r="D2917" s="11">
        <f t="shared" si="1"/>
        <v>67</v>
      </c>
      <c r="E2917" s="8" t="str">
        <f t="shared" si="2"/>
        <v>https://resources.simonelectric.com/simon-ebook-vehiculo-electrico</v>
      </c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</row>
    <row r="2918" ht="15.75" customHeight="1">
      <c r="A2918" s="5" t="s">
        <v>4170</v>
      </c>
      <c r="B2918" s="5">
        <v>43916.0</v>
      </c>
      <c r="C2918" s="6" t="s">
        <v>4171</v>
      </c>
      <c r="D2918" s="11">
        <f t="shared" si="1"/>
        <v>67</v>
      </c>
      <c r="E2918" s="8" t="str">
        <f t="shared" si="2"/>
        <v>https://resources.simonelectric.com/simon-ebook-vehiculo-electrico</v>
      </c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</row>
    <row r="2919" ht="15.75" customHeight="1">
      <c r="A2919" s="5" t="s">
        <v>2711</v>
      </c>
      <c r="B2919" s="5">
        <v>43916.0</v>
      </c>
      <c r="C2919" s="6" t="s">
        <v>75</v>
      </c>
      <c r="D2919" s="11">
        <f t="shared" si="1"/>
        <v>67</v>
      </c>
      <c r="E2919" s="8" t="str">
        <f t="shared" si="2"/>
        <v>https://resources.simonelectric.com/simon-ebook-vehiculo-electrico</v>
      </c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</row>
    <row r="2920" ht="15.75" customHeight="1">
      <c r="A2920" s="5" t="s">
        <v>4172</v>
      </c>
      <c r="B2920" s="5">
        <v>43916.0</v>
      </c>
      <c r="C2920" s="6" t="s">
        <v>4173</v>
      </c>
      <c r="D2920" s="11">
        <f t="shared" si="1"/>
        <v>67</v>
      </c>
      <c r="E2920" s="8" t="str">
        <f t="shared" si="2"/>
        <v>https://resources.simonelectric.com/simon-ebook-vehiculo-electrico</v>
      </c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</row>
    <row r="2921" ht="15.75" customHeight="1">
      <c r="A2921" s="5" t="s">
        <v>4174</v>
      </c>
      <c r="B2921" s="5">
        <v>43916.0</v>
      </c>
      <c r="C2921" s="6" t="s">
        <v>4175</v>
      </c>
      <c r="D2921" s="11">
        <f t="shared" si="1"/>
        <v>70</v>
      </c>
      <c r="E2921" s="8" t="str">
        <f t="shared" si="2"/>
        <v>https://resources.simonelectric.com/simon-catalogo-vehiculo-electrico</v>
      </c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</row>
    <row r="2922" ht="15.75" customHeight="1">
      <c r="A2922" s="5" t="s">
        <v>4176</v>
      </c>
      <c r="B2922" s="5">
        <v>43916.0</v>
      </c>
      <c r="C2922" s="6" t="s">
        <v>4177</v>
      </c>
      <c r="D2922" s="11">
        <f t="shared" si="1"/>
        <v>67</v>
      </c>
      <c r="E2922" s="8" t="str">
        <f t="shared" si="2"/>
        <v>https://resources.simonelectric.com/simon-ebook-vehiculo-electrico</v>
      </c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</row>
    <row r="2923" ht="15.75" customHeight="1">
      <c r="A2923" s="5" t="s">
        <v>3093</v>
      </c>
      <c r="B2923" s="5">
        <v>43916.0</v>
      </c>
      <c r="C2923" s="6" t="s">
        <v>10</v>
      </c>
      <c r="D2923" s="10" t="str">
        <f t="shared" si="1"/>
        <v>https://resources.simonelectric.com/simon-catalogo-vehiculo-electrico</v>
      </c>
      <c r="E2923" s="8" t="str">
        <f t="shared" si="2"/>
        <v>https://resources.simonelectric.com/simon-catalogo-vehiculo-electrico</v>
      </c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</row>
    <row r="2924" ht="15.75" customHeight="1">
      <c r="A2924" s="5" t="s">
        <v>3093</v>
      </c>
      <c r="B2924" s="5">
        <v>43916.0</v>
      </c>
      <c r="C2924" s="6" t="s">
        <v>28</v>
      </c>
      <c r="D2924" s="10" t="str">
        <f t="shared" si="1"/>
        <v>https://resources.simonelectric.com/simon-ebook-vehiculo-electrico</v>
      </c>
      <c r="E2924" s="8" t="str">
        <f t="shared" si="2"/>
        <v>https://resources.simonelectric.com/simon-ebook-vehiculo-electrico</v>
      </c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</row>
    <row r="2925" ht="15.75" customHeight="1">
      <c r="A2925" s="5" t="s">
        <v>3157</v>
      </c>
      <c r="B2925" s="5">
        <v>43916.0</v>
      </c>
      <c r="C2925" s="6" t="s">
        <v>4178</v>
      </c>
      <c r="D2925" s="11">
        <f t="shared" si="1"/>
        <v>67</v>
      </c>
      <c r="E2925" s="8" t="str">
        <f t="shared" si="2"/>
        <v>https://resources.simonelectric.com/simon-ebook-vehiculo-electrico</v>
      </c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</row>
    <row r="2926" ht="15.75" customHeight="1">
      <c r="A2926" s="5" t="s">
        <v>4179</v>
      </c>
      <c r="B2926" s="5">
        <v>43916.0</v>
      </c>
      <c r="C2926" s="6" t="s">
        <v>4180</v>
      </c>
      <c r="D2926" s="11">
        <f t="shared" si="1"/>
        <v>67</v>
      </c>
      <c r="E2926" s="8" t="str">
        <f t="shared" si="2"/>
        <v>https://resources.simonelectric.com/simon-ebook-vehiculo-electrico</v>
      </c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</row>
    <row r="2927" ht="15.75" customHeight="1">
      <c r="A2927" s="5" t="s">
        <v>4181</v>
      </c>
      <c r="B2927" s="5">
        <v>43916.0</v>
      </c>
      <c r="C2927" s="6" t="s">
        <v>8</v>
      </c>
      <c r="D2927" s="11">
        <f t="shared" si="1"/>
        <v>67</v>
      </c>
      <c r="E2927" s="8" t="str">
        <f t="shared" si="2"/>
        <v>https://resources.simonelectric.com/simon-ebook-vehiculo-electrico</v>
      </c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</row>
    <row r="2928" ht="15.75" customHeight="1">
      <c r="A2928" s="5" t="s">
        <v>4182</v>
      </c>
      <c r="B2928" s="5">
        <v>43916.0</v>
      </c>
      <c r="C2928" s="6" t="s">
        <v>4183</v>
      </c>
      <c r="D2928" s="11">
        <f t="shared" si="1"/>
        <v>67</v>
      </c>
      <c r="E2928" s="8" t="str">
        <f t="shared" si="2"/>
        <v>https://resources.simonelectric.com/simon-ebook-vehiculo-electrico</v>
      </c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</row>
    <row r="2929" ht="15.75" customHeight="1">
      <c r="A2929" s="5" t="s">
        <v>4154</v>
      </c>
      <c r="B2929" s="5">
        <v>43916.0</v>
      </c>
      <c r="C2929" s="6" t="s">
        <v>4184</v>
      </c>
      <c r="D2929" s="11">
        <f t="shared" si="1"/>
        <v>70</v>
      </c>
      <c r="E2929" s="8" t="str">
        <f t="shared" si="2"/>
        <v>https://resources.simonelectric.com/simon-catalogo-vehiculo-electrico</v>
      </c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</row>
    <row r="2930" ht="15.75" customHeight="1">
      <c r="A2930" s="5" t="s">
        <v>4154</v>
      </c>
      <c r="B2930" s="5">
        <v>43916.0</v>
      </c>
      <c r="C2930" s="6" t="s">
        <v>28</v>
      </c>
      <c r="D2930" s="10" t="str">
        <f t="shared" si="1"/>
        <v>https://resources.simonelectric.com/simon-ebook-vehiculo-electrico</v>
      </c>
      <c r="E2930" s="8" t="str">
        <f t="shared" si="2"/>
        <v>https://resources.simonelectric.com/simon-ebook-vehiculo-electrico</v>
      </c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</row>
    <row r="2931" ht="15.75" customHeight="1">
      <c r="A2931" s="5" t="s">
        <v>4134</v>
      </c>
      <c r="B2931" s="5">
        <v>43916.0</v>
      </c>
      <c r="C2931" s="6" t="s">
        <v>4185</v>
      </c>
      <c r="D2931" s="11">
        <f t="shared" si="1"/>
        <v>70</v>
      </c>
      <c r="E2931" s="8" t="str">
        <f t="shared" si="2"/>
        <v>https://resources.simonelectric.com/simon-catalogo-vehiculo-electrico</v>
      </c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</row>
    <row r="2932" ht="15.75" customHeight="1">
      <c r="A2932" s="5" t="s">
        <v>4134</v>
      </c>
      <c r="B2932" s="5">
        <v>43916.0</v>
      </c>
      <c r="C2932" s="6" t="s">
        <v>28</v>
      </c>
      <c r="D2932" s="10" t="str">
        <f t="shared" si="1"/>
        <v>https://resources.simonelectric.com/simon-ebook-vehiculo-electrico</v>
      </c>
      <c r="E2932" s="8" t="str">
        <f t="shared" si="2"/>
        <v>https://resources.simonelectric.com/simon-ebook-vehiculo-electrico</v>
      </c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</row>
    <row r="2933" ht="15.75" customHeight="1">
      <c r="A2933" s="5" t="s">
        <v>4186</v>
      </c>
      <c r="B2933" s="5">
        <v>43916.0</v>
      </c>
      <c r="C2933" s="6" t="s">
        <v>4187</v>
      </c>
      <c r="D2933" s="11">
        <f t="shared" si="1"/>
        <v>67</v>
      </c>
      <c r="E2933" s="8" t="str">
        <f t="shared" si="2"/>
        <v>https://resources.simonelectric.com/simon-ebook-vehiculo-electrico</v>
      </c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</row>
    <row r="2934" ht="15.75" customHeight="1">
      <c r="A2934" s="5" t="s">
        <v>4188</v>
      </c>
      <c r="B2934" s="5">
        <v>43916.0</v>
      </c>
      <c r="C2934" s="6" t="s">
        <v>4189</v>
      </c>
      <c r="D2934" s="11">
        <f t="shared" si="1"/>
        <v>67</v>
      </c>
      <c r="E2934" s="8" t="str">
        <f t="shared" si="2"/>
        <v>https://resources.simonelectric.com/simon-ebook-vehiculo-electrico</v>
      </c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</row>
    <row r="2935" ht="15.75" customHeight="1">
      <c r="A2935" s="5" t="s">
        <v>4190</v>
      </c>
      <c r="B2935" s="5">
        <v>43916.0</v>
      </c>
      <c r="C2935" s="6" t="s">
        <v>4191</v>
      </c>
      <c r="D2935" s="11">
        <f t="shared" si="1"/>
        <v>67</v>
      </c>
      <c r="E2935" s="8" t="str">
        <f t="shared" si="2"/>
        <v>https://resources.simonelectric.com/simon-ebook-vehiculo-electrico</v>
      </c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</row>
    <row r="2936" ht="15.75" customHeight="1">
      <c r="A2936" s="5" t="s">
        <v>4192</v>
      </c>
      <c r="B2936" s="5">
        <v>43916.0</v>
      </c>
      <c r="C2936" s="6" t="s">
        <v>4193</v>
      </c>
      <c r="D2936" s="11">
        <f t="shared" si="1"/>
        <v>67</v>
      </c>
      <c r="E2936" s="8" t="str">
        <f t="shared" si="2"/>
        <v>https://resources.simonelectric.com/simon-ebook-vehiculo-electrico</v>
      </c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</row>
    <row r="2937" ht="15.75" customHeight="1">
      <c r="A2937" s="5" t="s">
        <v>4194</v>
      </c>
      <c r="B2937" s="5">
        <v>43916.0</v>
      </c>
      <c r="C2937" s="6" t="s">
        <v>4195</v>
      </c>
      <c r="D2937" s="11">
        <f t="shared" si="1"/>
        <v>67</v>
      </c>
      <c r="E2937" s="8" t="str">
        <f t="shared" si="2"/>
        <v>https://resources.simonelectric.com/simon-ebook-vehiculo-electrico</v>
      </c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</row>
    <row r="2938" ht="15.75" customHeight="1">
      <c r="A2938" s="5" t="s">
        <v>4196</v>
      </c>
      <c r="B2938" s="5">
        <v>43916.0</v>
      </c>
      <c r="C2938" s="6" t="s">
        <v>4197</v>
      </c>
      <c r="D2938" s="11">
        <f t="shared" si="1"/>
        <v>67</v>
      </c>
      <c r="E2938" s="8" t="str">
        <f t="shared" si="2"/>
        <v>https://resources.simonelectric.com/simon-ebook-vehiculo-electrico</v>
      </c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</row>
    <row r="2939" ht="15.75" customHeight="1">
      <c r="A2939" s="5" t="s">
        <v>4198</v>
      </c>
      <c r="B2939" s="5">
        <v>43916.0</v>
      </c>
      <c r="C2939" s="6" t="s">
        <v>4199</v>
      </c>
      <c r="D2939" s="11">
        <f t="shared" si="1"/>
        <v>69</v>
      </c>
      <c r="E2939" s="8" t="str">
        <f t="shared" si="2"/>
        <v>https://resources.simonelectric.com/simon-ebook-vehiculo-electrico-0</v>
      </c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</row>
    <row r="2940" ht="15.75" customHeight="1">
      <c r="A2940" s="5" t="s">
        <v>4200</v>
      </c>
      <c r="B2940" s="5">
        <v>43915.0</v>
      </c>
      <c r="C2940" s="6" t="s">
        <v>4201</v>
      </c>
      <c r="D2940" s="11">
        <f t="shared" si="1"/>
        <v>67</v>
      </c>
      <c r="E2940" s="8" t="str">
        <f t="shared" si="2"/>
        <v>https://resources.simonelectric.com/simon-ebook-vehiculo-electrico</v>
      </c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</row>
    <row r="2941" ht="15.75" customHeight="1">
      <c r="A2941" s="5" t="s">
        <v>2569</v>
      </c>
      <c r="B2941" s="5">
        <v>43915.0</v>
      </c>
      <c r="C2941" s="6" t="s">
        <v>4202</v>
      </c>
      <c r="D2941" s="11">
        <f t="shared" si="1"/>
        <v>67</v>
      </c>
      <c r="E2941" s="8" t="str">
        <f t="shared" si="2"/>
        <v>https://resources.simonelectric.com/simon-ebook-vehiculo-electrico</v>
      </c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</row>
    <row r="2942" ht="15.75" customHeight="1">
      <c r="A2942" s="5" t="s">
        <v>2960</v>
      </c>
      <c r="B2942" s="5">
        <v>43915.0</v>
      </c>
      <c r="C2942" s="6" t="s">
        <v>4203</v>
      </c>
      <c r="D2942" s="11">
        <f t="shared" si="1"/>
        <v>67</v>
      </c>
      <c r="E2942" s="8" t="str">
        <f t="shared" si="2"/>
        <v>https://resources.simonelectric.com/simon-ebook-vehiculo-electrico</v>
      </c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</row>
    <row r="2943" ht="15.75" customHeight="1">
      <c r="A2943" s="5" t="s">
        <v>4204</v>
      </c>
      <c r="B2943" s="5">
        <v>43915.0</v>
      </c>
      <c r="C2943" s="6" t="s">
        <v>4205</v>
      </c>
      <c r="D2943" s="11">
        <f t="shared" si="1"/>
        <v>70</v>
      </c>
      <c r="E2943" s="8" t="str">
        <f t="shared" si="2"/>
        <v>https://resources.simonelectric.com/simon-catalogo-vehiculo-electrico</v>
      </c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</row>
    <row r="2944" ht="15.75" customHeight="1">
      <c r="A2944" s="5" t="s">
        <v>4206</v>
      </c>
      <c r="B2944" s="5">
        <v>43915.0</v>
      </c>
      <c r="C2944" s="6" t="s">
        <v>4207</v>
      </c>
      <c r="D2944" s="11">
        <f t="shared" si="1"/>
        <v>67</v>
      </c>
      <c r="E2944" s="8" t="str">
        <f t="shared" si="2"/>
        <v>https://resources.simonelectric.com/simon-ebook-vehiculo-electrico</v>
      </c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</row>
    <row r="2945" ht="15.75" customHeight="1">
      <c r="A2945" s="5" t="s">
        <v>4188</v>
      </c>
      <c r="B2945" s="5">
        <v>43915.0</v>
      </c>
      <c r="C2945" s="6" t="s">
        <v>4208</v>
      </c>
      <c r="D2945" s="11">
        <f t="shared" si="1"/>
        <v>67</v>
      </c>
      <c r="E2945" s="8" t="str">
        <f t="shared" si="2"/>
        <v>https://resources.simonelectric.com/simon-ebook-vehiculo-electrico</v>
      </c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</row>
    <row r="2946" ht="15.75" customHeight="1">
      <c r="A2946" s="5" t="s">
        <v>4209</v>
      </c>
      <c r="B2946" s="5">
        <v>43915.0</v>
      </c>
      <c r="C2946" s="6" t="s">
        <v>4210</v>
      </c>
      <c r="D2946" s="11">
        <f t="shared" si="1"/>
        <v>67</v>
      </c>
      <c r="E2946" s="8" t="str">
        <f t="shared" si="2"/>
        <v>https://resources.simonelectric.com/simon-ebook-vehiculo-electrico</v>
      </c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</row>
    <row r="2947" ht="15.75" customHeight="1">
      <c r="A2947" s="5" t="s">
        <v>4211</v>
      </c>
      <c r="B2947" s="5">
        <v>43915.0</v>
      </c>
      <c r="C2947" s="6" t="s">
        <v>4212</v>
      </c>
      <c r="D2947" s="11">
        <f t="shared" si="1"/>
        <v>67</v>
      </c>
      <c r="E2947" s="8" t="str">
        <f t="shared" si="2"/>
        <v>https://resources.simonelectric.com/simon-ebook-vehiculo-electrico</v>
      </c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</row>
    <row r="2948" ht="15.75" customHeight="1">
      <c r="A2948" s="5" t="s">
        <v>4213</v>
      </c>
      <c r="B2948" s="5">
        <v>43915.0</v>
      </c>
      <c r="C2948" s="6" t="s">
        <v>4214</v>
      </c>
      <c r="D2948" s="11">
        <f t="shared" si="1"/>
        <v>67</v>
      </c>
      <c r="E2948" s="8" t="str">
        <f t="shared" si="2"/>
        <v>https://resources.simonelectric.com/simon-ebook-vehiculo-electrico</v>
      </c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</row>
    <row r="2949" ht="15.75" customHeight="1">
      <c r="A2949" s="5" t="s">
        <v>853</v>
      </c>
      <c r="B2949" s="5">
        <v>43915.0</v>
      </c>
      <c r="C2949" s="6" t="s">
        <v>4215</v>
      </c>
      <c r="D2949" s="11">
        <f t="shared" si="1"/>
        <v>67</v>
      </c>
      <c r="E2949" s="8" t="str">
        <f t="shared" si="2"/>
        <v>https://resources.simonelectric.com/simon-ebook-vehiculo-electrico</v>
      </c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</row>
    <row r="2950" ht="15.75" customHeight="1">
      <c r="A2950" s="5" t="s">
        <v>4216</v>
      </c>
      <c r="B2950" s="5">
        <v>43915.0</v>
      </c>
      <c r="C2950" s="6" t="s">
        <v>4217</v>
      </c>
      <c r="D2950" s="11">
        <f t="shared" si="1"/>
        <v>67</v>
      </c>
      <c r="E2950" s="8" t="str">
        <f t="shared" si="2"/>
        <v>https://resources.simonelectric.com/simon-ebook-vehiculo-electrico</v>
      </c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</row>
    <row r="2951" ht="15.75" customHeight="1">
      <c r="A2951" s="5" t="s">
        <v>482</v>
      </c>
      <c r="B2951" s="5">
        <v>43915.0</v>
      </c>
      <c r="C2951" s="6" t="s">
        <v>31</v>
      </c>
      <c r="D2951" s="11">
        <f t="shared" si="1"/>
        <v>67</v>
      </c>
      <c r="E2951" s="8" t="str">
        <f t="shared" si="2"/>
        <v>https://resources.simonelectric.com/simon-ebook-vehiculo-electrico</v>
      </c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</row>
    <row r="2952" ht="15.75" customHeight="1">
      <c r="A2952" s="5" t="s">
        <v>4218</v>
      </c>
      <c r="B2952" s="5">
        <v>43915.0</v>
      </c>
      <c r="C2952" s="6" t="s">
        <v>28</v>
      </c>
      <c r="D2952" s="10" t="str">
        <f t="shared" si="1"/>
        <v>https://resources.simonelectric.com/simon-ebook-vehiculo-electrico</v>
      </c>
      <c r="E2952" s="8" t="str">
        <f t="shared" si="2"/>
        <v>https://resources.simonelectric.com/simon-ebook-vehiculo-electrico</v>
      </c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</row>
    <row r="2953" ht="15.75" customHeight="1">
      <c r="A2953" s="5" t="s">
        <v>4219</v>
      </c>
      <c r="B2953" s="5">
        <v>43915.0</v>
      </c>
      <c r="C2953" s="6" t="s">
        <v>4220</v>
      </c>
      <c r="D2953" s="11">
        <f t="shared" si="1"/>
        <v>67</v>
      </c>
      <c r="E2953" s="8" t="str">
        <f t="shared" si="2"/>
        <v>https://resources.simonelectric.com/simon-ebook-vehiculo-electrico</v>
      </c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</row>
    <row r="2954" ht="15.75" customHeight="1">
      <c r="A2954" s="5" t="s">
        <v>4206</v>
      </c>
      <c r="B2954" s="5">
        <v>43915.0</v>
      </c>
      <c r="C2954" s="6" t="s">
        <v>4221</v>
      </c>
      <c r="D2954" s="11">
        <f t="shared" si="1"/>
        <v>67</v>
      </c>
      <c r="E2954" s="8" t="str">
        <f t="shared" si="2"/>
        <v>https://resources.simonelectric.com/simon-ebook-vehiculo-electrico</v>
      </c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</row>
    <row r="2955" ht="15.75" customHeight="1">
      <c r="A2955" s="5" t="s">
        <v>1962</v>
      </c>
      <c r="B2955" s="5">
        <v>43915.0</v>
      </c>
      <c r="C2955" s="6" t="s">
        <v>4222</v>
      </c>
      <c r="D2955" s="11">
        <f t="shared" si="1"/>
        <v>67</v>
      </c>
      <c r="E2955" s="8" t="str">
        <f t="shared" si="2"/>
        <v>https://resources.simonelectric.com/simon-ebook-vehiculo-electrico</v>
      </c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</row>
    <row r="2956" ht="15.75" customHeight="1">
      <c r="A2956" s="5" t="s">
        <v>4223</v>
      </c>
      <c r="B2956" s="5">
        <v>43915.0</v>
      </c>
      <c r="C2956" s="6" t="s">
        <v>4224</v>
      </c>
      <c r="D2956" s="11">
        <f t="shared" si="1"/>
        <v>67</v>
      </c>
      <c r="E2956" s="8" t="str">
        <f t="shared" si="2"/>
        <v>https://resources.simonelectric.com/simon-ebook-vehiculo-electrico</v>
      </c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</row>
    <row r="2957" ht="15.75" customHeight="1">
      <c r="A2957" s="5" t="s">
        <v>4225</v>
      </c>
      <c r="B2957" s="5">
        <v>43915.0</v>
      </c>
      <c r="C2957" s="6" t="s">
        <v>28</v>
      </c>
      <c r="D2957" s="10" t="str">
        <f t="shared" si="1"/>
        <v>https://resources.simonelectric.com/simon-ebook-vehiculo-electrico</v>
      </c>
      <c r="E2957" s="8" t="str">
        <f t="shared" si="2"/>
        <v>https://resources.simonelectric.com/simon-ebook-vehiculo-electrico</v>
      </c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</row>
    <row r="2958" ht="15.75" customHeight="1">
      <c r="A2958" s="5" t="s">
        <v>3114</v>
      </c>
      <c r="B2958" s="5">
        <v>43915.0</v>
      </c>
      <c r="C2958" s="6" t="s">
        <v>75</v>
      </c>
      <c r="D2958" s="11">
        <f t="shared" si="1"/>
        <v>67</v>
      </c>
      <c r="E2958" s="8" t="str">
        <f t="shared" si="2"/>
        <v>https://resources.simonelectric.com/simon-ebook-vehiculo-electrico</v>
      </c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</row>
    <row r="2959" ht="15.75" customHeight="1">
      <c r="A2959" s="5" t="s">
        <v>4226</v>
      </c>
      <c r="B2959" s="5">
        <v>43915.0</v>
      </c>
      <c r="C2959" s="6" t="s">
        <v>4227</v>
      </c>
      <c r="D2959" s="11">
        <f t="shared" si="1"/>
        <v>67</v>
      </c>
      <c r="E2959" s="8" t="str">
        <f t="shared" si="2"/>
        <v>https://resources.simonelectric.com/simon-ebook-vehiculo-electrico</v>
      </c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</row>
    <row r="2960" ht="15.75" customHeight="1">
      <c r="A2960" s="5" t="s">
        <v>4228</v>
      </c>
      <c r="B2960" s="5">
        <v>43915.0</v>
      </c>
      <c r="C2960" s="6" t="s">
        <v>4229</v>
      </c>
      <c r="D2960" s="11">
        <f t="shared" si="1"/>
        <v>67</v>
      </c>
      <c r="E2960" s="8" t="str">
        <f t="shared" si="2"/>
        <v>https://resources.simonelectric.com/simon-ebook-vehiculo-electrico</v>
      </c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</row>
    <row r="2961" ht="15.75" customHeight="1">
      <c r="A2961" s="5" t="s">
        <v>4230</v>
      </c>
      <c r="B2961" s="5">
        <v>43915.0</v>
      </c>
      <c r="C2961" s="6" t="s">
        <v>4231</v>
      </c>
      <c r="D2961" s="11">
        <f t="shared" si="1"/>
        <v>67</v>
      </c>
      <c r="E2961" s="8" t="str">
        <f t="shared" si="2"/>
        <v>https://resources.simonelectric.com/simon-ebook-vehiculo-electrico</v>
      </c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</row>
    <row r="2962" ht="15.75" customHeight="1">
      <c r="A2962" s="5" t="s">
        <v>4232</v>
      </c>
      <c r="B2962" s="5">
        <v>43915.0</v>
      </c>
      <c r="C2962" s="6" t="s">
        <v>4233</v>
      </c>
      <c r="D2962" s="11">
        <f t="shared" si="1"/>
        <v>67</v>
      </c>
      <c r="E2962" s="8" t="str">
        <f t="shared" si="2"/>
        <v>https://resources.simonelectric.com/simon-ebook-vehiculo-electrico</v>
      </c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</row>
    <row r="2963" ht="15.75" customHeight="1">
      <c r="A2963" s="5" t="s">
        <v>4234</v>
      </c>
      <c r="B2963" s="5">
        <v>43915.0</v>
      </c>
      <c r="C2963" s="6" t="s">
        <v>4235</v>
      </c>
      <c r="D2963" s="11">
        <f t="shared" si="1"/>
        <v>67</v>
      </c>
      <c r="E2963" s="8" t="str">
        <f t="shared" si="2"/>
        <v>https://resources.simonelectric.com/simon-ebook-vehiculo-electrico</v>
      </c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</row>
    <row r="2964" ht="15.75" customHeight="1">
      <c r="A2964" s="5" t="s">
        <v>1132</v>
      </c>
      <c r="B2964" s="5">
        <v>43915.0</v>
      </c>
      <c r="C2964" s="6" t="s">
        <v>4236</v>
      </c>
      <c r="D2964" s="11">
        <f t="shared" si="1"/>
        <v>67</v>
      </c>
      <c r="E2964" s="8" t="str">
        <f t="shared" si="2"/>
        <v>https://resources.simonelectric.com/simon-ebook-vehiculo-electrico</v>
      </c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</row>
    <row r="2965" ht="15.75" customHeight="1">
      <c r="A2965" s="5" t="s">
        <v>4234</v>
      </c>
      <c r="B2965" s="5">
        <v>43915.0</v>
      </c>
      <c r="C2965" s="6" t="s">
        <v>4235</v>
      </c>
      <c r="D2965" s="11">
        <f t="shared" si="1"/>
        <v>67</v>
      </c>
      <c r="E2965" s="8" t="str">
        <f t="shared" si="2"/>
        <v>https://resources.simonelectric.com/simon-ebook-vehiculo-electrico</v>
      </c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</row>
    <row r="2966" ht="15.75" customHeight="1">
      <c r="A2966" s="5" t="s">
        <v>4237</v>
      </c>
      <c r="B2966" s="5">
        <v>43915.0</v>
      </c>
      <c r="C2966" s="6" t="s">
        <v>4238</v>
      </c>
      <c r="D2966" s="11">
        <f t="shared" si="1"/>
        <v>67</v>
      </c>
      <c r="E2966" s="8" t="str">
        <f t="shared" si="2"/>
        <v>https://resources.simonelectric.com/simon-ebook-vehiculo-electrico</v>
      </c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</row>
    <row r="2967" ht="15.75" customHeight="1">
      <c r="A2967" s="5" t="s">
        <v>4239</v>
      </c>
      <c r="B2967" s="5">
        <v>43915.0</v>
      </c>
      <c r="C2967" s="6" t="s">
        <v>4240</v>
      </c>
      <c r="D2967" s="11">
        <f t="shared" si="1"/>
        <v>67</v>
      </c>
      <c r="E2967" s="8" t="str">
        <f t="shared" si="2"/>
        <v>https://resources.simonelectric.com/simon-ebook-vehiculo-electrico</v>
      </c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</row>
    <row r="2968" ht="15.75" customHeight="1">
      <c r="A2968" s="5" t="s">
        <v>4241</v>
      </c>
      <c r="B2968" s="5">
        <v>43915.0</v>
      </c>
      <c r="C2968" s="6" t="s">
        <v>4242</v>
      </c>
      <c r="D2968" s="11">
        <f t="shared" si="1"/>
        <v>67</v>
      </c>
      <c r="E2968" s="8" t="str">
        <f t="shared" si="2"/>
        <v>https://resources.simonelectric.com/simon-ebook-vehiculo-electrico</v>
      </c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</row>
    <row r="2969" ht="15.75" customHeight="1">
      <c r="A2969" s="5" t="s">
        <v>1649</v>
      </c>
      <c r="B2969" s="5">
        <v>43915.0</v>
      </c>
      <c r="C2969" s="6" t="s">
        <v>4243</v>
      </c>
      <c r="D2969" s="11">
        <f t="shared" si="1"/>
        <v>67</v>
      </c>
      <c r="E2969" s="8" t="str">
        <f t="shared" si="2"/>
        <v>https://resources.simonelectric.com/simon-ebook-vehiculo-electrico</v>
      </c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</row>
    <row r="2970" ht="15.75" customHeight="1">
      <c r="A2970" s="5" t="s">
        <v>4244</v>
      </c>
      <c r="B2970" s="5">
        <v>43915.0</v>
      </c>
      <c r="C2970" s="6" t="s">
        <v>4245</v>
      </c>
      <c r="D2970" s="11">
        <f t="shared" si="1"/>
        <v>67</v>
      </c>
      <c r="E2970" s="8" t="str">
        <f t="shared" si="2"/>
        <v>https://resources.simonelectric.com/simon-ebook-vehiculo-electrico</v>
      </c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</row>
    <row r="2971" ht="15.75" customHeight="1">
      <c r="A2971" s="5" t="s">
        <v>4246</v>
      </c>
      <c r="B2971" s="5">
        <v>43915.0</v>
      </c>
      <c r="C2971" s="6" t="s">
        <v>4247</v>
      </c>
      <c r="D2971" s="11">
        <f t="shared" si="1"/>
        <v>67</v>
      </c>
      <c r="E2971" s="8" t="str">
        <f t="shared" si="2"/>
        <v>https://resources.simonelectric.com/simon-ebook-vehiculo-electrico</v>
      </c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</row>
    <row r="2972" ht="15.75" customHeight="1">
      <c r="A2972" s="5" t="s">
        <v>4248</v>
      </c>
      <c r="B2972" s="5">
        <v>43915.0</v>
      </c>
      <c r="C2972" s="6" t="s">
        <v>4249</v>
      </c>
      <c r="D2972" s="11">
        <f t="shared" si="1"/>
        <v>67</v>
      </c>
      <c r="E2972" s="8" t="str">
        <f t="shared" si="2"/>
        <v>https://resources.simonelectric.com/simon-ebook-vehiculo-electrico</v>
      </c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</row>
    <row r="2973" ht="15.75" customHeight="1">
      <c r="A2973" s="5" t="s">
        <v>4250</v>
      </c>
      <c r="B2973" s="5">
        <v>43915.0</v>
      </c>
      <c r="C2973" s="6" t="s">
        <v>4251</v>
      </c>
      <c r="D2973" s="11">
        <f t="shared" si="1"/>
        <v>67</v>
      </c>
      <c r="E2973" s="8" t="str">
        <f t="shared" si="2"/>
        <v>https://resources.simonelectric.com/simon-ebook-vehiculo-electrico</v>
      </c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</row>
    <row r="2974" ht="15.75" customHeight="1">
      <c r="A2974" s="5" t="s">
        <v>4252</v>
      </c>
      <c r="B2974" s="5">
        <v>43915.0</v>
      </c>
      <c r="C2974" s="6" t="s">
        <v>4253</v>
      </c>
      <c r="D2974" s="11">
        <f t="shared" si="1"/>
        <v>67</v>
      </c>
      <c r="E2974" s="8" t="str">
        <f t="shared" si="2"/>
        <v>https://resources.simonelectric.com/simon-ebook-vehiculo-electrico</v>
      </c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</row>
    <row r="2975" ht="15.75" customHeight="1">
      <c r="A2975" s="5" t="s">
        <v>3325</v>
      </c>
      <c r="B2975" s="5">
        <v>43915.0</v>
      </c>
      <c r="C2975" s="6" t="s">
        <v>8</v>
      </c>
      <c r="D2975" s="11">
        <f t="shared" si="1"/>
        <v>67</v>
      </c>
      <c r="E2975" s="8" t="str">
        <f t="shared" si="2"/>
        <v>https://resources.simonelectric.com/simon-ebook-vehiculo-electrico</v>
      </c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</row>
    <row r="2976" ht="15.75" customHeight="1">
      <c r="A2976" s="5" t="s">
        <v>4254</v>
      </c>
      <c r="B2976" s="5">
        <v>43915.0</v>
      </c>
      <c r="C2976" s="6" t="s">
        <v>4255</v>
      </c>
      <c r="D2976" s="11">
        <f t="shared" si="1"/>
        <v>67</v>
      </c>
      <c r="E2976" s="8" t="str">
        <f t="shared" si="2"/>
        <v>https://resources.simonelectric.com/simon-ebook-vehiculo-electrico</v>
      </c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</row>
    <row r="2977" ht="15.75" customHeight="1">
      <c r="A2977" s="5" t="s">
        <v>1299</v>
      </c>
      <c r="B2977" s="5">
        <v>43915.0</v>
      </c>
      <c r="C2977" s="6" t="s">
        <v>75</v>
      </c>
      <c r="D2977" s="11">
        <f t="shared" si="1"/>
        <v>67</v>
      </c>
      <c r="E2977" s="8" t="str">
        <f t="shared" si="2"/>
        <v>https://resources.simonelectric.com/simon-ebook-vehiculo-electrico</v>
      </c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</row>
    <row r="2978" ht="15.75" customHeight="1">
      <c r="A2978" s="5" t="s">
        <v>1921</v>
      </c>
      <c r="B2978" s="5">
        <v>43915.0</v>
      </c>
      <c r="C2978" s="6" t="s">
        <v>4256</v>
      </c>
      <c r="D2978" s="11">
        <f t="shared" si="1"/>
        <v>67</v>
      </c>
      <c r="E2978" s="8" t="str">
        <f t="shared" si="2"/>
        <v>https://resources.simonelectric.com/simon-ebook-vehiculo-electrico</v>
      </c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</row>
    <row r="2979" ht="15.75" customHeight="1">
      <c r="A2979" s="5" t="s">
        <v>4257</v>
      </c>
      <c r="B2979" s="5">
        <v>43915.0</v>
      </c>
      <c r="C2979" s="6" t="s">
        <v>8</v>
      </c>
      <c r="D2979" s="11">
        <f t="shared" si="1"/>
        <v>67</v>
      </c>
      <c r="E2979" s="8" t="str">
        <f t="shared" si="2"/>
        <v>https://resources.simonelectric.com/simon-ebook-vehiculo-electrico</v>
      </c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</row>
    <row r="2980" ht="15.75" customHeight="1">
      <c r="A2980" s="5" t="s">
        <v>4258</v>
      </c>
      <c r="B2980" s="5">
        <v>43915.0</v>
      </c>
      <c r="C2980" s="6" t="s">
        <v>4259</v>
      </c>
      <c r="D2980" s="11">
        <f t="shared" si="1"/>
        <v>69</v>
      </c>
      <c r="E2980" s="8" t="str">
        <f t="shared" si="2"/>
        <v>https://resources.simonelectric.com/simon-ebook-vehiculo-electrico-0</v>
      </c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</row>
    <row r="2981" ht="15.75" customHeight="1">
      <c r="A2981" s="5" t="s">
        <v>2930</v>
      </c>
      <c r="B2981" s="5">
        <v>43915.0</v>
      </c>
      <c r="C2981" s="6" t="s">
        <v>4260</v>
      </c>
      <c r="D2981" s="10">
        <f t="shared" si="1"/>
        <v>67</v>
      </c>
      <c r="E2981" s="8" t="str">
        <f t="shared" si="2"/>
        <v>https://resources.simonelectric.com/simon-ebook-vehiculo-electrico</v>
      </c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</row>
    <row r="2982" ht="15.75" customHeight="1">
      <c r="A2982" s="5" t="s">
        <v>4261</v>
      </c>
      <c r="B2982" s="5">
        <v>43915.0</v>
      </c>
      <c r="C2982" s="6" t="s">
        <v>4262</v>
      </c>
      <c r="D2982" s="11">
        <f t="shared" si="1"/>
        <v>67</v>
      </c>
      <c r="E2982" s="8" t="str">
        <f t="shared" si="2"/>
        <v>https://resources.simonelectric.com/simon-ebook-vehiculo-electrico</v>
      </c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</row>
    <row r="2983" ht="15.75" customHeight="1">
      <c r="A2983" s="5" t="s">
        <v>4263</v>
      </c>
      <c r="B2983" s="5">
        <v>43915.0</v>
      </c>
      <c r="C2983" s="6" t="s">
        <v>8</v>
      </c>
      <c r="D2983" s="11">
        <f t="shared" si="1"/>
        <v>67</v>
      </c>
      <c r="E2983" s="8" t="str">
        <f t="shared" si="2"/>
        <v>https://resources.simonelectric.com/simon-ebook-vehiculo-electrico</v>
      </c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</row>
    <row r="2984" ht="15.75" customHeight="1">
      <c r="A2984" s="5" t="s">
        <v>4264</v>
      </c>
      <c r="B2984" s="5">
        <v>43915.0</v>
      </c>
      <c r="C2984" s="6" t="s">
        <v>4265</v>
      </c>
      <c r="D2984" s="11">
        <f t="shared" si="1"/>
        <v>67</v>
      </c>
      <c r="E2984" s="8" t="str">
        <f t="shared" si="2"/>
        <v>https://resources.simonelectric.com/simon-ebook-vehiculo-electrico</v>
      </c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</row>
    <row r="2985" ht="15.75" customHeight="1">
      <c r="A2985" s="5" t="s">
        <v>2585</v>
      </c>
      <c r="B2985" s="5">
        <v>43915.0</v>
      </c>
      <c r="C2985" s="6" t="s">
        <v>4266</v>
      </c>
      <c r="D2985" s="11">
        <f t="shared" si="1"/>
        <v>67</v>
      </c>
      <c r="E2985" s="8" t="str">
        <f t="shared" si="2"/>
        <v>https://resources.simonelectric.com/simon-ebook-vehiculo-electrico</v>
      </c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</row>
    <row r="2986" ht="15.75" customHeight="1">
      <c r="A2986" s="5" t="s">
        <v>1111</v>
      </c>
      <c r="B2986" s="5">
        <v>43915.0</v>
      </c>
      <c r="C2986" s="6" t="s">
        <v>4267</v>
      </c>
      <c r="D2986" s="11">
        <f t="shared" si="1"/>
        <v>67</v>
      </c>
      <c r="E2986" s="8" t="str">
        <f t="shared" si="2"/>
        <v>https://resources.simonelectric.com/simon-ebook-vehiculo-electrico</v>
      </c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</row>
    <row r="2987" ht="15.75" customHeight="1">
      <c r="A2987" s="5" t="s">
        <v>4268</v>
      </c>
      <c r="B2987" s="5">
        <v>43915.0</v>
      </c>
      <c r="C2987" s="6" t="s">
        <v>4269</v>
      </c>
      <c r="D2987" s="11">
        <f t="shared" si="1"/>
        <v>67</v>
      </c>
      <c r="E2987" s="8" t="str">
        <f t="shared" si="2"/>
        <v>https://resources.simonelectric.com/simon-ebook-vehiculo-electrico</v>
      </c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</row>
    <row r="2988" ht="15.75" customHeight="1">
      <c r="A2988" s="5" t="s">
        <v>4270</v>
      </c>
      <c r="B2988" s="5">
        <v>43915.0</v>
      </c>
      <c r="C2988" s="6" t="s">
        <v>8</v>
      </c>
      <c r="D2988" s="11">
        <f t="shared" si="1"/>
        <v>67</v>
      </c>
      <c r="E2988" s="8" t="str">
        <f t="shared" si="2"/>
        <v>https://resources.simonelectric.com/simon-ebook-vehiculo-electrico</v>
      </c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</row>
    <row r="2989" ht="15.75" customHeight="1">
      <c r="A2989" s="5" t="s">
        <v>4270</v>
      </c>
      <c r="B2989" s="5">
        <v>43915.0</v>
      </c>
      <c r="C2989" s="6" t="s">
        <v>4271</v>
      </c>
      <c r="D2989" s="10">
        <f t="shared" si="1"/>
        <v>70</v>
      </c>
      <c r="E2989" s="8" t="str">
        <f t="shared" si="2"/>
        <v>https://resources.simonelectric.com/simon-catalogo-vehiculo-electrico</v>
      </c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</row>
    <row r="2990" ht="15.75" customHeight="1">
      <c r="A2990" s="5" t="s">
        <v>4272</v>
      </c>
      <c r="B2990" s="5">
        <v>43915.0</v>
      </c>
      <c r="C2990" s="6" t="s">
        <v>4273</v>
      </c>
      <c r="D2990" s="11">
        <f t="shared" si="1"/>
        <v>67</v>
      </c>
      <c r="E2990" s="8" t="str">
        <f t="shared" si="2"/>
        <v>https://resources.simonelectric.com/simon-ebook-vehiculo-electrico</v>
      </c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</row>
    <row r="2991" ht="15.75" customHeight="1">
      <c r="A2991" s="5" t="s">
        <v>4274</v>
      </c>
      <c r="B2991" s="5">
        <v>43915.0</v>
      </c>
      <c r="C2991" s="6" t="s">
        <v>1439</v>
      </c>
      <c r="D2991" s="11">
        <f t="shared" si="1"/>
        <v>67</v>
      </c>
      <c r="E2991" s="8" t="str">
        <f t="shared" si="2"/>
        <v>https://resources.simonelectric.com/simon-ebook-vehiculo-electrico</v>
      </c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</row>
    <row r="2992" ht="15.75" customHeight="1">
      <c r="A2992" s="5" t="s">
        <v>2644</v>
      </c>
      <c r="B2992" s="5">
        <v>43914.0</v>
      </c>
      <c r="C2992" s="6" t="s">
        <v>4275</v>
      </c>
      <c r="D2992" s="11">
        <f t="shared" si="1"/>
        <v>67</v>
      </c>
      <c r="E2992" s="8" t="str">
        <f t="shared" si="2"/>
        <v>https://resources.simonelectric.com/simon-ebook-vehiculo-electrico</v>
      </c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</row>
    <row r="2993" ht="15.75" customHeight="1">
      <c r="A2993" s="5" t="s">
        <v>4276</v>
      </c>
      <c r="B2993" s="5">
        <v>43914.0</v>
      </c>
      <c r="C2993" s="6" t="s">
        <v>4277</v>
      </c>
      <c r="D2993" s="11">
        <f t="shared" si="1"/>
        <v>67</v>
      </c>
      <c r="E2993" s="8" t="str">
        <f t="shared" si="2"/>
        <v>https://resources.simonelectric.com/simon-ebook-vehiculo-electrico</v>
      </c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</row>
    <row r="2994" ht="15.75" customHeight="1">
      <c r="A2994" s="5" t="s">
        <v>4278</v>
      </c>
      <c r="B2994" s="5">
        <v>43914.0</v>
      </c>
      <c r="C2994" s="6" t="s">
        <v>4279</v>
      </c>
      <c r="D2994" s="11">
        <f t="shared" si="1"/>
        <v>67</v>
      </c>
      <c r="E2994" s="8" t="str">
        <f t="shared" si="2"/>
        <v>https://resources.simonelectric.com/simon-ebook-vehiculo-electrico</v>
      </c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</row>
    <row r="2995" ht="15.75" customHeight="1">
      <c r="A2995" s="5" t="s">
        <v>4280</v>
      </c>
      <c r="B2995" s="5">
        <v>43914.0</v>
      </c>
      <c r="C2995" s="6" t="s">
        <v>4281</v>
      </c>
      <c r="D2995" s="11">
        <f t="shared" si="1"/>
        <v>67</v>
      </c>
      <c r="E2995" s="8" t="str">
        <f t="shared" si="2"/>
        <v>https://resources.simonelectric.com/simon-ebook-vehiculo-electrico</v>
      </c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</row>
    <row r="2996" ht="15.75" customHeight="1">
      <c r="A2996" s="5" t="s">
        <v>2627</v>
      </c>
      <c r="B2996" s="5">
        <v>43914.0</v>
      </c>
      <c r="C2996" s="6" t="s">
        <v>4282</v>
      </c>
      <c r="D2996" s="11">
        <f t="shared" si="1"/>
        <v>67</v>
      </c>
      <c r="E2996" s="8" t="str">
        <f t="shared" si="2"/>
        <v>https://resources.simonelectric.com/simon-ebook-vehiculo-electrico</v>
      </c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</row>
    <row r="2997" ht="15.75" customHeight="1">
      <c r="A2997" s="5" t="s">
        <v>1588</v>
      </c>
      <c r="B2997" s="5">
        <v>43914.0</v>
      </c>
      <c r="C2997" s="6" t="s">
        <v>4283</v>
      </c>
      <c r="D2997" s="11">
        <f t="shared" si="1"/>
        <v>67</v>
      </c>
      <c r="E2997" s="8" t="str">
        <f t="shared" si="2"/>
        <v>https://resources.simonelectric.com/simon-ebook-vehiculo-electrico</v>
      </c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</row>
    <row r="2998" ht="15.75" customHeight="1">
      <c r="A2998" s="5" t="s">
        <v>4284</v>
      </c>
      <c r="B2998" s="5">
        <v>43914.0</v>
      </c>
      <c r="C2998" s="6" t="s">
        <v>4285</v>
      </c>
      <c r="D2998" s="11">
        <f t="shared" si="1"/>
        <v>70</v>
      </c>
      <c r="E2998" s="8" t="str">
        <f t="shared" si="2"/>
        <v>https://resources.simonelectric.com/simon-catalogo-vehiculo-electrico</v>
      </c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</row>
    <row r="2999" ht="15.75" customHeight="1">
      <c r="A2999" s="5" t="s">
        <v>4284</v>
      </c>
      <c r="B2999" s="5">
        <v>43914.0</v>
      </c>
      <c r="C2999" s="6" t="s">
        <v>28</v>
      </c>
      <c r="D2999" s="10" t="str">
        <f t="shared" si="1"/>
        <v>https://resources.simonelectric.com/simon-ebook-vehiculo-electrico</v>
      </c>
      <c r="E2999" s="8" t="str">
        <f t="shared" si="2"/>
        <v>https://resources.simonelectric.com/simon-ebook-vehiculo-electrico</v>
      </c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</row>
    <row r="3000" ht="15.75" customHeight="1">
      <c r="A3000" s="5" t="s">
        <v>4286</v>
      </c>
      <c r="B3000" s="5">
        <v>43914.0</v>
      </c>
      <c r="C3000" s="6" t="s">
        <v>4287</v>
      </c>
      <c r="D3000" s="11">
        <f t="shared" si="1"/>
        <v>67</v>
      </c>
      <c r="E3000" s="8" t="str">
        <f t="shared" si="2"/>
        <v>https://resources.simonelectric.com/simon-ebook-vehiculo-electrico</v>
      </c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</row>
    <row r="3001" ht="15.75" customHeight="1">
      <c r="A3001" s="5" t="s">
        <v>1091</v>
      </c>
      <c r="B3001" s="5">
        <v>43914.0</v>
      </c>
      <c r="C3001" s="6" t="s">
        <v>4288</v>
      </c>
      <c r="D3001" s="11">
        <f t="shared" si="1"/>
        <v>67</v>
      </c>
      <c r="E3001" s="8" t="str">
        <f t="shared" si="2"/>
        <v>https://resources.simonelectric.com/simon-ebook-vehiculo-electrico</v>
      </c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</row>
    <row r="3002" ht="15.75" customHeight="1">
      <c r="A3002" s="5" t="s">
        <v>4289</v>
      </c>
      <c r="B3002" s="5">
        <v>43914.0</v>
      </c>
      <c r="C3002" s="6" t="s">
        <v>4290</v>
      </c>
      <c r="D3002" s="11">
        <f t="shared" si="1"/>
        <v>67</v>
      </c>
      <c r="E3002" s="8" t="str">
        <f t="shared" si="2"/>
        <v>https://resources.simonelectric.com/simon-ebook-vehiculo-electrico</v>
      </c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</row>
    <row r="3003" ht="15.75" customHeight="1">
      <c r="A3003" s="5" t="s">
        <v>4291</v>
      </c>
      <c r="B3003" s="5">
        <v>43914.0</v>
      </c>
      <c r="C3003" s="6" t="s">
        <v>4292</v>
      </c>
      <c r="D3003" s="11">
        <f t="shared" si="1"/>
        <v>67</v>
      </c>
      <c r="E3003" s="8" t="str">
        <f t="shared" si="2"/>
        <v>https://resources.simonelectric.com/simon-ebook-vehiculo-electrico</v>
      </c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</row>
    <row r="3004" ht="15.75" customHeight="1">
      <c r="A3004" s="5" t="s">
        <v>4293</v>
      </c>
      <c r="B3004" s="5">
        <v>43914.0</v>
      </c>
      <c r="C3004" s="6" t="s">
        <v>4294</v>
      </c>
      <c r="D3004" s="11">
        <f t="shared" si="1"/>
        <v>67</v>
      </c>
      <c r="E3004" s="8" t="str">
        <f t="shared" si="2"/>
        <v>https://resources.simonelectric.com/simon-ebook-vehiculo-electrico</v>
      </c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</row>
    <row r="3005" ht="15.75" customHeight="1">
      <c r="A3005" s="5" t="s">
        <v>2579</v>
      </c>
      <c r="B3005" s="5">
        <v>43914.0</v>
      </c>
      <c r="C3005" s="6" t="s">
        <v>4295</v>
      </c>
      <c r="D3005" s="11">
        <f t="shared" si="1"/>
        <v>67</v>
      </c>
      <c r="E3005" s="8" t="str">
        <f t="shared" si="2"/>
        <v>https://resources.simonelectric.com/simon-ebook-vehiculo-electrico</v>
      </c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</row>
    <row r="3006" ht="15.75" customHeight="1">
      <c r="A3006" s="5" t="s">
        <v>3290</v>
      </c>
      <c r="B3006" s="5">
        <v>43914.0</v>
      </c>
      <c r="C3006" s="6" t="s">
        <v>4296</v>
      </c>
      <c r="D3006" s="11">
        <f t="shared" si="1"/>
        <v>67</v>
      </c>
      <c r="E3006" s="8" t="str">
        <f t="shared" si="2"/>
        <v>https://resources.simonelectric.com/simon-ebook-vehiculo-electrico</v>
      </c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</row>
    <row r="3007" ht="15.75" customHeight="1">
      <c r="A3007" s="5" t="s">
        <v>4297</v>
      </c>
      <c r="B3007" s="5">
        <v>43914.0</v>
      </c>
      <c r="C3007" s="6" t="s">
        <v>4298</v>
      </c>
      <c r="D3007" s="11">
        <f t="shared" si="1"/>
        <v>67</v>
      </c>
      <c r="E3007" s="8" t="str">
        <f t="shared" si="2"/>
        <v>https://resources.simonelectric.com/simon-ebook-vehiculo-electrico</v>
      </c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</row>
    <row r="3008" ht="15.75" customHeight="1">
      <c r="A3008" s="5" t="s">
        <v>4299</v>
      </c>
      <c r="B3008" s="5">
        <v>43914.0</v>
      </c>
      <c r="C3008" s="6" t="s">
        <v>4300</v>
      </c>
      <c r="D3008" s="11">
        <f t="shared" si="1"/>
        <v>67</v>
      </c>
      <c r="E3008" s="8" t="str">
        <f t="shared" si="2"/>
        <v>https://resources.simonelectric.com/simon-ebook-vehiculo-electrico</v>
      </c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</row>
    <row r="3009" ht="15.75" customHeight="1">
      <c r="A3009" s="5" t="s">
        <v>4301</v>
      </c>
      <c r="B3009" s="5">
        <v>43914.0</v>
      </c>
      <c r="C3009" s="6" t="s">
        <v>4302</v>
      </c>
      <c r="D3009" s="11">
        <f t="shared" si="1"/>
        <v>67</v>
      </c>
      <c r="E3009" s="8" t="str">
        <f t="shared" si="2"/>
        <v>https://resources.simonelectric.com/simon-ebook-vehiculo-electrico</v>
      </c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</row>
    <row r="3010" ht="15.75" customHeight="1">
      <c r="A3010" s="5" t="s">
        <v>3235</v>
      </c>
      <c r="B3010" s="5">
        <v>43914.0</v>
      </c>
      <c r="C3010" s="6" t="s">
        <v>4303</v>
      </c>
      <c r="D3010" s="11">
        <f t="shared" si="1"/>
        <v>67</v>
      </c>
      <c r="E3010" s="8" t="str">
        <f t="shared" si="2"/>
        <v>https://resources.simonelectric.com/simon-ebook-vehiculo-electrico</v>
      </c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</row>
    <row r="3011" ht="15.75" customHeight="1">
      <c r="A3011" s="5" t="s">
        <v>4304</v>
      </c>
      <c r="B3011" s="5">
        <v>43914.0</v>
      </c>
      <c r="C3011" s="6" t="s">
        <v>4305</v>
      </c>
      <c r="D3011" s="11">
        <f t="shared" si="1"/>
        <v>67</v>
      </c>
      <c r="E3011" s="8" t="str">
        <f t="shared" si="2"/>
        <v>https://resources.simonelectric.com/simon-ebook-vehiculo-electrico</v>
      </c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</row>
    <row r="3012" ht="15.75" customHeight="1">
      <c r="A3012" s="5" t="s">
        <v>4306</v>
      </c>
      <c r="B3012" s="5">
        <v>43914.0</v>
      </c>
      <c r="C3012" s="6" t="s">
        <v>4307</v>
      </c>
      <c r="D3012" s="11">
        <f t="shared" si="1"/>
        <v>67</v>
      </c>
      <c r="E3012" s="8" t="str">
        <f t="shared" si="2"/>
        <v>https://resources.simonelectric.com/simon-ebook-vehiculo-electrico</v>
      </c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</row>
    <row r="3013" ht="15.75" customHeight="1">
      <c r="A3013" s="5" t="s">
        <v>4308</v>
      </c>
      <c r="B3013" s="5">
        <v>43914.0</v>
      </c>
      <c r="C3013" s="6" t="s">
        <v>4309</v>
      </c>
      <c r="D3013" s="11">
        <f t="shared" si="1"/>
        <v>67</v>
      </c>
      <c r="E3013" s="8" t="str">
        <f t="shared" si="2"/>
        <v>https://resources.simonelectric.com/simon-ebook-vehiculo-electrico</v>
      </c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</row>
    <row r="3014" ht="15.75" customHeight="1">
      <c r="A3014" s="5" t="s">
        <v>4310</v>
      </c>
      <c r="B3014" s="5">
        <v>43914.0</v>
      </c>
      <c r="C3014" s="6" t="s">
        <v>4311</v>
      </c>
      <c r="D3014" s="11">
        <f t="shared" si="1"/>
        <v>67</v>
      </c>
      <c r="E3014" s="8" t="str">
        <f t="shared" si="2"/>
        <v>https://resources.simonelectric.com/simon-ebook-vehiculo-electrico</v>
      </c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</row>
    <row r="3015" ht="15.75" customHeight="1">
      <c r="A3015" s="5" t="s">
        <v>4312</v>
      </c>
      <c r="B3015" s="5">
        <v>43914.0</v>
      </c>
      <c r="C3015" s="6" t="s">
        <v>4313</v>
      </c>
      <c r="D3015" s="11">
        <f t="shared" si="1"/>
        <v>67</v>
      </c>
      <c r="E3015" s="8" t="str">
        <f t="shared" si="2"/>
        <v>https://resources.simonelectric.com/simon-ebook-vehiculo-electrico</v>
      </c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</row>
    <row r="3016" ht="15.75" customHeight="1">
      <c r="A3016" s="5" t="s">
        <v>4314</v>
      </c>
      <c r="B3016" s="5">
        <v>43914.0</v>
      </c>
      <c r="C3016" s="6" t="s">
        <v>4315</v>
      </c>
      <c r="D3016" s="10">
        <f t="shared" si="1"/>
        <v>67</v>
      </c>
      <c r="E3016" s="8" t="str">
        <f t="shared" si="2"/>
        <v>https://resources.simonelectric.com/simon-ebook-vehiculo-electrico</v>
      </c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</row>
    <row r="3017" ht="15.75" customHeight="1">
      <c r="A3017" s="5" t="s">
        <v>3524</v>
      </c>
      <c r="B3017" s="5">
        <v>43914.0</v>
      </c>
      <c r="C3017" s="6" t="s">
        <v>4316</v>
      </c>
      <c r="D3017" s="11">
        <f t="shared" si="1"/>
        <v>67</v>
      </c>
      <c r="E3017" s="8" t="str">
        <f t="shared" si="2"/>
        <v>https://resources.simonelectric.com/simon-ebook-vehiculo-electrico</v>
      </c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</row>
    <row r="3018" ht="15.75" customHeight="1">
      <c r="A3018" s="5" t="s">
        <v>4317</v>
      </c>
      <c r="B3018" s="5">
        <v>43914.0</v>
      </c>
      <c r="C3018" s="6" t="s">
        <v>4318</v>
      </c>
      <c r="D3018" s="11">
        <f t="shared" si="1"/>
        <v>67</v>
      </c>
      <c r="E3018" s="8" t="str">
        <f t="shared" si="2"/>
        <v>https://resources.simonelectric.com/simon-ebook-vehiculo-electrico</v>
      </c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</row>
    <row r="3019" ht="15.75" customHeight="1">
      <c r="A3019" s="5" t="s">
        <v>2962</v>
      </c>
      <c r="B3019" s="5">
        <v>43914.0</v>
      </c>
      <c r="C3019" s="6" t="s">
        <v>4319</v>
      </c>
      <c r="D3019" s="11">
        <f t="shared" si="1"/>
        <v>67</v>
      </c>
      <c r="E3019" s="8" t="str">
        <f t="shared" si="2"/>
        <v>https://resources.simonelectric.com/simon-ebook-vehiculo-electrico</v>
      </c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</row>
    <row r="3020" ht="15.75" customHeight="1">
      <c r="A3020" s="5" t="s">
        <v>4320</v>
      </c>
      <c r="B3020" s="5">
        <v>43914.0</v>
      </c>
      <c r="C3020" s="6" t="s">
        <v>4321</v>
      </c>
      <c r="D3020" s="11">
        <f t="shared" si="1"/>
        <v>67</v>
      </c>
      <c r="E3020" s="8" t="str">
        <f t="shared" si="2"/>
        <v>https://resources.simonelectric.com/simon-ebook-vehiculo-electrico</v>
      </c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</row>
    <row r="3021" ht="15.75" customHeight="1">
      <c r="A3021" s="5" t="s">
        <v>4322</v>
      </c>
      <c r="B3021" s="5">
        <v>43914.0</v>
      </c>
      <c r="C3021" s="6" t="s">
        <v>4323</v>
      </c>
      <c r="D3021" s="10">
        <f t="shared" si="1"/>
        <v>67</v>
      </c>
      <c r="E3021" s="8" t="str">
        <f t="shared" si="2"/>
        <v>https://resources.simonelectric.com/simon-ebook-vehiculo-electrico</v>
      </c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</row>
    <row r="3022" ht="15.75" customHeight="1">
      <c r="A3022" s="5" t="s">
        <v>4324</v>
      </c>
      <c r="B3022" s="5">
        <v>43914.0</v>
      </c>
      <c r="C3022" s="6" t="s">
        <v>4325</v>
      </c>
      <c r="D3022" s="11">
        <f t="shared" si="1"/>
        <v>67</v>
      </c>
      <c r="E3022" s="8" t="str">
        <f t="shared" si="2"/>
        <v>https://resources.simonelectric.com/simon-ebook-vehiculo-electrico</v>
      </c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</row>
    <row r="3023" ht="15.75" customHeight="1">
      <c r="A3023" s="5" t="s">
        <v>4326</v>
      </c>
      <c r="B3023" s="5">
        <v>43914.0</v>
      </c>
      <c r="C3023" s="6" t="s">
        <v>4327</v>
      </c>
      <c r="D3023" s="11">
        <f t="shared" si="1"/>
        <v>67</v>
      </c>
      <c r="E3023" s="8" t="str">
        <f t="shared" si="2"/>
        <v>https://resources.simonelectric.com/simon-ebook-vehiculo-electrico</v>
      </c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</row>
    <row r="3024" ht="15.75" customHeight="1">
      <c r="A3024" s="5" t="s">
        <v>2384</v>
      </c>
      <c r="B3024" s="5">
        <v>43914.0</v>
      </c>
      <c r="C3024" s="6" t="s">
        <v>4328</v>
      </c>
      <c r="D3024" s="11">
        <f t="shared" si="1"/>
        <v>67</v>
      </c>
      <c r="E3024" s="8" t="str">
        <f t="shared" si="2"/>
        <v>https://resources.simonelectric.com/simon-ebook-vehiculo-electrico</v>
      </c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</row>
    <row r="3025" ht="15.75" customHeight="1">
      <c r="A3025" s="5" t="s">
        <v>4329</v>
      </c>
      <c r="B3025" s="5">
        <v>43914.0</v>
      </c>
      <c r="C3025" s="6" t="s">
        <v>4330</v>
      </c>
      <c r="D3025" s="11">
        <f t="shared" si="1"/>
        <v>67</v>
      </c>
      <c r="E3025" s="8" t="str">
        <f t="shared" si="2"/>
        <v>https://resources.simonelectric.com/simon-ebook-vehiculo-electrico</v>
      </c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</row>
    <row r="3026" ht="15.75" customHeight="1">
      <c r="A3026" s="5" t="s">
        <v>4331</v>
      </c>
      <c r="B3026" s="5">
        <v>43914.0</v>
      </c>
      <c r="C3026" s="6" t="s">
        <v>4332</v>
      </c>
      <c r="D3026" s="11">
        <f t="shared" si="1"/>
        <v>67</v>
      </c>
      <c r="E3026" s="8" t="str">
        <f t="shared" si="2"/>
        <v>https://resources.simonelectric.com/simon-ebook-vehiculo-electrico</v>
      </c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</row>
    <row r="3027" ht="15.75" customHeight="1">
      <c r="A3027" s="5" t="s">
        <v>4333</v>
      </c>
      <c r="B3027" s="5">
        <v>43914.0</v>
      </c>
      <c r="C3027" s="6" t="s">
        <v>4334</v>
      </c>
      <c r="D3027" s="11">
        <f t="shared" si="1"/>
        <v>67</v>
      </c>
      <c r="E3027" s="8" t="str">
        <f t="shared" si="2"/>
        <v>https://resources.simonelectric.com/simon-ebook-vehiculo-electrico</v>
      </c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</row>
    <row r="3028" ht="15.75" customHeight="1">
      <c r="A3028" s="5" t="s">
        <v>2742</v>
      </c>
      <c r="B3028" s="5">
        <v>43914.0</v>
      </c>
      <c r="C3028" s="6" t="s">
        <v>4335</v>
      </c>
      <c r="D3028" s="11">
        <f t="shared" si="1"/>
        <v>67</v>
      </c>
      <c r="E3028" s="8" t="str">
        <f t="shared" si="2"/>
        <v>https://resources.simonelectric.com/simon-ebook-vehiculo-electrico</v>
      </c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</row>
    <row r="3029" ht="15.75" customHeight="1">
      <c r="A3029" s="5" t="s">
        <v>4115</v>
      </c>
      <c r="B3029" s="5">
        <v>43914.0</v>
      </c>
      <c r="C3029" s="6" t="s">
        <v>4336</v>
      </c>
      <c r="D3029" s="11">
        <f t="shared" si="1"/>
        <v>67</v>
      </c>
      <c r="E3029" s="8" t="str">
        <f t="shared" si="2"/>
        <v>https://resources.simonelectric.com/simon-ebook-vehiculo-electrico</v>
      </c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</row>
    <row r="3030" ht="15.75" customHeight="1">
      <c r="A3030" s="5" t="s">
        <v>4337</v>
      </c>
      <c r="B3030" s="5">
        <v>43914.0</v>
      </c>
      <c r="C3030" s="6" t="s">
        <v>4338</v>
      </c>
      <c r="D3030" s="11">
        <f t="shared" si="1"/>
        <v>67</v>
      </c>
      <c r="E3030" s="8" t="str">
        <f t="shared" si="2"/>
        <v>https://resources.simonelectric.com/simon-ebook-vehiculo-electrico</v>
      </c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</row>
    <row r="3031" ht="15.75" customHeight="1">
      <c r="A3031" s="5" t="s">
        <v>4339</v>
      </c>
      <c r="B3031" s="5">
        <v>43914.0</v>
      </c>
      <c r="C3031" s="6" t="s">
        <v>4340</v>
      </c>
      <c r="D3031" s="10">
        <f t="shared" si="1"/>
        <v>67</v>
      </c>
      <c r="E3031" s="8" t="str">
        <f t="shared" si="2"/>
        <v>https://resources.simonelectric.com/simon-ebook-vehiculo-electrico</v>
      </c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</row>
    <row r="3032" ht="15.75" customHeight="1">
      <c r="A3032" s="5" t="s">
        <v>4341</v>
      </c>
      <c r="B3032" s="5">
        <v>43914.0</v>
      </c>
      <c r="C3032" s="6" t="s">
        <v>4342</v>
      </c>
      <c r="D3032" s="11">
        <f t="shared" si="1"/>
        <v>67</v>
      </c>
      <c r="E3032" s="8" t="str">
        <f t="shared" si="2"/>
        <v>https://resources.simonelectric.com/simon-ebook-vehiculo-electrico</v>
      </c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</row>
    <row r="3033" ht="15.75" customHeight="1">
      <c r="A3033" s="5" t="s">
        <v>4343</v>
      </c>
      <c r="B3033" s="5">
        <v>43914.0</v>
      </c>
      <c r="C3033" s="6" t="s">
        <v>4344</v>
      </c>
      <c r="D3033" s="11">
        <f t="shared" si="1"/>
        <v>67</v>
      </c>
      <c r="E3033" s="8" t="str">
        <f t="shared" si="2"/>
        <v>https://resources.simonelectric.com/simon-ebook-vehiculo-electrico</v>
      </c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</row>
    <row r="3034" ht="15.75" customHeight="1">
      <c r="A3034" s="5" t="s">
        <v>4345</v>
      </c>
      <c r="B3034" s="5">
        <v>43914.0</v>
      </c>
      <c r="C3034" s="6" t="s">
        <v>28</v>
      </c>
      <c r="D3034" s="10" t="str">
        <f t="shared" si="1"/>
        <v>https://resources.simonelectric.com/simon-ebook-vehiculo-electrico</v>
      </c>
      <c r="E3034" s="8" t="str">
        <f t="shared" si="2"/>
        <v>https://resources.simonelectric.com/simon-ebook-vehiculo-electrico</v>
      </c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</row>
    <row r="3035" ht="15.75" customHeight="1">
      <c r="A3035" s="5" t="s">
        <v>4345</v>
      </c>
      <c r="B3035" s="5">
        <v>43914.0</v>
      </c>
      <c r="C3035" s="6" t="s">
        <v>4346</v>
      </c>
      <c r="D3035" s="11">
        <f t="shared" si="1"/>
        <v>70</v>
      </c>
      <c r="E3035" s="8" t="str">
        <f t="shared" si="2"/>
        <v>https://resources.simonelectric.com/simon-catalogo-vehiculo-electrico</v>
      </c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</row>
    <row r="3036" ht="15.75" customHeight="1">
      <c r="A3036" s="5" t="s">
        <v>2012</v>
      </c>
      <c r="B3036" s="5">
        <v>43914.0</v>
      </c>
      <c r="C3036" s="6" t="s">
        <v>4347</v>
      </c>
      <c r="D3036" s="10">
        <f t="shared" si="1"/>
        <v>67</v>
      </c>
      <c r="E3036" s="8" t="str">
        <f t="shared" si="2"/>
        <v>https://resources.simonelectric.com/simon-ebook-vehiculo-electrico</v>
      </c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</row>
    <row r="3037" ht="15.75" customHeight="1">
      <c r="A3037" s="5" t="s">
        <v>2562</v>
      </c>
      <c r="B3037" s="5">
        <v>43914.0</v>
      </c>
      <c r="C3037" s="6" t="s">
        <v>4348</v>
      </c>
      <c r="D3037" s="11">
        <f t="shared" si="1"/>
        <v>67</v>
      </c>
      <c r="E3037" s="8" t="str">
        <f t="shared" si="2"/>
        <v>https://resources.simonelectric.com/simon-ebook-vehiculo-electrico</v>
      </c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</row>
    <row r="3038" ht="15.75" customHeight="1">
      <c r="A3038" s="5" t="s">
        <v>4349</v>
      </c>
      <c r="B3038" s="5">
        <v>43914.0</v>
      </c>
      <c r="C3038" s="6" t="s">
        <v>4350</v>
      </c>
      <c r="D3038" s="11">
        <f t="shared" si="1"/>
        <v>67</v>
      </c>
      <c r="E3038" s="8" t="str">
        <f t="shared" si="2"/>
        <v>https://resources.simonelectric.com/simon-ebook-vehiculo-electrico</v>
      </c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</row>
    <row r="3039" ht="15.75" customHeight="1">
      <c r="A3039" s="5" t="s">
        <v>2435</v>
      </c>
      <c r="B3039" s="5">
        <v>43914.0</v>
      </c>
      <c r="C3039" s="6" t="s">
        <v>4351</v>
      </c>
      <c r="D3039" s="11">
        <f t="shared" si="1"/>
        <v>67</v>
      </c>
      <c r="E3039" s="8" t="str">
        <f t="shared" si="2"/>
        <v>https://resources.simonelectric.com/simon-ebook-vehiculo-electrico</v>
      </c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</row>
    <row r="3040" ht="15.75" customHeight="1">
      <c r="A3040" s="5" t="s">
        <v>3858</v>
      </c>
      <c r="B3040" s="5">
        <v>43914.0</v>
      </c>
      <c r="C3040" s="6" t="s">
        <v>4180</v>
      </c>
      <c r="D3040" s="11">
        <f t="shared" si="1"/>
        <v>67</v>
      </c>
      <c r="E3040" s="8" t="str">
        <f t="shared" si="2"/>
        <v>https://resources.simonelectric.com/simon-ebook-vehiculo-electrico</v>
      </c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</row>
    <row r="3041" ht="15.75" customHeight="1">
      <c r="A3041" s="5" t="s">
        <v>3858</v>
      </c>
      <c r="B3041" s="5">
        <v>43914.0</v>
      </c>
      <c r="C3041" s="6" t="s">
        <v>4180</v>
      </c>
      <c r="D3041" s="11">
        <f t="shared" si="1"/>
        <v>67</v>
      </c>
      <c r="E3041" s="8" t="str">
        <f t="shared" si="2"/>
        <v>https://resources.simonelectric.com/simon-ebook-vehiculo-electrico</v>
      </c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</row>
    <row r="3042" ht="15.75" customHeight="1">
      <c r="A3042" s="5" t="s">
        <v>4352</v>
      </c>
      <c r="B3042" s="5">
        <v>43914.0</v>
      </c>
      <c r="C3042" s="6" t="s">
        <v>4353</v>
      </c>
      <c r="D3042" s="11">
        <f t="shared" si="1"/>
        <v>67</v>
      </c>
      <c r="E3042" s="8" t="str">
        <f t="shared" si="2"/>
        <v>https://resources.simonelectric.com/simon-ebook-vehiculo-electrico</v>
      </c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</row>
    <row r="3043" ht="15.75" customHeight="1">
      <c r="A3043" s="5" t="s">
        <v>4354</v>
      </c>
      <c r="B3043" s="5">
        <v>43914.0</v>
      </c>
      <c r="C3043" s="6" t="s">
        <v>4355</v>
      </c>
      <c r="D3043" s="11">
        <f t="shared" si="1"/>
        <v>67</v>
      </c>
      <c r="E3043" s="8" t="str">
        <f t="shared" si="2"/>
        <v>https://resources.simonelectric.com/simon-ebook-vehiculo-electrico</v>
      </c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</row>
    <row r="3044" ht="15.75" customHeight="1">
      <c r="A3044" s="5" t="s">
        <v>4356</v>
      </c>
      <c r="B3044" s="5">
        <v>43914.0</v>
      </c>
      <c r="C3044" s="6" t="s">
        <v>4357</v>
      </c>
      <c r="D3044" s="11">
        <f t="shared" si="1"/>
        <v>67</v>
      </c>
      <c r="E3044" s="8" t="str">
        <f t="shared" si="2"/>
        <v>https://resources.simonelectric.com/simon-ebook-vehiculo-electrico</v>
      </c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</row>
    <row r="3045" ht="15.75" customHeight="1">
      <c r="A3045" s="5" t="s">
        <v>4358</v>
      </c>
      <c r="B3045" s="5">
        <v>43914.0</v>
      </c>
      <c r="C3045" s="6" t="s">
        <v>4359</v>
      </c>
      <c r="D3045" s="11">
        <f t="shared" si="1"/>
        <v>67</v>
      </c>
      <c r="E3045" s="8" t="str">
        <f t="shared" si="2"/>
        <v>https://resources.simonelectric.com/simon-ebook-vehiculo-electrico</v>
      </c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</row>
    <row r="3046" ht="15.75" customHeight="1">
      <c r="A3046" s="5" t="s">
        <v>4360</v>
      </c>
      <c r="B3046" s="5">
        <v>43914.0</v>
      </c>
      <c r="C3046" s="6" t="s">
        <v>4361</v>
      </c>
      <c r="D3046" s="11">
        <f t="shared" si="1"/>
        <v>67</v>
      </c>
      <c r="E3046" s="8" t="str">
        <f t="shared" si="2"/>
        <v>https://resources.simonelectric.com/simon-ebook-vehiculo-electrico</v>
      </c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</row>
    <row r="3047" ht="15.75" customHeight="1">
      <c r="A3047" s="5" t="s">
        <v>4362</v>
      </c>
      <c r="B3047" s="5">
        <v>43914.0</v>
      </c>
      <c r="C3047" s="6" t="s">
        <v>75</v>
      </c>
      <c r="D3047" s="11">
        <f t="shared" si="1"/>
        <v>67</v>
      </c>
      <c r="E3047" s="8" t="str">
        <f t="shared" si="2"/>
        <v>https://resources.simonelectric.com/simon-ebook-vehiculo-electrico</v>
      </c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</row>
    <row r="3048" ht="15.75" customHeight="1">
      <c r="A3048" s="5" t="s">
        <v>4363</v>
      </c>
      <c r="B3048" s="5">
        <v>43914.0</v>
      </c>
      <c r="C3048" s="6" t="s">
        <v>4364</v>
      </c>
      <c r="D3048" s="11">
        <f t="shared" si="1"/>
        <v>67</v>
      </c>
      <c r="E3048" s="8" t="str">
        <f t="shared" si="2"/>
        <v>https://resources.simonelectric.com/simon-ebook-vehiculo-electrico</v>
      </c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</row>
    <row r="3049" ht="15.75" customHeight="1">
      <c r="A3049" s="5" t="s">
        <v>1542</v>
      </c>
      <c r="B3049" s="5">
        <v>43914.0</v>
      </c>
      <c r="C3049" s="6" t="s">
        <v>4365</v>
      </c>
      <c r="D3049" s="11">
        <f t="shared" si="1"/>
        <v>67</v>
      </c>
      <c r="E3049" s="8" t="str">
        <f t="shared" si="2"/>
        <v>https://resources.simonelectric.com/simon-ebook-vehiculo-electrico</v>
      </c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</row>
    <row r="3050" ht="15.75" customHeight="1">
      <c r="A3050" s="5" t="s">
        <v>3546</v>
      </c>
      <c r="B3050" s="5">
        <v>43914.0</v>
      </c>
      <c r="C3050" s="6" t="s">
        <v>4355</v>
      </c>
      <c r="D3050" s="11">
        <f t="shared" si="1"/>
        <v>67</v>
      </c>
      <c r="E3050" s="8" t="str">
        <f t="shared" si="2"/>
        <v>https://resources.simonelectric.com/simon-ebook-vehiculo-electrico</v>
      </c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</row>
    <row r="3051" ht="15.75" customHeight="1">
      <c r="A3051" s="5" t="s">
        <v>4366</v>
      </c>
      <c r="B3051" s="5">
        <v>43914.0</v>
      </c>
      <c r="C3051" s="6" t="s">
        <v>4367</v>
      </c>
      <c r="D3051" s="11">
        <f t="shared" si="1"/>
        <v>67</v>
      </c>
      <c r="E3051" s="8" t="str">
        <f t="shared" si="2"/>
        <v>https://resources.simonelectric.com/simon-ebook-vehiculo-electrico</v>
      </c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</row>
    <row r="3052" ht="15.75" customHeight="1">
      <c r="A3052" s="5" t="s">
        <v>4368</v>
      </c>
      <c r="B3052" s="5">
        <v>43914.0</v>
      </c>
      <c r="C3052" s="6" t="s">
        <v>4369</v>
      </c>
      <c r="D3052" s="11">
        <f t="shared" si="1"/>
        <v>67</v>
      </c>
      <c r="E3052" s="8" t="str">
        <f t="shared" si="2"/>
        <v>https://resources.simonelectric.com/simon-ebook-vehiculo-electrico</v>
      </c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</row>
    <row r="3053" ht="15.75" customHeight="1">
      <c r="A3053" s="5" t="s">
        <v>1274</v>
      </c>
      <c r="B3053" s="5">
        <v>43914.0</v>
      </c>
      <c r="C3053" s="6" t="s">
        <v>4370</v>
      </c>
      <c r="D3053" s="11">
        <f t="shared" si="1"/>
        <v>67</v>
      </c>
      <c r="E3053" s="8" t="str">
        <f t="shared" si="2"/>
        <v>https://resources.simonelectric.com/simon-ebook-vehiculo-electrico</v>
      </c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</row>
    <row r="3054" ht="15.75" customHeight="1">
      <c r="A3054" s="5" t="s">
        <v>1261</v>
      </c>
      <c r="B3054" s="5">
        <v>43914.0</v>
      </c>
      <c r="C3054" s="6" t="s">
        <v>4371</v>
      </c>
      <c r="D3054" s="11">
        <f t="shared" si="1"/>
        <v>67</v>
      </c>
      <c r="E3054" s="8" t="str">
        <f t="shared" si="2"/>
        <v>https://resources.simonelectric.com/simon-ebook-vehiculo-electrico</v>
      </c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</row>
    <row r="3055" ht="15.75" customHeight="1">
      <c r="A3055" s="5" t="s">
        <v>4372</v>
      </c>
      <c r="B3055" s="5">
        <v>43914.0</v>
      </c>
      <c r="C3055" s="6" t="s">
        <v>4373</v>
      </c>
      <c r="D3055" s="11">
        <f t="shared" si="1"/>
        <v>67</v>
      </c>
      <c r="E3055" s="8" t="str">
        <f t="shared" si="2"/>
        <v>https://resources.simonelectric.com/simon-ebook-vehiculo-electrico</v>
      </c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</row>
    <row r="3056" ht="15.75" customHeight="1">
      <c r="A3056" s="5" t="s">
        <v>4374</v>
      </c>
      <c r="B3056" s="5">
        <v>43914.0</v>
      </c>
      <c r="C3056" s="6" t="s">
        <v>4375</v>
      </c>
      <c r="D3056" s="11">
        <f t="shared" si="1"/>
        <v>67</v>
      </c>
      <c r="E3056" s="8" t="str">
        <f t="shared" si="2"/>
        <v>https://resources.simonelectric.com/simon-ebook-vehiculo-electrico</v>
      </c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</row>
    <row r="3057" ht="15.75" customHeight="1">
      <c r="A3057" s="5" t="s">
        <v>3018</v>
      </c>
      <c r="B3057" s="5">
        <v>43914.0</v>
      </c>
      <c r="C3057" s="6" t="s">
        <v>75</v>
      </c>
      <c r="D3057" s="11">
        <f t="shared" si="1"/>
        <v>67</v>
      </c>
      <c r="E3057" s="8" t="str">
        <f t="shared" si="2"/>
        <v>https://resources.simonelectric.com/simon-ebook-vehiculo-electrico</v>
      </c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</row>
    <row r="3058" ht="15.75" customHeight="1">
      <c r="A3058" s="5" t="s">
        <v>4376</v>
      </c>
      <c r="B3058" s="5">
        <v>43914.0</v>
      </c>
      <c r="C3058" s="6" t="s">
        <v>4377</v>
      </c>
      <c r="D3058" s="11">
        <f t="shared" si="1"/>
        <v>67</v>
      </c>
      <c r="E3058" s="8" t="str">
        <f t="shared" si="2"/>
        <v>https://resources.simonelectric.com/simon-ebook-vehiculo-electrico</v>
      </c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</row>
    <row r="3059" ht="15.75" customHeight="1">
      <c r="A3059" s="5" t="s">
        <v>2332</v>
      </c>
      <c r="B3059" s="5">
        <v>43914.0</v>
      </c>
      <c r="C3059" s="6" t="s">
        <v>4378</v>
      </c>
      <c r="D3059" s="11">
        <f t="shared" si="1"/>
        <v>67</v>
      </c>
      <c r="E3059" s="8" t="str">
        <f t="shared" si="2"/>
        <v>https://resources.simonelectric.com/simon-ebook-vehiculo-electrico</v>
      </c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</row>
    <row r="3060" ht="15.75" customHeight="1">
      <c r="A3060" s="5" t="s">
        <v>4379</v>
      </c>
      <c r="B3060" s="5">
        <v>43914.0</v>
      </c>
      <c r="C3060" s="6" t="s">
        <v>4380</v>
      </c>
      <c r="D3060" s="10">
        <f t="shared" si="1"/>
        <v>67</v>
      </c>
      <c r="E3060" s="8" t="str">
        <f t="shared" si="2"/>
        <v>https://resources.simonelectric.com/simon-ebook-vehiculo-electrico</v>
      </c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</row>
    <row r="3061" ht="15.75" customHeight="1">
      <c r="A3061" s="5" t="s">
        <v>4381</v>
      </c>
      <c r="B3061" s="5">
        <v>43914.0</v>
      </c>
      <c r="C3061" s="6" t="s">
        <v>6</v>
      </c>
      <c r="D3061" s="11">
        <f t="shared" si="1"/>
        <v>67</v>
      </c>
      <c r="E3061" s="8" t="str">
        <f t="shared" si="2"/>
        <v>https://resources.simonelectric.com/simon-ebook-vehiculo-electrico</v>
      </c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</row>
    <row r="3062" ht="15.75" customHeight="1">
      <c r="A3062" s="5" t="s">
        <v>1703</v>
      </c>
      <c r="B3062" s="5">
        <v>43914.0</v>
      </c>
      <c r="C3062" s="6" t="s">
        <v>4382</v>
      </c>
      <c r="D3062" s="11">
        <f t="shared" si="1"/>
        <v>67</v>
      </c>
      <c r="E3062" s="8" t="str">
        <f t="shared" si="2"/>
        <v>https://resources.simonelectric.com/simon-ebook-vehiculo-electrico</v>
      </c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</row>
    <row r="3063" ht="15.75" customHeight="1">
      <c r="A3063" s="5" t="s">
        <v>4383</v>
      </c>
      <c r="B3063" s="5">
        <v>43914.0</v>
      </c>
      <c r="C3063" s="6" t="s">
        <v>4384</v>
      </c>
      <c r="D3063" s="11">
        <f t="shared" si="1"/>
        <v>67</v>
      </c>
      <c r="E3063" s="8" t="str">
        <f t="shared" si="2"/>
        <v>https://resources.simonelectric.com/simon-ebook-vehiculo-electrico</v>
      </c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</row>
    <row r="3064" ht="15.75" customHeight="1">
      <c r="A3064" s="5" t="s">
        <v>298</v>
      </c>
      <c r="B3064" s="5">
        <v>43914.0</v>
      </c>
      <c r="C3064" s="6" t="s">
        <v>4385</v>
      </c>
      <c r="D3064" s="10">
        <f t="shared" si="1"/>
        <v>67</v>
      </c>
      <c r="E3064" s="8" t="str">
        <f t="shared" si="2"/>
        <v>https://resources.simonelectric.com/simon-ebook-vehiculo-electrico</v>
      </c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</row>
    <row r="3065" ht="15.75" customHeight="1">
      <c r="A3065" s="5" t="s">
        <v>2737</v>
      </c>
      <c r="B3065" s="5">
        <v>43914.0</v>
      </c>
      <c r="C3065" s="6" t="s">
        <v>4386</v>
      </c>
      <c r="D3065" s="11">
        <f t="shared" si="1"/>
        <v>67</v>
      </c>
      <c r="E3065" s="8" t="str">
        <f t="shared" si="2"/>
        <v>https://resources.simonelectric.com/simon-ebook-vehiculo-electrico</v>
      </c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</row>
    <row r="3066" ht="15.75" customHeight="1">
      <c r="A3066" s="5" t="s">
        <v>4387</v>
      </c>
      <c r="B3066" s="5">
        <v>43914.0</v>
      </c>
      <c r="C3066" s="6" t="s">
        <v>4388</v>
      </c>
      <c r="D3066" s="11">
        <f t="shared" si="1"/>
        <v>67</v>
      </c>
      <c r="E3066" s="8" t="str">
        <f t="shared" si="2"/>
        <v>https://resources.simonelectric.com/simon-ebook-vehiculo-electrico</v>
      </c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</row>
    <row r="3067" ht="15.75" customHeight="1">
      <c r="A3067" s="5" t="s">
        <v>2372</v>
      </c>
      <c r="B3067" s="5">
        <v>43914.0</v>
      </c>
      <c r="C3067" s="6" t="s">
        <v>4389</v>
      </c>
      <c r="D3067" s="11">
        <f t="shared" si="1"/>
        <v>67</v>
      </c>
      <c r="E3067" s="8" t="str">
        <f t="shared" si="2"/>
        <v>https://resources.simonelectric.com/simon-ebook-vehiculo-electrico</v>
      </c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</row>
    <row r="3068" ht="15.75" customHeight="1">
      <c r="A3068" s="5" t="s">
        <v>4390</v>
      </c>
      <c r="B3068" s="5">
        <v>43914.0</v>
      </c>
      <c r="C3068" s="6" t="s">
        <v>4391</v>
      </c>
      <c r="D3068" s="10">
        <f t="shared" si="1"/>
        <v>67</v>
      </c>
      <c r="E3068" s="8" t="str">
        <f t="shared" si="2"/>
        <v>https://resources.simonelectric.com/simon-ebook-vehiculo-electrico</v>
      </c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</row>
    <row r="3069" ht="15.75" customHeight="1">
      <c r="A3069" s="5" t="s">
        <v>3066</v>
      </c>
      <c r="B3069" s="5">
        <v>43914.0</v>
      </c>
      <c r="C3069" s="6" t="s">
        <v>4392</v>
      </c>
      <c r="D3069" s="11">
        <f t="shared" si="1"/>
        <v>67</v>
      </c>
      <c r="E3069" s="8" t="str">
        <f t="shared" si="2"/>
        <v>https://resources.simonelectric.com/simon-ebook-vehiculo-electrico</v>
      </c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</row>
    <row r="3070" ht="15.75" customHeight="1">
      <c r="A3070" s="5" t="s">
        <v>4393</v>
      </c>
      <c r="B3070" s="5">
        <v>43914.0</v>
      </c>
      <c r="C3070" s="6" t="s">
        <v>4394</v>
      </c>
      <c r="D3070" s="11">
        <f t="shared" si="1"/>
        <v>67</v>
      </c>
      <c r="E3070" s="8" t="str">
        <f t="shared" si="2"/>
        <v>https://resources.simonelectric.com/simon-ebook-vehiculo-electrico</v>
      </c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</row>
    <row r="3071" ht="15.75" customHeight="1">
      <c r="A3071" s="5" t="s">
        <v>4395</v>
      </c>
      <c r="B3071" s="5">
        <v>43914.0</v>
      </c>
      <c r="C3071" s="6" t="s">
        <v>4396</v>
      </c>
      <c r="D3071" s="11">
        <f t="shared" si="1"/>
        <v>67</v>
      </c>
      <c r="E3071" s="8" t="str">
        <f t="shared" si="2"/>
        <v>https://resources.simonelectric.com/simon-ebook-vehiculo-electrico</v>
      </c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</row>
    <row r="3072" ht="15.75" customHeight="1">
      <c r="A3072" s="5" t="s">
        <v>4397</v>
      </c>
      <c r="B3072" s="5">
        <v>43914.0</v>
      </c>
      <c r="C3072" s="6" t="s">
        <v>4398</v>
      </c>
      <c r="D3072" s="10">
        <f t="shared" si="1"/>
        <v>67</v>
      </c>
      <c r="E3072" s="8" t="str">
        <f t="shared" si="2"/>
        <v>https://resources.simonelectric.com/simon-ebook-vehiculo-electrico</v>
      </c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</row>
    <row r="3073" ht="15.75" customHeight="1">
      <c r="A3073" s="5" t="s">
        <v>4393</v>
      </c>
      <c r="B3073" s="5">
        <v>43914.0</v>
      </c>
      <c r="C3073" s="6" t="s">
        <v>4399</v>
      </c>
      <c r="D3073" s="11">
        <f t="shared" si="1"/>
        <v>67</v>
      </c>
      <c r="E3073" s="8" t="str">
        <f t="shared" si="2"/>
        <v>https://resources.simonelectric.com/simon-ebook-vehiculo-electrico</v>
      </c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</row>
    <row r="3074" ht="15.75" customHeight="1">
      <c r="A3074" s="5" t="s">
        <v>4400</v>
      </c>
      <c r="B3074" s="5">
        <v>43914.0</v>
      </c>
      <c r="C3074" s="6" t="s">
        <v>4401</v>
      </c>
      <c r="D3074" s="11">
        <f t="shared" si="1"/>
        <v>67</v>
      </c>
      <c r="E3074" s="8" t="str">
        <f t="shared" si="2"/>
        <v>https://resources.simonelectric.com/simon-ebook-vehiculo-electrico</v>
      </c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</row>
    <row r="3075" ht="15.75" customHeight="1">
      <c r="A3075" s="5" t="s">
        <v>4402</v>
      </c>
      <c r="B3075" s="5">
        <v>43914.0</v>
      </c>
      <c r="C3075" s="6" t="s">
        <v>4403</v>
      </c>
      <c r="D3075" s="11">
        <f t="shared" si="1"/>
        <v>67</v>
      </c>
      <c r="E3075" s="8" t="str">
        <f t="shared" si="2"/>
        <v>https://resources.simonelectric.com/simon-ebook-vehiculo-electrico</v>
      </c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</row>
    <row r="3076" ht="15.75" customHeight="1">
      <c r="A3076" s="5" t="s">
        <v>4404</v>
      </c>
      <c r="B3076" s="5">
        <v>43914.0</v>
      </c>
      <c r="C3076" s="6" t="s">
        <v>4405</v>
      </c>
      <c r="D3076" s="11">
        <f t="shared" si="1"/>
        <v>70</v>
      </c>
      <c r="E3076" s="8" t="str">
        <f t="shared" si="2"/>
        <v>https://resources.simonelectric.com/simon-catalogo-vehiculo-electrico</v>
      </c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</row>
    <row r="3077" ht="15.75" customHeight="1">
      <c r="A3077" s="5" t="s">
        <v>4404</v>
      </c>
      <c r="B3077" s="5">
        <v>43914.0</v>
      </c>
      <c r="C3077" s="6" t="s">
        <v>28</v>
      </c>
      <c r="D3077" s="10" t="str">
        <f t="shared" si="1"/>
        <v>https://resources.simonelectric.com/simon-ebook-vehiculo-electrico</v>
      </c>
      <c r="E3077" s="8" t="str">
        <f t="shared" si="2"/>
        <v>https://resources.simonelectric.com/simon-ebook-vehiculo-electrico</v>
      </c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</row>
    <row r="3078" ht="15.75" customHeight="1">
      <c r="A3078" s="5" t="s">
        <v>4406</v>
      </c>
      <c r="B3078" s="5">
        <v>43914.0</v>
      </c>
      <c r="C3078" s="6" t="s">
        <v>4407</v>
      </c>
      <c r="D3078" s="11">
        <f t="shared" si="1"/>
        <v>67</v>
      </c>
      <c r="E3078" s="8" t="str">
        <f t="shared" si="2"/>
        <v>https://resources.simonelectric.com/simon-ebook-vehiculo-electrico</v>
      </c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</row>
    <row r="3079" ht="15.75" customHeight="1">
      <c r="A3079" s="5" t="s">
        <v>4408</v>
      </c>
      <c r="B3079" s="5">
        <v>43914.0</v>
      </c>
      <c r="C3079" s="6" t="s">
        <v>4409</v>
      </c>
      <c r="D3079" s="11">
        <f t="shared" si="1"/>
        <v>67</v>
      </c>
      <c r="E3079" s="8" t="str">
        <f t="shared" si="2"/>
        <v>https://resources.simonelectric.com/simon-ebook-vehiculo-electrico</v>
      </c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</row>
    <row r="3080" ht="15.75" customHeight="1">
      <c r="A3080" s="5" t="s">
        <v>4410</v>
      </c>
      <c r="B3080" s="5">
        <v>43914.0</v>
      </c>
      <c r="C3080" s="6" t="s">
        <v>4411</v>
      </c>
      <c r="D3080" s="11">
        <f t="shared" si="1"/>
        <v>67</v>
      </c>
      <c r="E3080" s="8" t="str">
        <f t="shared" si="2"/>
        <v>https://resources.simonelectric.com/simon-ebook-vehiculo-electrico</v>
      </c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</row>
    <row r="3081" ht="15.75" customHeight="1">
      <c r="A3081" s="5" t="s">
        <v>4412</v>
      </c>
      <c r="B3081" s="5">
        <v>43914.0</v>
      </c>
      <c r="C3081" s="6" t="s">
        <v>4413</v>
      </c>
      <c r="D3081" s="11">
        <f t="shared" si="1"/>
        <v>67</v>
      </c>
      <c r="E3081" s="8" t="str">
        <f t="shared" si="2"/>
        <v>https://resources.simonelectric.com/simon-ebook-vehiculo-electrico</v>
      </c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</row>
    <row r="3082" ht="15.75" customHeight="1">
      <c r="A3082" s="5" t="s">
        <v>3700</v>
      </c>
      <c r="B3082" s="5">
        <v>43914.0</v>
      </c>
      <c r="C3082" s="6" t="s">
        <v>4414</v>
      </c>
      <c r="D3082" s="11">
        <f t="shared" si="1"/>
        <v>67</v>
      </c>
      <c r="E3082" s="8" t="str">
        <f t="shared" si="2"/>
        <v>https://resources.simonelectric.com/simon-ebook-vehiculo-electrico</v>
      </c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</row>
    <row r="3083" ht="15.75" customHeight="1">
      <c r="A3083" s="5" t="s">
        <v>4415</v>
      </c>
      <c r="B3083" s="5">
        <v>43914.0</v>
      </c>
      <c r="C3083" s="6" t="s">
        <v>4416</v>
      </c>
      <c r="D3083" s="11">
        <f t="shared" si="1"/>
        <v>67</v>
      </c>
      <c r="E3083" s="8" t="str">
        <f t="shared" si="2"/>
        <v>https://resources.simonelectric.com/simon-ebook-vehiculo-electrico</v>
      </c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</row>
    <row r="3084" ht="15.75" customHeight="1">
      <c r="A3084" s="5" t="s">
        <v>2581</v>
      </c>
      <c r="B3084" s="5">
        <v>43914.0</v>
      </c>
      <c r="C3084" s="6" t="s">
        <v>4417</v>
      </c>
      <c r="D3084" s="11">
        <f t="shared" si="1"/>
        <v>67</v>
      </c>
      <c r="E3084" s="8" t="str">
        <f t="shared" si="2"/>
        <v>https://resources.simonelectric.com/simon-ebook-vehiculo-electrico</v>
      </c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</row>
    <row r="3085" ht="15.75" customHeight="1">
      <c r="A3085" s="5" t="s">
        <v>4418</v>
      </c>
      <c r="B3085" s="5">
        <v>43914.0</v>
      </c>
      <c r="C3085" s="6" t="s">
        <v>4419</v>
      </c>
      <c r="D3085" s="11">
        <f t="shared" si="1"/>
        <v>70</v>
      </c>
      <c r="E3085" s="8" t="str">
        <f t="shared" si="2"/>
        <v>https://resources.simonelectric.com/simon-catalogo-vehiculo-electrico</v>
      </c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</row>
    <row r="3086" ht="15.75" customHeight="1">
      <c r="A3086" s="5" t="s">
        <v>4420</v>
      </c>
      <c r="B3086" s="5">
        <v>43914.0</v>
      </c>
      <c r="C3086" s="6" t="s">
        <v>4421</v>
      </c>
      <c r="D3086" s="11">
        <f t="shared" si="1"/>
        <v>67</v>
      </c>
      <c r="E3086" s="8" t="str">
        <f t="shared" si="2"/>
        <v>https://resources.simonelectric.com/simon-ebook-vehiculo-electrico</v>
      </c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</row>
    <row r="3087" ht="15.75" customHeight="1">
      <c r="A3087" s="5" t="s">
        <v>4422</v>
      </c>
      <c r="B3087" s="5">
        <v>43914.0</v>
      </c>
      <c r="C3087" s="6" t="s">
        <v>8</v>
      </c>
      <c r="D3087" s="11">
        <f t="shared" si="1"/>
        <v>67</v>
      </c>
      <c r="E3087" s="8" t="str">
        <f t="shared" si="2"/>
        <v>https://resources.simonelectric.com/simon-ebook-vehiculo-electrico</v>
      </c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</row>
    <row r="3088" ht="15.75" customHeight="1">
      <c r="A3088" s="5" t="s">
        <v>4423</v>
      </c>
      <c r="B3088" s="5">
        <v>43914.0</v>
      </c>
      <c r="C3088" s="6" t="s">
        <v>4424</v>
      </c>
      <c r="D3088" s="11">
        <f t="shared" si="1"/>
        <v>67</v>
      </c>
      <c r="E3088" s="8" t="str">
        <f t="shared" si="2"/>
        <v>https://resources.simonelectric.com/simon-ebook-vehiculo-electrico</v>
      </c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</row>
    <row r="3089" ht="15.75" customHeight="1">
      <c r="A3089" s="5" t="s">
        <v>4425</v>
      </c>
      <c r="B3089" s="5">
        <v>43914.0</v>
      </c>
      <c r="C3089" s="6" t="s">
        <v>4426</v>
      </c>
      <c r="D3089" s="11">
        <f t="shared" si="1"/>
        <v>67</v>
      </c>
      <c r="E3089" s="8" t="str">
        <f t="shared" si="2"/>
        <v>https://resources.simonelectric.com/simon-ebook-vehiculo-electrico</v>
      </c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</row>
    <row r="3090" ht="15.75" customHeight="1">
      <c r="A3090" s="5" t="s">
        <v>4427</v>
      </c>
      <c r="B3090" s="5">
        <v>43914.0</v>
      </c>
      <c r="C3090" s="6" t="s">
        <v>4428</v>
      </c>
      <c r="D3090" s="11">
        <f t="shared" si="1"/>
        <v>67</v>
      </c>
      <c r="E3090" s="8" t="str">
        <f t="shared" si="2"/>
        <v>https://resources.simonelectric.com/simon-ebook-vehiculo-electrico</v>
      </c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</row>
    <row r="3091" ht="15.75" customHeight="1">
      <c r="A3091" s="5" t="s">
        <v>4015</v>
      </c>
      <c r="B3091" s="5">
        <v>43914.0</v>
      </c>
      <c r="C3091" s="6" t="s">
        <v>4429</v>
      </c>
      <c r="D3091" s="11">
        <f t="shared" si="1"/>
        <v>67</v>
      </c>
      <c r="E3091" s="8" t="str">
        <f t="shared" si="2"/>
        <v>https://resources.simonelectric.com/simon-ebook-vehiculo-electrico</v>
      </c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</row>
    <row r="3092" ht="15.75" customHeight="1">
      <c r="A3092" s="5" t="s">
        <v>4430</v>
      </c>
      <c r="B3092" s="5">
        <v>43914.0</v>
      </c>
      <c r="C3092" s="6" t="s">
        <v>4431</v>
      </c>
      <c r="D3092" s="11">
        <f t="shared" si="1"/>
        <v>67</v>
      </c>
      <c r="E3092" s="8" t="str">
        <f t="shared" si="2"/>
        <v>https://resources.simonelectric.com/simon-ebook-vehiculo-electrico</v>
      </c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</row>
    <row r="3093" ht="15.75" customHeight="1">
      <c r="A3093" s="5" t="s">
        <v>4432</v>
      </c>
      <c r="B3093" s="5">
        <v>43914.0</v>
      </c>
      <c r="C3093" s="6" t="s">
        <v>4433</v>
      </c>
      <c r="D3093" s="11">
        <f t="shared" si="1"/>
        <v>67</v>
      </c>
      <c r="E3093" s="8" t="str">
        <f t="shared" si="2"/>
        <v>https://resources.simonelectric.com/simon-ebook-vehiculo-electrico</v>
      </c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</row>
    <row r="3094" ht="15.75" customHeight="1">
      <c r="A3094" s="5" t="s">
        <v>4434</v>
      </c>
      <c r="B3094" s="5">
        <v>43914.0</v>
      </c>
      <c r="C3094" s="6" t="s">
        <v>4435</v>
      </c>
      <c r="D3094" s="11">
        <f t="shared" si="1"/>
        <v>67</v>
      </c>
      <c r="E3094" s="8" t="str">
        <f t="shared" si="2"/>
        <v>https://resources.simonelectric.com/simon-ebook-vehiculo-electrico</v>
      </c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</row>
    <row r="3095" ht="15.75" customHeight="1">
      <c r="A3095" s="5" t="s">
        <v>4436</v>
      </c>
      <c r="B3095" s="5">
        <v>43914.0</v>
      </c>
      <c r="C3095" s="6" t="s">
        <v>28</v>
      </c>
      <c r="D3095" s="10" t="str">
        <f t="shared" si="1"/>
        <v>https://resources.simonelectric.com/simon-ebook-vehiculo-electrico</v>
      </c>
      <c r="E3095" s="8" t="str">
        <f t="shared" si="2"/>
        <v>https://resources.simonelectric.com/simon-ebook-vehiculo-electrico</v>
      </c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</row>
    <row r="3096" ht="15.75" customHeight="1">
      <c r="A3096" s="5" t="s">
        <v>4437</v>
      </c>
      <c r="B3096" s="5">
        <v>43914.0</v>
      </c>
      <c r="C3096" s="6" t="s">
        <v>4438</v>
      </c>
      <c r="D3096" s="11">
        <f t="shared" si="1"/>
        <v>67</v>
      </c>
      <c r="E3096" s="8" t="str">
        <f t="shared" si="2"/>
        <v>https://resources.simonelectric.com/simon-ebook-vehiculo-electrico</v>
      </c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</row>
    <row r="3097" ht="15.75" customHeight="1">
      <c r="A3097" s="5" t="s">
        <v>4439</v>
      </c>
      <c r="B3097" s="5">
        <v>43914.0</v>
      </c>
      <c r="C3097" s="6" t="s">
        <v>4440</v>
      </c>
      <c r="D3097" s="11">
        <f t="shared" si="1"/>
        <v>69</v>
      </c>
      <c r="E3097" s="8" t="str">
        <f t="shared" si="2"/>
        <v>https://resources.simonelectric.com/simon-ebook-vehiculo-electrico-0</v>
      </c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</row>
    <row r="3098" ht="15.75" customHeight="1">
      <c r="A3098" s="5" t="s">
        <v>2217</v>
      </c>
      <c r="B3098" s="5">
        <v>43914.0</v>
      </c>
      <c r="C3098" s="6" t="s">
        <v>4441</v>
      </c>
      <c r="D3098" s="11">
        <f t="shared" si="1"/>
        <v>67</v>
      </c>
      <c r="E3098" s="8" t="str">
        <f t="shared" si="2"/>
        <v>https://resources.simonelectric.com/simon-ebook-vehiculo-electrico</v>
      </c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</row>
    <row r="3099" ht="15.75" customHeight="1">
      <c r="A3099" s="5" t="s">
        <v>4442</v>
      </c>
      <c r="B3099" s="5">
        <v>43914.0</v>
      </c>
      <c r="C3099" s="6" t="s">
        <v>4443</v>
      </c>
      <c r="D3099" s="10">
        <f t="shared" si="1"/>
        <v>67</v>
      </c>
      <c r="E3099" s="8" t="str">
        <f t="shared" si="2"/>
        <v>https://resources.simonelectric.com/simon-ebook-vehiculo-electrico</v>
      </c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</row>
    <row r="3100" ht="15.75" customHeight="1">
      <c r="A3100" s="5" t="s">
        <v>1962</v>
      </c>
      <c r="B3100" s="5">
        <v>43914.0</v>
      </c>
      <c r="C3100" s="6" t="s">
        <v>4444</v>
      </c>
      <c r="D3100" s="11">
        <f t="shared" si="1"/>
        <v>67</v>
      </c>
      <c r="E3100" s="8" t="str">
        <f t="shared" si="2"/>
        <v>https://resources.simonelectric.com/simon-ebook-vehiculo-electrico</v>
      </c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</row>
    <row r="3101" ht="15.75" customHeight="1">
      <c r="A3101" s="5" t="s">
        <v>1644</v>
      </c>
      <c r="B3101" s="5">
        <v>43914.0</v>
      </c>
      <c r="C3101" s="6" t="s">
        <v>4445</v>
      </c>
      <c r="D3101" s="11">
        <f t="shared" si="1"/>
        <v>67</v>
      </c>
      <c r="E3101" s="8" t="str">
        <f t="shared" si="2"/>
        <v>https://resources.simonelectric.com/simon-ebook-vehiculo-electrico</v>
      </c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</row>
    <row r="3102" ht="15.75" customHeight="1">
      <c r="A3102" s="5" t="s">
        <v>4446</v>
      </c>
      <c r="B3102" s="5">
        <v>43914.0</v>
      </c>
      <c r="C3102" s="6" t="s">
        <v>4447</v>
      </c>
      <c r="D3102" s="11">
        <f t="shared" si="1"/>
        <v>67</v>
      </c>
      <c r="E3102" s="8" t="str">
        <f t="shared" si="2"/>
        <v>https://resources.simonelectric.com/simon-ebook-vehiculo-electrico</v>
      </c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</row>
    <row r="3103" ht="15.75" customHeight="1">
      <c r="A3103" s="5" t="s">
        <v>4448</v>
      </c>
      <c r="B3103" s="5">
        <v>43914.0</v>
      </c>
      <c r="C3103" s="6" t="s">
        <v>75</v>
      </c>
      <c r="D3103" s="11">
        <f t="shared" si="1"/>
        <v>67</v>
      </c>
      <c r="E3103" s="8" t="str">
        <f t="shared" si="2"/>
        <v>https://resources.simonelectric.com/simon-ebook-vehiculo-electrico</v>
      </c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</row>
    <row r="3104" ht="15.75" customHeight="1">
      <c r="A3104" s="5" t="s">
        <v>4449</v>
      </c>
      <c r="B3104" s="5">
        <v>43914.0</v>
      </c>
      <c r="C3104" s="6" t="s">
        <v>4450</v>
      </c>
      <c r="D3104" s="11">
        <f t="shared" si="1"/>
        <v>67</v>
      </c>
      <c r="E3104" s="8" t="str">
        <f t="shared" si="2"/>
        <v>https://resources.simonelectric.com/simon-ebook-vehiculo-electrico</v>
      </c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</row>
    <row r="3105" ht="15.75" customHeight="1">
      <c r="A3105" s="5" t="s">
        <v>4451</v>
      </c>
      <c r="B3105" s="5">
        <v>43914.0</v>
      </c>
      <c r="C3105" s="6" t="s">
        <v>4452</v>
      </c>
      <c r="D3105" s="11">
        <f t="shared" si="1"/>
        <v>67</v>
      </c>
      <c r="E3105" s="8" t="str">
        <f t="shared" si="2"/>
        <v>https://resources.simonelectric.com/simon-ebook-vehiculo-electrico</v>
      </c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</row>
    <row r="3106" ht="15.75" customHeight="1">
      <c r="A3106" s="5" t="s">
        <v>4453</v>
      </c>
      <c r="B3106" s="5">
        <v>43914.0</v>
      </c>
      <c r="C3106" s="6" t="s">
        <v>4454</v>
      </c>
      <c r="D3106" s="11">
        <f t="shared" si="1"/>
        <v>67</v>
      </c>
      <c r="E3106" s="8" t="str">
        <f t="shared" si="2"/>
        <v>https://resources.simonelectric.com/simon-ebook-vehiculo-electrico</v>
      </c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</row>
    <row r="3107" ht="15.75" customHeight="1">
      <c r="A3107" s="5" t="s">
        <v>4455</v>
      </c>
      <c r="B3107" s="5">
        <v>43914.0</v>
      </c>
      <c r="C3107" s="6" t="s">
        <v>4456</v>
      </c>
      <c r="D3107" s="10">
        <f t="shared" si="1"/>
        <v>67</v>
      </c>
      <c r="E3107" s="8" t="str">
        <f t="shared" si="2"/>
        <v>https://resources.simonelectric.com/simon-ebook-vehiculo-electrico</v>
      </c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</row>
    <row r="3108" ht="15.75" customHeight="1">
      <c r="A3108" s="5" t="s">
        <v>4457</v>
      </c>
      <c r="B3108" s="5">
        <v>43914.0</v>
      </c>
      <c r="C3108" s="6" t="s">
        <v>4458</v>
      </c>
      <c r="D3108" s="11">
        <f t="shared" si="1"/>
        <v>67</v>
      </c>
      <c r="E3108" s="8" t="str">
        <f t="shared" si="2"/>
        <v>https://resources.simonelectric.com/simon-ebook-vehiculo-electrico</v>
      </c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</row>
    <row r="3109" ht="15.75" customHeight="1">
      <c r="A3109" s="5" t="s">
        <v>2746</v>
      </c>
      <c r="B3109" s="5">
        <v>43914.0</v>
      </c>
      <c r="C3109" s="6" t="s">
        <v>4459</v>
      </c>
      <c r="D3109" s="11">
        <f t="shared" si="1"/>
        <v>67</v>
      </c>
      <c r="E3109" s="8" t="str">
        <f t="shared" si="2"/>
        <v>https://resources.simonelectric.com/simon-ebook-vehiculo-electrico</v>
      </c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</row>
    <row r="3110" ht="15.75" customHeight="1">
      <c r="A3110" s="5" t="s">
        <v>2461</v>
      </c>
      <c r="B3110" s="5">
        <v>43914.0</v>
      </c>
      <c r="C3110" s="6" t="s">
        <v>4460</v>
      </c>
      <c r="D3110" s="11">
        <f t="shared" si="1"/>
        <v>67</v>
      </c>
      <c r="E3110" s="8" t="str">
        <f t="shared" si="2"/>
        <v>https://resources.simonelectric.com/simon-ebook-vehiculo-electrico</v>
      </c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</row>
    <row r="3111" ht="15.75" customHeight="1">
      <c r="A3111" s="5" t="s">
        <v>4461</v>
      </c>
      <c r="B3111" s="5">
        <v>43914.0</v>
      </c>
      <c r="C3111" s="6" t="s">
        <v>4462</v>
      </c>
      <c r="D3111" s="11">
        <f t="shared" si="1"/>
        <v>67</v>
      </c>
      <c r="E3111" s="8" t="str">
        <f t="shared" si="2"/>
        <v>https://resources.simonelectric.com/simon-ebook-vehiculo-electrico</v>
      </c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</row>
    <row r="3112" ht="15.75" customHeight="1">
      <c r="A3112" s="5" t="s">
        <v>4463</v>
      </c>
      <c r="B3112" s="5">
        <v>43914.0</v>
      </c>
      <c r="C3112" s="6" t="s">
        <v>4464</v>
      </c>
      <c r="D3112" s="11">
        <f t="shared" si="1"/>
        <v>67</v>
      </c>
      <c r="E3112" s="8" t="str">
        <f t="shared" si="2"/>
        <v>https://resources.simonelectric.com/simon-ebook-vehiculo-electrico</v>
      </c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</row>
    <row r="3113" ht="15.75" customHeight="1">
      <c r="A3113" s="5" t="s">
        <v>2465</v>
      </c>
      <c r="B3113" s="5">
        <v>43914.0</v>
      </c>
      <c r="C3113" s="6" t="s">
        <v>4396</v>
      </c>
      <c r="D3113" s="11">
        <f t="shared" si="1"/>
        <v>67</v>
      </c>
      <c r="E3113" s="8" t="str">
        <f t="shared" si="2"/>
        <v>https://resources.simonelectric.com/simon-ebook-vehiculo-electrico</v>
      </c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</row>
    <row r="3114" ht="15.75" customHeight="1">
      <c r="A3114" s="5" t="s">
        <v>4465</v>
      </c>
      <c r="B3114" s="5">
        <v>43914.0</v>
      </c>
      <c r="C3114" s="6" t="s">
        <v>4466</v>
      </c>
      <c r="D3114" s="11">
        <f t="shared" si="1"/>
        <v>67</v>
      </c>
      <c r="E3114" s="8" t="str">
        <f t="shared" si="2"/>
        <v>https://resources.simonelectric.com/simon-ebook-vehiculo-electrico</v>
      </c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</row>
    <row r="3115" ht="15.75" customHeight="1">
      <c r="A3115" s="5" t="s">
        <v>4206</v>
      </c>
      <c r="B3115" s="5">
        <v>43914.0</v>
      </c>
      <c r="C3115" s="6" t="s">
        <v>4207</v>
      </c>
      <c r="D3115" s="11">
        <f t="shared" si="1"/>
        <v>67</v>
      </c>
      <c r="E3115" s="8" t="str">
        <f t="shared" si="2"/>
        <v>https://resources.simonelectric.com/simon-ebook-vehiculo-electrico</v>
      </c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</row>
    <row r="3116" ht="15.75" customHeight="1">
      <c r="A3116" s="5" t="s">
        <v>4467</v>
      </c>
      <c r="B3116" s="5">
        <v>43914.0</v>
      </c>
      <c r="C3116" s="6" t="s">
        <v>4468</v>
      </c>
      <c r="D3116" s="11">
        <f t="shared" si="1"/>
        <v>67</v>
      </c>
      <c r="E3116" s="8" t="str">
        <f t="shared" si="2"/>
        <v>https://resources.simonelectric.com/simon-ebook-vehiculo-electrico</v>
      </c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</row>
    <row r="3117" ht="15.75" customHeight="1">
      <c r="A3117" s="5" t="s">
        <v>4469</v>
      </c>
      <c r="B3117" s="5">
        <v>43914.0</v>
      </c>
      <c r="C3117" s="6" t="s">
        <v>4470</v>
      </c>
      <c r="D3117" s="11">
        <f t="shared" si="1"/>
        <v>67</v>
      </c>
      <c r="E3117" s="8" t="str">
        <f t="shared" si="2"/>
        <v>https://resources.simonelectric.com/simon-ebook-vehiculo-electrico</v>
      </c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</row>
    <row r="3118" ht="15.75" customHeight="1">
      <c r="A3118" s="5" t="s">
        <v>4471</v>
      </c>
      <c r="B3118" s="5">
        <v>43914.0</v>
      </c>
      <c r="C3118" s="6" t="s">
        <v>4472</v>
      </c>
      <c r="D3118" s="11">
        <f t="shared" si="1"/>
        <v>67</v>
      </c>
      <c r="E3118" s="8" t="str">
        <f t="shared" si="2"/>
        <v>https://resources.simonelectric.com/simon-ebook-vehiculo-electrico</v>
      </c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</row>
    <row r="3119" ht="15.75" customHeight="1">
      <c r="A3119" s="5" t="s">
        <v>4473</v>
      </c>
      <c r="B3119" s="5">
        <v>43914.0</v>
      </c>
      <c r="C3119" s="6" t="s">
        <v>4474</v>
      </c>
      <c r="D3119" s="11">
        <f t="shared" si="1"/>
        <v>67</v>
      </c>
      <c r="E3119" s="8" t="str">
        <f t="shared" si="2"/>
        <v>https://resources.simonelectric.com/simon-ebook-vehiculo-electrico</v>
      </c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</row>
    <row r="3120" ht="15.75" customHeight="1">
      <c r="A3120" s="5" t="s">
        <v>4475</v>
      </c>
      <c r="B3120" s="5">
        <v>43914.0</v>
      </c>
      <c r="C3120" s="6" t="s">
        <v>4476</v>
      </c>
      <c r="D3120" s="11">
        <f t="shared" si="1"/>
        <v>67</v>
      </c>
      <c r="E3120" s="8" t="str">
        <f t="shared" si="2"/>
        <v>https://resources.simonelectric.com/simon-ebook-vehiculo-electrico</v>
      </c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</row>
    <row r="3121" ht="15.75" customHeight="1">
      <c r="A3121" s="5" t="s">
        <v>410</v>
      </c>
      <c r="B3121" s="5">
        <v>43914.0</v>
      </c>
      <c r="C3121" s="6" t="s">
        <v>4477</v>
      </c>
      <c r="D3121" s="11">
        <f t="shared" si="1"/>
        <v>67</v>
      </c>
      <c r="E3121" s="8" t="str">
        <f t="shared" si="2"/>
        <v>https://resources.simonelectric.com/simon-ebook-vehiculo-electrico</v>
      </c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</row>
    <row r="3122" ht="15.75" customHeight="1">
      <c r="A3122" s="5" t="s">
        <v>4478</v>
      </c>
      <c r="B3122" s="5">
        <v>43914.0</v>
      </c>
      <c r="C3122" s="6" t="s">
        <v>4479</v>
      </c>
      <c r="D3122" s="11">
        <f t="shared" si="1"/>
        <v>67</v>
      </c>
      <c r="E3122" s="8" t="str">
        <f t="shared" si="2"/>
        <v>https://resources.simonelectric.com/simon-ebook-vehiculo-electrico</v>
      </c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</row>
    <row r="3123" ht="15.75" customHeight="1">
      <c r="A3123" s="5" t="s">
        <v>4480</v>
      </c>
      <c r="B3123" s="5">
        <v>43914.0</v>
      </c>
      <c r="C3123" s="6" t="s">
        <v>4377</v>
      </c>
      <c r="D3123" s="11">
        <f t="shared" si="1"/>
        <v>67</v>
      </c>
      <c r="E3123" s="8" t="str">
        <f t="shared" si="2"/>
        <v>https://resources.simonelectric.com/simon-ebook-vehiculo-electrico</v>
      </c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</row>
    <row r="3124" ht="15.75" customHeight="1">
      <c r="A3124" s="5" t="s">
        <v>4481</v>
      </c>
      <c r="B3124" s="5">
        <v>43914.0</v>
      </c>
      <c r="C3124" s="6" t="s">
        <v>4482</v>
      </c>
      <c r="D3124" s="11">
        <f t="shared" si="1"/>
        <v>67</v>
      </c>
      <c r="E3124" s="8" t="str">
        <f t="shared" si="2"/>
        <v>https://resources.simonelectric.com/simon-ebook-vehiculo-electrico</v>
      </c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</row>
    <row r="3125" ht="15.75" customHeight="1">
      <c r="A3125" s="5" t="s">
        <v>4483</v>
      </c>
      <c r="B3125" s="5">
        <v>43914.0</v>
      </c>
      <c r="C3125" s="6" t="s">
        <v>4484</v>
      </c>
      <c r="D3125" s="11">
        <f t="shared" si="1"/>
        <v>67</v>
      </c>
      <c r="E3125" s="8" t="str">
        <f t="shared" si="2"/>
        <v>https://resources.simonelectric.com/simon-ebook-vehiculo-electrico</v>
      </c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</row>
    <row r="3126" ht="15.75" customHeight="1">
      <c r="A3126" s="5" t="s">
        <v>3247</v>
      </c>
      <c r="B3126" s="5">
        <v>43914.0</v>
      </c>
      <c r="C3126" s="6" t="s">
        <v>4485</v>
      </c>
      <c r="D3126" s="11">
        <f t="shared" si="1"/>
        <v>67</v>
      </c>
      <c r="E3126" s="8" t="str">
        <f t="shared" si="2"/>
        <v>https://resources.simonelectric.com/simon-ebook-vehiculo-electrico</v>
      </c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</row>
    <row r="3127" ht="15.75" customHeight="1">
      <c r="A3127" s="5" t="s">
        <v>3513</v>
      </c>
      <c r="B3127" s="5">
        <v>43914.0</v>
      </c>
      <c r="C3127" s="6" t="s">
        <v>4486</v>
      </c>
      <c r="D3127" s="11">
        <f t="shared" si="1"/>
        <v>67</v>
      </c>
      <c r="E3127" s="8" t="str">
        <f t="shared" si="2"/>
        <v>https://resources.simonelectric.com/simon-ebook-vehiculo-electrico</v>
      </c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</row>
    <row r="3128" ht="15.75" customHeight="1">
      <c r="A3128" s="5" t="s">
        <v>4487</v>
      </c>
      <c r="B3128" s="5">
        <v>43914.0</v>
      </c>
      <c r="C3128" s="6" t="s">
        <v>4488</v>
      </c>
      <c r="D3128" s="10">
        <f t="shared" si="1"/>
        <v>67</v>
      </c>
      <c r="E3128" s="8" t="str">
        <f t="shared" si="2"/>
        <v>https://resources.simonelectric.com/simon-ebook-vehiculo-electrico</v>
      </c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</row>
    <row r="3129" ht="15.75" customHeight="1">
      <c r="A3129" s="5" t="s">
        <v>3504</v>
      </c>
      <c r="B3129" s="5">
        <v>43914.0</v>
      </c>
      <c r="C3129" s="6" t="s">
        <v>4489</v>
      </c>
      <c r="D3129" s="11">
        <f t="shared" si="1"/>
        <v>67</v>
      </c>
      <c r="E3129" s="8" t="str">
        <f t="shared" si="2"/>
        <v>https://resources.simonelectric.com/simon-ebook-vehiculo-electrico</v>
      </c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</row>
    <row r="3130" ht="15.75" customHeight="1">
      <c r="A3130" s="5" t="s">
        <v>4490</v>
      </c>
      <c r="B3130" s="5">
        <v>43914.0</v>
      </c>
      <c r="C3130" s="6" t="s">
        <v>4491</v>
      </c>
      <c r="D3130" s="11">
        <f t="shared" si="1"/>
        <v>67</v>
      </c>
      <c r="E3130" s="8" t="str">
        <f t="shared" si="2"/>
        <v>https://resources.simonelectric.com/simon-ebook-vehiculo-electrico</v>
      </c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</row>
    <row r="3131" ht="15.75" customHeight="1">
      <c r="A3131" s="5" t="s">
        <v>4492</v>
      </c>
      <c r="B3131" s="5">
        <v>43914.0</v>
      </c>
      <c r="C3131" s="6" t="s">
        <v>4493</v>
      </c>
      <c r="D3131" s="11">
        <f t="shared" si="1"/>
        <v>67</v>
      </c>
      <c r="E3131" s="8" t="str">
        <f t="shared" si="2"/>
        <v>https://resources.simonelectric.com/simon-ebook-vehiculo-electrico</v>
      </c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</row>
    <row r="3132" ht="15.75" customHeight="1">
      <c r="A3132" s="5" t="s">
        <v>1055</v>
      </c>
      <c r="B3132" s="5">
        <v>43914.0</v>
      </c>
      <c r="C3132" s="6" t="s">
        <v>4494</v>
      </c>
      <c r="D3132" s="11">
        <f t="shared" si="1"/>
        <v>70</v>
      </c>
      <c r="E3132" s="8" t="str">
        <f t="shared" si="2"/>
        <v>https://resources.simonelectric.com/simon-catalogo-vehiculo-electrico</v>
      </c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</row>
    <row r="3133" ht="15.75" customHeight="1">
      <c r="A3133" s="5" t="s">
        <v>2670</v>
      </c>
      <c r="B3133" s="5">
        <v>43914.0</v>
      </c>
      <c r="C3133" s="6" t="s">
        <v>4495</v>
      </c>
      <c r="D3133" s="11">
        <f t="shared" si="1"/>
        <v>67</v>
      </c>
      <c r="E3133" s="8" t="str">
        <f t="shared" si="2"/>
        <v>https://resources.simonelectric.com/simon-ebook-vehiculo-electrico</v>
      </c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</row>
    <row r="3134" ht="15.75" customHeight="1">
      <c r="A3134" s="5" t="s">
        <v>1055</v>
      </c>
      <c r="B3134" s="5">
        <v>43914.0</v>
      </c>
      <c r="C3134" s="6" t="s">
        <v>28</v>
      </c>
      <c r="D3134" s="10" t="str">
        <f t="shared" si="1"/>
        <v>https://resources.simonelectric.com/simon-ebook-vehiculo-electrico</v>
      </c>
      <c r="E3134" s="8" t="str">
        <f t="shared" si="2"/>
        <v>https://resources.simonelectric.com/simon-ebook-vehiculo-electrico</v>
      </c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</row>
    <row r="3135" ht="15.75" customHeight="1">
      <c r="A3135" s="5" t="s">
        <v>4496</v>
      </c>
      <c r="B3135" s="5">
        <v>43914.0</v>
      </c>
      <c r="C3135" s="6" t="s">
        <v>4497</v>
      </c>
      <c r="D3135" s="11">
        <f t="shared" si="1"/>
        <v>67</v>
      </c>
      <c r="E3135" s="8" t="str">
        <f t="shared" si="2"/>
        <v>https://resources.simonelectric.com/simon-ebook-vehiculo-electrico</v>
      </c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</row>
    <row r="3136" ht="15.75" customHeight="1">
      <c r="A3136" s="5" t="s">
        <v>4498</v>
      </c>
      <c r="B3136" s="5">
        <v>43914.0</v>
      </c>
      <c r="C3136" s="6" t="s">
        <v>4499</v>
      </c>
      <c r="D3136" s="11">
        <f t="shared" si="1"/>
        <v>67</v>
      </c>
      <c r="E3136" s="8" t="str">
        <f t="shared" si="2"/>
        <v>https://resources.simonelectric.com/simon-ebook-vehiculo-electrico</v>
      </c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</row>
    <row r="3137" ht="15.75" customHeight="1">
      <c r="A3137" s="5" t="s">
        <v>4500</v>
      </c>
      <c r="B3137" s="5">
        <v>43914.0</v>
      </c>
      <c r="C3137" s="6" t="s">
        <v>4501</v>
      </c>
      <c r="D3137" s="10">
        <f t="shared" si="1"/>
        <v>67</v>
      </c>
      <c r="E3137" s="8" t="str">
        <f t="shared" si="2"/>
        <v>https://resources.simonelectric.com/simon-ebook-vehiculo-electrico</v>
      </c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</row>
    <row r="3138" ht="15.75" customHeight="1">
      <c r="A3138" s="5" t="s">
        <v>4502</v>
      </c>
      <c r="B3138" s="5">
        <v>43914.0</v>
      </c>
      <c r="C3138" s="6" t="s">
        <v>4503</v>
      </c>
      <c r="D3138" s="11">
        <f t="shared" si="1"/>
        <v>67</v>
      </c>
      <c r="E3138" s="8" t="str">
        <f t="shared" si="2"/>
        <v>https://resources.simonelectric.com/simon-ebook-vehiculo-electrico</v>
      </c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</row>
    <row r="3139" ht="15.75" customHeight="1">
      <c r="A3139" s="5" t="s">
        <v>2138</v>
      </c>
      <c r="B3139" s="5">
        <v>43914.0</v>
      </c>
      <c r="C3139" s="6" t="s">
        <v>4504</v>
      </c>
      <c r="D3139" s="11">
        <f t="shared" si="1"/>
        <v>67</v>
      </c>
      <c r="E3139" s="8" t="str">
        <f t="shared" si="2"/>
        <v>https://resources.simonelectric.com/simon-ebook-vehiculo-electrico</v>
      </c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</row>
    <row r="3140" ht="15.75" customHeight="1">
      <c r="A3140" s="5" t="s">
        <v>4505</v>
      </c>
      <c r="B3140" s="5">
        <v>43914.0</v>
      </c>
      <c r="C3140" s="6" t="s">
        <v>4506</v>
      </c>
      <c r="D3140" s="11">
        <f t="shared" si="1"/>
        <v>67</v>
      </c>
      <c r="E3140" s="8" t="str">
        <f t="shared" si="2"/>
        <v>https://resources.simonelectric.com/simon-ebook-vehiculo-electrico</v>
      </c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</row>
    <row r="3141" ht="15.75" customHeight="1">
      <c r="A3141" s="5" t="s">
        <v>4507</v>
      </c>
      <c r="B3141" s="5">
        <v>43914.0</v>
      </c>
      <c r="C3141" s="6" t="s">
        <v>4508</v>
      </c>
      <c r="D3141" s="11">
        <f t="shared" si="1"/>
        <v>67</v>
      </c>
      <c r="E3141" s="8" t="str">
        <f t="shared" si="2"/>
        <v>https://resources.simonelectric.com/simon-ebook-vehiculo-electrico</v>
      </c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</row>
    <row r="3142" ht="15.75" customHeight="1">
      <c r="A3142" s="5" t="s">
        <v>4509</v>
      </c>
      <c r="B3142" s="5">
        <v>43914.0</v>
      </c>
      <c r="C3142" s="6" t="s">
        <v>4510</v>
      </c>
      <c r="D3142" s="11">
        <f t="shared" si="1"/>
        <v>67</v>
      </c>
      <c r="E3142" s="8" t="str">
        <f t="shared" si="2"/>
        <v>https://resources.simonelectric.com/simon-ebook-vehiculo-electrico</v>
      </c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</row>
    <row r="3143" ht="15.75" customHeight="1">
      <c r="A3143" s="5" t="s">
        <v>2411</v>
      </c>
      <c r="B3143" s="5">
        <v>43914.0</v>
      </c>
      <c r="C3143" s="6" t="s">
        <v>4511</v>
      </c>
      <c r="D3143" s="11">
        <f t="shared" si="1"/>
        <v>67</v>
      </c>
      <c r="E3143" s="8" t="str">
        <f t="shared" si="2"/>
        <v>https://resources.simonelectric.com/simon-ebook-vehiculo-electrico</v>
      </c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</row>
    <row r="3144" ht="15.75" customHeight="1">
      <c r="A3144" s="5" t="s">
        <v>4512</v>
      </c>
      <c r="B3144" s="5">
        <v>43914.0</v>
      </c>
      <c r="C3144" s="6" t="s">
        <v>4513</v>
      </c>
      <c r="D3144" s="11">
        <f t="shared" si="1"/>
        <v>67</v>
      </c>
      <c r="E3144" s="8" t="str">
        <f t="shared" si="2"/>
        <v>https://resources.simonelectric.com/simon-ebook-vehiculo-electrico</v>
      </c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</row>
    <row r="3145" ht="15.75" customHeight="1">
      <c r="A3145" s="5" t="s">
        <v>4514</v>
      </c>
      <c r="B3145" s="5">
        <v>43914.0</v>
      </c>
      <c r="C3145" s="6" t="s">
        <v>4515</v>
      </c>
      <c r="D3145" s="11">
        <f t="shared" si="1"/>
        <v>67</v>
      </c>
      <c r="E3145" s="8" t="str">
        <f t="shared" si="2"/>
        <v>https://resources.simonelectric.com/simon-ebook-vehiculo-electrico</v>
      </c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</row>
    <row r="3146" ht="15.75" customHeight="1">
      <c r="A3146" s="5" t="s">
        <v>4516</v>
      </c>
      <c r="B3146" s="5">
        <v>43914.0</v>
      </c>
      <c r="C3146" s="6" t="s">
        <v>4517</v>
      </c>
      <c r="D3146" s="11">
        <f t="shared" si="1"/>
        <v>67</v>
      </c>
      <c r="E3146" s="8" t="str">
        <f t="shared" si="2"/>
        <v>https://resources.simonelectric.com/simon-ebook-vehiculo-electrico</v>
      </c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</row>
    <row r="3147" ht="15.75" customHeight="1">
      <c r="A3147" s="5" t="s">
        <v>4518</v>
      </c>
      <c r="B3147" s="5">
        <v>43914.0</v>
      </c>
      <c r="C3147" s="6" t="s">
        <v>4519</v>
      </c>
      <c r="D3147" s="11">
        <f t="shared" si="1"/>
        <v>67</v>
      </c>
      <c r="E3147" s="8" t="str">
        <f t="shared" si="2"/>
        <v>https://resources.simonelectric.com/simon-ebook-vehiculo-electrico</v>
      </c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</row>
    <row r="3148" ht="15.75" customHeight="1">
      <c r="A3148" s="5" t="s">
        <v>1055</v>
      </c>
      <c r="B3148" s="5">
        <v>43914.0</v>
      </c>
      <c r="C3148" s="6" t="s">
        <v>4520</v>
      </c>
      <c r="D3148" s="11">
        <f t="shared" si="1"/>
        <v>67</v>
      </c>
      <c r="E3148" s="8" t="str">
        <f t="shared" si="2"/>
        <v>https://resources.simonelectric.com/simon-ebook-vehiculo-electrico</v>
      </c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</row>
    <row r="3149" ht="15.75" customHeight="1">
      <c r="A3149" s="5" t="s">
        <v>709</v>
      </c>
      <c r="B3149" s="5">
        <v>43914.0</v>
      </c>
      <c r="C3149" s="6" t="s">
        <v>4521</v>
      </c>
      <c r="D3149" s="11">
        <f t="shared" si="1"/>
        <v>67</v>
      </c>
      <c r="E3149" s="8" t="str">
        <f t="shared" si="2"/>
        <v>https://resources.simonelectric.com/simon-ebook-vehiculo-electrico</v>
      </c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</row>
    <row r="3150" ht="15.75" customHeight="1">
      <c r="A3150" s="5" t="s">
        <v>4522</v>
      </c>
      <c r="B3150" s="5">
        <v>43914.0</v>
      </c>
      <c r="C3150" s="6" t="s">
        <v>4523</v>
      </c>
      <c r="D3150" s="11">
        <f t="shared" si="1"/>
        <v>67</v>
      </c>
      <c r="E3150" s="8" t="str">
        <f t="shared" si="2"/>
        <v>https://resources.simonelectric.com/simon-ebook-vehiculo-electrico</v>
      </c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</row>
    <row r="3151" ht="15.75" customHeight="1">
      <c r="A3151" s="5" t="s">
        <v>3116</v>
      </c>
      <c r="B3151" s="5">
        <v>43914.0</v>
      </c>
      <c r="C3151" s="6" t="s">
        <v>4524</v>
      </c>
      <c r="D3151" s="11">
        <f t="shared" si="1"/>
        <v>67</v>
      </c>
      <c r="E3151" s="8" t="str">
        <f t="shared" si="2"/>
        <v>https://resources.simonelectric.com/simon-ebook-vehiculo-electrico</v>
      </c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</row>
    <row r="3152" ht="15.75" customHeight="1">
      <c r="A3152" s="5" t="s">
        <v>3162</v>
      </c>
      <c r="B3152" s="5">
        <v>43914.0</v>
      </c>
      <c r="C3152" s="6" t="s">
        <v>4525</v>
      </c>
      <c r="D3152" s="11">
        <f t="shared" si="1"/>
        <v>67</v>
      </c>
      <c r="E3152" s="8" t="str">
        <f t="shared" si="2"/>
        <v>https://resources.simonelectric.com/simon-ebook-vehiculo-electrico</v>
      </c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</row>
    <row r="3153" ht="15.75" customHeight="1">
      <c r="A3153" s="5" t="s">
        <v>4526</v>
      </c>
      <c r="B3153" s="5">
        <v>43914.0</v>
      </c>
      <c r="C3153" s="6" t="s">
        <v>4527</v>
      </c>
      <c r="D3153" s="11">
        <f t="shared" si="1"/>
        <v>67</v>
      </c>
      <c r="E3153" s="8" t="str">
        <f t="shared" si="2"/>
        <v>https://resources.simonelectric.com/simon-ebook-vehiculo-electrico</v>
      </c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</row>
    <row r="3154" ht="15.75" customHeight="1">
      <c r="A3154" s="5" t="s">
        <v>4528</v>
      </c>
      <c r="B3154" s="5">
        <v>43914.0</v>
      </c>
      <c r="C3154" s="6" t="s">
        <v>4529</v>
      </c>
      <c r="D3154" s="11">
        <f t="shared" si="1"/>
        <v>67</v>
      </c>
      <c r="E3154" s="8" t="str">
        <f t="shared" si="2"/>
        <v>https://resources.simonelectric.com/simon-ebook-vehiculo-electrico</v>
      </c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</row>
    <row r="3155" ht="15.75" customHeight="1">
      <c r="A3155" s="5" t="s">
        <v>4530</v>
      </c>
      <c r="B3155" s="5">
        <v>43914.0</v>
      </c>
      <c r="C3155" s="6" t="s">
        <v>4531</v>
      </c>
      <c r="D3155" s="11">
        <f t="shared" si="1"/>
        <v>67</v>
      </c>
      <c r="E3155" s="8" t="str">
        <f t="shared" si="2"/>
        <v>https://resources.simonelectric.com/simon-ebook-vehiculo-electrico</v>
      </c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</row>
    <row r="3156" ht="15.75" customHeight="1">
      <c r="A3156" s="5" t="s">
        <v>1145</v>
      </c>
      <c r="B3156" s="5">
        <v>43914.0</v>
      </c>
      <c r="C3156" s="6" t="s">
        <v>4532</v>
      </c>
      <c r="D3156" s="11">
        <f t="shared" si="1"/>
        <v>67</v>
      </c>
      <c r="E3156" s="8" t="str">
        <f t="shared" si="2"/>
        <v>https://resources.simonelectric.com/simon-ebook-vehiculo-electrico</v>
      </c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</row>
    <row r="3157" ht="15.75" customHeight="1">
      <c r="A3157" s="5" t="s">
        <v>700</v>
      </c>
      <c r="B3157" s="5">
        <v>43914.0</v>
      </c>
      <c r="C3157" s="6" t="s">
        <v>4533</v>
      </c>
      <c r="D3157" s="11">
        <f t="shared" si="1"/>
        <v>67</v>
      </c>
      <c r="E3157" s="8" t="str">
        <f t="shared" si="2"/>
        <v>https://resources.simonelectric.com/simon-ebook-vehiculo-electrico</v>
      </c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</row>
    <row r="3158" ht="15.75" customHeight="1">
      <c r="A3158" s="5" t="s">
        <v>4534</v>
      </c>
      <c r="B3158" s="5">
        <v>43914.0</v>
      </c>
      <c r="C3158" s="6" t="s">
        <v>4535</v>
      </c>
      <c r="D3158" s="11">
        <f t="shared" si="1"/>
        <v>67</v>
      </c>
      <c r="E3158" s="8" t="str">
        <f t="shared" si="2"/>
        <v>https://resources.simonelectric.com/simon-ebook-vehiculo-electrico</v>
      </c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</row>
    <row r="3159" ht="15.75" customHeight="1">
      <c r="A3159" s="5" t="s">
        <v>2928</v>
      </c>
      <c r="B3159" s="5">
        <v>43914.0</v>
      </c>
      <c r="C3159" s="6" t="s">
        <v>4536</v>
      </c>
      <c r="D3159" s="11">
        <f t="shared" si="1"/>
        <v>67</v>
      </c>
      <c r="E3159" s="8" t="str">
        <f t="shared" si="2"/>
        <v>https://resources.simonelectric.com/simon-ebook-vehiculo-electrico</v>
      </c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</row>
    <row r="3160" ht="15.75" customHeight="1">
      <c r="A3160" s="5" t="s">
        <v>4537</v>
      </c>
      <c r="B3160" s="5">
        <v>43914.0</v>
      </c>
      <c r="C3160" s="6" t="s">
        <v>4538</v>
      </c>
      <c r="D3160" s="11">
        <f t="shared" si="1"/>
        <v>67</v>
      </c>
      <c r="E3160" s="8" t="str">
        <f t="shared" si="2"/>
        <v>https://resources.simonelectric.com/simon-ebook-vehiculo-electrico</v>
      </c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</row>
    <row r="3161" ht="15.75" customHeight="1">
      <c r="A3161" s="5" t="s">
        <v>2245</v>
      </c>
      <c r="B3161" s="5">
        <v>43913.0</v>
      </c>
      <c r="C3161" s="6" t="s">
        <v>48</v>
      </c>
      <c r="D3161" s="10">
        <f t="shared" si="1"/>
        <v>67</v>
      </c>
      <c r="E3161" s="8" t="str">
        <f t="shared" si="2"/>
        <v>https://resources.simonelectric.com/simon-ebook-vehiculo-electrico</v>
      </c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</row>
    <row r="3162" ht="15.75" customHeight="1">
      <c r="A3162" s="5" t="s">
        <v>4539</v>
      </c>
      <c r="B3162" s="5">
        <v>43913.0</v>
      </c>
      <c r="C3162" s="6" t="s">
        <v>8</v>
      </c>
      <c r="D3162" s="11">
        <f t="shared" si="1"/>
        <v>67</v>
      </c>
      <c r="E3162" s="8" t="str">
        <f t="shared" si="2"/>
        <v>https://resources.simonelectric.com/simon-ebook-vehiculo-electrico</v>
      </c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</row>
    <row r="3163" ht="15.75" customHeight="1">
      <c r="A3163" s="5" t="s">
        <v>3218</v>
      </c>
      <c r="B3163" s="5">
        <v>43913.0</v>
      </c>
      <c r="C3163" s="6" t="s">
        <v>28</v>
      </c>
      <c r="D3163" s="10" t="str">
        <f t="shared" si="1"/>
        <v>https://resources.simonelectric.com/simon-ebook-vehiculo-electrico</v>
      </c>
      <c r="E3163" s="8" t="str">
        <f t="shared" si="2"/>
        <v>https://resources.simonelectric.com/simon-ebook-vehiculo-electrico</v>
      </c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</row>
    <row r="3164" ht="15.75" customHeight="1">
      <c r="A3164" s="5" t="s">
        <v>2618</v>
      </c>
      <c r="B3164" s="5">
        <v>43913.0</v>
      </c>
      <c r="C3164" s="6" t="s">
        <v>4540</v>
      </c>
      <c r="D3164" s="11">
        <f t="shared" si="1"/>
        <v>67</v>
      </c>
      <c r="E3164" s="8" t="str">
        <f t="shared" si="2"/>
        <v>https://resources.simonelectric.com/simon-ebook-vehiculo-electrico</v>
      </c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</row>
    <row r="3165" ht="15.75" customHeight="1">
      <c r="A3165" s="5" t="s">
        <v>4541</v>
      </c>
      <c r="B3165" s="5">
        <v>43913.0</v>
      </c>
      <c r="C3165" s="6" t="s">
        <v>31</v>
      </c>
      <c r="D3165" s="11">
        <f t="shared" si="1"/>
        <v>67</v>
      </c>
      <c r="E3165" s="8" t="str">
        <f t="shared" si="2"/>
        <v>https://resources.simonelectric.com/simon-ebook-vehiculo-electrico</v>
      </c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</row>
    <row r="3166" ht="15.75" customHeight="1">
      <c r="A3166" s="5" t="s">
        <v>4542</v>
      </c>
      <c r="B3166" s="5">
        <v>43913.0</v>
      </c>
      <c r="C3166" s="6" t="s">
        <v>4543</v>
      </c>
      <c r="D3166" s="11">
        <f t="shared" si="1"/>
        <v>70</v>
      </c>
      <c r="E3166" s="8" t="str">
        <f t="shared" si="2"/>
        <v>https://resources.simonelectric.com/simon-catalogo-vehiculo-electrico</v>
      </c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</row>
    <row r="3167" ht="15.75" customHeight="1">
      <c r="A3167" s="5" t="s">
        <v>4544</v>
      </c>
      <c r="B3167" s="5">
        <v>43913.0</v>
      </c>
      <c r="C3167" s="6" t="s">
        <v>4545</v>
      </c>
      <c r="D3167" s="11">
        <f t="shared" si="1"/>
        <v>70</v>
      </c>
      <c r="E3167" s="8" t="str">
        <f t="shared" si="2"/>
        <v>https://resources.simonelectric.com/simon-catalogo-vehiculo-electrico</v>
      </c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</row>
    <row r="3168" ht="15.75" customHeight="1">
      <c r="A3168" s="5" t="s">
        <v>4546</v>
      </c>
      <c r="B3168" s="5">
        <v>43913.0</v>
      </c>
      <c r="C3168" s="6" t="s">
        <v>8</v>
      </c>
      <c r="D3168" s="11">
        <f t="shared" si="1"/>
        <v>67</v>
      </c>
      <c r="E3168" s="8" t="str">
        <f t="shared" si="2"/>
        <v>https://resources.simonelectric.com/simon-ebook-vehiculo-electrico</v>
      </c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</row>
    <row r="3169" ht="15.75" customHeight="1">
      <c r="A3169" s="5" t="s">
        <v>2010</v>
      </c>
      <c r="B3169" s="5">
        <v>43913.0</v>
      </c>
      <c r="C3169" s="6" t="s">
        <v>4547</v>
      </c>
      <c r="D3169" s="11">
        <f t="shared" si="1"/>
        <v>70</v>
      </c>
      <c r="E3169" s="8" t="str">
        <f t="shared" si="2"/>
        <v>https://resources.simonelectric.com/simon-catalogo-vehiculo-electrico</v>
      </c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</row>
    <row r="3170" ht="15.75" customHeight="1">
      <c r="A3170" s="5" t="s">
        <v>4548</v>
      </c>
      <c r="B3170" s="5">
        <v>43912.0</v>
      </c>
      <c r="C3170" s="6" t="s">
        <v>4549</v>
      </c>
      <c r="D3170" s="10">
        <f t="shared" si="1"/>
        <v>70</v>
      </c>
      <c r="E3170" s="8" t="str">
        <f t="shared" si="2"/>
        <v>https://resources.simonelectric.com/simon-catalogo-vehiculo-electrico</v>
      </c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</row>
    <row r="3171" ht="15.75" customHeight="1">
      <c r="A3171" s="5" t="s">
        <v>4550</v>
      </c>
      <c r="B3171" s="5">
        <v>43912.0</v>
      </c>
      <c r="C3171" s="6" t="s">
        <v>28</v>
      </c>
      <c r="D3171" s="10" t="str">
        <f t="shared" si="1"/>
        <v>https://resources.simonelectric.com/simon-ebook-vehiculo-electrico</v>
      </c>
      <c r="E3171" s="8" t="str">
        <f t="shared" si="2"/>
        <v>https://resources.simonelectric.com/simon-ebook-vehiculo-electrico</v>
      </c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</row>
    <row r="3172" ht="15.75" customHeight="1">
      <c r="A3172" s="5" t="s">
        <v>4038</v>
      </c>
      <c r="B3172" s="5">
        <v>43911.0</v>
      </c>
      <c r="C3172" s="6" t="s">
        <v>8</v>
      </c>
      <c r="D3172" s="11">
        <f t="shared" si="1"/>
        <v>67</v>
      </c>
      <c r="E3172" s="8" t="str">
        <f t="shared" si="2"/>
        <v>https://resources.simonelectric.com/simon-ebook-vehiculo-electrico</v>
      </c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</row>
    <row r="3173" ht="15.75" customHeight="1">
      <c r="A3173" s="5" t="s">
        <v>4551</v>
      </c>
      <c r="B3173" s="5">
        <v>43911.0</v>
      </c>
      <c r="C3173" s="6" t="s">
        <v>75</v>
      </c>
      <c r="D3173" s="11">
        <f t="shared" si="1"/>
        <v>67</v>
      </c>
      <c r="E3173" s="8" t="str">
        <f t="shared" si="2"/>
        <v>https://resources.simonelectric.com/simon-ebook-vehiculo-electrico</v>
      </c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</row>
    <row r="3174" ht="15.75" customHeight="1">
      <c r="A3174" s="5" t="s">
        <v>3166</v>
      </c>
      <c r="B3174" s="5">
        <v>43911.0</v>
      </c>
      <c r="C3174" s="6" t="s">
        <v>75</v>
      </c>
      <c r="D3174" s="11">
        <f t="shared" si="1"/>
        <v>67</v>
      </c>
      <c r="E3174" s="8" t="str">
        <f t="shared" si="2"/>
        <v>https://resources.simonelectric.com/simon-ebook-vehiculo-electrico</v>
      </c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</row>
    <row r="3175" ht="15.75" customHeight="1">
      <c r="A3175" s="5" t="s">
        <v>2070</v>
      </c>
      <c r="B3175" s="5">
        <v>43911.0</v>
      </c>
      <c r="C3175" s="6" t="s">
        <v>31</v>
      </c>
      <c r="D3175" s="11">
        <f t="shared" si="1"/>
        <v>67</v>
      </c>
      <c r="E3175" s="8" t="str">
        <f t="shared" si="2"/>
        <v>https://resources.simonelectric.com/simon-ebook-vehiculo-electrico</v>
      </c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</row>
    <row r="3176" ht="15.75" customHeight="1">
      <c r="A3176" s="5" t="s">
        <v>4552</v>
      </c>
      <c r="B3176" s="5">
        <v>43911.0</v>
      </c>
      <c r="C3176" s="6" t="s">
        <v>8</v>
      </c>
      <c r="D3176" s="11">
        <f t="shared" si="1"/>
        <v>67</v>
      </c>
      <c r="E3176" s="8" t="str">
        <f t="shared" si="2"/>
        <v>https://resources.simonelectric.com/simon-ebook-vehiculo-electrico</v>
      </c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</row>
    <row r="3177" ht="15.75" customHeight="1">
      <c r="A3177" s="5" t="s">
        <v>4553</v>
      </c>
      <c r="B3177" s="5">
        <v>43910.0</v>
      </c>
      <c r="C3177" s="6" t="s">
        <v>4554</v>
      </c>
      <c r="D3177" s="11">
        <f t="shared" si="1"/>
        <v>67</v>
      </c>
      <c r="E3177" s="8" t="str">
        <f t="shared" si="2"/>
        <v>https://resources.simonelectric.com/simon-ebook-vehiculo-electrico</v>
      </c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</row>
    <row r="3178" ht="15.75" customHeight="1">
      <c r="A3178" s="5" t="s">
        <v>4555</v>
      </c>
      <c r="B3178" s="5">
        <v>43910.0</v>
      </c>
      <c r="C3178" s="6" t="s">
        <v>31</v>
      </c>
      <c r="D3178" s="11">
        <f t="shared" si="1"/>
        <v>67</v>
      </c>
      <c r="E3178" s="8" t="str">
        <f t="shared" si="2"/>
        <v>https://resources.simonelectric.com/simon-ebook-vehiculo-electrico</v>
      </c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</row>
    <row r="3179" ht="15.75" customHeight="1">
      <c r="A3179" s="5" t="s">
        <v>4552</v>
      </c>
      <c r="B3179" s="5">
        <v>43910.0</v>
      </c>
      <c r="C3179" s="6" t="s">
        <v>8</v>
      </c>
      <c r="D3179" s="11">
        <f t="shared" si="1"/>
        <v>67</v>
      </c>
      <c r="E3179" s="8" t="str">
        <f t="shared" si="2"/>
        <v>https://resources.simonelectric.com/simon-ebook-vehiculo-electrico</v>
      </c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</row>
    <row r="3180" ht="15.75" customHeight="1">
      <c r="A3180" s="5" t="s">
        <v>4556</v>
      </c>
      <c r="B3180" s="5">
        <v>43910.0</v>
      </c>
      <c r="C3180" s="6" t="s">
        <v>8</v>
      </c>
      <c r="D3180" s="11">
        <f t="shared" si="1"/>
        <v>67</v>
      </c>
      <c r="E3180" s="8" t="str">
        <f t="shared" si="2"/>
        <v>https://resources.simonelectric.com/simon-ebook-vehiculo-electrico</v>
      </c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</row>
    <row r="3181" ht="15.75" customHeight="1">
      <c r="A3181" s="5" t="s">
        <v>4557</v>
      </c>
      <c r="B3181" s="5">
        <v>43910.0</v>
      </c>
      <c r="C3181" s="6" t="s">
        <v>28</v>
      </c>
      <c r="D3181" s="10" t="str">
        <f t="shared" si="1"/>
        <v>https://resources.simonelectric.com/simon-ebook-vehiculo-electrico</v>
      </c>
      <c r="E3181" s="8" t="str">
        <f t="shared" si="2"/>
        <v>https://resources.simonelectric.com/simon-ebook-vehiculo-electrico</v>
      </c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</row>
    <row r="3182" ht="15.75" customHeight="1">
      <c r="A3182" s="5" t="s">
        <v>2411</v>
      </c>
      <c r="B3182" s="5">
        <v>43910.0</v>
      </c>
      <c r="C3182" s="6" t="s">
        <v>4558</v>
      </c>
      <c r="D3182" s="11">
        <f t="shared" si="1"/>
        <v>70</v>
      </c>
      <c r="E3182" s="8" t="str">
        <f t="shared" si="2"/>
        <v>https://resources.simonelectric.com/simon-catalogo-vehiculo-electrico</v>
      </c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</row>
    <row r="3183" ht="15.75" customHeight="1">
      <c r="A3183" s="5" t="s">
        <v>1424</v>
      </c>
      <c r="B3183" s="5">
        <v>43910.0</v>
      </c>
      <c r="C3183" s="6" t="s">
        <v>75</v>
      </c>
      <c r="D3183" s="10">
        <f t="shared" si="1"/>
        <v>67</v>
      </c>
      <c r="E3183" s="8" t="str">
        <f t="shared" si="2"/>
        <v>https://resources.simonelectric.com/simon-ebook-vehiculo-electrico</v>
      </c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</row>
    <row r="3184" ht="15.75" customHeight="1">
      <c r="A3184" s="5" t="s">
        <v>4559</v>
      </c>
      <c r="B3184" s="5">
        <v>43910.0</v>
      </c>
      <c r="C3184" s="6" t="s">
        <v>231</v>
      </c>
      <c r="D3184" s="11">
        <f t="shared" si="1"/>
        <v>67</v>
      </c>
      <c r="E3184" s="8" t="str">
        <f t="shared" si="2"/>
        <v>https://resources.simonelectric.com/simon-ebook-vehiculo-electrico</v>
      </c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</row>
    <row r="3185" ht="15.75" customHeight="1">
      <c r="A3185" s="5" t="s">
        <v>2463</v>
      </c>
      <c r="B3185" s="5">
        <v>43909.0</v>
      </c>
      <c r="C3185" s="6" t="s">
        <v>75</v>
      </c>
      <c r="D3185" s="11">
        <f t="shared" si="1"/>
        <v>67</v>
      </c>
      <c r="E3185" s="8" t="str">
        <f t="shared" si="2"/>
        <v>https://resources.simonelectric.com/simon-ebook-vehiculo-electrico</v>
      </c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</row>
    <row r="3186" ht="15.75" customHeight="1">
      <c r="A3186" s="5" t="s">
        <v>4552</v>
      </c>
      <c r="B3186" s="5">
        <v>43909.0</v>
      </c>
      <c r="C3186" s="6" t="s">
        <v>8</v>
      </c>
      <c r="D3186" s="11">
        <f t="shared" si="1"/>
        <v>67</v>
      </c>
      <c r="E3186" s="8" t="str">
        <f t="shared" si="2"/>
        <v>https://resources.simonelectric.com/simon-ebook-vehiculo-electrico</v>
      </c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</row>
    <row r="3187" ht="15.75" customHeight="1">
      <c r="A3187" s="5" t="s">
        <v>4552</v>
      </c>
      <c r="B3187" s="5">
        <v>43909.0</v>
      </c>
      <c r="C3187" s="6" t="s">
        <v>8</v>
      </c>
      <c r="D3187" s="11">
        <f t="shared" si="1"/>
        <v>67</v>
      </c>
      <c r="E3187" s="8" t="str">
        <f t="shared" si="2"/>
        <v>https://resources.simonelectric.com/simon-ebook-vehiculo-electrico</v>
      </c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</row>
    <row r="3188" ht="15.75" customHeight="1">
      <c r="A3188" s="5" t="s">
        <v>4560</v>
      </c>
      <c r="B3188" s="5">
        <v>43909.0</v>
      </c>
      <c r="C3188" s="6" t="s">
        <v>4561</v>
      </c>
      <c r="D3188" s="11">
        <f t="shared" si="1"/>
        <v>67</v>
      </c>
      <c r="E3188" s="8" t="str">
        <f t="shared" si="2"/>
        <v>https://resources.simonelectric.com/simon-ebook-vehiculo-electrico</v>
      </c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</row>
    <row r="3189" ht="15.75" customHeight="1">
      <c r="A3189" s="5" t="s">
        <v>4562</v>
      </c>
      <c r="B3189" s="5">
        <v>43908.0</v>
      </c>
      <c r="C3189" s="6" t="s">
        <v>8</v>
      </c>
      <c r="D3189" s="11">
        <f t="shared" si="1"/>
        <v>67</v>
      </c>
      <c r="E3189" s="8" t="str">
        <f t="shared" si="2"/>
        <v>https://resources.simonelectric.com/simon-ebook-vehiculo-electrico</v>
      </c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</row>
    <row r="3190" ht="15.75" customHeight="1">
      <c r="A3190" s="5" t="s">
        <v>4181</v>
      </c>
      <c r="B3190" s="5">
        <v>43907.0</v>
      </c>
      <c r="C3190" s="6" t="s">
        <v>4563</v>
      </c>
      <c r="D3190" s="11">
        <f t="shared" si="1"/>
        <v>70</v>
      </c>
      <c r="E3190" s="8" t="str">
        <f t="shared" si="2"/>
        <v>https://resources.simonelectric.com/simon-catalogo-vehiculo-electrico</v>
      </c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</row>
    <row r="3191" ht="15.75" customHeight="1">
      <c r="A3191" s="5" t="s">
        <v>1503</v>
      </c>
      <c r="B3191" s="5">
        <v>43907.0</v>
      </c>
      <c r="C3191" s="6" t="s">
        <v>4564</v>
      </c>
      <c r="D3191" s="11">
        <f t="shared" si="1"/>
        <v>67</v>
      </c>
      <c r="E3191" s="8" t="str">
        <f t="shared" si="2"/>
        <v>https://resources.simonelectric.com/simon-ebook-vehiculo-electrico</v>
      </c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</row>
    <row r="3192" ht="15.75" customHeight="1">
      <c r="A3192" s="5" t="s">
        <v>4565</v>
      </c>
      <c r="B3192" s="5">
        <v>43907.0</v>
      </c>
      <c r="C3192" s="6" t="s">
        <v>75</v>
      </c>
      <c r="D3192" s="11">
        <f t="shared" si="1"/>
        <v>67</v>
      </c>
      <c r="E3192" s="8" t="str">
        <f t="shared" si="2"/>
        <v>https://resources.simonelectric.com/simon-ebook-vehiculo-electrico</v>
      </c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</row>
    <row r="3193" ht="15.75" customHeight="1">
      <c r="A3193" s="5" t="s">
        <v>4565</v>
      </c>
      <c r="B3193" s="5">
        <v>43907.0</v>
      </c>
      <c r="C3193" s="6" t="s">
        <v>4566</v>
      </c>
      <c r="D3193" s="11">
        <f t="shared" si="1"/>
        <v>67</v>
      </c>
      <c r="E3193" s="8" t="str">
        <f t="shared" si="2"/>
        <v>https://resources.simonelectric.com/simon-ebook-vehiculo-electrico</v>
      </c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</row>
    <row r="3194" ht="15.75" customHeight="1">
      <c r="A3194" s="5" t="s">
        <v>3696</v>
      </c>
      <c r="B3194" s="5">
        <v>43907.0</v>
      </c>
      <c r="C3194" s="6" t="s">
        <v>75</v>
      </c>
      <c r="D3194" s="11">
        <f t="shared" si="1"/>
        <v>67</v>
      </c>
      <c r="E3194" s="8" t="str">
        <f t="shared" si="2"/>
        <v>https://resources.simonelectric.com/simon-ebook-vehiculo-electrico</v>
      </c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</row>
    <row r="3195" ht="15.75" customHeight="1">
      <c r="A3195" s="5" t="s">
        <v>4567</v>
      </c>
      <c r="B3195" s="5">
        <v>43907.0</v>
      </c>
      <c r="C3195" s="6" t="s">
        <v>8</v>
      </c>
      <c r="D3195" s="11">
        <f t="shared" si="1"/>
        <v>67</v>
      </c>
      <c r="E3195" s="8" t="str">
        <f t="shared" si="2"/>
        <v>https://resources.simonelectric.com/simon-ebook-vehiculo-electrico</v>
      </c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</row>
    <row r="3196" ht="15.75" customHeight="1">
      <c r="A3196" s="5" t="s">
        <v>742</v>
      </c>
      <c r="B3196" s="5">
        <v>43907.0</v>
      </c>
      <c r="C3196" s="6" t="s">
        <v>4568</v>
      </c>
      <c r="D3196" s="11">
        <f t="shared" si="1"/>
        <v>67</v>
      </c>
      <c r="E3196" s="8" t="str">
        <f t="shared" si="2"/>
        <v>https://resources.simonelectric.com/simon-ebook-vehiculo-electrico</v>
      </c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</row>
    <row r="3197" ht="15.75" customHeight="1">
      <c r="A3197" s="5" t="s">
        <v>4569</v>
      </c>
      <c r="B3197" s="5">
        <v>43907.0</v>
      </c>
      <c r="C3197" s="6" t="s">
        <v>4570</v>
      </c>
      <c r="D3197" s="11">
        <f t="shared" si="1"/>
        <v>70</v>
      </c>
      <c r="E3197" s="8" t="str">
        <f t="shared" si="2"/>
        <v>https://resources.simonelectric.com/simon-catalogo-vehiculo-electrico</v>
      </c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</row>
    <row r="3198" ht="15.75" customHeight="1">
      <c r="A3198" s="5" t="s">
        <v>4569</v>
      </c>
      <c r="B3198" s="5">
        <v>43907.0</v>
      </c>
      <c r="C3198" s="6" t="s">
        <v>28</v>
      </c>
      <c r="D3198" s="10" t="str">
        <f t="shared" si="1"/>
        <v>https://resources.simonelectric.com/simon-ebook-vehiculo-electrico</v>
      </c>
      <c r="E3198" s="8" t="str">
        <f t="shared" si="2"/>
        <v>https://resources.simonelectric.com/simon-ebook-vehiculo-electrico</v>
      </c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</row>
    <row r="3199" ht="15.75" customHeight="1">
      <c r="A3199" s="5" t="s">
        <v>742</v>
      </c>
      <c r="B3199" s="5">
        <v>43907.0</v>
      </c>
      <c r="C3199" s="6" t="s">
        <v>31</v>
      </c>
      <c r="D3199" s="11">
        <f t="shared" si="1"/>
        <v>67</v>
      </c>
      <c r="E3199" s="8" t="str">
        <f t="shared" si="2"/>
        <v>https://resources.simonelectric.com/simon-ebook-vehiculo-electrico</v>
      </c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</row>
    <row r="3200" ht="15.75" customHeight="1">
      <c r="A3200" s="5" t="s">
        <v>2711</v>
      </c>
      <c r="B3200" s="5">
        <v>43907.0</v>
      </c>
      <c r="C3200" s="6" t="s">
        <v>8</v>
      </c>
      <c r="D3200" s="11">
        <f t="shared" si="1"/>
        <v>67</v>
      </c>
      <c r="E3200" s="8" t="str">
        <f t="shared" si="2"/>
        <v>https://resources.simonelectric.com/simon-ebook-vehiculo-electrico</v>
      </c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</row>
    <row r="3201" ht="15.75" customHeight="1">
      <c r="A3201" s="5" t="s">
        <v>4571</v>
      </c>
      <c r="B3201" s="5">
        <v>43907.0</v>
      </c>
      <c r="C3201" s="6" t="s">
        <v>8</v>
      </c>
      <c r="D3201" s="11">
        <f t="shared" si="1"/>
        <v>67</v>
      </c>
      <c r="E3201" s="8" t="str">
        <f t="shared" si="2"/>
        <v>https://resources.simonelectric.com/simon-ebook-vehiculo-electrico</v>
      </c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</row>
    <row r="3202" ht="15.75" customHeight="1">
      <c r="A3202" s="5" t="s">
        <v>4572</v>
      </c>
      <c r="B3202" s="5">
        <v>43907.0</v>
      </c>
      <c r="C3202" s="6" t="s">
        <v>8</v>
      </c>
      <c r="D3202" s="11">
        <f t="shared" si="1"/>
        <v>67</v>
      </c>
      <c r="E3202" s="8" t="str">
        <f t="shared" si="2"/>
        <v>https://resources.simonelectric.com/simon-ebook-vehiculo-electrico</v>
      </c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</row>
    <row r="3203" ht="15.75" customHeight="1">
      <c r="A3203" s="5" t="s">
        <v>4573</v>
      </c>
      <c r="B3203" s="5">
        <v>43907.0</v>
      </c>
      <c r="C3203" s="6" t="s">
        <v>10</v>
      </c>
      <c r="D3203" s="10" t="str">
        <f t="shared" si="1"/>
        <v>https://resources.simonelectric.com/simon-catalogo-vehiculo-electrico</v>
      </c>
      <c r="E3203" s="8" t="str">
        <f t="shared" si="2"/>
        <v>https://resources.simonelectric.com/simon-catalogo-vehiculo-electrico</v>
      </c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</row>
    <row r="3204" ht="15.75" customHeight="1">
      <c r="A3204" s="5" t="s">
        <v>4574</v>
      </c>
      <c r="B3204" s="5">
        <v>43907.0</v>
      </c>
      <c r="C3204" s="6" t="s">
        <v>4575</v>
      </c>
      <c r="D3204" s="11">
        <f t="shared" si="1"/>
        <v>67</v>
      </c>
      <c r="E3204" s="8" t="str">
        <f t="shared" si="2"/>
        <v>https://resources.simonelectric.com/simon-ebook-vehiculo-electrico</v>
      </c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</row>
    <row r="3205" ht="15.75" customHeight="1">
      <c r="A3205" s="5" t="s">
        <v>1983</v>
      </c>
      <c r="B3205" s="5">
        <v>43907.0</v>
      </c>
      <c r="C3205" s="6" t="s">
        <v>8</v>
      </c>
      <c r="D3205" s="11">
        <f t="shared" si="1"/>
        <v>67</v>
      </c>
      <c r="E3205" s="8" t="str">
        <f t="shared" si="2"/>
        <v>https://resources.simonelectric.com/simon-ebook-vehiculo-electrico</v>
      </c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</row>
    <row r="3206" ht="15.75" customHeight="1">
      <c r="A3206" s="5" t="s">
        <v>4576</v>
      </c>
      <c r="B3206" s="5">
        <v>43907.0</v>
      </c>
      <c r="C3206" s="6" t="s">
        <v>4577</v>
      </c>
      <c r="D3206" s="11">
        <f t="shared" si="1"/>
        <v>69</v>
      </c>
      <c r="E3206" s="8" t="str">
        <f t="shared" si="2"/>
        <v>https://resources.simonelectric.com/simon-ebook-vehiculo-electrico-0</v>
      </c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</row>
    <row r="3207" ht="15.75" customHeight="1">
      <c r="A3207" s="5" t="s">
        <v>4578</v>
      </c>
      <c r="B3207" s="5">
        <v>43906.0</v>
      </c>
      <c r="C3207" s="6" t="s">
        <v>8</v>
      </c>
      <c r="D3207" s="11">
        <f t="shared" si="1"/>
        <v>67</v>
      </c>
      <c r="E3207" s="8" t="str">
        <f t="shared" si="2"/>
        <v>https://resources.simonelectric.com/simon-ebook-vehiculo-electrico</v>
      </c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</row>
    <row r="3208" ht="15.75" customHeight="1">
      <c r="A3208" s="5" t="s">
        <v>4578</v>
      </c>
      <c r="B3208" s="5">
        <v>43906.0</v>
      </c>
      <c r="C3208" s="6" t="s">
        <v>8</v>
      </c>
      <c r="D3208" s="11">
        <f t="shared" si="1"/>
        <v>67</v>
      </c>
      <c r="E3208" s="8" t="str">
        <f t="shared" si="2"/>
        <v>https://resources.simonelectric.com/simon-ebook-vehiculo-electrico</v>
      </c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</row>
    <row r="3209" ht="15.75" customHeight="1">
      <c r="A3209" s="5" t="s">
        <v>4579</v>
      </c>
      <c r="B3209" s="5">
        <v>43906.0</v>
      </c>
      <c r="C3209" s="6" t="s">
        <v>4580</v>
      </c>
      <c r="D3209" s="11">
        <f t="shared" si="1"/>
        <v>67</v>
      </c>
      <c r="E3209" s="8" t="str">
        <f t="shared" si="2"/>
        <v>https://resources.simonelectric.com/simon-ebook-vehiculo-electrico</v>
      </c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</row>
    <row r="3210" ht="15.75" customHeight="1">
      <c r="A3210" s="5" t="s">
        <v>4579</v>
      </c>
      <c r="B3210" s="5">
        <v>43906.0</v>
      </c>
      <c r="C3210" s="6" t="s">
        <v>4581</v>
      </c>
      <c r="D3210" s="11">
        <f t="shared" si="1"/>
        <v>70</v>
      </c>
      <c r="E3210" s="8" t="str">
        <f t="shared" si="2"/>
        <v>https://resources.simonelectric.com/simon-catalogo-vehiculo-electrico</v>
      </c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</row>
    <row r="3211" ht="15.75" customHeight="1">
      <c r="A3211" s="5" t="s">
        <v>4582</v>
      </c>
      <c r="B3211" s="5">
        <v>43906.0</v>
      </c>
      <c r="C3211" s="6" t="s">
        <v>4583</v>
      </c>
      <c r="D3211" s="11">
        <f t="shared" si="1"/>
        <v>70</v>
      </c>
      <c r="E3211" s="8" t="str">
        <f t="shared" si="2"/>
        <v>https://resources.simonelectric.com/simon-catalogo-vehiculo-electrico</v>
      </c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</row>
    <row r="3212" ht="15.75" customHeight="1">
      <c r="A3212" s="5" t="s">
        <v>4584</v>
      </c>
      <c r="B3212" s="5">
        <v>43906.0</v>
      </c>
      <c r="C3212" s="6" t="s">
        <v>4585</v>
      </c>
      <c r="D3212" s="11">
        <f t="shared" si="1"/>
        <v>70</v>
      </c>
      <c r="E3212" s="8" t="str">
        <f t="shared" si="2"/>
        <v>https://resources.simonelectric.com/simon-catalogo-vehiculo-electrico</v>
      </c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</row>
    <row r="3213" ht="15.75" customHeight="1">
      <c r="A3213" s="5" t="s">
        <v>4584</v>
      </c>
      <c r="B3213" s="5">
        <v>43906.0</v>
      </c>
      <c r="C3213" s="6" t="s">
        <v>28</v>
      </c>
      <c r="D3213" s="10" t="str">
        <f t="shared" si="1"/>
        <v>https://resources.simonelectric.com/simon-ebook-vehiculo-electrico</v>
      </c>
      <c r="E3213" s="8" t="str">
        <f t="shared" si="2"/>
        <v>https://resources.simonelectric.com/simon-ebook-vehiculo-electrico</v>
      </c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</row>
    <row r="3214" ht="15.75" customHeight="1">
      <c r="A3214" s="5" t="s">
        <v>4586</v>
      </c>
      <c r="B3214" s="5">
        <v>43906.0</v>
      </c>
      <c r="C3214" s="6" t="s">
        <v>75</v>
      </c>
      <c r="D3214" s="11">
        <f t="shared" si="1"/>
        <v>67</v>
      </c>
      <c r="E3214" s="8" t="str">
        <f t="shared" si="2"/>
        <v>https://resources.simonelectric.com/simon-ebook-vehiculo-electrico</v>
      </c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</row>
    <row r="3215" ht="15.75" customHeight="1">
      <c r="A3215" s="5" t="s">
        <v>4587</v>
      </c>
      <c r="B3215" s="5">
        <v>43906.0</v>
      </c>
      <c r="C3215" s="6" t="s">
        <v>4588</v>
      </c>
      <c r="D3215" s="11">
        <f t="shared" si="1"/>
        <v>67</v>
      </c>
      <c r="E3215" s="8" t="str">
        <f t="shared" si="2"/>
        <v>https://resources.simonelectric.com/simon-ebook-vehiculo-electrico</v>
      </c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</row>
    <row r="3216" ht="15.75" customHeight="1">
      <c r="A3216" s="5" t="s">
        <v>4589</v>
      </c>
      <c r="B3216" s="5">
        <v>43904.0</v>
      </c>
      <c r="C3216" s="6" t="s">
        <v>4590</v>
      </c>
      <c r="D3216" s="10">
        <f t="shared" si="1"/>
        <v>67</v>
      </c>
      <c r="E3216" s="8" t="str">
        <f t="shared" si="2"/>
        <v>https://resources.simonelectric.com/simon-ebook-vehiculo-electrico</v>
      </c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</row>
    <row r="3217" ht="15.75" customHeight="1">
      <c r="A3217" s="5" t="s">
        <v>4591</v>
      </c>
      <c r="B3217" s="5">
        <v>43903.0</v>
      </c>
      <c r="C3217" s="6" t="s">
        <v>75</v>
      </c>
      <c r="D3217" s="11">
        <f t="shared" si="1"/>
        <v>67</v>
      </c>
      <c r="E3217" s="8" t="str">
        <f t="shared" si="2"/>
        <v>https://resources.simonelectric.com/simon-ebook-vehiculo-electrico</v>
      </c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</row>
    <row r="3218" ht="15.75" customHeight="1">
      <c r="A3218" s="5" t="s">
        <v>4578</v>
      </c>
      <c r="B3218" s="5">
        <v>43903.0</v>
      </c>
      <c r="C3218" s="6" t="s">
        <v>28</v>
      </c>
      <c r="D3218" s="10" t="str">
        <f t="shared" si="1"/>
        <v>https://resources.simonelectric.com/simon-ebook-vehiculo-electrico</v>
      </c>
      <c r="E3218" s="8" t="str">
        <f t="shared" si="2"/>
        <v>https://resources.simonelectric.com/simon-ebook-vehiculo-electrico</v>
      </c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</row>
    <row r="3219" ht="15.75" customHeight="1">
      <c r="A3219" s="5" t="s">
        <v>4592</v>
      </c>
      <c r="B3219" s="5">
        <v>43903.0</v>
      </c>
      <c r="C3219" s="6" t="s">
        <v>75</v>
      </c>
      <c r="D3219" s="11">
        <f t="shared" si="1"/>
        <v>67</v>
      </c>
      <c r="E3219" s="8" t="str">
        <f t="shared" si="2"/>
        <v>https://resources.simonelectric.com/simon-ebook-vehiculo-electrico</v>
      </c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</row>
    <row r="3220" ht="15.75" customHeight="1">
      <c r="A3220" s="5" t="s">
        <v>2153</v>
      </c>
      <c r="B3220" s="5">
        <v>43903.0</v>
      </c>
      <c r="C3220" s="6" t="s">
        <v>3846</v>
      </c>
      <c r="D3220" s="11">
        <f t="shared" si="1"/>
        <v>67</v>
      </c>
      <c r="E3220" s="8" t="str">
        <f t="shared" si="2"/>
        <v>https://resources.simonelectric.com/simon-ebook-vehiculo-electrico</v>
      </c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</row>
    <row r="3221" ht="15.75" customHeight="1">
      <c r="A3221" s="5" t="s">
        <v>3755</v>
      </c>
      <c r="B3221" s="5">
        <v>43903.0</v>
      </c>
      <c r="C3221" s="6" t="s">
        <v>8</v>
      </c>
      <c r="D3221" s="11">
        <f t="shared" si="1"/>
        <v>67</v>
      </c>
      <c r="E3221" s="8" t="str">
        <f t="shared" si="2"/>
        <v>https://resources.simonelectric.com/simon-ebook-vehiculo-electrico</v>
      </c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</row>
    <row r="3222" ht="15.75" customHeight="1">
      <c r="A3222" s="5" t="s">
        <v>4593</v>
      </c>
      <c r="B3222" s="5">
        <v>43903.0</v>
      </c>
      <c r="C3222" s="6" t="s">
        <v>8</v>
      </c>
      <c r="D3222" s="11">
        <f t="shared" si="1"/>
        <v>67</v>
      </c>
      <c r="E3222" s="8" t="str">
        <f t="shared" si="2"/>
        <v>https://resources.simonelectric.com/simon-ebook-vehiculo-electrico</v>
      </c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</row>
    <row r="3223" ht="15.75" customHeight="1">
      <c r="A3223" s="5" t="s">
        <v>2330</v>
      </c>
      <c r="B3223" s="5">
        <v>43903.0</v>
      </c>
      <c r="C3223" s="6" t="s">
        <v>4594</v>
      </c>
      <c r="D3223" s="11">
        <f t="shared" si="1"/>
        <v>70</v>
      </c>
      <c r="E3223" s="8" t="str">
        <f t="shared" si="2"/>
        <v>https://resources.simonelectric.com/simon-catalogo-vehiculo-electrico</v>
      </c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</row>
    <row r="3224" ht="15.75" customHeight="1">
      <c r="A3224" s="5" t="s">
        <v>4595</v>
      </c>
      <c r="B3224" s="5">
        <v>43903.0</v>
      </c>
      <c r="C3224" s="6" t="s">
        <v>4596</v>
      </c>
      <c r="D3224" s="11">
        <f t="shared" si="1"/>
        <v>67</v>
      </c>
      <c r="E3224" s="8" t="str">
        <f t="shared" si="2"/>
        <v>https://resources.simonelectric.com/simon-ebook-vehiculo-electrico</v>
      </c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</row>
    <row r="3225" ht="15.75" customHeight="1">
      <c r="A3225" s="5" t="s">
        <v>4597</v>
      </c>
      <c r="B3225" s="5">
        <v>43903.0</v>
      </c>
      <c r="C3225" s="6" t="s">
        <v>31</v>
      </c>
      <c r="D3225" s="11">
        <f t="shared" si="1"/>
        <v>67</v>
      </c>
      <c r="E3225" s="8" t="str">
        <f t="shared" si="2"/>
        <v>https://resources.simonelectric.com/simon-ebook-vehiculo-electrico</v>
      </c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</row>
    <row r="3226" ht="15.75" customHeight="1">
      <c r="A3226" s="5" t="s">
        <v>4598</v>
      </c>
      <c r="B3226" s="5">
        <v>43903.0</v>
      </c>
      <c r="C3226" s="6" t="s">
        <v>4599</v>
      </c>
      <c r="D3226" s="11">
        <f t="shared" si="1"/>
        <v>70</v>
      </c>
      <c r="E3226" s="8" t="str">
        <f t="shared" si="2"/>
        <v>https://resources.simonelectric.com/simon-catalogo-vehiculo-electrico</v>
      </c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</row>
    <row r="3227" ht="15.75" customHeight="1">
      <c r="A3227" s="5" t="s">
        <v>4600</v>
      </c>
      <c r="B3227" s="5">
        <v>43902.0</v>
      </c>
      <c r="C3227" s="6" t="s">
        <v>75</v>
      </c>
      <c r="D3227" s="11">
        <f t="shared" si="1"/>
        <v>67</v>
      </c>
      <c r="E3227" s="8" t="str">
        <f t="shared" si="2"/>
        <v>https://resources.simonelectric.com/simon-ebook-vehiculo-electrico</v>
      </c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</row>
    <row r="3228" ht="15.75" customHeight="1">
      <c r="A3228" s="5" t="s">
        <v>4601</v>
      </c>
      <c r="B3228" s="5">
        <v>43902.0</v>
      </c>
      <c r="C3228" s="6" t="s">
        <v>31</v>
      </c>
      <c r="D3228" s="11">
        <f t="shared" si="1"/>
        <v>67</v>
      </c>
      <c r="E3228" s="8" t="str">
        <f t="shared" si="2"/>
        <v>https://resources.simonelectric.com/simon-ebook-vehiculo-electrico</v>
      </c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</row>
    <row r="3229" ht="15.75" customHeight="1">
      <c r="A3229" s="5" t="s">
        <v>4602</v>
      </c>
      <c r="B3229" s="5">
        <v>43902.0</v>
      </c>
      <c r="C3229" s="6" t="s">
        <v>4603</v>
      </c>
      <c r="D3229" s="11">
        <f t="shared" si="1"/>
        <v>67</v>
      </c>
      <c r="E3229" s="8" t="str">
        <f t="shared" si="2"/>
        <v>https://resources.simonelectric.com/simon-ebook-vehiculo-electrico</v>
      </c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</row>
    <row r="3230" ht="15.75" customHeight="1">
      <c r="A3230" s="5" t="s">
        <v>4604</v>
      </c>
      <c r="B3230" s="5">
        <v>43902.0</v>
      </c>
      <c r="C3230" s="6" t="s">
        <v>75</v>
      </c>
      <c r="D3230" s="11">
        <f t="shared" si="1"/>
        <v>67</v>
      </c>
      <c r="E3230" s="8" t="str">
        <f t="shared" si="2"/>
        <v>https://resources.simonelectric.com/simon-ebook-vehiculo-electrico</v>
      </c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</row>
    <row r="3231" ht="15.75" customHeight="1">
      <c r="A3231" s="5" t="s">
        <v>3022</v>
      </c>
      <c r="B3231" s="5">
        <v>43902.0</v>
      </c>
      <c r="C3231" s="6" t="s">
        <v>31</v>
      </c>
      <c r="D3231" s="11">
        <f t="shared" si="1"/>
        <v>67</v>
      </c>
      <c r="E3231" s="8" t="str">
        <f t="shared" si="2"/>
        <v>https://resources.simonelectric.com/simon-ebook-vehiculo-electrico</v>
      </c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</row>
    <row r="3232" ht="15.75" customHeight="1">
      <c r="A3232" s="5" t="s">
        <v>4605</v>
      </c>
      <c r="B3232" s="5">
        <v>43902.0</v>
      </c>
      <c r="C3232" s="6" t="s">
        <v>75</v>
      </c>
      <c r="D3232" s="11">
        <f t="shared" si="1"/>
        <v>67</v>
      </c>
      <c r="E3232" s="8" t="str">
        <f t="shared" si="2"/>
        <v>https://resources.simonelectric.com/simon-ebook-vehiculo-electrico</v>
      </c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</row>
    <row r="3233" ht="15.75" customHeight="1">
      <c r="A3233" s="5" t="s">
        <v>4606</v>
      </c>
      <c r="B3233" s="5">
        <v>43902.0</v>
      </c>
      <c r="C3233" s="6" t="s">
        <v>31</v>
      </c>
      <c r="D3233" s="11">
        <f t="shared" si="1"/>
        <v>67</v>
      </c>
      <c r="E3233" s="8" t="str">
        <f t="shared" si="2"/>
        <v>https://resources.simonelectric.com/simon-ebook-vehiculo-electrico</v>
      </c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</row>
    <row r="3234" ht="15.75" customHeight="1">
      <c r="A3234" s="5" t="s">
        <v>1233</v>
      </c>
      <c r="B3234" s="5">
        <v>43902.0</v>
      </c>
      <c r="C3234" s="6" t="s">
        <v>8</v>
      </c>
      <c r="D3234" s="11">
        <f t="shared" si="1"/>
        <v>67</v>
      </c>
      <c r="E3234" s="8" t="str">
        <f t="shared" si="2"/>
        <v>https://resources.simonelectric.com/simon-ebook-vehiculo-electrico</v>
      </c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</row>
    <row r="3235" ht="15.75" customHeight="1">
      <c r="A3235" s="5" t="s">
        <v>4607</v>
      </c>
      <c r="B3235" s="5">
        <v>43902.0</v>
      </c>
      <c r="C3235" s="6" t="s">
        <v>4608</v>
      </c>
      <c r="D3235" s="11">
        <f t="shared" si="1"/>
        <v>69</v>
      </c>
      <c r="E3235" s="8" t="str">
        <f t="shared" si="2"/>
        <v>https://resources.simonelectric.com/simon-ebook-vehiculo-electrico-0</v>
      </c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</row>
    <row r="3236" ht="15.75" customHeight="1">
      <c r="A3236" s="5" t="s">
        <v>4609</v>
      </c>
      <c r="B3236" s="5">
        <v>43901.0</v>
      </c>
      <c r="C3236" s="6" t="s">
        <v>75</v>
      </c>
      <c r="D3236" s="11">
        <f t="shared" si="1"/>
        <v>67</v>
      </c>
      <c r="E3236" s="8" t="str">
        <f t="shared" si="2"/>
        <v>https://resources.simonelectric.com/simon-ebook-vehiculo-electrico</v>
      </c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</row>
    <row r="3237" ht="15.75" customHeight="1">
      <c r="A3237" s="5" t="s">
        <v>4610</v>
      </c>
      <c r="B3237" s="5">
        <v>43901.0</v>
      </c>
      <c r="C3237" s="6" t="s">
        <v>4611</v>
      </c>
      <c r="D3237" s="11">
        <f t="shared" si="1"/>
        <v>70</v>
      </c>
      <c r="E3237" s="8" t="str">
        <f t="shared" si="2"/>
        <v>https://resources.simonelectric.com/simon-catalogo-vehiculo-electrico</v>
      </c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</row>
    <row r="3238" ht="15.75" customHeight="1">
      <c r="A3238" s="5" t="s">
        <v>4612</v>
      </c>
      <c r="B3238" s="5">
        <v>43901.0</v>
      </c>
      <c r="C3238" s="6" t="s">
        <v>4613</v>
      </c>
      <c r="D3238" s="11">
        <f t="shared" si="1"/>
        <v>70</v>
      </c>
      <c r="E3238" s="8" t="str">
        <f t="shared" si="2"/>
        <v>https://resources.simonelectric.com/simon-catalogo-vehiculo-electrico</v>
      </c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</row>
    <row r="3239" ht="15.75" customHeight="1">
      <c r="A3239" s="5" t="s">
        <v>4614</v>
      </c>
      <c r="B3239" s="5">
        <v>43901.0</v>
      </c>
      <c r="C3239" s="6" t="s">
        <v>8</v>
      </c>
      <c r="D3239" s="11">
        <f t="shared" si="1"/>
        <v>67</v>
      </c>
      <c r="E3239" s="8" t="str">
        <f t="shared" si="2"/>
        <v>https://resources.simonelectric.com/simon-ebook-vehiculo-electrico</v>
      </c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</row>
    <row r="3240" ht="15.75" customHeight="1">
      <c r="A3240" s="5" t="s">
        <v>1162</v>
      </c>
      <c r="B3240" s="5">
        <v>43901.0</v>
      </c>
      <c r="C3240" s="6" t="s">
        <v>8</v>
      </c>
      <c r="D3240" s="11">
        <f t="shared" si="1"/>
        <v>67</v>
      </c>
      <c r="E3240" s="8" t="str">
        <f t="shared" si="2"/>
        <v>https://resources.simonelectric.com/simon-ebook-vehiculo-electrico</v>
      </c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</row>
    <row r="3241" ht="15.75" customHeight="1">
      <c r="A3241" s="5" t="s">
        <v>1507</v>
      </c>
      <c r="B3241" s="5">
        <v>43901.0</v>
      </c>
      <c r="C3241" s="6" t="s">
        <v>4615</v>
      </c>
      <c r="D3241" s="11">
        <f t="shared" si="1"/>
        <v>70</v>
      </c>
      <c r="E3241" s="8" t="str">
        <f t="shared" si="2"/>
        <v>https://resources.simonelectric.com/simon-catalogo-vehiculo-electrico</v>
      </c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</row>
    <row r="3242" ht="15.75" customHeight="1">
      <c r="A3242" s="5" t="s">
        <v>1507</v>
      </c>
      <c r="B3242" s="5">
        <v>43901.0</v>
      </c>
      <c r="C3242" s="6" t="s">
        <v>28</v>
      </c>
      <c r="D3242" s="10" t="str">
        <f t="shared" si="1"/>
        <v>https://resources.simonelectric.com/simon-ebook-vehiculo-electrico</v>
      </c>
      <c r="E3242" s="8" t="str">
        <f t="shared" si="2"/>
        <v>https://resources.simonelectric.com/simon-ebook-vehiculo-electrico</v>
      </c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</row>
    <row r="3243" ht="15.75" customHeight="1">
      <c r="A3243" s="5" t="s">
        <v>4616</v>
      </c>
      <c r="B3243" s="5">
        <v>43901.0</v>
      </c>
      <c r="C3243" s="6" t="s">
        <v>4617</v>
      </c>
      <c r="D3243" s="11">
        <f t="shared" si="1"/>
        <v>70</v>
      </c>
      <c r="E3243" s="8" t="str">
        <f t="shared" si="2"/>
        <v>https://resources.simonelectric.com/simon-catalogo-vehiculo-electrico</v>
      </c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</row>
    <row r="3244" ht="15.75" customHeight="1">
      <c r="A3244" s="5" t="s">
        <v>4616</v>
      </c>
      <c r="B3244" s="5">
        <v>43901.0</v>
      </c>
      <c r="C3244" s="6" t="s">
        <v>4618</v>
      </c>
      <c r="D3244" s="11">
        <f t="shared" si="1"/>
        <v>67</v>
      </c>
      <c r="E3244" s="8" t="str">
        <f t="shared" si="2"/>
        <v>https://resources.simonelectric.com/simon-ebook-vehiculo-electrico</v>
      </c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</row>
    <row r="3245" ht="15.75" customHeight="1">
      <c r="A3245" s="5" t="s">
        <v>4619</v>
      </c>
      <c r="B3245" s="5">
        <v>43901.0</v>
      </c>
      <c r="C3245" s="6" t="s">
        <v>4620</v>
      </c>
      <c r="D3245" s="11">
        <f t="shared" si="1"/>
        <v>70</v>
      </c>
      <c r="E3245" s="8" t="str">
        <f t="shared" si="2"/>
        <v>https://resources.simonelectric.com/simon-catalogo-vehiculo-electrico</v>
      </c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</row>
    <row r="3246" ht="15.75" customHeight="1">
      <c r="A3246" s="5" t="s">
        <v>4619</v>
      </c>
      <c r="B3246" s="5">
        <v>43901.0</v>
      </c>
      <c r="C3246" s="6" t="s">
        <v>28</v>
      </c>
      <c r="D3246" s="10" t="str">
        <f t="shared" si="1"/>
        <v>https://resources.simonelectric.com/simon-ebook-vehiculo-electrico</v>
      </c>
      <c r="E3246" s="8" t="str">
        <f t="shared" si="2"/>
        <v>https://resources.simonelectric.com/simon-ebook-vehiculo-electrico</v>
      </c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</row>
    <row r="3247" ht="15.75" customHeight="1">
      <c r="A3247" s="5" t="s">
        <v>4621</v>
      </c>
      <c r="B3247" s="5">
        <v>43901.0</v>
      </c>
      <c r="C3247" s="6" t="s">
        <v>75</v>
      </c>
      <c r="D3247" s="11">
        <f t="shared" si="1"/>
        <v>67</v>
      </c>
      <c r="E3247" s="8" t="str">
        <f t="shared" si="2"/>
        <v>https://resources.simonelectric.com/simon-ebook-vehiculo-electrico</v>
      </c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</row>
    <row r="3248" ht="15.75" customHeight="1">
      <c r="A3248" s="5" t="s">
        <v>4622</v>
      </c>
      <c r="B3248" s="5">
        <v>43901.0</v>
      </c>
      <c r="C3248" s="6" t="s">
        <v>4623</v>
      </c>
      <c r="D3248" s="11">
        <f t="shared" si="1"/>
        <v>67</v>
      </c>
      <c r="E3248" s="8" t="str">
        <f t="shared" si="2"/>
        <v>https://resources.simonelectric.com/simon-ebook-vehiculo-electrico</v>
      </c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</row>
    <row r="3249" ht="15.75" customHeight="1">
      <c r="A3249" s="5" t="s">
        <v>4624</v>
      </c>
      <c r="B3249" s="5">
        <v>43900.0</v>
      </c>
      <c r="C3249" s="6" t="s">
        <v>31</v>
      </c>
      <c r="D3249" s="11">
        <f t="shared" si="1"/>
        <v>67</v>
      </c>
      <c r="E3249" s="8" t="str">
        <f t="shared" si="2"/>
        <v>https://resources.simonelectric.com/simon-ebook-vehiculo-electrico</v>
      </c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</row>
    <row r="3250" ht="15.75" customHeight="1">
      <c r="A3250" s="5" t="s">
        <v>4625</v>
      </c>
      <c r="B3250" s="5">
        <v>43900.0</v>
      </c>
      <c r="C3250" s="6" t="s">
        <v>28</v>
      </c>
      <c r="D3250" s="10" t="str">
        <f t="shared" si="1"/>
        <v>https://resources.simonelectric.com/simon-ebook-vehiculo-electrico</v>
      </c>
      <c r="E3250" s="8" t="str">
        <f t="shared" si="2"/>
        <v>https://resources.simonelectric.com/simon-ebook-vehiculo-electrico</v>
      </c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</row>
    <row r="3251" ht="15.75" customHeight="1">
      <c r="A3251" s="5" t="s">
        <v>4626</v>
      </c>
      <c r="B3251" s="5">
        <v>43900.0</v>
      </c>
      <c r="C3251" s="6" t="s">
        <v>8</v>
      </c>
      <c r="D3251" s="11">
        <f t="shared" si="1"/>
        <v>67</v>
      </c>
      <c r="E3251" s="8" t="str">
        <f t="shared" si="2"/>
        <v>https://resources.simonelectric.com/simon-ebook-vehiculo-electrico</v>
      </c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</row>
    <row r="3252" ht="15.75" customHeight="1">
      <c r="A3252" s="5" t="s">
        <v>4627</v>
      </c>
      <c r="B3252" s="5">
        <v>43900.0</v>
      </c>
      <c r="C3252" s="6" t="s">
        <v>75</v>
      </c>
      <c r="D3252" s="11">
        <f t="shared" si="1"/>
        <v>67</v>
      </c>
      <c r="E3252" s="8" t="str">
        <f t="shared" si="2"/>
        <v>https://resources.simonelectric.com/simon-ebook-vehiculo-electrico</v>
      </c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</row>
    <row r="3253" ht="15.75" customHeight="1">
      <c r="A3253" s="5" t="s">
        <v>4628</v>
      </c>
      <c r="B3253" s="5">
        <v>43900.0</v>
      </c>
      <c r="C3253" s="6" t="s">
        <v>8</v>
      </c>
      <c r="D3253" s="11">
        <f t="shared" si="1"/>
        <v>67</v>
      </c>
      <c r="E3253" s="8" t="str">
        <f t="shared" si="2"/>
        <v>https://resources.simonelectric.com/simon-ebook-vehiculo-electrico</v>
      </c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</row>
    <row r="3254" ht="15.75" customHeight="1">
      <c r="A3254" s="5" t="s">
        <v>3038</v>
      </c>
      <c r="B3254" s="5">
        <v>43900.0</v>
      </c>
      <c r="C3254" s="6" t="s">
        <v>28</v>
      </c>
      <c r="D3254" s="10" t="str">
        <f t="shared" si="1"/>
        <v>https://resources.simonelectric.com/simon-ebook-vehiculo-electrico</v>
      </c>
      <c r="E3254" s="8" t="str">
        <f t="shared" si="2"/>
        <v>https://resources.simonelectric.com/simon-ebook-vehiculo-electrico</v>
      </c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</row>
    <row r="3255" ht="15.75" customHeight="1">
      <c r="A3255" s="5" t="s">
        <v>2451</v>
      </c>
      <c r="B3255" s="5">
        <v>43900.0</v>
      </c>
      <c r="C3255" s="6" t="s">
        <v>75</v>
      </c>
      <c r="D3255" s="11">
        <f t="shared" si="1"/>
        <v>67</v>
      </c>
      <c r="E3255" s="8" t="str">
        <f t="shared" si="2"/>
        <v>https://resources.simonelectric.com/simon-ebook-vehiculo-electrico</v>
      </c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</row>
    <row r="3256" ht="15.75" customHeight="1">
      <c r="A3256" s="5" t="s">
        <v>4629</v>
      </c>
      <c r="B3256" s="5">
        <v>43900.0</v>
      </c>
      <c r="C3256" s="6" t="s">
        <v>4630</v>
      </c>
      <c r="D3256" s="11">
        <f t="shared" si="1"/>
        <v>67</v>
      </c>
      <c r="E3256" s="8" t="str">
        <f t="shared" si="2"/>
        <v>https://resources.simonelectric.com/simon-ebook-vehiculo-electrico</v>
      </c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</row>
    <row r="3257" ht="15.75" customHeight="1">
      <c r="A3257" s="5" t="s">
        <v>4631</v>
      </c>
      <c r="B3257" s="5">
        <v>43900.0</v>
      </c>
      <c r="C3257" s="6" t="s">
        <v>8</v>
      </c>
      <c r="D3257" s="11">
        <f t="shared" si="1"/>
        <v>67</v>
      </c>
      <c r="E3257" s="8" t="str">
        <f t="shared" si="2"/>
        <v>https://resources.simonelectric.com/simon-ebook-vehiculo-electrico</v>
      </c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</row>
    <row r="3258" ht="15.75" customHeight="1">
      <c r="A3258" s="5" t="s">
        <v>4632</v>
      </c>
      <c r="B3258" s="5">
        <v>43900.0</v>
      </c>
      <c r="C3258" s="6" t="s">
        <v>4633</v>
      </c>
      <c r="D3258" s="11">
        <f t="shared" si="1"/>
        <v>67</v>
      </c>
      <c r="E3258" s="8" t="str">
        <f t="shared" si="2"/>
        <v>https://resources.simonelectric.com/simon-ebook-vehiculo-electrico</v>
      </c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</row>
    <row r="3259" ht="15.75" customHeight="1">
      <c r="A3259" s="5" t="s">
        <v>4634</v>
      </c>
      <c r="B3259" s="5">
        <v>43900.0</v>
      </c>
      <c r="C3259" s="6" t="s">
        <v>6</v>
      </c>
      <c r="D3259" s="11">
        <f t="shared" si="1"/>
        <v>67</v>
      </c>
      <c r="E3259" s="8" t="str">
        <f t="shared" si="2"/>
        <v>https://resources.simonelectric.com/simon-ebook-vehiculo-electrico</v>
      </c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</row>
    <row r="3260" ht="15.75" customHeight="1">
      <c r="A3260" s="5" t="s">
        <v>4635</v>
      </c>
      <c r="B3260" s="5">
        <v>43900.0</v>
      </c>
      <c r="C3260" s="6" t="s">
        <v>75</v>
      </c>
      <c r="D3260" s="11">
        <f t="shared" si="1"/>
        <v>67</v>
      </c>
      <c r="E3260" s="8" t="str">
        <f t="shared" si="2"/>
        <v>https://resources.simonelectric.com/simon-ebook-vehiculo-electrico</v>
      </c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</row>
    <row r="3261" ht="15.75" customHeight="1">
      <c r="A3261" s="5" t="s">
        <v>4636</v>
      </c>
      <c r="B3261" s="5">
        <v>43899.0</v>
      </c>
      <c r="C3261" s="6" t="s">
        <v>6</v>
      </c>
      <c r="D3261" s="11">
        <f t="shared" si="1"/>
        <v>67</v>
      </c>
      <c r="E3261" s="8" t="str">
        <f t="shared" si="2"/>
        <v>https://resources.simonelectric.com/simon-ebook-vehiculo-electrico</v>
      </c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</row>
    <row r="3262" ht="15.75" customHeight="1">
      <c r="A3262" s="5" t="s">
        <v>4163</v>
      </c>
      <c r="B3262" s="5">
        <v>43899.0</v>
      </c>
      <c r="C3262" s="6" t="s">
        <v>8</v>
      </c>
      <c r="D3262" s="11">
        <f t="shared" si="1"/>
        <v>67</v>
      </c>
      <c r="E3262" s="8" t="str">
        <f t="shared" si="2"/>
        <v>https://resources.simonelectric.com/simon-ebook-vehiculo-electrico</v>
      </c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</row>
    <row r="3263" ht="15.75" customHeight="1">
      <c r="A3263" s="5" t="s">
        <v>4637</v>
      </c>
      <c r="B3263" s="5">
        <v>43899.0</v>
      </c>
      <c r="C3263" s="6" t="s">
        <v>4638</v>
      </c>
      <c r="D3263" s="11">
        <f t="shared" si="1"/>
        <v>67</v>
      </c>
      <c r="E3263" s="8" t="str">
        <f t="shared" si="2"/>
        <v>https://resources.simonelectric.com/simon-ebook-vehiculo-electrico</v>
      </c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</row>
    <row r="3264" ht="15.75" customHeight="1">
      <c r="A3264" s="5" t="s">
        <v>4639</v>
      </c>
      <c r="B3264" s="5">
        <v>43899.0</v>
      </c>
      <c r="C3264" s="6" t="s">
        <v>4640</v>
      </c>
      <c r="D3264" s="11">
        <f t="shared" si="1"/>
        <v>67</v>
      </c>
      <c r="E3264" s="8" t="str">
        <f t="shared" si="2"/>
        <v>https://resources.simonelectric.com/simon-ebook-vehiculo-electrico</v>
      </c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</row>
    <row r="3265" ht="15.75" customHeight="1">
      <c r="A3265" s="5" t="s">
        <v>4641</v>
      </c>
      <c r="B3265" s="5">
        <v>43899.0</v>
      </c>
      <c r="C3265" s="6" t="s">
        <v>75</v>
      </c>
      <c r="D3265" s="11">
        <f t="shared" si="1"/>
        <v>67</v>
      </c>
      <c r="E3265" s="8" t="str">
        <f t="shared" si="2"/>
        <v>https://resources.simonelectric.com/simon-ebook-vehiculo-electrico</v>
      </c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</row>
    <row r="3266" ht="15.75" customHeight="1">
      <c r="A3266" s="5" t="s">
        <v>4642</v>
      </c>
      <c r="B3266" s="5">
        <v>43899.0</v>
      </c>
      <c r="C3266" s="6" t="s">
        <v>4643</v>
      </c>
      <c r="D3266" s="11">
        <f t="shared" si="1"/>
        <v>67</v>
      </c>
      <c r="E3266" s="8" t="str">
        <f t="shared" si="2"/>
        <v>https://resources.simonelectric.com/simon-ebook-vehiculo-electrico</v>
      </c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</row>
    <row r="3267" ht="15.75" customHeight="1">
      <c r="A3267" s="5" t="s">
        <v>1868</v>
      </c>
      <c r="B3267" s="5">
        <v>43899.0</v>
      </c>
      <c r="C3267" s="6" t="s">
        <v>4644</v>
      </c>
      <c r="D3267" s="11">
        <f t="shared" si="1"/>
        <v>67</v>
      </c>
      <c r="E3267" s="8" t="str">
        <f t="shared" si="2"/>
        <v>https://resources.simonelectric.com/simon-ebook-vehiculo-electrico</v>
      </c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</row>
    <row r="3268" ht="15.75" customHeight="1">
      <c r="A3268" s="5" t="s">
        <v>4645</v>
      </c>
      <c r="B3268" s="5">
        <v>43899.0</v>
      </c>
      <c r="C3268" s="6" t="s">
        <v>4646</v>
      </c>
      <c r="D3268" s="11">
        <f t="shared" si="1"/>
        <v>67</v>
      </c>
      <c r="E3268" s="8" t="str">
        <f t="shared" si="2"/>
        <v>https://resources.simonelectric.com/simon-ebook-vehiculo-electrico</v>
      </c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</row>
    <row r="3269" ht="15.75" customHeight="1">
      <c r="A3269" s="5" t="s">
        <v>4647</v>
      </c>
      <c r="B3269" s="5">
        <v>43899.0</v>
      </c>
      <c r="C3269" s="6" t="s">
        <v>8</v>
      </c>
      <c r="D3269" s="11">
        <f t="shared" si="1"/>
        <v>67</v>
      </c>
      <c r="E3269" s="8" t="str">
        <f t="shared" si="2"/>
        <v>https://resources.simonelectric.com/simon-ebook-vehiculo-electrico</v>
      </c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</row>
    <row r="3270" ht="15.75" customHeight="1">
      <c r="A3270" s="5" t="s">
        <v>4648</v>
      </c>
      <c r="B3270" s="5">
        <v>43899.0</v>
      </c>
      <c r="C3270" s="6" t="s">
        <v>4649</v>
      </c>
      <c r="D3270" s="11">
        <f t="shared" si="1"/>
        <v>67</v>
      </c>
      <c r="E3270" s="8" t="str">
        <f t="shared" si="2"/>
        <v>https://resources.simonelectric.com/simon-ebook-vehiculo-electrico</v>
      </c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</row>
    <row r="3271" ht="15.75" customHeight="1">
      <c r="A3271" s="5" t="s">
        <v>4650</v>
      </c>
      <c r="B3271" s="5">
        <v>43899.0</v>
      </c>
      <c r="C3271" s="6" t="s">
        <v>4651</v>
      </c>
      <c r="D3271" s="11">
        <f t="shared" si="1"/>
        <v>67</v>
      </c>
      <c r="E3271" s="8" t="str">
        <f t="shared" si="2"/>
        <v>https://resources.simonelectric.com/simon-ebook-vehiculo-electrico</v>
      </c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</row>
    <row r="3272" ht="15.75" customHeight="1">
      <c r="A3272" s="5" t="s">
        <v>4652</v>
      </c>
      <c r="B3272" s="5">
        <v>43899.0</v>
      </c>
      <c r="C3272" s="6" t="s">
        <v>4653</v>
      </c>
      <c r="D3272" s="11">
        <f t="shared" si="1"/>
        <v>67</v>
      </c>
      <c r="E3272" s="8" t="str">
        <f t="shared" si="2"/>
        <v>https://resources.simonelectric.com/simon-ebook-vehiculo-electrico</v>
      </c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</row>
    <row r="3273" ht="15.75" customHeight="1">
      <c r="A3273" s="5" t="s">
        <v>4654</v>
      </c>
      <c r="B3273" s="5">
        <v>43899.0</v>
      </c>
      <c r="C3273" s="6" t="s">
        <v>4655</v>
      </c>
      <c r="D3273" s="11">
        <f t="shared" si="1"/>
        <v>67</v>
      </c>
      <c r="E3273" s="8" t="str">
        <f t="shared" si="2"/>
        <v>https://resources.simonelectric.com/simon-ebook-vehiculo-electrico</v>
      </c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</row>
    <row r="3274" ht="15.75" customHeight="1">
      <c r="A3274" s="5" t="s">
        <v>4656</v>
      </c>
      <c r="B3274" s="5">
        <v>43899.0</v>
      </c>
      <c r="C3274" s="6" t="s">
        <v>8</v>
      </c>
      <c r="D3274" s="11">
        <f t="shared" si="1"/>
        <v>67</v>
      </c>
      <c r="E3274" s="8" t="str">
        <f t="shared" si="2"/>
        <v>https://resources.simonelectric.com/simon-ebook-vehiculo-electrico</v>
      </c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</row>
    <row r="3275" ht="15.75" customHeight="1">
      <c r="A3275" s="5" t="s">
        <v>4657</v>
      </c>
      <c r="B3275" s="5">
        <v>43899.0</v>
      </c>
      <c r="C3275" s="6" t="s">
        <v>4658</v>
      </c>
      <c r="D3275" s="11">
        <f t="shared" si="1"/>
        <v>67</v>
      </c>
      <c r="E3275" s="8" t="str">
        <f t="shared" si="2"/>
        <v>https://resources.simonelectric.com/simon-ebook-vehiculo-electrico</v>
      </c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</row>
    <row r="3276" ht="15.75" customHeight="1">
      <c r="A3276" s="5" t="s">
        <v>4659</v>
      </c>
      <c r="B3276" s="5">
        <v>43899.0</v>
      </c>
      <c r="C3276" s="6" t="s">
        <v>4660</v>
      </c>
      <c r="D3276" s="11">
        <f t="shared" si="1"/>
        <v>67</v>
      </c>
      <c r="E3276" s="8" t="str">
        <f t="shared" si="2"/>
        <v>https://resources.simonelectric.com/simon-ebook-vehiculo-electrico</v>
      </c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</row>
    <row r="3277" ht="15.75" customHeight="1">
      <c r="A3277" s="5" t="s">
        <v>4661</v>
      </c>
      <c r="B3277" s="5">
        <v>43898.0</v>
      </c>
      <c r="C3277" s="6" t="s">
        <v>31</v>
      </c>
      <c r="D3277" s="11">
        <f t="shared" si="1"/>
        <v>67</v>
      </c>
      <c r="E3277" s="8" t="str">
        <f t="shared" si="2"/>
        <v>https://resources.simonelectric.com/simon-ebook-vehiculo-electrico</v>
      </c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</row>
    <row r="3278" ht="15.75" customHeight="1">
      <c r="A3278" s="5" t="s">
        <v>4636</v>
      </c>
      <c r="B3278" s="5">
        <v>43898.0</v>
      </c>
      <c r="C3278" s="6" t="s">
        <v>6</v>
      </c>
      <c r="D3278" s="11">
        <f t="shared" si="1"/>
        <v>67</v>
      </c>
      <c r="E3278" s="8" t="str">
        <f t="shared" si="2"/>
        <v>https://resources.simonelectric.com/simon-ebook-vehiculo-electrico</v>
      </c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</row>
    <row r="3279" ht="15.75" customHeight="1">
      <c r="A3279" s="5" t="s">
        <v>1411</v>
      </c>
      <c r="B3279" s="5">
        <v>43897.0</v>
      </c>
      <c r="C3279" s="6" t="s">
        <v>48</v>
      </c>
      <c r="D3279" s="11">
        <f t="shared" si="1"/>
        <v>67</v>
      </c>
      <c r="E3279" s="8" t="str">
        <f t="shared" si="2"/>
        <v>https://resources.simonelectric.com/simon-ebook-vehiculo-electrico</v>
      </c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</row>
    <row r="3280" ht="15.75" customHeight="1">
      <c r="A3280" s="5" t="s">
        <v>986</v>
      </c>
      <c r="B3280" s="5">
        <v>43897.0</v>
      </c>
      <c r="C3280" s="6" t="s">
        <v>8</v>
      </c>
      <c r="D3280" s="11">
        <f t="shared" si="1"/>
        <v>67</v>
      </c>
      <c r="E3280" s="8" t="str">
        <f t="shared" si="2"/>
        <v>https://resources.simonelectric.com/simon-ebook-vehiculo-electrico</v>
      </c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</row>
    <row r="3281" ht="15.75" customHeight="1">
      <c r="A3281" s="5" t="s">
        <v>3155</v>
      </c>
      <c r="B3281" s="5">
        <v>43897.0</v>
      </c>
      <c r="C3281" s="6" t="s">
        <v>28</v>
      </c>
      <c r="D3281" s="10" t="str">
        <f t="shared" si="1"/>
        <v>https://resources.simonelectric.com/simon-ebook-vehiculo-electrico</v>
      </c>
      <c r="E3281" s="8" t="str">
        <f t="shared" si="2"/>
        <v>https://resources.simonelectric.com/simon-ebook-vehiculo-electrico</v>
      </c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</row>
    <row r="3282" ht="15.75" customHeight="1">
      <c r="A3282" s="5" t="s">
        <v>3155</v>
      </c>
      <c r="B3282" s="5">
        <v>43897.0</v>
      </c>
      <c r="C3282" s="6" t="s">
        <v>4662</v>
      </c>
      <c r="D3282" s="11">
        <f t="shared" si="1"/>
        <v>70</v>
      </c>
      <c r="E3282" s="8" t="str">
        <f t="shared" si="2"/>
        <v>https://resources.simonelectric.com/simon-catalogo-vehiculo-electrico</v>
      </c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</row>
    <row r="3283" ht="15.75" customHeight="1">
      <c r="A3283" s="5" t="s">
        <v>3155</v>
      </c>
      <c r="B3283" s="5">
        <v>43897.0</v>
      </c>
      <c r="C3283" s="6" t="s">
        <v>4663</v>
      </c>
      <c r="D3283" s="11">
        <f t="shared" si="1"/>
        <v>67</v>
      </c>
      <c r="E3283" s="8" t="str">
        <f t="shared" si="2"/>
        <v>https://resources.simonelectric.com/simon-ebook-vehiculo-electrico</v>
      </c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</row>
    <row r="3284" ht="15.75" customHeight="1">
      <c r="A3284" s="5" t="s">
        <v>4664</v>
      </c>
      <c r="B3284" s="5">
        <v>43897.0</v>
      </c>
      <c r="C3284" s="6" t="s">
        <v>75</v>
      </c>
      <c r="D3284" s="11">
        <f t="shared" si="1"/>
        <v>67</v>
      </c>
      <c r="E3284" s="8" t="str">
        <f t="shared" si="2"/>
        <v>https://resources.simonelectric.com/simon-ebook-vehiculo-electrico</v>
      </c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</row>
    <row r="3285" ht="15.75" customHeight="1">
      <c r="A3285" s="5" t="s">
        <v>4665</v>
      </c>
      <c r="B3285" s="5">
        <v>43896.0</v>
      </c>
      <c r="C3285" s="6" t="s">
        <v>8</v>
      </c>
      <c r="D3285" s="11">
        <f t="shared" si="1"/>
        <v>67</v>
      </c>
      <c r="E3285" s="8" t="str">
        <f t="shared" si="2"/>
        <v>https://resources.simonelectric.com/simon-ebook-vehiculo-electrico</v>
      </c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</row>
    <row r="3286" ht="15.75" customHeight="1">
      <c r="A3286" s="5" t="s">
        <v>4666</v>
      </c>
      <c r="B3286" s="5">
        <v>43896.0</v>
      </c>
      <c r="C3286" s="6" t="s">
        <v>75</v>
      </c>
      <c r="D3286" s="11">
        <f t="shared" si="1"/>
        <v>67</v>
      </c>
      <c r="E3286" s="8" t="str">
        <f t="shared" si="2"/>
        <v>https://resources.simonelectric.com/simon-ebook-vehiculo-electrico</v>
      </c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</row>
    <row r="3287" ht="15.75" customHeight="1">
      <c r="A3287" s="5" t="s">
        <v>4667</v>
      </c>
      <c r="B3287" s="5">
        <v>43896.0</v>
      </c>
      <c r="C3287" s="6" t="s">
        <v>8</v>
      </c>
      <c r="D3287" s="11">
        <f t="shared" si="1"/>
        <v>67</v>
      </c>
      <c r="E3287" s="8" t="str">
        <f t="shared" si="2"/>
        <v>https://resources.simonelectric.com/simon-ebook-vehiculo-electrico</v>
      </c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</row>
    <row r="3288" ht="15.75" customHeight="1">
      <c r="A3288" s="5" t="s">
        <v>4668</v>
      </c>
      <c r="B3288" s="5">
        <v>43896.0</v>
      </c>
      <c r="C3288" s="6" t="s">
        <v>31</v>
      </c>
      <c r="D3288" s="11">
        <f t="shared" si="1"/>
        <v>67</v>
      </c>
      <c r="E3288" s="8" t="str">
        <f t="shared" si="2"/>
        <v>https://resources.simonelectric.com/simon-ebook-vehiculo-electrico</v>
      </c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</row>
    <row r="3289" ht="15.75" customHeight="1">
      <c r="A3289" s="5" t="s">
        <v>2018</v>
      </c>
      <c r="B3289" s="5">
        <v>43896.0</v>
      </c>
      <c r="C3289" s="6" t="s">
        <v>28</v>
      </c>
      <c r="D3289" s="10" t="str">
        <f t="shared" si="1"/>
        <v>https://resources.simonelectric.com/simon-ebook-vehiculo-electrico</v>
      </c>
      <c r="E3289" s="8" t="str">
        <f t="shared" si="2"/>
        <v>https://resources.simonelectric.com/simon-ebook-vehiculo-electrico</v>
      </c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</row>
    <row r="3290" ht="15.75" customHeight="1">
      <c r="A3290" s="5" t="s">
        <v>4669</v>
      </c>
      <c r="B3290" s="5">
        <v>43896.0</v>
      </c>
      <c r="C3290" s="6" t="s">
        <v>4670</v>
      </c>
      <c r="D3290" s="11">
        <f t="shared" si="1"/>
        <v>67</v>
      </c>
      <c r="E3290" s="8" t="str">
        <f t="shared" si="2"/>
        <v>https://resources.simonelectric.com/simon-ebook-vehiculo-electrico</v>
      </c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</row>
    <row r="3291" ht="15.75" customHeight="1">
      <c r="A3291" s="5" t="s">
        <v>4671</v>
      </c>
      <c r="B3291" s="5">
        <v>43896.0</v>
      </c>
      <c r="C3291" s="6" t="s">
        <v>4672</v>
      </c>
      <c r="D3291" s="11">
        <f t="shared" si="1"/>
        <v>67</v>
      </c>
      <c r="E3291" s="8" t="str">
        <f t="shared" si="2"/>
        <v>https://resources.simonelectric.com/simon-ebook-vehiculo-electrico</v>
      </c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</row>
    <row r="3292" ht="15.75" customHeight="1">
      <c r="A3292" s="5" t="s">
        <v>4673</v>
      </c>
      <c r="B3292" s="5">
        <v>43896.0</v>
      </c>
      <c r="C3292" s="6" t="s">
        <v>4674</v>
      </c>
      <c r="D3292" s="11">
        <f t="shared" si="1"/>
        <v>70</v>
      </c>
      <c r="E3292" s="8" t="str">
        <f t="shared" si="2"/>
        <v>https://resources.simonelectric.com/simon-ebook-vehiculo-electrico-tw</v>
      </c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</row>
    <row r="3293" ht="15.75" customHeight="1">
      <c r="A3293" s="5" t="s">
        <v>4675</v>
      </c>
      <c r="B3293" s="5">
        <v>43896.0</v>
      </c>
      <c r="C3293" s="6" t="s">
        <v>4676</v>
      </c>
      <c r="D3293" s="11">
        <f t="shared" si="1"/>
        <v>70</v>
      </c>
      <c r="E3293" s="8" t="str">
        <f t="shared" si="2"/>
        <v>https://resources.simonelectric.com/simon-catalogo-vehiculo-electrico</v>
      </c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</row>
    <row r="3294" ht="15.75" customHeight="1">
      <c r="A3294" s="5" t="s">
        <v>4677</v>
      </c>
      <c r="B3294" s="5">
        <v>43896.0</v>
      </c>
      <c r="C3294" s="6" t="s">
        <v>4678</v>
      </c>
      <c r="D3294" s="11">
        <f t="shared" si="1"/>
        <v>70</v>
      </c>
      <c r="E3294" s="8" t="str">
        <f t="shared" si="2"/>
        <v>https://resources.simonelectric.com/simon-catalogo-vehiculo-electrico</v>
      </c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</row>
    <row r="3295" ht="15.75" customHeight="1">
      <c r="A3295" s="5" t="s">
        <v>3468</v>
      </c>
      <c r="B3295" s="5">
        <v>43896.0</v>
      </c>
      <c r="C3295" s="6" t="s">
        <v>8</v>
      </c>
      <c r="D3295" s="11">
        <f t="shared" si="1"/>
        <v>67</v>
      </c>
      <c r="E3295" s="8" t="str">
        <f t="shared" si="2"/>
        <v>https://resources.simonelectric.com/simon-ebook-vehiculo-electrico</v>
      </c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</row>
    <row r="3296" ht="15.75" customHeight="1">
      <c r="A3296" s="5" t="s">
        <v>3155</v>
      </c>
      <c r="B3296" s="5">
        <v>43896.0</v>
      </c>
      <c r="C3296" s="6" t="s">
        <v>4663</v>
      </c>
      <c r="D3296" s="11">
        <f t="shared" si="1"/>
        <v>67</v>
      </c>
      <c r="E3296" s="8" t="str">
        <f t="shared" si="2"/>
        <v>https://resources.simonelectric.com/simon-ebook-vehiculo-electrico</v>
      </c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</row>
    <row r="3297" ht="15.75" customHeight="1">
      <c r="A3297" s="5" t="s">
        <v>2451</v>
      </c>
      <c r="B3297" s="5">
        <v>43896.0</v>
      </c>
      <c r="C3297" s="6" t="s">
        <v>75</v>
      </c>
      <c r="D3297" s="11">
        <f t="shared" si="1"/>
        <v>67</v>
      </c>
      <c r="E3297" s="8" t="str">
        <f t="shared" si="2"/>
        <v>https://resources.simonelectric.com/simon-ebook-vehiculo-electrico</v>
      </c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</row>
    <row r="3298" ht="15.75" customHeight="1">
      <c r="A3298" s="5" t="s">
        <v>4679</v>
      </c>
      <c r="B3298" s="5">
        <v>43896.0</v>
      </c>
      <c r="C3298" s="6" t="s">
        <v>4680</v>
      </c>
      <c r="D3298" s="11">
        <f t="shared" si="1"/>
        <v>67</v>
      </c>
      <c r="E3298" s="8" t="str">
        <f t="shared" si="2"/>
        <v>https://resources.simonelectric.com/simon-ebook-vehiculo-electrico</v>
      </c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</row>
    <row r="3299" ht="15.75" customHeight="1">
      <c r="A3299" s="5" t="s">
        <v>4681</v>
      </c>
      <c r="B3299" s="5">
        <v>43896.0</v>
      </c>
      <c r="C3299" s="6" t="s">
        <v>4682</v>
      </c>
      <c r="D3299" s="11">
        <f t="shared" si="1"/>
        <v>70</v>
      </c>
      <c r="E3299" s="8" t="str">
        <f t="shared" si="2"/>
        <v>https://resources.simonelectric.com/simon-catalogo-vehiculo-electrico</v>
      </c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</row>
    <row r="3300" ht="15.75" customHeight="1">
      <c r="A3300" s="5" t="s">
        <v>4681</v>
      </c>
      <c r="B3300" s="5">
        <v>43896.0</v>
      </c>
      <c r="C3300" s="6" t="s">
        <v>8</v>
      </c>
      <c r="D3300" s="11">
        <f t="shared" si="1"/>
        <v>67</v>
      </c>
      <c r="E3300" s="8" t="str">
        <f t="shared" si="2"/>
        <v>https://resources.simonelectric.com/simon-ebook-vehiculo-electrico</v>
      </c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</row>
    <row r="3301" ht="15.75" customHeight="1">
      <c r="A3301" s="5" t="s">
        <v>4683</v>
      </c>
      <c r="B3301" s="5">
        <v>43896.0</v>
      </c>
      <c r="C3301" s="6" t="s">
        <v>4684</v>
      </c>
      <c r="D3301" s="11">
        <f t="shared" si="1"/>
        <v>69</v>
      </c>
      <c r="E3301" s="8" t="str">
        <f t="shared" si="2"/>
        <v>https://resources.simonelectric.com/simon-ebook-vehiculo-electrico-0</v>
      </c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</row>
    <row r="3302" ht="15.75" customHeight="1">
      <c r="A3302" s="5" t="s">
        <v>4685</v>
      </c>
      <c r="B3302" s="5">
        <v>43895.0</v>
      </c>
      <c r="C3302" s="6" t="s">
        <v>4674</v>
      </c>
      <c r="D3302" s="11">
        <f t="shared" si="1"/>
        <v>70</v>
      </c>
      <c r="E3302" s="8" t="str">
        <f t="shared" si="2"/>
        <v>https://resources.simonelectric.com/simon-ebook-vehiculo-electrico-tw</v>
      </c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</row>
    <row r="3303" ht="15.75" customHeight="1">
      <c r="A3303" s="5" t="s">
        <v>2546</v>
      </c>
      <c r="B3303" s="5">
        <v>43895.0</v>
      </c>
      <c r="C3303" s="6" t="s">
        <v>4686</v>
      </c>
      <c r="D3303" s="11">
        <f t="shared" si="1"/>
        <v>67</v>
      </c>
      <c r="E3303" s="8" t="str">
        <f t="shared" si="2"/>
        <v>https://resources.simonelectric.com/simon-ebook-vehiculo-electrico</v>
      </c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</row>
    <row r="3304" ht="15.75" customHeight="1">
      <c r="A3304" s="5" t="s">
        <v>4687</v>
      </c>
      <c r="B3304" s="5">
        <v>43895.0</v>
      </c>
      <c r="C3304" s="6" t="s">
        <v>75</v>
      </c>
      <c r="D3304" s="11">
        <f t="shared" si="1"/>
        <v>67</v>
      </c>
      <c r="E3304" s="8" t="str">
        <f t="shared" si="2"/>
        <v>https://resources.simonelectric.com/simon-ebook-vehiculo-electrico</v>
      </c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</row>
    <row r="3305" ht="15.75" customHeight="1">
      <c r="A3305" s="5" t="s">
        <v>3145</v>
      </c>
      <c r="B3305" s="5">
        <v>43895.0</v>
      </c>
      <c r="C3305" s="6" t="s">
        <v>4688</v>
      </c>
      <c r="D3305" s="11">
        <f t="shared" si="1"/>
        <v>67</v>
      </c>
      <c r="E3305" s="8" t="str">
        <f t="shared" si="2"/>
        <v>https://resources.simonelectric.com/simon-ebook-vehiculo-electrico</v>
      </c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</row>
    <row r="3306" ht="15.75" customHeight="1">
      <c r="A3306" s="5" t="s">
        <v>764</v>
      </c>
      <c r="B3306" s="5">
        <v>43895.0</v>
      </c>
      <c r="C3306" s="6" t="s">
        <v>75</v>
      </c>
      <c r="D3306" s="11">
        <f t="shared" si="1"/>
        <v>67</v>
      </c>
      <c r="E3306" s="8" t="str">
        <f t="shared" si="2"/>
        <v>https://resources.simonelectric.com/simon-ebook-vehiculo-electrico</v>
      </c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</row>
    <row r="3307" ht="15.75" customHeight="1">
      <c r="A3307" s="5" t="s">
        <v>4689</v>
      </c>
      <c r="B3307" s="5">
        <v>43895.0</v>
      </c>
      <c r="C3307" s="6" t="s">
        <v>8</v>
      </c>
      <c r="D3307" s="11">
        <f t="shared" si="1"/>
        <v>67</v>
      </c>
      <c r="E3307" s="8" t="str">
        <f t="shared" si="2"/>
        <v>https://resources.simonelectric.com/simon-ebook-vehiculo-electrico</v>
      </c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</row>
    <row r="3308" ht="15.75" customHeight="1">
      <c r="A3308" s="5" t="s">
        <v>4690</v>
      </c>
      <c r="B3308" s="5">
        <v>43895.0</v>
      </c>
      <c r="C3308" s="6" t="s">
        <v>8</v>
      </c>
      <c r="D3308" s="11">
        <f t="shared" si="1"/>
        <v>67</v>
      </c>
      <c r="E3308" s="8" t="str">
        <f t="shared" si="2"/>
        <v>https://resources.simonelectric.com/simon-ebook-vehiculo-electrico</v>
      </c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</row>
    <row r="3309" ht="15.75" customHeight="1">
      <c r="A3309" s="5" t="s">
        <v>4691</v>
      </c>
      <c r="B3309" s="5">
        <v>43895.0</v>
      </c>
      <c r="C3309" s="6" t="s">
        <v>75</v>
      </c>
      <c r="D3309" s="11">
        <f t="shared" si="1"/>
        <v>67</v>
      </c>
      <c r="E3309" s="8" t="str">
        <f t="shared" si="2"/>
        <v>https://resources.simonelectric.com/simon-ebook-vehiculo-electrico</v>
      </c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</row>
    <row r="3310" ht="15.75" customHeight="1">
      <c r="A3310" s="5" t="s">
        <v>3906</v>
      </c>
      <c r="B3310" s="5">
        <v>43895.0</v>
      </c>
      <c r="C3310" s="6" t="s">
        <v>299</v>
      </c>
      <c r="D3310" s="10" t="str">
        <f t="shared" si="1"/>
        <v>https://resources.simonelectric.com/simon-material-formativo-vehiculo-electrico</v>
      </c>
      <c r="E3310" s="8" t="str">
        <f t="shared" si="2"/>
        <v>https://resources.simonelectric.com/simon-material-formativo-vehiculo-electrico</v>
      </c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</row>
    <row r="3311" ht="15.75" customHeight="1">
      <c r="A3311" s="5" t="s">
        <v>1779</v>
      </c>
      <c r="B3311" s="5">
        <v>43895.0</v>
      </c>
      <c r="C3311" s="6" t="s">
        <v>8</v>
      </c>
      <c r="D3311" s="11">
        <f t="shared" si="1"/>
        <v>67</v>
      </c>
      <c r="E3311" s="8" t="str">
        <f t="shared" si="2"/>
        <v>https://resources.simonelectric.com/simon-ebook-vehiculo-electrico</v>
      </c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</row>
    <row r="3312" ht="15.75" customHeight="1">
      <c r="A3312" s="5" t="s">
        <v>1779</v>
      </c>
      <c r="B3312" s="5">
        <v>43895.0</v>
      </c>
      <c r="C3312" s="6" t="s">
        <v>4692</v>
      </c>
      <c r="D3312" s="11">
        <f t="shared" si="1"/>
        <v>70</v>
      </c>
      <c r="E3312" s="8" t="str">
        <f t="shared" si="2"/>
        <v>https://resources.simonelectric.com/simon-catalogo-vehiculo-electrico</v>
      </c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</row>
    <row r="3313" ht="15.75" customHeight="1">
      <c r="A3313" s="5" t="s">
        <v>4693</v>
      </c>
      <c r="B3313" s="5">
        <v>43895.0</v>
      </c>
      <c r="C3313" s="6" t="s">
        <v>8</v>
      </c>
      <c r="D3313" s="11">
        <f t="shared" si="1"/>
        <v>67</v>
      </c>
      <c r="E3313" s="8" t="str">
        <f t="shared" si="2"/>
        <v>https://resources.simonelectric.com/simon-ebook-vehiculo-electrico</v>
      </c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</row>
    <row r="3314" ht="15.75" customHeight="1">
      <c r="A3314" s="5" t="s">
        <v>2544</v>
      </c>
      <c r="B3314" s="5">
        <v>43895.0</v>
      </c>
      <c r="C3314" s="6" t="s">
        <v>4694</v>
      </c>
      <c r="D3314" s="11">
        <f t="shared" si="1"/>
        <v>67</v>
      </c>
      <c r="E3314" s="8" t="str">
        <f t="shared" si="2"/>
        <v>https://resources.simonelectric.com/simon-ebook-vehiculo-electrico</v>
      </c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</row>
    <row r="3315" ht="15.75" customHeight="1">
      <c r="A3315" s="5" t="s">
        <v>2833</v>
      </c>
      <c r="B3315" s="5">
        <v>43895.0</v>
      </c>
      <c r="C3315" s="6" t="s">
        <v>31</v>
      </c>
      <c r="D3315" s="11">
        <f t="shared" si="1"/>
        <v>67</v>
      </c>
      <c r="E3315" s="8" t="str">
        <f t="shared" si="2"/>
        <v>https://resources.simonelectric.com/simon-ebook-vehiculo-electrico</v>
      </c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</row>
    <row r="3316" ht="15.75" customHeight="1">
      <c r="A3316" s="5" t="s">
        <v>4695</v>
      </c>
      <c r="B3316" s="5">
        <v>43895.0</v>
      </c>
      <c r="C3316" s="6" t="s">
        <v>4696</v>
      </c>
      <c r="D3316" s="11">
        <f t="shared" si="1"/>
        <v>69</v>
      </c>
      <c r="E3316" s="8" t="str">
        <f t="shared" si="2"/>
        <v>https://resources.simonelectric.com/simon-ebook-vehiculo-electrico-0</v>
      </c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</row>
    <row r="3317" ht="15.75" customHeight="1">
      <c r="A3317" s="5" t="s">
        <v>4697</v>
      </c>
      <c r="B3317" s="5">
        <v>43895.0</v>
      </c>
      <c r="C3317" s="6" t="s">
        <v>4698</v>
      </c>
      <c r="D3317" s="11">
        <f t="shared" si="1"/>
        <v>67</v>
      </c>
      <c r="E3317" s="8" t="str">
        <f t="shared" si="2"/>
        <v>https://resources.simonelectric.com/simon-ebook-vehiculo-electrico</v>
      </c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</row>
    <row r="3318" ht="15.75" customHeight="1">
      <c r="A3318" s="5" t="s">
        <v>4699</v>
      </c>
      <c r="B3318" s="5">
        <v>43895.0</v>
      </c>
      <c r="C3318" s="6" t="s">
        <v>4700</v>
      </c>
      <c r="D3318" s="11">
        <f t="shared" si="1"/>
        <v>67</v>
      </c>
      <c r="E3318" s="8" t="str">
        <f t="shared" si="2"/>
        <v>https://resources.simonelectric.com/simon-ebook-vehiculo-electrico</v>
      </c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</row>
    <row r="3319" ht="15.75" customHeight="1">
      <c r="A3319" s="5" t="s">
        <v>986</v>
      </c>
      <c r="B3319" s="5">
        <v>43895.0</v>
      </c>
      <c r="C3319" s="6" t="s">
        <v>28</v>
      </c>
      <c r="D3319" s="10" t="str">
        <f t="shared" si="1"/>
        <v>https://resources.simonelectric.com/simon-ebook-vehiculo-electrico</v>
      </c>
      <c r="E3319" s="8" t="str">
        <f t="shared" si="2"/>
        <v>https://resources.simonelectric.com/simon-ebook-vehiculo-electrico</v>
      </c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</row>
    <row r="3320" ht="15.75" customHeight="1">
      <c r="A3320" s="5" t="s">
        <v>1214</v>
      </c>
      <c r="B3320" s="5">
        <v>43895.0</v>
      </c>
      <c r="C3320" s="6" t="s">
        <v>4701</v>
      </c>
      <c r="D3320" s="11">
        <f t="shared" si="1"/>
        <v>67</v>
      </c>
      <c r="E3320" s="8" t="str">
        <f t="shared" si="2"/>
        <v>https://resources.simonelectric.com/simon-ebook-vehiculo-electrico</v>
      </c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</row>
    <row r="3321" ht="15.75" customHeight="1">
      <c r="A3321" s="5" t="s">
        <v>1095</v>
      </c>
      <c r="B3321" s="5">
        <v>43895.0</v>
      </c>
      <c r="C3321" s="6" t="s">
        <v>75</v>
      </c>
      <c r="D3321" s="11">
        <f t="shared" si="1"/>
        <v>67</v>
      </c>
      <c r="E3321" s="8" t="str">
        <f t="shared" si="2"/>
        <v>https://resources.simonelectric.com/simon-ebook-vehiculo-electrico</v>
      </c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</row>
    <row r="3322" ht="15.75" customHeight="1">
      <c r="A3322" s="5" t="s">
        <v>4702</v>
      </c>
      <c r="B3322" s="5">
        <v>43895.0</v>
      </c>
      <c r="C3322" s="6" t="s">
        <v>4703</v>
      </c>
      <c r="D3322" s="11">
        <f t="shared" si="1"/>
        <v>67</v>
      </c>
      <c r="E3322" s="8" t="str">
        <f t="shared" si="2"/>
        <v>https://resources.simonelectric.com/simon-ebook-vehiculo-electrico</v>
      </c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</row>
    <row r="3323" ht="15.75" customHeight="1">
      <c r="A3323" s="5" t="s">
        <v>4704</v>
      </c>
      <c r="B3323" s="5">
        <v>43895.0</v>
      </c>
      <c r="C3323" s="6" t="s">
        <v>75</v>
      </c>
      <c r="D3323" s="11">
        <f t="shared" si="1"/>
        <v>67</v>
      </c>
      <c r="E3323" s="8" t="str">
        <f t="shared" si="2"/>
        <v>https://resources.simonelectric.com/simon-ebook-vehiculo-electrico</v>
      </c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</row>
    <row r="3324" ht="15.75" customHeight="1">
      <c r="A3324" s="5" t="s">
        <v>1095</v>
      </c>
      <c r="B3324" s="5">
        <v>43895.0</v>
      </c>
      <c r="C3324" s="6" t="s">
        <v>75</v>
      </c>
      <c r="D3324" s="11">
        <f t="shared" si="1"/>
        <v>67</v>
      </c>
      <c r="E3324" s="8" t="str">
        <f t="shared" si="2"/>
        <v>https://resources.simonelectric.com/simon-ebook-vehiculo-electrico</v>
      </c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</row>
    <row r="3325" ht="15.75" customHeight="1">
      <c r="A3325" s="5" t="s">
        <v>4705</v>
      </c>
      <c r="B3325" s="5">
        <v>43895.0</v>
      </c>
      <c r="C3325" s="6" t="s">
        <v>4706</v>
      </c>
      <c r="D3325" s="11">
        <f t="shared" si="1"/>
        <v>67</v>
      </c>
      <c r="E3325" s="8" t="str">
        <f t="shared" si="2"/>
        <v>https://resources.simonelectric.com/simon-ebook-vehiculo-electrico</v>
      </c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</row>
    <row r="3326" ht="15.75" customHeight="1">
      <c r="A3326" s="5" t="s">
        <v>3155</v>
      </c>
      <c r="B3326" s="5">
        <v>43895.0</v>
      </c>
      <c r="C3326" s="6" t="s">
        <v>4663</v>
      </c>
      <c r="D3326" s="11">
        <f t="shared" si="1"/>
        <v>67</v>
      </c>
      <c r="E3326" s="8" t="str">
        <f t="shared" si="2"/>
        <v>https://resources.simonelectric.com/simon-ebook-vehiculo-electrico</v>
      </c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</row>
    <row r="3327" ht="15.75" customHeight="1">
      <c r="A3327" s="5" t="s">
        <v>4707</v>
      </c>
      <c r="B3327" s="5">
        <v>43895.0</v>
      </c>
      <c r="C3327" s="6" t="s">
        <v>4708</v>
      </c>
      <c r="D3327" s="11">
        <f t="shared" si="1"/>
        <v>69</v>
      </c>
      <c r="E3327" s="8" t="str">
        <f t="shared" si="2"/>
        <v>https://resources.simonelectric.com/simon-ebook-vehiculo-electrico-0</v>
      </c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</row>
    <row r="3328" ht="15.75" customHeight="1">
      <c r="A3328" s="5" t="s">
        <v>99</v>
      </c>
      <c r="B3328" s="5">
        <v>43895.0</v>
      </c>
      <c r="C3328" s="6" t="s">
        <v>31</v>
      </c>
      <c r="D3328" s="11">
        <f t="shared" si="1"/>
        <v>67</v>
      </c>
      <c r="E3328" s="8" t="str">
        <f t="shared" si="2"/>
        <v>https://resources.simonelectric.com/simon-ebook-vehiculo-electrico</v>
      </c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</row>
    <row r="3329" ht="15.75" customHeight="1">
      <c r="A3329" s="5" t="s">
        <v>2378</v>
      </c>
      <c r="B3329" s="5">
        <v>43895.0</v>
      </c>
      <c r="C3329" s="6" t="s">
        <v>4709</v>
      </c>
      <c r="D3329" s="11">
        <f t="shared" si="1"/>
        <v>67</v>
      </c>
      <c r="E3329" s="8" t="str">
        <f t="shared" si="2"/>
        <v>https://resources.simonelectric.com/simon-ebook-vehiculo-electrico</v>
      </c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</row>
    <row r="3330" ht="15.75" customHeight="1">
      <c r="A3330" s="5" t="s">
        <v>3355</v>
      </c>
      <c r="B3330" s="5">
        <v>43895.0</v>
      </c>
      <c r="C3330" s="6" t="s">
        <v>4710</v>
      </c>
      <c r="D3330" s="11">
        <f t="shared" si="1"/>
        <v>67</v>
      </c>
      <c r="E3330" s="8" t="str">
        <f t="shared" si="2"/>
        <v>https://resources.simonelectric.com/simon-ebook-vehiculo-electrico</v>
      </c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</row>
    <row r="3331" ht="15.75" customHeight="1">
      <c r="A3331" s="5" t="s">
        <v>2378</v>
      </c>
      <c r="B3331" s="5">
        <v>43895.0</v>
      </c>
      <c r="C3331" s="6" t="s">
        <v>4709</v>
      </c>
      <c r="D3331" s="11">
        <f t="shared" si="1"/>
        <v>67</v>
      </c>
      <c r="E3331" s="8" t="str">
        <f t="shared" si="2"/>
        <v>https://resources.simonelectric.com/simon-ebook-vehiculo-electrico</v>
      </c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</row>
    <row r="3332" ht="15.75" customHeight="1">
      <c r="A3332" s="5" t="s">
        <v>3093</v>
      </c>
      <c r="B3332" s="5">
        <v>43895.0</v>
      </c>
      <c r="C3332" s="6" t="s">
        <v>4711</v>
      </c>
      <c r="D3332" s="11">
        <f t="shared" si="1"/>
        <v>69</v>
      </c>
      <c r="E3332" s="8" t="str">
        <f t="shared" si="2"/>
        <v>https://resources.simonelectric.com/simon-ebook-vehiculo-electrico-0</v>
      </c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</row>
    <row r="3333" ht="15.75" customHeight="1">
      <c r="A3333" s="5" t="s">
        <v>4712</v>
      </c>
      <c r="B3333" s="5">
        <v>43895.0</v>
      </c>
      <c r="C3333" s="6" t="s">
        <v>4713</v>
      </c>
      <c r="D3333" s="11">
        <f t="shared" si="1"/>
        <v>67</v>
      </c>
      <c r="E3333" s="8" t="str">
        <f t="shared" si="2"/>
        <v>https://resources.simonelectric.com/simon-ebook-vehiculo-electrico</v>
      </c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</row>
    <row r="3334" ht="15.75" customHeight="1">
      <c r="A3334" s="5" t="s">
        <v>4714</v>
      </c>
      <c r="B3334" s="5">
        <v>43895.0</v>
      </c>
      <c r="C3334" s="6" t="s">
        <v>4715</v>
      </c>
      <c r="D3334" s="11">
        <f t="shared" si="1"/>
        <v>67</v>
      </c>
      <c r="E3334" s="8" t="str">
        <f t="shared" si="2"/>
        <v>https://resources.simonelectric.com/simon-ebook-vehiculo-electrico</v>
      </c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</row>
    <row r="3335" ht="15.75" customHeight="1">
      <c r="A3335" s="5" t="s">
        <v>4714</v>
      </c>
      <c r="B3335" s="5">
        <v>43895.0</v>
      </c>
      <c r="C3335" s="6" t="s">
        <v>4715</v>
      </c>
      <c r="D3335" s="11">
        <f t="shared" si="1"/>
        <v>67</v>
      </c>
      <c r="E3335" s="8" t="str">
        <f t="shared" si="2"/>
        <v>https://resources.simonelectric.com/simon-ebook-vehiculo-electrico</v>
      </c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</row>
    <row r="3336" ht="15.75" customHeight="1">
      <c r="A3336" s="5" t="s">
        <v>4716</v>
      </c>
      <c r="B3336" s="5">
        <v>43895.0</v>
      </c>
      <c r="C3336" s="6" t="s">
        <v>4717</v>
      </c>
      <c r="D3336" s="11">
        <f t="shared" si="1"/>
        <v>67</v>
      </c>
      <c r="E3336" s="8" t="str">
        <f t="shared" si="2"/>
        <v>https://resources.simonelectric.com/simon-ebook-vehiculo-electrico</v>
      </c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</row>
    <row r="3337" ht="15.75" customHeight="1">
      <c r="A3337" s="5" t="s">
        <v>2250</v>
      </c>
      <c r="B3337" s="5">
        <v>43895.0</v>
      </c>
      <c r="C3337" s="6" t="s">
        <v>4718</v>
      </c>
      <c r="D3337" s="11">
        <f t="shared" si="1"/>
        <v>67</v>
      </c>
      <c r="E3337" s="8" t="str">
        <f t="shared" si="2"/>
        <v>https://resources.simonelectric.com/simon-ebook-vehiculo-electrico</v>
      </c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</row>
    <row r="3338" ht="15.75" customHeight="1">
      <c r="A3338" s="5" t="s">
        <v>4719</v>
      </c>
      <c r="B3338" s="5">
        <v>43895.0</v>
      </c>
      <c r="C3338" s="6" t="s">
        <v>4720</v>
      </c>
      <c r="D3338" s="11">
        <f t="shared" si="1"/>
        <v>67</v>
      </c>
      <c r="E3338" s="8" t="str">
        <f t="shared" si="2"/>
        <v>https://resources.simonelectric.com/simon-ebook-vehiculo-electrico</v>
      </c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</row>
    <row r="3339" ht="15.75" customHeight="1">
      <c r="A3339" s="5" t="s">
        <v>4721</v>
      </c>
      <c r="B3339" s="5">
        <v>43895.0</v>
      </c>
      <c r="C3339" s="6" t="s">
        <v>4722</v>
      </c>
      <c r="D3339" s="11">
        <f t="shared" si="1"/>
        <v>70</v>
      </c>
      <c r="E3339" s="8" t="str">
        <f t="shared" si="2"/>
        <v>https://resources.simonelectric.com/simon-catalogo-vehiculo-electrico</v>
      </c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</row>
    <row r="3340" ht="15.75" customHeight="1">
      <c r="A3340" s="5" t="s">
        <v>4723</v>
      </c>
      <c r="B3340" s="5">
        <v>43895.0</v>
      </c>
      <c r="C3340" s="6" t="s">
        <v>31</v>
      </c>
      <c r="D3340" s="11">
        <f t="shared" si="1"/>
        <v>67</v>
      </c>
      <c r="E3340" s="8" t="str">
        <f t="shared" si="2"/>
        <v>https://resources.simonelectric.com/simon-ebook-vehiculo-electrico</v>
      </c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</row>
    <row r="3341" ht="15.75" customHeight="1">
      <c r="A3341" s="5" t="s">
        <v>4724</v>
      </c>
      <c r="B3341" s="5">
        <v>43895.0</v>
      </c>
      <c r="C3341" s="6" t="s">
        <v>75</v>
      </c>
      <c r="D3341" s="11">
        <f t="shared" si="1"/>
        <v>67</v>
      </c>
      <c r="E3341" s="8" t="str">
        <f t="shared" si="2"/>
        <v>https://resources.simonelectric.com/simon-ebook-vehiculo-electrico</v>
      </c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</row>
    <row r="3342" ht="15.75" customHeight="1">
      <c r="A3342" s="5" t="s">
        <v>4725</v>
      </c>
      <c r="B3342" s="5">
        <v>43895.0</v>
      </c>
      <c r="C3342" s="6" t="s">
        <v>4674</v>
      </c>
      <c r="D3342" s="11">
        <f t="shared" si="1"/>
        <v>70</v>
      </c>
      <c r="E3342" s="8" t="str">
        <f t="shared" si="2"/>
        <v>https://resources.simonelectric.com/simon-ebook-vehiculo-electrico-tw</v>
      </c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</row>
    <row r="3343" ht="15.75" customHeight="1">
      <c r="A3343" s="5" t="s">
        <v>4726</v>
      </c>
      <c r="B3343" s="5">
        <v>43894.0</v>
      </c>
      <c r="C3343" s="6" t="s">
        <v>28</v>
      </c>
      <c r="D3343" s="10" t="str">
        <f t="shared" si="1"/>
        <v>https://resources.simonelectric.com/simon-ebook-vehiculo-electrico</v>
      </c>
      <c r="E3343" s="8" t="str">
        <f t="shared" si="2"/>
        <v>https://resources.simonelectric.com/simon-ebook-vehiculo-electrico</v>
      </c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</row>
    <row r="3344" ht="15.75" customHeight="1">
      <c r="A3344" s="5" t="s">
        <v>4727</v>
      </c>
      <c r="B3344" s="5">
        <v>43894.0</v>
      </c>
      <c r="C3344" s="6" t="s">
        <v>75</v>
      </c>
      <c r="D3344" s="11">
        <f t="shared" si="1"/>
        <v>67</v>
      </c>
      <c r="E3344" s="8" t="str">
        <f t="shared" si="2"/>
        <v>https://resources.simonelectric.com/simon-ebook-vehiculo-electrico</v>
      </c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</row>
    <row r="3345" ht="15.75" customHeight="1">
      <c r="A3345" s="5" t="s">
        <v>4691</v>
      </c>
      <c r="B3345" s="5">
        <v>43894.0</v>
      </c>
      <c r="C3345" s="6" t="s">
        <v>75</v>
      </c>
      <c r="D3345" s="11">
        <f t="shared" si="1"/>
        <v>67</v>
      </c>
      <c r="E3345" s="8" t="str">
        <f t="shared" si="2"/>
        <v>https://resources.simonelectric.com/simon-ebook-vehiculo-electrico</v>
      </c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</row>
    <row r="3346" ht="15.75" customHeight="1">
      <c r="A3346" s="5" t="s">
        <v>4579</v>
      </c>
      <c r="B3346" s="5">
        <v>43894.0</v>
      </c>
      <c r="C3346" s="6" t="s">
        <v>75</v>
      </c>
      <c r="D3346" s="11">
        <f t="shared" si="1"/>
        <v>67</v>
      </c>
      <c r="E3346" s="8" t="str">
        <f t="shared" si="2"/>
        <v>https://resources.simonelectric.com/simon-ebook-vehiculo-electrico</v>
      </c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</row>
    <row r="3347" ht="15.75" customHeight="1">
      <c r="A3347" s="5" t="s">
        <v>4579</v>
      </c>
      <c r="B3347" s="5">
        <v>43894.0</v>
      </c>
      <c r="C3347" s="6" t="s">
        <v>75</v>
      </c>
      <c r="D3347" s="11">
        <f t="shared" si="1"/>
        <v>67</v>
      </c>
      <c r="E3347" s="8" t="str">
        <f t="shared" si="2"/>
        <v>https://resources.simonelectric.com/simon-ebook-vehiculo-electrico</v>
      </c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</row>
    <row r="3348" ht="15.75" customHeight="1">
      <c r="A3348" s="5" t="s">
        <v>2473</v>
      </c>
      <c r="B3348" s="5">
        <v>43894.0</v>
      </c>
      <c r="C3348" s="6" t="s">
        <v>75</v>
      </c>
      <c r="D3348" s="10">
        <f t="shared" si="1"/>
        <v>67</v>
      </c>
      <c r="E3348" s="8" t="str">
        <f t="shared" si="2"/>
        <v>https://resources.simonelectric.com/simon-ebook-vehiculo-electrico</v>
      </c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</row>
    <row r="3349" ht="15.75" customHeight="1">
      <c r="A3349" s="5" t="s">
        <v>4728</v>
      </c>
      <c r="B3349" s="5">
        <v>43894.0</v>
      </c>
      <c r="C3349" s="6" t="s">
        <v>75</v>
      </c>
      <c r="D3349" s="11">
        <f t="shared" si="1"/>
        <v>67</v>
      </c>
      <c r="E3349" s="8" t="str">
        <f t="shared" si="2"/>
        <v>https://resources.simonelectric.com/simon-ebook-vehiculo-electrico</v>
      </c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</row>
    <row r="3350" ht="15.75" customHeight="1">
      <c r="A3350" s="5" t="s">
        <v>723</v>
      </c>
      <c r="B3350" s="5">
        <v>43894.0</v>
      </c>
      <c r="C3350" s="6" t="s">
        <v>75</v>
      </c>
      <c r="D3350" s="11">
        <f t="shared" si="1"/>
        <v>67</v>
      </c>
      <c r="E3350" s="8" t="str">
        <f t="shared" si="2"/>
        <v>https://resources.simonelectric.com/simon-ebook-vehiculo-electrico</v>
      </c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</row>
    <row r="3351" ht="15.75" customHeight="1">
      <c r="A3351" s="5" t="s">
        <v>4729</v>
      </c>
      <c r="B3351" s="5">
        <v>43894.0</v>
      </c>
      <c r="C3351" s="6" t="s">
        <v>4730</v>
      </c>
      <c r="D3351" s="11">
        <f t="shared" si="1"/>
        <v>70</v>
      </c>
      <c r="E3351" s="8" t="str">
        <f t="shared" si="2"/>
        <v>https://resources.simonelectric.com/simon-catalogo-vehiculo-electrico</v>
      </c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</row>
    <row r="3352" ht="15.75" customHeight="1">
      <c r="A3352" s="5" t="s">
        <v>4729</v>
      </c>
      <c r="B3352" s="5">
        <v>43894.0</v>
      </c>
      <c r="C3352" s="6" t="s">
        <v>28</v>
      </c>
      <c r="D3352" s="10" t="str">
        <f t="shared" si="1"/>
        <v>https://resources.simonelectric.com/simon-ebook-vehiculo-electrico</v>
      </c>
      <c r="E3352" s="8" t="str">
        <f t="shared" si="2"/>
        <v>https://resources.simonelectric.com/simon-ebook-vehiculo-electrico</v>
      </c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</row>
    <row r="3353" ht="15.75" customHeight="1">
      <c r="A3353" s="5" t="s">
        <v>4731</v>
      </c>
      <c r="B3353" s="5">
        <v>43894.0</v>
      </c>
      <c r="C3353" s="6" t="s">
        <v>75</v>
      </c>
      <c r="D3353" s="11">
        <f t="shared" si="1"/>
        <v>67</v>
      </c>
      <c r="E3353" s="8" t="str">
        <f t="shared" si="2"/>
        <v>https://resources.simonelectric.com/simon-ebook-vehiculo-electrico</v>
      </c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</row>
    <row r="3354" ht="15.75" customHeight="1">
      <c r="A3354" s="5" t="s">
        <v>4732</v>
      </c>
      <c r="B3354" s="5">
        <v>43894.0</v>
      </c>
      <c r="C3354" s="6" t="s">
        <v>8</v>
      </c>
      <c r="D3354" s="10">
        <f t="shared" si="1"/>
        <v>67</v>
      </c>
      <c r="E3354" s="8" t="str">
        <f t="shared" si="2"/>
        <v>https://resources.simonelectric.com/simon-ebook-vehiculo-electrico</v>
      </c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</row>
    <row r="3355" ht="15.75" customHeight="1">
      <c r="A3355" s="5" t="s">
        <v>2711</v>
      </c>
      <c r="B3355" s="5">
        <v>43894.0</v>
      </c>
      <c r="C3355" s="6" t="s">
        <v>75</v>
      </c>
      <c r="D3355" s="11">
        <f t="shared" si="1"/>
        <v>67</v>
      </c>
      <c r="E3355" s="8" t="str">
        <f t="shared" si="2"/>
        <v>https://resources.simonelectric.com/simon-ebook-vehiculo-electrico</v>
      </c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</row>
    <row r="3356" ht="15.75" customHeight="1">
      <c r="A3356" s="5" t="s">
        <v>4733</v>
      </c>
      <c r="B3356" s="5">
        <v>43894.0</v>
      </c>
      <c r="C3356" s="6" t="s">
        <v>75</v>
      </c>
      <c r="D3356" s="11">
        <f t="shared" si="1"/>
        <v>67</v>
      </c>
      <c r="E3356" s="8" t="str">
        <f t="shared" si="2"/>
        <v>https://resources.simonelectric.com/simon-ebook-vehiculo-electrico</v>
      </c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</row>
    <row r="3357" ht="15.75" customHeight="1">
      <c r="A3357" s="5" t="s">
        <v>4734</v>
      </c>
      <c r="B3357" s="5">
        <v>43894.0</v>
      </c>
      <c r="C3357" s="6" t="s">
        <v>31</v>
      </c>
      <c r="D3357" s="11">
        <f t="shared" si="1"/>
        <v>67</v>
      </c>
      <c r="E3357" s="8" t="str">
        <f t="shared" si="2"/>
        <v>https://resources.simonelectric.com/simon-ebook-vehiculo-electrico</v>
      </c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</row>
    <row r="3358" ht="15.75" customHeight="1">
      <c r="A3358" s="5" t="s">
        <v>4735</v>
      </c>
      <c r="B3358" s="5">
        <v>43894.0</v>
      </c>
      <c r="C3358" s="6" t="s">
        <v>75</v>
      </c>
      <c r="D3358" s="11">
        <f t="shared" si="1"/>
        <v>67</v>
      </c>
      <c r="E3358" s="8" t="str">
        <f t="shared" si="2"/>
        <v>https://resources.simonelectric.com/simon-ebook-vehiculo-electrico</v>
      </c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</row>
    <row r="3359" ht="15.75" customHeight="1">
      <c r="A3359" s="5" t="s">
        <v>4736</v>
      </c>
      <c r="B3359" s="5">
        <v>43894.0</v>
      </c>
      <c r="C3359" s="6" t="s">
        <v>4737</v>
      </c>
      <c r="D3359" s="11">
        <f t="shared" si="1"/>
        <v>70</v>
      </c>
      <c r="E3359" s="8" t="str">
        <f t="shared" si="2"/>
        <v>https://resources.simonelectric.com/simon-catalogo-vehiculo-electrico</v>
      </c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</row>
    <row r="3360" ht="15.75" customHeight="1">
      <c r="A3360" s="5" t="s">
        <v>4738</v>
      </c>
      <c r="B3360" s="5">
        <v>43894.0</v>
      </c>
      <c r="C3360" s="6" t="s">
        <v>75</v>
      </c>
      <c r="D3360" s="11">
        <f t="shared" si="1"/>
        <v>67</v>
      </c>
      <c r="E3360" s="8" t="str">
        <f t="shared" si="2"/>
        <v>https://resources.simonelectric.com/simon-ebook-vehiculo-electrico</v>
      </c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</row>
    <row r="3361" ht="15.75" customHeight="1">
      <c r="A3361" s="5" t="s">
        <v>4739</v>
      </c>
      <c r="B3361" s="5">
        <v>43894.0</v>
      </c>
      <c r="C3361" s="6" t="s">
        <v>31</v>
      </c>
      <c r="D3361" s="11">
        <f t="shared" si="1"/>
        <v>67</v>
      </c>
      <c r="E3361" s="8" t="str">
        <f t="shared" si="2"/>
        <v>https://resources.simonelectric.com/simon-ebook-vehiculo-electrico</v>
      </c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</row>
    <row r="3362" ht="15.75" customHeight="1">
      <c r="A3362" s="5" t="s">
        <v>1930</v>
      </c>
      <c r="B3362" s="5">
        <v>43894.0</v>
      </c>
      <c r="C3362" s="6" t="s">
        <v>4740</v>
      </c>
      <c r="D3362" s="11">
        <f t="shared" si="1"/>
        <v>70</v>
      </c>
      <c r="E3362" s="8" t="str">
        <f t="shared" si="2"/>
        <v>https://resources.simonelectric.com/simon-catalogo-vehiculo-electrico</v>
      </c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</row>
    <row r="3363" ht="15.75" customHeight="1">
      <c r="A3363" s="5" t="s">
        <v>1930</v>
      </c>
      <c r="B3363" s="5">
        <v>43894.0</v>
      </c>
      <c r="C3363" s="6" t="s">
        <v>8</v>
      </c>
      <c r="D3363" s="10">
        <f t="shared" si="1"/>
        <v>67</v>
      </c>
      <c r="E3363" s="8" t="str">
        <f t="shared" si="2"/>
        <v>https://resources.simonelectric.com/simon-ebook-vehiculo-electrico</v>
      </c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</row>
    <row r="3364" ht="15.75" customHeight="1">
      <c r="A3364" s="5" t="s">
        <v>4741</v>
      </c>
      <c r="B3364" s="5">
        <v>43894.0</v>
      </c>
      <c r="C3364" s="6" t="s">
        <v>8</v>
      </c>
      <c r="D3364" s="11">
        <f t="shared" si="1"/>
        <v>67</v>
      </c>
      <c r="E3364" s="8" t="str">
        <f t="shared" si="2"/>
        <v>https://resources.simonelectric.com/simon-ebook-vehiculo-electrico</v>
      </c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</row>
    <row r="3365" ht="15.75" customHeight="1">
      <c r="A3365" s="5" t="s">
        <v>4742</v>
      </c>
      <c r="B3365" s="5">
        <v>43894.0</v>
      </c>
      <c r="C3365" s="6" t="s">
        <v>28</v>
      </c>
      <c r="D3365" s="10" t="str">
        <f t="shared" si="1"/>
        <v>https://resources.simonelectric.com/simon-ebook-vehiculo-electrico</v>
      </c>
      <c r="E3365" s="8" t="str">
        <f t="shared" si="2"/>
        <v>https://resources.simonelectric.com/simon-ebook-vehiculo-electrico</v>
      </c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</row>
    <row r="3366" ht="15.75" customHeight="1">
      <c r="A3366" s="5" t="s">
        <v>2406</v>
      </c>
      <c r="B3366" s="5">
        <v>43894.0</v>
      </c>
      <c r="C3366" s="6" t="s">
        <v>75</v>
      </c>
      <c r="D3366" s="11">
        <f t="shared" si="1"/>
        <v>67</v>
      </c>
      <c r="E3366" s="8" t="str">
        <f t="shared" si="2"/>
        <v>https://resources.simonelectric.com/simon-ebook-vehiculo-electrico</v>
      </c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</row>
    <row r="3367" ht="15.75" customHeight="1">
      <c r="A3367" s="5" t="s">
        <v>4743</v>
      </c>
      <c r="B3367" s="5">
        <v>43894.0</v>
      </c>
      <c r="C3367" s="6" t="s">
        <v>75</v>
      </c>
      <c r="D3367" s="10">
        <f t="shared" si="1"/>
        <v>67</v>
      </c>
      <c r="E3367" s="8" t="str">
        <f t="shared" si="2"/>
        <v>https://resources.simonelectric.com/simon-ebook-vehiculo-electrico</v>
      </c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</row>
    <row r="3368" ht="15.75" customHeight="1">
      <c r="A3368" s="5" t="s">
        <v>2604</v>
      </c>
      <c r="B3368" s="5">
        <v>43894.0</v>
      </c>
      <c r="C3368" s="6" t="s">
        <v>31</v>
      </c>
      <c r="D3368" s="11">
        <f t="shared" si="1"/>
        <v>67</v>
      </c>
      <c r="E3368" s="8" t="str">
        <f t="shared" si="2"/>
        <v>https://resources.simonelectric.com/simon-ebook-vehiculo-electrico</v>
      </c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</row>
    <row r="3369" ht="15.75" customHeight="1">
      <c r="A3369" s="5" t="s">
        <v>4744</v>
      </c>
      <c r="B3369" s="5">
        <v>43894.0</v>
      </c>
      <c r="C3369" s="6" t="s">
        <v>75</v>
      </c>
      <c r="D3369" s="11">
        <f t="shared" si="1"/>
        <v>67</v>
      </c>
      <c r="E3369" s="8" t="str">
        <f t="shared" si="2"/>
        <v>https://resources.simonelectric.com/simon-ebook-vehiculo-electrico</v>
      </c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</row>
    <row r="3370" ht="15.75" customHeight="1">
      <c r="A3370" s="5" t="s">
        <v>4745</v>
      </c>
      <c r="B3370" s="5">
        <v>43894.0</v>
      </c>
      <c r="C3370" s="6" t="s">
        <v>6</v>
      </c>
      <c r="D3370" s="11">
        <f t="shared" si="1"/>
        <v>67</v>
      </c>
      <c r="E3370" s="8" t="str">
        <f t="shared" si="2"/>
        <v>https://resources.simonelectric.com/simon-ebook-vehiculo-electrico</v>
      </c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</row>
    <row r="3371" ht="15.75" customHeight="1">
      <c r="A3371" s="5" t="s">
        <v>1326</v>
      </c>
      <c r="B3371" s="5">
        <v>43894.0</v>
      </c>
      <c r="C3371" s="6" t="s">
        <v>75</v>
      </c>
      <c r="D3371" s="10">
        <f t="shared" si="1"/>
        <v>67</v>
      </c>
      <c r="E3371" s="8" t="str">
        <f t="shared" si="2"/>
        <v>https://resources.simonelectric.com/simon-ebook-vehiculo-electrico</v>
      </c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</row>
    <row r="3372" ht="15.75" customHeight="1">
      <c r="A3372" s="5" t="s">
        <v>2919</v>
      </c>
      <c r="B3372" s="5">
        <v>43894.0</v>
      </c>
      <c r="C3372" s="6" t="s">
        <v>75</v>
      </c>
      <c r="D3372" s="11">
        <f t="shared" si="1"/>
        <v>67</v>
      </c>
      <c r="E3372" s="8" t="str">
        <f t="shared" si="2"/>
        <v>https://resources.simonelectric.com/simon-ebook-vehiculo-electrico</v>
      </c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</row>
    <row r="3373" ht="15.75" customHeight="1">
      <c r="A3373" s="5" t="s">
        <v>2637</v>
      </c>
      <c r="B3373" s="5">
        <v>43894.0</v>
      </c>
      <c r="C3373" s="6" t="s">
        <v>75</v>
      </c>
      <c r="D3373" s="10">
        <f t="shared" si="1"/>
        <v>67</v>
      </c>
      <c r="E3373" s="8" t="str">
        <f t="shared" si="2"/>
        <v>https://resources.simonelectric.com/simon-ebook-vehiculo-electrico</v>
      </c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</row>
    <row r="3374" ht="15.75" customHeight="1">
      <c r="A3374" s="5" t="s">
        <v>4746</v>
      </c>
      <c r="B3374" s="5">
        <v>43894.0</v>
      </c>
      <c r="C3374" s="6" t="s">
        <v>75</v>
      </c>
      <c r="D3374" s="11">
        <f t="shared" si="1"/>
        <v>67</v>
      </c>
      <c r="E3374" s="8" t="str">
        <f t="shared" si="2"/>
        <v>https://resources.simonelectric.com/simon-ebook-vehiculo-electrico</v>
      </c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</row>
    <row r="3375" ht="15.75" customHeight="1">
      <c r="A3375" s="5" t="s">
        <v>4747</v>
      </c>
      <c r="B3375" s="5">
        <v>43894.0</v>
      </c>
      <c r="C3375" s="6" t="s">
        <v>75</v>
      </c>
      <c r="D3375" s="11">
        <f t="shared" si="1"/>
        <v>67</v>
      </c>
      <c r="E3375" s="8" t="str">
        <f t="shared" si="2"/>
        <v>https://resources.simonelectric.com/simon-ebook-vehiculo-electrico</v>
      </c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</row>
    <row r="3376" ht="15.75" customHeight="1">
      <c r="A3376" s="5" t="s">
        <v>4748</v>
      </c>
      <c r="B3376" s="5">
        <v>43894.0</v>
      </c>
      <c r="C3376" s="6" t="s">
        <v>75</v>
      </c>
      <c r="D3376" s="11">
        <f t="shared" si="1"/>
        <v>67</v>
      </c>
      <c r="E3376" s="8" t="str">
        <f t="shared" si="2"/>
        <v>https://resources.simonelectric.com/simon-ebook-vehiculo-electrico</v>
      </c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</row>
    <row r="3377" ht="15.75" customHeight="1">
      <c r="A3377" s="5" t="s">
        <v>4749</v>
      </c>
      <c r="B3377" s="5">
        <v>43894.0</v>
      </c>
      <c r="C3377" s="6" t="s">
        <v>75</v>
      </c>
      <c r="D3377" s="10">
        <f t="shared" si="1"/>
        <v>67</v>
      </c>
      <c r="E3377" s="8" t="str">
        <f t="shared" si="2"/>
        <v>https://resources.simonelectric.com/simon-ebook-vehiculo-electrico</v>
      </c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</row>
    <row r="3378" ht="15.75" customHeight="1">
      <c r="A3378" s="5" t="s">
        <v>1041</v>
      </c>
      <c r="B3378" s="5">
        <v>43894.0</v>
      </c>
      <c r="C3378" s="6" t="s">
        <v>31</v>
      </c>
      <c r="D3378" s="11">
        <f t="shared" si="1"/>
        <v>67</v>
      </c>
      <c r="E3378" s="8" t="str">
        <f t="shared" si="2"/>
        <v>https://resources.simonelectric.com/simon-ebook-vehiculo-electrico</v>
      </c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</row>
    <row r="3379" ht="15.75" customHeight="1">
      <c r="A3379" s="5" t="s">
        <v>2818</v>
      </c>
      <c r="B3379" s="5">
        <v>43893.0</v>
      </c>
      <c r="C3379" s="6" t="s">
        <v>75</v>
      </c>
      <c r="D3379" s="11">
        <f t="shared" si="1"/>
        <v>67</v>
      </c>
      <c r="E3379" s="8" t="str">
        <f t="shared" si="2"/>
        <v>https://resources.simonelectric.com/simon-ebook-vehiculo-electrico</v>
      </c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</row>
    <row r="3380" ht="15.75" customHeight="1">
      <c r="A3380" s="5" t="s">
        <v>993</v>
      </c>
      <c r="B3380" s="5">
        <v>43893.0</v>
      </c>
      <c r="C3380" s="6" t="s">
        <v>75</v>
      </c>
      <c r="D3380" s="11">
        <f t="shared" si="1"/>
        <v>67</v>
      </c>
      <c r="E3380" s="8" t="str">
        <f t="shared" si="2"/>
        <v>https://resources.simonelectric.com/simon-ebook-vehiculo-electrico</v>
      </c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</row>
    <row r="3381" ht="15.75" customHeight="1">
      <c r="A3381" s="5" t="s">
        <v>4750</v>
      </c>
      <c r="B3381" s="5">
        <v>43893.0</v>
      </c>
      <c r="C3381" s="6" t="s">
        <v>75</v>
      </c>
      <c r="D3381" s="11">
        <f t="shared" si="1"/>
        <v>67</v>
      </c>
      <c r="E3381" s="8" t="str">
        <f t="shared" si="2"/>
        <v>https://resources.simonelectric.com/simon-ebook-vehiculo-electrico</v>
      </c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</row>
    <row r="3382" ht="15.75" customHeight="1">
      <c r="A3382" s="5" t="s">
        <v>2275</v>
      </c>
      <c r="B3382" s="5">
        <v>43893.0</v>
      </c>
      <c r="C3382" s="6" t="s">
        <v>75</v>
      </c>
      <c r="D3382" s="11">
        <f t="shared" si="1"/>
        <v>67</v>
      </c>
      <c r="E3382" s="8" t="str">
        <f t="shared" si="2"/>
        <v>https://resources.simonelectric.com/simon-ebook-vehiculo-electrico</v>
      </c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</row>
    <row r="3383" ht="15.75" customHeight="1">
      <c r="A3383" s="5" t="s">
        <v>4751</v>
      </c>
      <c r="B3383" s="5">
        <v>43893.0</v>
      </c>
      <c r="C3383" s="6" t="s">
        <v>75</v>
      </c>
      <c r="D3383" s="10">
        <f t="shared" si="1"/>
        <v>67</v>
      </c>
      <c r="E3383" s="8" t="str">
        <f t="shared" si="2"/>
        <v>https://resources.simonelectric.com/simon-ebook-vehiculo-electrico</v>
      </c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</row>
    <row r="3384" ht="15.75" customHeight="1">
      <c r="A3384" s="5" t="s">
        <v>2463</v>
      </c>
      <c r="B3384" s="5">
        <v>43893.0</v>
      </c>
      <c r="C3384" s="6" t="s">
        <v>75</v>
      </c>
      <c r="D3384" s="11">
        <f t="shared" si="1"/>
        <v>67</v>
      </c>
      <c r="E3384" s="8" t="str">
        <f t="shared" si="2"/>
        <v>https://resources.simonelectric.com/simon-ebook-vehiculo-electrico</v>
      </c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</row>
    <row r="3385" ht="15.75" customHeight="1">
      <c r="A3385" s="5" t="s">
        <v>4752</v>
      </c>
      <c r="B3385" s="5">
        <v>43893.0</v>
      </c>
      <c r="C3385" s="6" t="s">
        <v>75</v>
      </c>
      <c r="D3385" s="11">
        <f t="shared" si="1"/>
        <v>67</v>
      </c>
      <c r="E3385" s="8" t="str">
        <f t="shared" si="2"/>
        <v>https://resources.simonelectric.com/simon-ebook-vehiculo-electrico</v>
      </c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</row>
    <row r="3386" ht="15.75" customHeight="1">
      <c r="A3386" s="5" t="s">
        <v>4753</v>
      </c>
      <c r="B3386" s="5">
        <v>43893.0</v>
      </c>
      <c r="C3386" s="6" t="s">
        <v>75</v>
      </c>
      <c r="D3386" s="10">
        <f t="shared" si="1"/>
        <v>67</v>
      </c>
      <c r="E3386" s="8" t="str">
        <f t="shared" si="2"/>
        <v>https://resources.simonelectric.com/simon-ebook-vehiculo-electrico</v>
      </c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</row>
    <row r="3387" ht="15.75" customHeight="1">
      <c r="A3387" s="5" t="s">
        <v>4754</v>
      </c>
      <c r="B3387" s="5">
        <v>43893.0</v>
      </c>
      <c r="C3387" s="6" t="s">
        <v>75</v>
      </c>
      <c r="D3387" s="11">
        <f t="shared" si="1"/>
        <v>67</v>
      </c>
      <c r="E3387" s="8" t="str">
        <f t="shared" si="2"/>
        <v>https://resources.simonelectric.com/simon-ebook-vehiculo-electrico</v>
      </c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</row>
    <row r="3388" ht="15.75" customHeight="1">
      <c r="A3388" s="5" t="s">
        <v>1299</v>
      </c>
      <c r="B3388" s="5">
        <v>43893.0</v>
      </c>
      <c r="C3388" s="6" t="s">
        <v>31</v>
      </c>
      <c r="D3388" s="10">
        <f t="shared" si="1"/>
        <v>67</v>
      </c>
      <c r="E3388" s="8" t="str">
        <f t="shared" si="2"/>
        <v>https://resources.simonelectric.com/simon-ebook-vehiculo-electrico</v>
      </c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</row>
    <row r="3389" ht="15.75" customHeight="1">
      <c r="A3389" s="5" t="s">
        <v>1299</v>
      </c>
      <c r="B3389" s="5">
        <v>43893.0</v>
      </c>
      <c r="C3389" s="6" t="s">
        <v>75</v>
      </c>
      <c r="D3389" s="11">
        <f t="shared" si="1"/>
        <v>67</v>
      </c>
      <c r="E3389" s="8" t="str">
        <f t="shared" si="2"/>
        <v>https://resources.simonelectric.com/simon-ebook-vehiculo-electrico</v>
      </c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</row>
    <row r="3390" ht="15.75" customHeight="1">
      <c r="A3390" s="5" t="s">
        <v>2829</v>
      </c>
      <c r="B3390" s="5">
        <v>43893.0</v>
      </c>
      <c r="C3390" s="6" t="s">
        <v>31</v>
      </c>
      <c r="D3390" s="11">
        <f t="shared" si="1"/>
        <v>67</v>
      </c>
      <c r="E3390" s="8" t="str">
        <f t="shared" si="2"/>
        <v>https://resources.simonelectric.com/simon-ebook-vehiculo-electrico</v>
      </c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</row>
    <row r="3391" ht="15.75" customHeight="1">
      <c r="A3391" s="5" t="s">
        <v>773</v>
      </c>
      <c r="B3391" s="5">
        <v>43893.0</v>
      </c>
      <c r="C3391" s="6" t="s">
        <v>75</v>
      </c>
      <c r="D3391" s="10">
        <f t="shared" si="1"/>
        <v>67</v>
      </c>
      <c r="E3391" s="8" t="str">
        <f t="shared" si="2"/>
        <v>https://resources.simonelectric.com/simon-ebook-vehiculo-electrico</v>
      </c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</row>
    <row r="3392" ht="15.75" customHeight="1">
      <c r="A3392" s="5" t="s">
        <v>4755</v>
      </c>
      <c r="B3392" s="5">
        <v>43893.0</v>
      </c>
      <c r="C3392" s="6" t="s">
        <v>4756</v>
      </c>
      <c r="D3392" s="10">
        <f t="shared" si="1"/>
        <v>67</v>
      </c>
      <c r="E3392" s="8" t="str">
        <f t="shared" si="2"/>
        <v>https://resources.simonelectric.com/simon-ebook-vehiculo-electrico</v>
      </c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</row>
    <row r="3393" ht="15.75" customHeight="1">
      <c r="A3393" s="5" t="s">
        <v>4757</v>
      </c>
      <c r="B3393" s="5">
        <v>43893.0</v>
      </c>
      <c r="C3393" s="6" t="s">
        <v>31</v>
      </c>
      <c r="D3393" s="11">
        <f t="shared" si="1"/>
        <v>67</v>
      </c>
      <c r="E3393" s="8" t="str">
        <f t="shared" si="2"/>
        <v>https://resources.simonelectric.com/simon-ebook-vehiculo-electrico</v>
      </c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</row>
    <row r="3394" ht="15.75" customHeight="1">
      <c r="A3394" s="5" t="s">
        <v>2020</v>
      </c>
      <c r="B3394" s="5">
        <v>43893.0</v>
      </c>
      <c r="C3394" s="6" t="s">
        <v>75</v>
      </c>
      <c r="D3394" s="10">
        <f t="shared" si="1"/>
        <v>67</v>
      </c>
      <c r="E3394" s="8" t="str">
        <f t="shared" si="2"/>
        <v>https://resources.simonelectric.com/simon-ebook-vehiculo-electrico</v>
      </c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</row>
    <row r="3395" ht="15.75" customHeight="1">
      <c r="A3395" s="5" t="s">
        <v>4758</v>
      </c>
      <c r="B3395" s="5">
        <v>43893.0</v>
      </c>
      <c r="C3395" s="6" t="s">
        <v>75</v>
      </c>
      <c r="D3395" s="11">
        <f t="shared" si="1"/>
        <v>67</v>
      </c>
      <c r="E3395" s="8" t="str">
        <f t="shared" si="2"/>
        <v>https://resources.simonelectric.com/simon-ebook-vehiculo-electrico</v>
      </c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</row>
    <row r="3396" ht="15.75" customHeight="1">
      <c r="A3396" s="5" t="s">
        <v>3208</v>
      </c>
      <c r="B3396" s="5">
        <v>43893.0</v>
      </c>
      <c r="C3396" s="6" t="s">
        <v>75</v>
      </c>
      <c r="D3396" s="10">
        <f t="shared" si="1"/>
        <v>67</v>
      </c>
      <c r="E3396" s="8" t="str">
        <f t="shared" si="2"/>
        <v>https://resources.simonelectric.com/simon-ebook-vehiculo-electrico</v>
      </c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</row>
    <row r="3397" ht="15.75" customHeight="1">
      <c r="A3397" s="5" t="s">
        <v>4759</v>
      </c>
      <c r="B3397" s="5">
        <v>43893.0</v>
      </c>
      <c r="C3397" s="6" t="s">
        <v>75</v>
      </c>
      <c r="D3397" s="10">
        <f t="shared" si="1"/>
        <v>67</v>
      </c>
      <c r="E3397" s="8" t="str">
        <f t="shared" si="2"/>
        <v>https://resources.simonelectric.com/simon-ebook-vehiculo-electrico</v>
      </c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</row>
    <row r="3398" ht="15.75" customHeight="1">
      <c r="A3398" s="5" t="s">
        <v>4760</v>
      </c>
      <c r="B3398" s="5">
        <v>43893.0</v>
      </c>
      <c r="C3398" s="6" t="s">
        <v>299</v>
      </c>
      <c r="D3398" s="10" t="str">
        <f t="shared" si="1"/>
        <v>https://resources.simonelectric.com/simon-material-formativo-vehiculo-electrico</v>
      </c>
      <c r="E3398" s="8" t="str">
        <f t="shared" si="2"/>
        <v>https://resources.simonelectric.com/simon-material-formativo-vehiculo-electrico</v>
      </c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</row>
    <row r="3399" ht="15.75" customHeight="1">
      <c r="A3399" s="5" t="s">
        <v>4761</v>
      </c>
      <c r="B3399" s="5">
        <v>43893.0</v>
      </c>
      <c r="C3399" s="6" t="s">
        <v>75</v>
      </c>
      <c r="D3399" s="11">
        <f t="shared" si="1"/>
        <v>67</v>
      </c>
      <c r="E3399" s="8" t="str">
        <f t="shared" si="2"/>
        <v>https://resources.simonelectric.com/simon-ebook-vehiculo-electrico</v>
      </c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</row>
    <row r="3400" ht="15.75" customHeight="1">
      <c r="A3400" s="5" t="s">
        <v>2991</v>
      </c>
      <c r="B3400" s="5">
        <v>43893.0</v>
      </c>
      <c r="C3400" s="6" t="s">
        <v>75</v>
      </c>
      <c r="D3400" s="11">
        <f t="shared" si="1"/>
        <v>67</v>
      </c>
      <c r="E3400" s="8" t="str">
        <f t="shared" si="2"/>
        <v>https://resources.simonelectric.com/simon-ebook-vehiculo-electrico</v>
      </c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</row>
    <row r="3401" ht="15.75" customHeight="1">
      <c r="A3401" s="5" t="s">
        <v>4761</v>
      </c>
      <c r="B3401" s="5">
        <v>43893.0</v>
      </c>
      <c r="C3401" s="6" t="s">
        <v>4762</v>
      </c>
      <c r="D3401" s="10">
        <f t="shared" si="1"/>
        <v>70</v>
      </c>
      <c r="E3401" s="8" t="str">
        <f t="shared" si="2"/>
        <v>https://resources.simonelectric.com/simon-catalogo-vehiculo-electrico</v>
      </c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</row>
    <row r="3402" ht="15.75" customHeight="1">
      <c r="A3402" s="5" t="s">
        <v>1107</v>
      </c>
      <c r="B3402" s="5">
        <v>43893.0</v>
      </c>
      <c r="C3402" s="6" t="s">
        <v>75</v>
      </c>
      <c r="D3402" s="11">
        <f t="shared" si="1"/>
        <v>67</v>
      </c>
      <c r="E3402" s="8" t="str">
        <f t="shared" si="2"/>
        <v>https://resources.simonelectric.com/simon-ebook-vehiculo-electrico</v>
      </c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</row>
    <row r="3403" ht="15.75" customHeight="1">
      <c r="A3403" s="5" t="s">
        <v>4763</v>
      </c>
      <c r="B3403" s="5">
        <v>43893.0</v>
      </c>
      <c r="C3403" s="6" t="s">
        <v>75</v>
      </c>
      <c r="D3403" s="11">
        <f t="shared" si="1"/>
        <v>67</v>
      </c>
      <c r="E3403" s="8" t="str">
        <f t="shared" si="2"/>
        <v>https://resources.simonelectric.com/simon-ebook-vehiculo-electrico</v>
      </c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</row>
    <row r="3404" ht="15.75" customHeight="1">
      <c r="A3404" s="5" t="s">
        <v>2437</v>
      </c>
      <c r="B3404" s="5">
        <v>43893.0</v>
      </c>
      <c r="C3404" s="6" t="s">
        <v>31</v>
      </c>
      <c r="D3404" s="11">
        <f t="shared" si="1"/>
        <v>67</v>
      </c>
      <c r="E3404" s="8" t="str">
        <f t="shared" si="2"/>
        <v>https://resources.simonelectric.com/simon-ebook-vehiculo-electrico</v>
      </c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</row>
    <row r="3405" ht="15.75" customHeight="1">
      <c r="A3405" s="5" t="s">
        <v>4764</v>
      </c>
      <c r="B3405" s="5">
        <v>43893.0</v>
      </c>
      <c r="C3405" s="6" t="s">
        <v>8</v>
      </c>
      <c r="D3405" s="11">
        <f t="shared" si="1"/>
        <v>67</v>
      </c>
      <c r="E3405" s="8" t="str">
        <f t="shared" si="2"/>
        <v>https://resources.simonelectric.com/simon-ebook-vehiculo-electrico</v>
      </c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</row>
    <row r="3406" ht="15.75" customHeight="1">
      <c r="A3406" s="5" t="s">
        <v>4765</v>
      </c>
      <c r="B3406" s="5">
        <v>43893.0</v>
      </c>
      <c r="C3406" s="6" t="s">
        <v>75</v>
      </c>
      <c r="D3406" s="11">
        <f t="shared" si="1"/>
        <v>67</v>
      </c>
      <c r="E3406" s="8" t="str">
        <f t="shared" si="2"/>
        <v>https://resources.simonelectric.com/simon-ebook-vehiculo-electrico</v>
      </c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</row>
    <row r="3407" ht="15.75" customHeight="1">
      <c r="A3407" s="5" t="s">
        <v>4766</v>
      </c>
      <c r="B3407" s="5">
        <v>43893.0</v>
      </c>
      <c r="C3407" s="6" t="s">
        <v>75</v>
      </c>
      <c r="D3407" s="11">
        <f t="shared" si="1"/>
        <v>67</v>
      </c>
      <c r="E3407" s="8" t="str">
        <f t="shared" si="2"/>
        <v>https://resources.simonelectric.com/simon-ebook-vehiculo-electrico</v>
      </c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</row>
    <row r="3408" ht="15.75" customHeight="1">
      <c r="A3408" s="5" t="s">
        <v>4767</v>
      </c>
      <c r="B3408" s="5">
        <v>43893.0</v>
      </c>
      <c r="C3408" s="6" t="s">
        <v>75</v>
      </c>
      <c r="D3408" s="11">
        <f t="shared" si="1"/>
        <v>67</v>
      </c>
      <c r="E3408" s="8" t="str">
        <f t="shared" si="2"/>
        <v>https://resources.simonelectric.com/simon-ebook-vehiculo-electrico</v>
      </c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</row>
    <row r="3409" ht="15.75" customHeight="1">
      <c r="A3409" s="5" t="s">
        <v>4768</v>
      </c>
      <c r="B3409" s="5">
        <v>43893.0</v>
      </c>
      <c r="C3409" s="6" t="s">
        <v>75</v>
      </c>
      <c r="D3409" s="11">
        <f t="shared" si="1"/>
        <v>67</v>
      </c>
      <c r="E3409" s="8" t="str">
        <f t="shared" si="2"/>
        <v>https://resources.simonelectric.com/simon-ebook-vehiculo-electrico</v>
      </c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</row>
    <row r="3410" ht="15.75" customHeight="1">
      <c r="A3410" s="5" t="s">
        <v>4769</v>
      </c>
      <c r="B3410" s="5">
        <v>43893.0</v>
      </c>
      <c r="C3410" s="6" t="s">
        <v>75</v>
      </c>
      <c r="D3410" s="10">
        <f t="shared" si="1"/>
        <v>67</v>
      </c>
      <c r="E3410" s="8" t="str">
        <f t="shared" si="2"/>
        <v>https://resources.simonelectric.com/simon-ebook-vehiculo-electrico</v>
      </c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</row>
    <row r="3411" ht="15.75" customHeight="1">
      <c r="A3411" s="5" t="s">
        <v>4770</v>
      </c>
      <c r="B3411" s="5">
        <v>43893.0</v>
      </c>
      <c r="C3411" s="6" t="s">
        <v>75</v>
      </c>
      <c r="D3411" s="11">
        <f t="shared" si="1"/>
        <v>67</v>
      </c>
      <c r="E3411" s="8" t="str">
        <f t="shared" si="2"/>
        <v>https://resources.simonelectric.com/simon-ebook-vehiculo-electrico</v>
      </c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</row>
    <row r="3412" ht="15.75" customHeight="1">
      <c r="A3412" s="5" t="s">
        <v>4771</v>
      </c>
      <c r="B3412" s="5">
        <v>43893.0</v>
      </c>
      <c r="C3412" s="6" t="s">
        <v>31</v>
      </c>
      <c r="D3412" s="10">
        <f t="shared" si="1"/>
        <v>67</v>
      </c>
      <c r="E3412" s="8" t="str">
        <f t="shared" si="2"/>
        <v>https://resources.simonelectric.com/simon-ebook-vehiculo-electrico</v>
      </c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</row>
    <row r="3413" ht="15.75" customHeight="1">
      <c r="A3413" s="5" t="s">
        <v>4772</v>
      </c>
      <c r="B3413" s="5">
        <v>43893.0</v>
      </c>
      <c r="C3413" s="6" t="s">
        <v>75</v>
      </c>
      <c r="D3413" s="11">
        <f t="shared" si="1"/>
        <v>67</v>
      </c>
      <c r="E3413" s="8" t="str">
        <f t="shared" si="2"/>
        <v>https://resources.simonelectric.com/simon-ebook-vehiculo-electrico</v>
      </c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</row>
    <row r="3414" ht="15.75" customHeight="1">
      <c r="A3414" s="5" t="s">
        <v>4773</v>
      </c>
      <c r="B3414" s="5">
        <v>43893.0</v>
      </c>
      <c r="C3414" s="6" t="s">
        <v>75</v>
      </c>
      <c r="D3414" s="11">
        <f t="shared" si="1"/>
        <v>67</v>
      </c>
      <c r="E3414" s="8" t="str">
        <f t="shared" si="2"/>
        <v>https://resources.simonelectric.com/simon-ebook-vehiculo-electrico</v>
      </c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</row>
    <row r="3415" ht="15.75" customHeight="1">
      <c r="A3415" s="5" t="s">
        <v>4774</v>
      </c>
      <c r="B3415" s="5">
        <v>43893.0</v>
      </c>
      <c r="C3415" s="6" t="s">
        <v>75</v>
      </c>
      <c r="D3415" s="11">
        <f t="shared" si="1"/>
        <v>67</v>
      </c>
      <c r="E3415" s="8" t="str">
        <f t="shared" si="2"/>
        <v>https://resources.simonelectric.com/simon-ebook-vehiculo-electrico</v>
      </c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</row>
    <row r="3416" ht="15.75" customHeight="1">
      <c r="A3416" s="5" t="s">
        <v>2475</v>
      </c>
      <c r="B3416" s="5">
        <v>43893.0</v>
      </c>
      <c r="C3416" s="6" t="s">
        <v>75</v>
      </c>
      <c r="D3416" s="11">
        <f t="shared" si="1"/>
        <v>67</v>
      </c>
      <c r="E3416" s="8" t="str">
        <f t="shared" si="2"/>
        <v>https://resources.simonelectric.com/simon-ebook-vehiculo-electrico</v>
      </c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</row>
    <row r="3417" ht="15.75" customHeight="1">
      <c r="A3417" s="5" t="s">
        <v>2044</v>
      </c>
      <c r="B3417" s="5">
        <v>43893.0</v>
      </c>
      <c r="C3417" s="6" t="s">
        <v>75</v>
      </c>
      <c r="D3417" s="11">
        <f t="shared" si="1"/>
        <v>67</v>
      </c>
      <c r="E3417" s="8" t="str">
        <f t="shared" si="2"/>
        <v>https://resources.simonelectric.com/simon-ebook-vehiculo-electrico</v>
      </c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</row>
    <row r="3418" ht="15.75" customHeight="1">
      <c r="A3418" s="5" t="s">
        <v>4775</v>
      </c>
      <c r="B3418" s="5">
        <v>43893.0</v>
      </c>
      <c r="C3418" s="6" t="s">
        <v>75</v>
      </c>
      <c r="D3418" s="11">
        <f t="shared" si="1"/>
        <v>67</v>
      </c>
      <c r="E3418" s="8" t="str">
        <f t="shared" si="2"/>
        <v>https://resources.simonelectric.com/simon-ebook-vehiculo-electrico</v>
      </c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</row>
    <row r="3419" ht="15.75" customHeight="1">
      <c r="A3419" s="5" t="s">
        <v>2833</v>
      </c>
      <c r="B3419" s="5">
        <v>43893.0</v>
      </c>
      <c r="C3419" s="6" t="s">
        <v>8</v>
      </c>
      <c r="D3419" s="11">
        <f t="shared" si="1"/>
        <v>67</v>
      </c>
      <c r="E3419" s="8" t="str">
        <f t="shared" si="2"/>
        <v>https://resources.simonelectric.com/simon-ebook-vehiculo-electrico</v>
      </c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</row>
    <row r="3420" ht="15.75" customHeight="1">
      <c r="A3420" s="5" t="s">
        <v>4776</v>
      </c>
      <c r="B3420" s="5">
        <v>43893.0</v>
      </c>
      <c r="C3420" s="6" t="s">
        <v>75</v>
      </c>
      <c r="D3420" s="11">
        <f t="shared" si="1"/>
        <v>67</v>
      </c>
      <c r="E3420" s="8" t="str">
        <f t="shared" si="2"/>
        <v>https://resources.simonelectric.com/simon-ebook-vehiculo-electrico</v>
      </c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</row>
    <row r="3421" ht="15.75" customHeight="1">
      <c r="A3421" s="5" t="s">
        <v>2818</v>
      </c>
      <c r="B3421" s="5">
        <v>43893.0</v>
      </c>
      <c r="C3421" s="6" t="s">
        <v>31</v>
      </c>
      <c r="D3421" s="11">
        <f t="shared" si="1"/>
        <v>67</v>
      </c>
      <c r="E3421" s="8" t="str">
        <f t="shared" si="2"/>
        <v>https://resources.simonelectric.com/simon-ebook-vehiculo-electrico</v>
      </c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</row>
    <row r="3422" ht="15.75" customHeight="1">
      <c r="A3422" s="5" t="s">
        <v>4777</v>
      </c>
      <c r="B3422" s="5">
        <v>43893.0</v>
      </c>
      <c r="C3422" s="6" t="s">
        <v>31</v>
      </c>
      <c r="D3422" s="11">
        <f t="shared" si="1"/>
        <v>67</v>
      </c>
      <c r="E3422" s="8" t="str">
        <f t="shared" si="2"/>
        <v>https://resources.simonelectric.com/simon-ebook-vehiculo-electrico</v>
      </c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</row>
    <row r="3423" ht="15.75" customHeight="1">
      <c r="A3423" s="5" t="s">
        <v>4778</v>
      </c>
      <c r="B3423" s="5">
        <v>43893.0</v>
      </c>
      <c r="C3423" s="6" t="s">
        <v>75</v>
      </c>
      <c r="D3423" s="11">
        <f t="shared" si="1"/>
        <v>67</v>
      </c>
      <c r="E3423" s="8" t="str">
        <f t="shared" si="2"/>
        <v>https://resources.simonelectric.com/simon-ebook-vehiculo-electrico</v>
      </c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</row>
    <row r="3424" ht="15.75" customHeight="1">
      <c r="A3424" s="5" t="s">
        <v>4779</v>
      </c>
      <c r="B3424" s="5">
        <v>43893.0</v>
      </c>
      <c r="C3424" s="6" t="s">
        <v>75</v>
      </c>
      <c r="D3424" s="11">
        <f t="shared" si="1"/>
        <v>67</v>
      </c>
      <c r="E3424" s="8" t="str">
        <f t="shared" si="2"/>
        <v>https://resources.simonelectric.com/simon-ebook-vehiculo-electrico</v>
      </c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</row>
    <row r="3425" ht="15.75" customHeight="1">
      <c r="A3425" s="5" t="s">
        <v>4362</v>
      </c>
      <c r="B3425" s="5">
        <v>43893.0</v>
      </c>
      <c r="C3425" s="6" t="s">
        <v>75</v>
      </c>
      <c r="D3425" s="10">
        <f t="shared" si="1"/>
        <v>67</v>
      </c>
      <c r="E3425" s="8" t="str">
        <f t="shared" si="2"/>
        <v>https://resources.simonelectric.com/simon-ebook-vehiculo-electrico</v>
      </c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</row>
    <row r="3426" ht="15.75" customHeight="1">
      <c r="A3426" s="5" t="s">
        <v>4747</v>
      </c>
      <c r="B3426" s="5">
        <v>43893.0</v>
      </c>
      <c r="C3426" s="6" t="s">
        <v>75</v>
      </c>
      <c r="D3426" s="10">
        <f t="shared" si="1"/>
        <v>67</v>
      </c>
      <c r="E3426" s="8" t="str">
        <f t="shared" si="2"/>
        <v>https://resources.simonelectric.com/simon-ebook-vehiculo-electrico</v>
      </c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</row>
    <row r="3427" ht="15.75" customHeight="1">
      <c r="A3427" s="5" t="s">
        <v>4780</v>
      </c>
      <c r="B3427" s="5">
        <v>43893.0</v>
      </c>
      <c r="C3427" s="6" t="s">
        <v>75</v>
      </c>
      <c r="D3427" s="11">
        <f t="shared" si="1"/>
        <v>67</v>
      </c>
      <c r="E3427" s="8" t="str">
        <f t="shared" si="2"/>
        <v>https://resources.simonelectric.com/simon-ebook-vehiculo-electrico</v>
      </c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</row>
    <row r="3428" ht="15.75" customHeight="1">
      <c r="A3428" s="5" t="s">
        <v>4781</v>
      </c>
      <c r="B3428" s="5">
        <v>43893.0</v>
      </c>
      <c r="C3428" s="6" t="s">
        <v>75</v>
      </c>
      <c r="D3428" s="11">
        <f t="shared" si="1"/>
        <v>67</v>
      </c>
      <c r="E3428" s="8" t="str">
        <f t="shared" si="2"/>
        <v>https://resources.simonelectric.com/simon-ebook-vehiculo-electrico</v>
      </c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</row>
    <row r="3429" ht="15.75" customHeight="1">
      <c r="A3429" s="5" t="s">
        <v>4782</v>
      </c>
      <c r="B3429" s="5">
        <v>43893.0</v>
      </c>
      <c r="C3429" s="6" t="s">
        <v>75</v>
      </c>
      <c r="D3429" s="11">
        <f t="shared" si="1"/>
        <v>67</v>
      </c>
      <c r="E3429" s="8" t="str">
        <f t="shared" si="2"/>
        <v>https://resources.simonelectric.com/simon-ebook-vehiculo-electrico</v>
      </c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</row>
    <row r="3430" ht="15.75" customHeight="1">
      <c r="A3430" s="5" t="s">
        <v>4783</v>
      </c>
      <c r="B3430" s="5">
        <v>43893.0</v>
      </c>
      <c r="C3430" s="6" t="s">
        <v>75</v>
      </c>
      <c r="D3430" s="11">
        <f t="shared" si="1"/>
        <v>67</v>
      </c>
      <c r="E3430" s="8" t="str">
        <f t="shared" si="2"/>
        <v>https://resources.simonelectric.com/simon-ebook-vehiculo-electrico</v>
      </c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</row>
    <row r="3431" ht="15.75" customHeight="1">
      <c r="A3431" s="5" t="s">
        <v>2330</v>
      </c>
      <c r="B3431" s="5">
        <v>43893.0</v>
      </c>
      <c r="C3431" s="6" t="s">
        <v>75</v>
      </c>
      <c r="D3431" s="11">
        <f t="shared" si="1"/>
        <v>67</v>
      </c>
      <c r="E3431" s="8" t="str">
        <f t="shared" si="2"/>
        <v>https://resources.simonelectric.com/simon-ebook-vehiculo-electrico</v>
      </c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</row>
    <row r="3432" ht="15.75" customHeight="1">
      <c r="A3432" s="5" t="s">
        <v>3666</v>
      </c>
      <c r="B3432" s="5">
        <v>43893.0</v>
      </c>
      <c r="C3432" s="6" t="s">
        <v>75</v>
      </c>
      <c r="D3432" s="11">
        <f t="shared" si="1"/>
        <v>67</v>
      </c>
      <c r="E3432" s="8" t="str">
        <f t="shared" si="2"/>
        <v>https://resources.simonelectric.com/simon-ebook-vehiculo-electrico</v>
      </c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</row>
    <row r="3433" ht="15.75" customHeight="1">
      <c r="A3433" s="5" t="s">
        <v>4784</v>
      </c>
      <c r="B3433" s="5">
        <v>43893.0</v>
      </c>
      <c r="C3433" s="6" t="s">
        <v>4785</v>
      </c>
      <c r="D3433" s="11">
        <f t="shared" si="1"/>
        <v>70</v>
      </c>
      <c r="E3433" s="8" t="str">
        <f t="shared" si="2"/>
        <v>https://resources.simonelectric.com/simon-catalogo-vehiculo-electrico</v>
      </c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</row>
    <row r="3434" ht="15.75" customHeight="1">
      <c r="A3434" s="5" t="s">
        <v>4786</v>
      </c>
      <c r="B3434" s="5">
        <v>43893.0</v>
      </c>
      <c r="C3434" s="6" t="s">
        <v>75</v>
      </c>
      <c r="D3434" s="11">
        <f t="shared" si="1"/>
        <v>67</v>
      </c>
      <c r="E3434" s="8" t="str">
        <f t="shared" si="2"/>
        <v>https://resources.simonelectric.com/simon-ebook-vehiculo-electrico</v>
      </c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</row>
    <row r="3435" ht="15.75" customHeight="1">
      <c r="A3435" s="5" t="s">
        <v>4787</v>
      </c>
      <c r="B3435" s="5">
        <v>43893.0</v>
      </c>
      <c r="C3435" s="6" t="s">
        <v>75</v>
      </c>
      <c r="D3435" s="11">
        <f t="shared" si="1"/>
        <v>67</v>
      </c>
      <c r="E3435" s="8" t="str">
        <f t="shared" si="2"/>
        <v>https://resources.simonelectric.com/simon-ebook-vehiculo-electrico</v>
      </c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</row>
    <row r="3436" ht="15.75" customHeight="1">
      <c r="A3436" s="5" t="s">
        <v>4788</v>
      </c>
      <c r="B3436" s="5">
        <v>43893.0</v>
      </c>
      <c r="C3436" s="6" t="s">
        <v>75</v>
      </c>
      <c r="D3436" s="11">
        <f t="shared" si="1"/>
        <v>67</v>
      </c>
      <c r="E3436" s="8" t="str">
        <f t="shared" si="2"/>
        <v>https://resources.simonelectric.com/simon-ebook-vehiculo-electrico</v>
      </c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</row>
    <row r="3437" ht="15.75" customHeight="1">
      <c r="A3437" s="5" t="s">
        <v>4789</v>
      </c>
      <c r="B3437" s="5">
        <v>43893.0</v>
      </c>
      <c r="C3437" s="6" t="s">
        <v>75</v>
      </c>
      <c r="D3437" s="11">
        <f t="shared" si="1"/>
        <v>67</v>
      </c>
      <c r="E3437" s="8" t="str">
        <f t="shared" si="2"/>
        <v>https://resources.simonelectric.com/simon-ebook-vehiculo-electrico</v>
      </c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</row>
    <row r="3438" ht="15.75" customHeight="1">
      <c r="A3438" s="5" t="s">
        <v>4784</v>
      </c>
      <c r="B3438" s="5">
        <v>43893.0</v>
      </c>
      <c r="C3438" s="6" t="s">
        <v>8</v>
      </c>
      <c r="D3438" s="11">
        <f t="shared" si="1"/>
        <v>67</v>
      </c>
      <c r="E3438" s="8" t="str">
        <f t="shared" si="2"/>
        <v>https://resources.simonelectric.com/simon-ebook-vehiculo-electrico</v>
      </c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</row>
    <row r="3439" ht="15.75" customHeight="1">
      <c r="A3439" s="5" t="s">
        <v>4790</v>
      </c>
      <c r="B3439" s="5">
        <v>43893.0</v>
      </c>
      <c r="C3439" s="6" t="s">
        <v>31</v>
      </c>
      <c r="D3439" s="11">
        <f t="shared" si="1"/>
        <v>67</v>
      </c>
      <c r="E3439" s="8" t="str">
        <f t="shared" si="2"/>
        <v>https://resources.simonelectric.com/simon-ebook-vehiculo-electrico</v>
      </c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</row>
    <row r="3440" ht="15.75" customHeight="1">
      <c r="A3440" s="5" t="s">
        <v>751</v>
      </c>
      <c r="B3440" s="5">
        <v>43893.0</v>
      </c>
      <c r="C3440" s="6" t="s">
        <v>75</v>
      </c>
      <c r="D3440" s="11">
        <f t="shared" si="1"/>
        <v>67</v>
      </c>
      <c r="E3440" s="8" t="str">
        <f t="shared" si="2"/>
        <v>https://resources.simonelectric.com/simon-ebook-vehiculo-electrico</v>
      </c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</row>
    <row r="3441" ht="15.75" customHeight="1">
      <c r="A3441" s="5" t="s">
        <v>1278</v>
      </c>
      <c r="B3441" s="5">
        <v>43893.0</v>
      </c>
      <c r="C3441" s="6" t="s">
        <v>75</v>
      </c>
      <c r="D3441" s="11">
        <f t="shared" si="1"/>
        <v>67</v>
      </c>
      <c r="E3441" s="8" t="str">
        <f t="shared" si="2"/>
        <v>https://resources.simonelectric.com/simon-ebook-vehiculo-electrico</v>
      </c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</row>
    <row r="3442" ht="15.75" customHeight="1">
      <c r="A3442" s="5" t="s">
        <v>4791</v>
      </c>
      <c r="B3442" s="5">
        <v>43893.0</v>
      </c>
      <c r="C3442" s="6" t="s">
        <v>75</v>
      </c>
      <c r="D3442" s="11">
        <f t="shared" si="1"/>
        <v>67</v>
      </c>
      <c r="E3442" s="8" t="str">
        <f t="shared" si="2"/>
        <v>https://resources.simonelectric.com/simon-ebook-vehiculo-electrico</v>
      </c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</row>
    <row r="3443" ht="15.75" customHeight="1">
      <c r="A3443" s="5" t="s">
        <v>4792</v>
      </c>
      <c r="B3443" s="5">
        <v>43893.0</v>
      </c>
      <c r="C3443" s="6" t="s">
        <v>75</v>
      </c>
      <c r="D3443" s="11">
        <f t="shared" si="1"/>
        <v>67</v>
      </c>
      <c r="E3443" s="8" t="str">
        <f t="shared" si="2"/>
        <v>https://resources.simonelectric.com/simon-ebook-vehiculo-electrico</v>
      </c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</row>
    <row r="3444" ht="15.75" customHeight="1">
      <c r="A3444" s="5" t="s">
        <v>4793</v>
      </c>
      <c r="B3444" s="5">
        <v>43893.0</v>
      </c>
      <c r="C3444" s="6" t="s">
        <v>75</v>
      </c>
      <c r="D3444" s="11">
        <f t="shared" si="1"/>
        <v>67</v>
      </c>
      <c r="E3444" s="8" t="str">
        <f t="shared" si="2"/>
        <v>https://resources.simonelectric.com/simon-ebook-vehiculo-electrico</v>
      </c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</row>
    <row r="3445" ht="15.75" customHeight="1">
      <c r="A3445" s="5" t="s">
        <v>4794</v>
      </c>
      <c r="B3445" s="5">
        <v>43893.0</v>
      </c>
      <c r="C3445" s="6" t="s">
        <v>75</v>
      </c>
      <c r="D3445" s="11">
        <f t="shared" si="1"/>
        <v>67</v>
      </c>
      <c r="E3445" s="8" t="str">
        <f t="shared" si="2"/>
        <v>https://resources.simonelectric.com/simon-ebook-vehiculo-electrico</v>
      </c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</row>
    <row r="3446" ht="15.75" customHeight="1">
      <c r="A3446" s="5" t="s">
        <v>4795</v>
      </c>
      <c r="B3446" s="5">
        <v>43893.0</v>
      </c>
      <c r="C3446" s="6" t="s">
        <v>75</v>
      </c>
      <c r="D3446" s="11">
        <f t="shared" si="1"/>
        <v>67</v>
      </c>
      <c r="E3446" s="8" t="str">
        <f t="shared" si="2"/>
        <v>https://resources.simonelectric.com/simon-ebook-vehiculo-electrico</v>
      </c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</row>
    <row r="3447" ht="15.75" customHeight="1">
      <c r="A3447" s="5" t="s">
        <v>4796</v>
      </c>
      <c r="B3447" s="5">
        <v>43893.0</v>
      </c>
      <c r="C3447" s="6" t="s">
        <v>75</v>
      </c>
      <c r="D3447" s="11">
        <f t="shared" si="1"/>
        <v>67</v>
      </c>
      <c r="E3447" s="8" t="str">
        <f t="shared" si="2"/>
        <v>https://resources.simonelectric.com/simon-ebook-vehiculo-electrico</v>
      </c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</row>
    <row r="3448" ht="15.75" customHeight="1">
      <c r="A3448" s="5" t="s">
        <v>4797</v>
      </c>
      <c r="B3448" s="5">
        <v>43893.0</v>
      </c>
      <c r="C3448" s="6" t="s">
        <v>75</v>
      </c>
      <c r="D3448" s="11">
        <f t="shared" si="1"/>
        <v>67</v>
      </c>
      <c r="E3448" s="8" t="str">
        <f t="shared" si="2"/>
        <v>https://resources.simonelectric.com/simon-ebook-vehiculo-electrico</v>
      </c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</row>
    <row r="3449" ht="15.75" customHeight="1">
      <c r="A3449" s="5" t="s">
        <v>4798</v>
      </c>
      <c r="B3449" s="5">
        <v>43893.0</v>
      </c>
      <c r="C3449" s="6" t="s">
        <v>75</v>
      </c>
      <c r="D3449" s="11">
        <f t="shared" si="1"/>
        <v>67</v>
      </c>
      <c r="E3449" s="8" t="str">
        <f t="shared" si="2"/>
        <v>https://resources.simonelectric.com/simon-ebook-vehiculo-electrico</v>
      </c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</row>
    <row r="3450" ht="15.75" customHeight="1">
      <c r="A3450" s="5" t="s">
        <v>4110</v>
      </c>
      <c r="B3450" s="5">
        <v>43893.0</v>
      </c>
      <c r="C3450" s="6" t="s">
        <v>75</v>
      </c>
      <c r="D3450" s="11">
        <f t="shared" si="1"/>
        <v>67</v>
      </c>
      <c r="E3450" s="8" t="str">
        <f t="shared" si="2"/>
        <v>https://resources.simonelectric.com/simon-ebook-vehiculo-electrico</v>
      </c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</row>
    <row r="3451" ht="15.75" customHeight="1">
      <c r="A3451" s="5" t="s">
        <v>4799</v>
      </c>
      <c r="B3451" s="5">
        <v>43893.0</v>
      </c>
      <c r="C3451" s="6" t="s">
        <v>75</v>
      </c>
      <c r="D3451" s="11">
        <f t="shared" si="1"/>
        <v>67</v>
      </c>
      <c r="E3451" s="8" t="str">
        <f t="shared" si="2"/>
        <v>https://resources.simonelectric.com/simon-ebook-vehiculo-electrico</v>
      </c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</row>
    <row r="3452" ht="15.75" customHeight="1">
      <c r="A3452" s="5" t="s">
        <v>3389</v>
      </c>
      <c r="B3452" s="5">
        <v>43893.0</v>
      </c>
      <c r="C3452" s="6" t="s">
        <v>31</v>
      </c>
      <c r="D3452" s="11">
        <f t="shared" si="1"/>
        <v>67</v>
      </c>
      <c r="E3452" s="8" t="str">
        <f t="shared" si="2"/>
        <v>https://resources.simonelectric.com/simon-ebook-vehiculo-electrico</v>
      </c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</row>
    <row r="3453" ht="15.75" customHeight="1">
      <c r="A3453" s="5" t="s">
        <v>4800</v>
      </c>
      <c r="B3453" s="5">
        <v>43893.0</v>
      </c>
      <c r="C3453" s="6" t="s">
        <v>75</v>
      </c>
      <c r="D3453" s="11">
        <f t="shared" si="1"/>
        <v>67</v>
      </c>
      <c r="E3453" s="8" t="str">
        <f t="shared" si="2"/>
        <v>https://resources.simonelectric.com/simon-ebook-vehiculo-electrico</v>
      </c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</row>
    <row r="3454" ht="15.75" customHeight="1">
      <c r="A3454" s="5" t="s">
        <v>4801</v>
      </c>
      <c r="B3454" s="5">
        <v>43893.0</v>
      </c>
      <c r="C3454" s="6" t="s">
        <v>75</v>
      </c>
      <c r="D3454" s="11">
        <f t="shared" si="1"/>
        <v>67</v>
      </c>
      <c r="E3454" s="8" t="str">
        <f t="shared" si="2"/>
        <v>https://resources.simonelectric.com/simon-ebook-vehiculo-electrico</v>
      </c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</row>
    <row r="3455" ht="15.75" customHeight="1">
      <c r="A3455" s="5" t="s">
        <v>4802</v>
      </c>
      <c r="B3455" s="5">
        <v>43893.0</v>
      </c>
      <c r="C3455" s="6" t="s">
        <v>75</v>
      </c>
      <c r="D3455" s="10">
        <f t="shared" si="1"/>
        <v>67</v>
      </c>
      <c r="E3455" s="8" t="str">
        <f t="shared" si="2"/>
        <v>https://resources.simonelectric.com/simon-ebook-vehiculo-electrico</v>
      </c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</row>
    <row r="3456" ht="15.75" customHeight="1">
      <c r="A3456" s="5" t="s">
        <v>4803</v>
      </c>
      <c r="B3456" s="5">
        <v>43893.0</v>
      </c>
      <c r="C3456" s="6" t="s">
        <v>75</v>
      </c>
      <c r="D3456" s="11">
        <f t="shared" si="1"/>
        <v>67</v>
      </c>
      <c r="E3456" s="8" t="str">
        <f t="shared" si="2"/>
        <v>https://resources.simonelectric.com/simon-ebook-vehiculo-electrico</v>
      </c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</row>
    <row r="3457" ht="15.75" customHeight="1">
      <c r="A3457" s="5" t="s">
        <v>1548</v>
      </c>
      <c r="B3457" s="5">
        <v>43893.0</v>
      </c>
      <c r="C3457" s="6" t="s">
        <v>31</v>
      </c>
      <c r="D3457" s="11">
        <f t="shared" si="1"/>
        <v>67</v>
      </c>
      <c r="E3457" s="8" t="str">
        <f t="shared" si="2"/>
        <v>https://resources.simonelectric.com/simon-ebook-vehiculo-electrico</v>
      </c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</row>
    <row r="3458" ht="15.75" customHeight="1">
      <c r="A3458" s="5" t="s">
        <v>2775</v>
      </c>
      <c r="B3458" s="5">
        <v>43893.0</v>
      </c>
      <c r="C3458" s="6" t="s">
        <v>75</v>
      </c>
      <c r="D3458" s="11">
        <f t="shared" si="1"/>
        <v>67</v>
      </c>
      <c r="E3458" s="8" t="str">
        <f t="shared" si="2"/>
        <v>https://resources.simonelectric.com/simon-ebook-vehiculo-electrico</v>
      </c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</row>
    <row r="3459" ht="15.75" customHeight="1">
      <c r="A3459" s="5" t="s">
        <v>4804</v>
      </c>
      <c r="B3459" s="5">
        <v>43893.0</v>
      </c>
      <c r="C3459" s="6" t="s">
        <v>75</v>
      </c>
      <c r="D3459" s="11">
        <f t="shared" si="1"/>
        <v>67</v>
      </c>
      <c r="E3459" s="8" t="str">
        <f t="shared" si="2"/>
        <v>https://resources.simonelectric.com/simon-ebook-vehiculo-electrico</v>
      </c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</row>
    <row r="3460" ht="15.75" customHeight="1">
      <c r="A3460" s="5" t="s">
        <v>4805</v>
      </c>
      <c r="B3460" s="5">
        <v>43893.0</v>
      </c>
      <c r="C3460" s="6" t="s">
        <v>75</v>
      </c>
      <c r="D3460" s="11">
        <f t="shared" si="1"/>
        <v>67</v>
      </c>
      <c r="E3460" s="8" t="str">
        <f t="shared" si="2"/>
        <v>https://resources.simonelectric.com/simon-ebook-vehiculo-electrico</v>
      </c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</row>
    <row r="3461" ht="15.75" customHeight="1">
      <c r="A3461" s="5" t="s">
        <v>2837</v>
      </c>
      <c r="B3461" s="5">
        <v>43893.0</v>
      </c>
      <c r="C3461" s="6" t="s">
        <v>75</v>
      </c>
      <c r="D3461" s="11">
        <f t="shared" si="1"/>
        <v>67</v>
      </c>
      <c r="E3461" s="8" t="str">
        <f t="shared" si="2"/>
        <v>https://resources.simonelectric.com/simon-ebook-vehiculo-electrico</v>
      </c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</row>
    <row r="3462" ht="15.75" customHeight="1">
      <c r="A3462" s="5" t="s">
        <v>4806</v>
      </c>
      <c r="B3462" s="5">
        <v>43893.0</v>
      </c>
      <c r="C3462" s="6" t="s">
        <v>31</v>
      </c>
      <c r="D3462" s="11">
        <f t="shared" si="1"/>
        <v>67</v>
      </c>
      <c r="E3462" s="8" t="str">
        <f t="shared" si="2"/>
        <v>https://resources.simonelectric.com/simon-ebook-vehiculo-electrico</v>
      </c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</row>
    <row r="3463" ht="15.75" customHeight="1">
      <c r="A3463" s="5" t="s">
        <v>4807</v>
      </c>
      <c r="B3463" s="5">
        <v>43893.0</v>
      </c>
      <c r="C3463" s="6" t="s">
        <v>75</v>
      </c>
      <c r="D3463" s="11">
        <f t="shared" si="1"/>
        <v>67</v>
      </c>
      <c r="E3463" s="8" t="str">
        <f t="shared" si="2"/>
        <v>https://resources.simonelectric.com/simon-ebook-vehiculo-electrico</v>
      </c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</row>
    <row r="3464" ht="15.75" customHeight="1">
      <c r="A3464" s="5" t="s">
        <v>4808</v>
      </c>
      <c r="B3464" s="5">
        <v>43893.0</v>
      </c>
      <c r="C3464" s="6" t="s">
        <v>75</v>
      </c>
      <c r="D3464" s="11">
        <f t="shared" si="1"/>
        <v>67</v>
      </c>
      <c r="E3464" s="8" t="str">
        <f t="shared" si="2"/>
        <v>https://resources.simonelectric.com/simon-ebook-vehiculo-electrico</v>
      </c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</row>
    <row r="3465" ht="15.75" customHeight="1">
      <c r="A3465" s="5" t="s">
        <v>4809</v>
      </c>
      <c r="B3465" s="5">
        <v>43893.0</v>
      </c>
      <c r="C3465" s="6" t="s">
        <v>31</v>
      </c>
      <c r="D3465" s="11">
        <f t="shared" si="1"/>
        <v>67</v>
      </c>
      <c r="E3465" s="8" t="str">
        <f t="shared" si="2"/>
        <v>https://resources.simonelectric.com/simon-ebook-vehiculo-electrico</v>
      </c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</row>
    <row r="3466" ht="15.75" customHeight="1">
      <c r="A3466" s="5" t="s">
        <v>4726</v>
      </c>
      <c r="B3466" s="5">
        <v>43893.0</v>
      </c>
      <c r="C3466" s="6" t="s">
        <v>75</v>
      </c>
      <c r="D3466" s="10">
        <f t="shared" si="1"/>
        <v>67</v>
      </c>
      <c r="E3466" s="8" t="str">
        <f t="shared" si="2"/>
        <v>https://resources.simonelectric.com/simon-ebook-vehiculo-electrico</v>
      </c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</row>
    <row r="3467" ht="15.75" customHeight="1">
      <c r="A3467" s="5" t="s">
        <v>4810</v>
      </c>
      <c r="B3467" s="5">
        <v>43893.0</v>
      </c>
      <c r="C3467" s="6" t="s">
        <v>75</v>
      </c>
      <c r="D3467" s="10">
        <f t="shared" si="1"/>
        <v>67</v>
      </c>
      <c r="E3467" s="8" t="str">
        <f t="shared" si="2"/>
        <v>https://resources.simonelectric.com/simon-ebook-vehiculo-electrico</v>
      </c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</row>
    <row r="3468" ht="15.75" customHeight="1">
      <c r="A3468" s="5" t="s">
        <v>4811</v>
      </c>
      <c r="B3468" s="5">
        <v>43893.0</v>
      </c>
      <c r="C3468" s="6" t="s">
        <v>75</v>
      </c>
      <c r="D3468" s="11">
        <f t="shared" si="1"/>
        <v>67</v>
      </c>
      <c r="E3468" s="8" t="str">
        <f t="shared" si="2"/>
        <v>https://resources.simonelectric.com/simon-ebook-vehiculo-electrico</v>
      </c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</row>
    <row r="3469" ht="15.75" customHeight="1">
      <c r="A3469" s="5" t="s">
        <v>4812</v>
      </c>
      <c r="B3469" s="5">
        <v>43893.0</v>
      </c>
      <c r="C3469" s="6" t="s">
        <v>75</v>
      </c>
      <c r="D3469" s="11">
        <f t="shared" si="1"/>
        <v>67</v>
      </c>
      <c r="E3469" s="8" t="str">
        <f t="shared" si="2"/>
        <v>https://resources.simonelectric.com/simon-ebook-vehiculo-electrico</v>
      </c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</row>
    <row r="3470" ht="15.75" customHeight="1">
      <c r="A3470" s="5" t="s">
        <v>4813</v>
      </c>
      <c r="B3470" s="5">
        <v>43893.0</v>
      </c>
      <c r="C3470" s="6" t="s">
        <v>75</v>
      </c>
      <c r="D3470" s="11">
        <f t="shared" si="1"/>
        <v>67</v>
      </c>
      <c r="E3470" s="8" t="str">
        <f t="shared" si="2"/>
        <v>https://resources.simonelectric.com/simon-ebook-vehiculo-electrico</v>
      </c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</row>
    <row r="3471" ht="15.75" customHeight="1">
      <c r="A3471" s="5" t="s">
        <v>4814</v>
      </c>
      <c r="B3471" s="5">
        <v>43893.0</v>
      </c>
      <c r="C3471" s="6" t="s">
        <v>8</v>
      </c>
      <c r="D3471" s="11">
        <f t="shared" si="1"/>
        <v>67</v>
      </c>
      <c r="E3471" s="8" t="str">
        <f t="shared" si="2"/>
        <v>https://resources.simonelectric.com/simon-ebook-vehiculo-electrico</v>
      </c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</row>
    <row r="3472" ht="15.75" customHeight="1">
      <c r="A3472" s="5" t="s">
        <v>4815</v>
      </c>
      <c r="B3472" s="5">
        <v>43893.0</v>
      </c>
      <c r="C3472" s="6" t="s">
        <v>75</v>
      </c>
      <c r="D3472" s="11">
        <f t="shared" si="1"/>
        <v>67</v>
      </c>
      <c r="E3472" s="8" t="str">
        <f t="shared" si="2"/>
        <v>https://resources.simonelectric.com/simon-ebook-vehiculo-electrico</v>
      </c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</row>
    <row r="3473" ht="15.75" customHeight="1">
      <c r="A3473" s="5" t="s">
        <v>4816</v>
      </c>
      <c r="B3473" s="5">
        <v>43893.0</v>
      </c>
      <c r="C3473" s="6" t="s">
        <v>75</v>
      </c>
      <c r="D3473" s="11">
        <f t="shared" si="1"/>
        <v>67</v>
      </c>
      <c r="E3473" s="8" t="str">
        <f t="shared" si="2"/>
        <v>https://resources.simonelectric.com/simon-ebook-vehiculo-electrico</v>
      </c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</row>
    <row r="3474" ht="15.75" customHeight="1">
      <c r="A3474" s="5" t="s">
        <v>2406</v>
      </c>
      <c r="B3474" s="5">
        <v>43893.0</v>
      </c>
      <c r="C3474" s="6" t="s">
        <v>75</v>
      </c>
      <c r="D3474" s="11">
        <f t="shared" si="1"/>
        <v>67</v>
      </c>
      <c r="E3474" s="8" t="str">
        <f t="shared" si="2"/>
        <v>https://resources.simonelectric.com/simon-ebook-vehiculo-electrico</v>
      </c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</row>
    <row r="3475" ht="15.75" customHeight="1">
      <c r="A3475" s="5" t="s">
        <v>4817</v>
      </c>
      <c r="B3475" s="5">
        <v>43893.0</v>
      </c>
      <c r="C3475" s="6" t="s">
        <v>75</v>
      </c>
      <c r="D3475" s="11">
        <f t="shared" si="1"/>
        <v>67</v>
      </c>
      <c r="E3475" s="8" t="str">
        <f t="shared" si="2"/>
        <v>https://resources.simonelectric.com/simon-ebook-vehiculo-electrico</v>
      </c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</row>
    <row r="3476" ht="15.75" customHeight="1">
      <c r="A3476" s="5" t="s">
        <v>4818</v>
      </c>
      <c r="B3476" s="5">
        <v>43893.0</v>
      </c>
      <c r="C3476" s="6" t="s">
        <v>31</v>
      </c>
      <c r="D3476" s="10">
        <f t="shared" si="1"/>
        <v>67</v>
      </c>
      <c r="E3476" s="8" t="str">
        <f t="shared" si="2"/>
        <v>https://resources.simonelectric.com/simon-ebook-vehiculo-electrico</v>
      </c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</row>
    <row r="3477" ht="15.75" customHeight="1">
      <c r="A3477" s="5" t="s">
        <v>1452</v>
      </c>
      <c r="B3477" s="5">
        <v>43893.0</v>
      </c>
      <c r="C3477" s="6" t="s">
        <v>75</v>
      </c>
      <c r="D3477" s="11">
        <f t="shared" si="1"/>
        <v>67</v>
      </c>
      <c r="E3477" s="8" t="str">
        <f t="shared" si="2"/>
        <v>https://resources.simonelectric.com/simon-ebook-vehiculo-electrico</v>
      </c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</row>
    <row r="3478" ht="15.75" customHeight="1">
      <c r="A3478" s="5" t="s">
        <v>4819</v>
      </c>
      <c r="B3478" s="5">
        <v>43893.0</v>
      </c>
      <c r="C3478" s="6" t="s">
        <v>75</v>
      </c>
      <c r="D3478" s="11">
        <f t="shared" si="1"/>
        <v>67</v>
      </c>
      <c r="E3478" s="8" t="str">
        <f t="shared" si="2"/>
        <v>https://resources.simonelectric.com/simon-ebook-vehiculo-electrico</v>
      </c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</row>
    <row r="3479" ht="15.75" customHeight="1">
      <c r="A3479" s="5" t="s">
        <v>4820</v>
      </c>
      <c r="B3479" s="5">
        <v>43893.0</v>
      </c>
      <c r="C3479" s="6" t="s">
        <v>31</v>
      </c>
      <c r="D3479" s="11">
        <f t="shared" si="1"/>
        <v>67</v>
      </c>
      <c r="E3479" s="8" t="str">
        <f t="shared" si="2"/>
        <v>https://resources.simonelectric.com/simon-ebook-vehiculo-electrico</v>
      </c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</row>
    <row r="3480" ht="15.75" customHeight="1">
      <c r="A3480" s="5" t="s">
        <v>4821</v>
      </c>
      <c r="B3480" s="5">
        <v>43893.0</v>
      </c>
      <c r="C3480" s="6" t="s">
        <v>75</v>
      </c>
      <c r="D3480" s="11">
        <f t="shared" si="1"/>
        <v>67</v>
      </c>
      <c r="E3480" s="8" t="str">
        <f t="shared" si="2"/>
        <v>https://resources.simonelectric.com/simon-ebook-vehiculo-electrico</v>
      </c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</row>
    <row r="3481" ht="15.75" customHeight="1">
      <c r="A3481" s="5" t="s">
        <v>4654</v>
      </c>
      <c r="B3481" s="5">
        <v>43893.0</v>
      </c>
      <c r="C3481" s="6" t="s">
        <v>75</v>
      </c>
      <c r="D3481" s="11">
        <f t="shared" si="1"/>
        <v>67</v>
      </c>
      <c r="E3481" s="8" t="str">
        <f t="shared" si="2"/>
        <v>https://resources.simonelectric.com/simon-ebook-vehiculo-electrico</v>
      </c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</row>
    <row r="3482" ht="15.75" customHeight="1">
      <c r="A3482" s="5" t="s">
        <v>4822</v>
      </c>
      <c r="B3482" s="5">
        <v>43893.0</v>
      </c>
      <c r="C3482" s="6" t="s">
        <v>75</v>
      </c>
      <c r="D3482" s="11">
        <f t="shared" si="1"/>
        <v>67</v>
      </c>
      <c r="E3482" s="8" t="str">
        <f t="shared" si="2"/>
        <v>https://resources.simonelectric.com/simon-ebook-vehiculo-electrico</v>
      </c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</row>
    <row r="3483" ht="15.75" customHeight="1">
      <c r="A3483" s="5" t="s">
        <v>4823</v>
      </c>
      <c r="B3483" s="5">
        <v>43893.0</v>
      </c>
      <c r="C3483" s="6" t="s">
        <v>75</v>
      </c>
      <c r="D3483" s="11">
        <f t="shared" si="1"/>
        <v>67</v>
      </c>
      <c r="E3483" s="8" t="str">
        <f t="shared" si="2"/>
        <v>https://resources.simonelectric.com/simon-ebook-vehiculo-electrico</v>
      </c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</row>
    <row r="3484" ht="15.75" customHeight="1">
      <c r="A3484" s="5" t="s">
        <v>1190</v>
      </c>
      <c r="B3484" s="5">
        <v>43893.0</v>
      </c>
      <c r="C3484" s="6" t="s">
        <v>75</v>
      </c>
      <c r="D3484" s="11">
        <f t="shared" si="1"/>
        <v>67</v>
      </c>
      <c r="E3484" s="8" t="str">
        <f t="shared" si="2"/>
        <v>https://resources.simonelectric.com/simon-ebook-vehiculo-electrico</v>
      </c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</row>
    <row r="3485" ht="15.75" customHeight="1">
      <c r="A3485" s="5" t="s">
        <v>4824</v>
      </c>
      <c r="B3485" s="5">
        <v>43893.0</v>
      </c>
      <c r="C3485" s="6" t="s">
        <v>75</v>
      </c>
      <c r="D3485" s="11">
        <f t="shared" si="1"/>
        <v>67</v>
      </c>
      <c r="E3485" s="8" t="str">
        <f t="shared" si="2"/>
        <v>https://resources.simonelectric.com/simon-ebook-vehiculo-electrico</v>
      </c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</row>
    <row r="3486" ht="15.75" customHeight="1">
      <c r="A3486" s="5" t="s">
        <v>4825</v>
      </c>
      <c r="B3486" s="5">
        <v>43893.0</v>
      </c>
      <c r="C3486" s="6" t="s">
        <v>75</v>
      </c>
      <c r="D3486" s="10">
        <f t="shared" si="1"/>
        <v>67</v>
      </c>
      <c r="E3486" s="8" t="str">
        <f t="shared" si="2"/>
        <v>https://resources.simonelectric.com/simon-ebook-vehiculo-electrico</v>
      </c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</row>
    <row r="3487" ht="15.75" customHeight="1">
      <c r="A3487" s="5" t="s">
        <v>4826</v>
      </c>
      <c r="B3487" s="5">
        <v>43893.0</v>
      </c>
      <c r="C3487" s="6" t="s">
        <v>75</v>
      </c>
      <c r="D3487" s="11">
        <f t="shared" si="1"/>
        <v>67</v>
      </c>
      <c r="E3487" s="8" t="str">
        <f t="shared" si="2"/>
        <v>https://resources.simonelectric.com/simon-ebook-vehiculo-electrico</v>
      </c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</row>
    <row r="3488" ht="15.75" customHeight="1">
      <c r="A3488" s="5" t="s">
        <v>4827</v>
      </c>
      <c r="B3488" s="5">
        <v>43893.0</v>
      </c>
      <c r="C3488" s="6" t="s">
        <v>31</v>
      </c>
      <c r="D3488" s="11">
        <f t="shared" si="1"/>
        <v>67</v>
      </c>
      <c r="E3488" s="8" t="str">
        <f t="shared" si="2"/>
        <v>https://resources.simonelectric.com/simon-ebook-vehiculo-electrico</v>
      </c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</row>
    <row r="3489" ht="15.75" customHeight="1">
      <c r="A3489" s="5" t="s">
        <v>4828</v>
      </c>
      <c r="B3489" s="5">
        <v>43893.0</v>
      </c>
      <c r="C3489" s="6" t="s">
        <v>75</v>
      </c>
      <c r="D3489" s="11">
        <f t="shared" si="1"/>
        <v>67</v>
      </c>
      <c r="E3489" s="8" t="str">
        <f t="shared" si="2"/>
        <v>https://resources.simonelectric.com/simon-ebook-vehiculo-electrico</v>
      </c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</row>
    <row r="3490" ht="15.75" customHeight="1">
      <c r="A3490" s="5" t="s">
        <v>4829</v>
      </c>
      <c r="B3490" s="5">
        <v>43893.0</v>
      </c>
      <c r="C3490" s="6" t="s">
        <v>75</v>
      </c>
      <c r="D3490" s="10">
        <f t="shared" si="1"/>
        <v>67</v>
      </c>
      <c r="E3490" s="8" t="str">
        <f t="shared" si="2"/>
        <v>https://resources.simonelectric.com/simon-ebook-vehiculo-electrico</v>
      </c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</row>
    <row r="3491" ht="15.75" customHeight="1">
      <c r="A3491" s="5" t="s">
        <v>4830</v>
      </c>
      <c r="B3491" s="5">
        <v>43893.0</v>
      </c>
      <c r="C3491" s="6" t="s">
        <v>75</v>
      </c>
      <c r="D3491" s="11">
        <f t="shared" si="1"/>
        <v>67</v>
      </c>
      <c r="E3491" s="8" t="str">
        <f t="shared" si="2"/>
        <v>https://resources.simonelectric.com/simon-ebook-vehiculo-electrico</v>
      </c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</row>
    <row r="3492" ht="15.75" customHeight="1">
      <c r="A3492" s="5" t="s">
        <v>4831</v>
      </c>
      <c r="B3492" s="5">
        <v>43893.0</v>
      </c>
      <c r="C3492" s="6" t="s">
        <v>31</v>
      </c>
      <c r="D3492" s="11">
        <f t="shared" si="1"/>
        <v>67</v>
      </c>
      <c r="E3492" s="8" t="str">
        <f t="shared" si="2"/>
        <v>https://resources.simonelectric.com/simon-ebook-vehiculo-electrico</v>
      </c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</row>
    <row r="3493" ht="15.75" customHeight="1">
      <c r="A3493" s="5" t="s">
        <v>4832</v>
      </c>
      <c r="B3493" s="5">
        <v>43893.0</v>
      </c>
      <c r="C3493" s="6" t="s">
        <v>75</v>
      </c>
      <c r="D3493" s="11">
        <f t="shared" si="1"/>
        <v>67</v>
      </c>
      <c r="E3493" s="8" t="str">
        <f t="shared" si="2"/>
        <v>https://resources.simonelectric.com/simon-ebook-vehiculo-electrico</v>
      </c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</row>
    <row r="3494" ht="15.75" customHeight="1">
      <c r="A3494" s="5" t="s">
        <v>4833</v>
      </c>
      <c r="B3494" s="5">
        <v>43893.0</v>
      </c>
      <c r="C3494" s="6" t="s">
        <v>75</v>
      </c>
      <c r="D3494" s="11">
        <f t="shared" si="1"/>
        <v>67</v>
      </c>
      <c r="E3494" s="8" t="str">
        <f t="shared" si="2"/>
        <v>https://resources.simonelectric.com/simon-ebook-vehiculo-electrico</v>
      </c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</row>
    <row r="3495" ht="15.75" customHeight="1">
      <c r="A3495" s="5" t="s">
        <v>4834</v>
      </c>
      <c r="B3495" s="5">
        <v>43893.0</v>
      </c>
      <c r="C3495" s="6" t="s">
        <v>75</v>
      </c>
      <c r="D3495" s="10">
        <f t="shared" si="1"/>
        <v>67</v>
      </c>
      <c r="E3495" s="8" t="str">
        <f t="shared" si="2"/>
        <v>https://resources.simonelectric.com/simon-ebook-vehiculo-electrico</v>
      </c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</row>
    <row r="3496" ht="15.75" customHeight="1">
      <c r="A3496" s="5" t="s">
        <v>4835</v>
      </c>
      <c r="B3496" s="5">
        <v>43893.0</v>
      </c>
      <c r="C3496" s="6" t="s">
        <v>75</v>
      </c>
      <c r="D3496" s="11">
        <f t="shared" si="1"/>
        <v>67</v>
      </c>
      <c r="E3496" s="8" t="str">
        <f t="shared" si="2"/>
        <v>https://resources.simonelectric.com/simon-ebook-vehiculo-electrico</v>
      </c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</row>
    <row r="3497" ht="15.75" customHeight="1">
      <c r="A3497" s="5" t="s">
        <v>2042</v>
      </c>
      <c r="B3497" s="5">
        <v>43893.0</v>
      </c>
      <c r="C3497" s="6" t="s">
        <v>75</v>
      </c>
      <c r="D3497" s="11">
        <f t="shared" si="1"/>
        <v>67</v>
      </c>
      <c r="E3497" s="8" t="str">
        <f t="shared" si="2"/>
        <v>https://resources.simonelectric.com/simon-ebook-vehiculo-electrico</v>
      </c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</row>
    <row r="3498" ht="15.75" customHeight="1">
      <c r="A3498" s="5" t="s">
        <v>2756</v>
      </c>
      <c r="B3498" s="5">
        <v>43893.0</v>
      </c>
      <c r="C3498" s="6" t="s">
        <v>75</v>
      </c>
      <c r="D3498" s="11">
        <f t="shared" si="1"/>
        <v>67</v>
      </c>
      <c r="E3498" s="8" t="str">
        <f t="shared" si="2"/>
        <v>https://resources.simonelectric.com/simon-ebook-vehiculo-electrico</v>
      </c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</row>
    <row r="3499" ht="15.75" customHeight="1">
      <c r="A3499" s="5" t="s">
        <v>4836</v>
      </c>
      <c r="B3499" s="5">
        <v>43893.0</v>
      </c>
      <c r="C3499" s="6" t="s">
        <v>75</v>
      </c>
      <c r="D3499" s="11">
        <f t="shared" si="1"/>
        <v>67</v>
      </c>
      <c r="E3499" s="8" t="str">
        <f t="shared" si="2"/>
        <v>https://resources.simonelectric.com/simon-ebook-vehiculo-electrico</v>
      </c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</row>
    <row r="3500" ht="15.75" customHeight="1">
      <c r="A3500" s="5" t="s">
        <v>4837</v>
      </c>
      <c r="B3500" s="5">
        <v>43893.0</v>
      </c>
      <c r="C3500" s="6" t="s">
        <v>4838</v>
      </c>
      <c r="D3500" s="11">
        <f t="shared" si="1"/>
        <v>70</v>
      </c>
      <c r="E3500" s="8" t="str">
        <f t="shared" si="2"/>
        <v>https://resources.simonelectric.com/simon-catalogo-vehiculo-electrico</v>
      </c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</row>
    <row r="3501" ht="15.75" customHeight="1">
      <c r="A3501" s="5" t="s">
        <v>4839</v>
      </c>
      <c r="B3501" s="5">
        <v>43893.0</v>
      </c>
      <c r="C3501" s="6" t="s">
        <v>4840</v>
      </c>
      <c r="D3501" s="10">
        <f t="shared" si="1"/>
        <v>67</v>
      </c>
      <c r="E3501" s="8" t="str">
        <f t="shared" si="2"/>
        <v>https://resources.simonelectric.com/simon-ebook-vehiculo-electrico</v>
      </c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</row>
    <row r="3502" ht="15.75" customHeight="1">
      <c r="A3502" s="5" t="s">
        <v>4837</v>
      </c>
      <c r="B3502" s="5">
        <v>43893.0</v>
      </c>
      <c r="C3502" s="6" t="s">
        <v>75</v>
      </c>
      <c r="D3502" s="10">
        <f t="shared" si="1"/>
        <v>67</v>
      </c>
      <c r="E3502" s="8" t="str">
        <f t="shared" si="2"/>
        <v>https://resources.simonelectric.com/simon-ebook-vehiculo-electrico</v>
      </c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</row>
    <row r="3503" ht="15.75" customHeight="1">
      <c r="A3503" s="5" t="s">
        <v>4652</v>
      </c>
      <c r="B3503" s="5">
        <v>43893.0</v>
      </c>
      <c r="C3503" s="6" t="s">
        <v>75</v>
      </c>
      <c r="D3503" s="11">
        <f t="shared" si="1"/>
        <v>67</v>
      </c>
      <c r="E3503" s="8" t="str">
        <f t="shared" si="2"/>
        <v>https://resources.simonelectric.com/simon-ebook-vehiculo-electrico</v>
      </c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</row>
    <row r="3504" ht="15.75" customHeight="1">
      <c r="A3504" s="5" t="s">
        <v>4841</v>
      </c>
      <c r="B3504" s="5">
        <v>43893.0</v>
      </c>
      <c r="C3504" s="6" t="s">
        <v>75</v>
      </c>
      <c r="D3504" s="11">
        <f t="shared" si="1"/>
        <v>67</v>
      </c>
      <c r="E3504" s="8" t="str">
        <f t="shared" si="2"/>
        <v>https://resources.simonelectric.com/simon-ebook-vehiculo-electrico</v>
      </c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</row>
    <row r="3505" ht="15.75" customHeight="1">
      <c r="A3505" s="5" t="s">
        <v>4842</v>
      </c>
      <c r="B3505" s="5">
        <v>43893.0</v>
      </c>
      <c r="C3505" s="6" t="s">
        <v>75</v>
      </c>
      <c r="D3505" s="11">
        <f t="shared" si="1"/>
        <v>67</v>
      </c>
      <c r="E3505" s="8" t="str">
        <f t="shared" si="2"/>
        <v>https://resources.simonelectric.com/simon-ebook-vehiculo-electrico</v>
      </c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</row>
    <row r="3506" ht="15.75" customHeight="1">
      <c r="A3506" s="5" t="s">
        <v>4843</v>
      </c>
      <c r="B3506" s="5">
        <v>43893.0</v>
      </c>
      <c r="C3506" s="6" t="s">
        <v>75</v>
      </c>
      <c r="D3506" s="11">
        <f t="shared" si="1"/>
        <v>67</v>
      </c>
      <c r="E3506" s="8" t="str">
        <f t="shared" si="2"/>
        <v>https://resources.simonelectric.com/simon-ebook-vehiculo-electrico</v>
      </c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</row>
    <row r="3507" ht="15.75" customHeight="1">
      <c r="A3507" s="5" t="s">
        <v>2136</v>
      </c>
      <c r="B3507" s="5">
        <v>43893.0</v>
      </c>
      <c r="C3507" s="6" t="s">
        <v>75</v>
      </c>
      <c r="D3507" s="11">
        <f t="shared" si="1"/>
        <v>67</v>
      </c>
      <c r="E3507" s="8" t="str">
        <f t="shared" si="2"/>
        <v>https://resources.simonelectric.com/simon-ebook-vehiculo-electrico</v>
      </c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</row>
    <row r="3508" ht="15.75" customHeight="1">
      <c r="A3508" s="5" t="s">
        <v>4844</v>
      </c>
      <c r="B3508" s="5">
        <v>43893.0</v>
      </c>
      <c r="C3508" s="6" t="s">
        <v>75</v>
      </c>
      <c r="D3508" s="11">
        <f t="shared" si="1"/>
        <v>67</v>
      </c>
      <c r="E3508" s="8" t="str">
        <f t="shared" si="2"/>
        <v>https://resources.simonelectric.com/simon-ebook-vehiculo-electrico</v>
      </c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</row>
    <row r="3509" ht="15.75" customHeight="1">
      <c r="A3509" s="5" t="s">
        <v>4665</v>
      </c>
      <c r="B3509" s="5">
        <v>43893.0</v>
      </c>
      <c r="C3509" s="6" t="s">
        <v>4845</v>
      </c>
      <c r="D3509" s="11">
        <f t="shared" si="1"/>
        <v>69</v>
      </c>
      <c r="E3509" s="8" t="str">
        <f t="shared" si="2"/>
        <v>https://resources.simonelectric.com/simon-ebook-vehiculo-electrico-0</v>
      </c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</row>
    <row r="3510" ht="15.75" customHeight="1">
      <c r="A3510" s="5" t="s">
        <v>4846</v>
      </c>
      <c r="B3510" s="5">
        <v>43893.0</v>
      </c>
      <c r="C3510" s="6" t="s">
        <v>8</v>
      </c>
      <c r="D3510" s="11">
        <f t="shared" si="1"/>
        <v>67</v>
      </c>
      <c r="E3510" s="8" t="str">
        <f t="shared" si="2"/>
        <v>https://resources.simonelectric.com/simon-ebook-vehiculo-electrico</v>
      </c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</row>
    <row r="3511" ht="15.75" customHeight="1">
      <c r="A3511" s="5" t="s">
        <v>4847</v>
      </c>
      <c r="B3511" s="5">
        <v>43893.0</v>
      </c>
      <c r="C3511" s="6" t="s">
        <v>75</v>
      </c>
      <c r="D3511" s="11">
        <f t="shared" si="1"/>
        <v>67</v>
      </c>
      <c r="E3511" s="8" t="str">
        <f t="shared" si="2"/>
        <v>https://resources.simonelectric.com/simon-ebook-vehiculo-electrico</v>
      </c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</row>
    <row r="3512" ht="15.75" customHeight="1">
      <c r="A3512" s="5" t="s">
        <v>4848</v>
      </c>
      <c r="B3512" s="5">
        <v>43893.0</v>
      </c>
      <c r="C3512" s="6" t="s">
        <v>4849</v>
      </c>
      <c r="D3512" s="11">
        <f t="shared" si="1"/>
        <v>70</v>
      </c>
      <c r="E3512" s="8" t="str">
        <f t="shared" si="2"/>
        <v>https://resources.simonelectric.com/simon-catalogo-vehiculo-electrico</v>
      </c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</row>
    <row r="3513" ht="15.75" customHeight="1">
      <c r="A3513" s="5" t="s">
        <v>3237</v>
      </c>
      <c r="B3513" s="5">
        <v>43893.0</v>
      </c>
      <c r="C3513" s="6" t="s">
        <v>75</v>
      </c>
      <c r="D3513" s="11">
        <f t="shared" si="1"/>
        <v>67</v>
      </c>
      <c r="E3513" s="8" t="str">
        <f t="shared" si="2"/>
        <v>https://resources.simonelectric.com/simon-ebook-vehiculo-electrico</v>
      </c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</row>
    <row r="3514" ht="15.75" customHeight="1">
      <c r="A3514" s="5" t="s">
        <v>1233</v>
      </c>
      <c r="B3514" s="5">
        <v>43893.0</v>
      </c>
      <c r="C3514" s="6" t="s">
        <v>75</v>
      </c>
      <c r="D3514" s="11">
        <f t="shared" si="1"/>
        <v>67</v>
      </c>
      <c r="E3514" s="8" t="str">
        <f t="shared" si="2"/>
        <v>https://resources.simonelectric.com/simon-ebook-vehiculo-electrico</v>
      </c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</row>
    <row r="3515" ht="15.75" customHeight="1">
      <c r="A3515" s="5" t="s">
        <v>4850</v>
      </c>
      <c r="B3515" s="5">
        <v>43893.0</v>
      </c>
      <c r="C3515" s="6" t="s">
        <v>75</v>
      </c>
      <c r="D3515" s="11">
        <f t="shared" si="1"/>
        <v>67</v>
      </c>
      <c r="E3515" s="8" t="str">
        <f t="shared" si="2"/>
        <v>https://resources.simonelectric.com/simon-ebook-vehiculo-electrico</v>
      </c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</row>
    <row r="3516" ht="15.75" customHeight="1">
      <c r="A3516" s="5" t="s">
        <v>4851</v>
      </c>
      <c r="B3516" s="5">
        <v>43893.0</v>
      </c>
      <c r="C3516" s="6" t="s">
        <v>75</v>
      </c>
      <c r="D3516" s="11">
        <f t="shared" si="1"/>
        <v>67</v>
      </c>
      <c r="E3516" s="8" t="str">
        <f t="shared" si="2"/>
        <v>https://resources.simonelectric.com/simon-ebook-vehiculo-electrico</v>
      </c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</row>
    <row r="3517" ht="15.75" customHeight="1">
      <c r="A3517" s="5" t="s">
        <v>4852</v>
      </c>
      <c r="B3517" s="5">
        <v>43893.0</v>
      </c>
      <c r="C3517" s="6" t="s">
        <v>75</v>
      </c>
      <c r="D3517" s="11">
        <f t="shared" si="1"/>
        <v>67</v>
      </c>
      <c r="E3517" s="8" t="str">
        <f t="shared" si="2"/>
        <v>https://resources.simonelectric.com/simon-ebook-vehiculo-electrico</v>
      </c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</row>
    <row r="3518" ht="15.75" customHeight="1">
      <c r="A3518" s="5" t="s">
        <v>4853</v>
      </c>
      <c r="B3518" s="5">
        <v>43893.0</v>
      </c>
      <c r="C3518" s="6" t="s">
        <v>843</v>
      </c>
      <c r="D3518" s="11">
        <f t="shared" si="1"/>
        <v>67</v>
      </c>
      <c r="E3518" s="8" t="str">
        <f t="shared" si="2"/>
        <v>https://resources.simonelectric.com/simon-ebook-vehiculo-electrico</v>
      </c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</row>
    <row r="3519" ht="15.75" customHeight="1">
      <c r="A3519" s="5" t="s">
        <v>4854</v>
      </c>
      <c r="B3519" s="5">
        <v>43893.0</v>
      </c>
      <c r="C3519" s="6" t="s">
        <v>8</v>
      </c>
      <c r="D3519" s="11">
        <f t="shared" si="1"/>
        <v>67</v>
      </c>
      <c r="E3519" s="8" t="str">
        <f t="shared" si="2"/>
        <v>https://resources.simonelectric.com/simon-ebook-vehiculo-electrico</v>
      </c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</row>
    <row r="3520" ht="15.75" customHeight="1">
      <c r="A3520" s="5" t="s">
        <v>4855</v>
      </c>
      <c r="B3520" s="5">
        <v>43893.0</v>
      </c>
      <c r="C3520" s="6" t="s">
        <v>31</v>
      </c>
      <c r="D3520" s="11">
        <f t="shared" si="1"/>
        <v>67</v>
      </c>
      <c r="E3520" s="8" t="str">
        <f t="shared" si="2"/>
        <v>https://resources.simonelectric.com/simon-ebook-vehiculo-electrico</v>
      </c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</row>
    <row r="3521" ht="15.75" customHeight="1">
      <c r="A3521" s="5" t="s">
        <v>4856</v>
      </c>
      <c r="B3521" s="5">
        <v>43893.0</v>
      </c>
      <c r="C3521" s="6" t="s">
        <v>75</v>
      </c>
      <c r="D3521" s="11">
        <f t="shared" si="1"/>
        <v>67</v>
      </c>
      <c r="E3521" s="8" t="str">
        <f t="shared" si="2"/>
        <v>https://resources.simonelectric.com/simon-ebook-vehiculo-electrico</v>
      </c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</row>
    <row r="3522" ht="15.75" customHeight="1">
      <c r="A3522" s="5" t="s">
        <v>4857</v>
      </c>
      <c r="B3522" s="5">
        <v>43893.0</v>
      </c>
      <c r="C3522" s="6" t="s">
        <v>75</v>
      </c>
      <c r="D3522" s="11">
        <f t="shared" si="1"/>
        <v>67</v>
      </c>
      <c r="E3522" s="8" t="str">
        <f t="shared" si="2"/>
        <v>https://resources.simonelectric.com/simon-ebook-vehiculo-electrico</v>
      </c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</row>
    <row r="3523" ht="15.75" customHeight="1">
      <c r="A3523" s="5" t="s">
        <v>338</v>
      </c>
      <c r="B3523" s="5">
        <v>43893.0</v>
      </c>
      <c r="C3523" s="6" t="s">
        <v>75</v>
      </c>
      <c r="D3523" s="11">
        <f t="shared" si="1"/>
        <v>67</v>
      </c>
      <c r="E3523" s="8" t="str">
        <f t="shared" si="2"/>
        <v>https://resources.simonelectric.com/simon-ebook-vehiculo-electrico</v>
      </c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</row>
    <row r="3524" ht="15.75" customHeight="1">
      <c r="A3524" s="5" t="s">
        <v>4858</v>
      </c>
      <c r="B3524" s="5">
        <v>43893.0</v>
      </c>
      <c r="C3524" s="6" t="s">
        <v>75</v>
      </c>
      <c r="D3524" s="10">
        <f t="shared" si="1"/>
        <v>67</v>
      </c>
      <c r="E3524" s="8" t="str">
        <f t="shared" si="2"/>
        <v>https://resources.simonelectric.com/simon-ebook-vehiculo-electrico</v>
      </c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</row>
    <row r="3525" ht="15.75" customHeight="1">
      <c r="A3525" s="5" t="s">
        <v>4859</v>
      </c>
      <c r="B3525" s="5">
        <v>43893.0</v>
      </c>
      <c r="C3525" s="6" t="s">
        <v>75</v>
      </c>
      <c r="D3525" s="10">
        <f t="shared" si="1"/>
        <v>67</v>
      </c>
      <c r="E3525" s="8" t="str">
        <f t="shared" si="2"/>
        <v>https://resources.simonelectric.com/simon-ebook-vehiculo-electrico</v>
      </c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</row>
    <row r="3526" ht="15.75" customHeight="1">
      <c r="A3526" s="5" t="s">
        <v>3034</v>
      </c>
      <c r="B3526" s="5">
        <v>43893.0</v>
      </c>
      <c r="C3526" s="6" t="s">
        <v>75</v>
      </c>
      <c r="D3526" s="11">
        <f t="shared" si="1"/>
        <v>67</v>
      </c>
      <c r="E3526" s="8" t="str">
        <f t="shared" si="2"/>
        <v>https://resources.simonelectric.com/simon-ebook-vehiculo-electrico</v>
      </c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</row>
    <row r="3527" ht="15.75" customHeight="1">
      <c r="A3527" s="5" t="s">
        <v>4844</v>
      </c>
      <c r="B3527" s="5">
        <v>43893.0</v>
      </c>
      <c r="C3527" s="6" t="s">
        <v>75</v>
      </c>
      <c r="D3527" s="10">
        <f t="shared" si="1"/>
        <v>67</v>
      </c>
      <c r="E3527" s="8" t="str">
        <f t="shared" si="2"/>
        <v>https://resources.simonelectric.com/simon-ebook-vehiculo-electrico</v>
      </c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</row>
    <row r="3528" ht="15.75" customHeight="1">
      <c r="A3528" s="5" t="s">
        <v>3122</v>
      </c>
      <c r="B3528" s="5">
        <v>43893.0</v>
      </c>
      <c r="C3528" s="6" t="s">
        <v>75</v>
      </c>
      <c r="D3528" s="11">
        <f t="shared" si="1"/>
        <v>67</v>
      </c>
      <c r="E3528" s="8" t="str">
        <f t="shared" si="2"/>
        <v>https://resources.simonelectric.com/simon-ebook-vehiculo-electrico</v>
      </c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</row>
    <row r="3529" ht="15.75" customHeight="1">
      <c r="A3529" s="5" t="s">
        <v>4860</v>
      </c>
      <c r="B3529" s="5">
        <v>43892.0</v>
      </c>
      <c r="C3529" s="6" t="s">
        <v>4674</v>
      </c>
      <c r="D3529" s="11">
        <f t="shared" si="1"/>
        <v>70</v>
      </c>
      <c r="E3529" s="8" t="str">
        <f t="shared" si="2"/>
        <v>https://resources.simonelectric.com/simon-ebook-vehiculo-electrico-tw</v>
      </c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</row>
    <row r="3530" ht="15.75" customHeight="1">
      <c r="A3530" s="5" t="s">
        <v>4861</v>
      </c>
      <c r="B3530" s="5">
        <v>43892.0</v>
      </c>
      <c r="C3530" s="6" t="s">
        <v>10</v>
      </c>
      <c r="D3530" s="10" t="str">
        <f t="shared" si="1"/>
        <v>https://resources.simonelectric.com/simon-catalogo-vehiculo-electrico</v>
      </c>
      <c r="E3530" s="8" t="str">
        <f t="shared" si="2"/>
        <v>https://resources.simonelectric.com/simon-catalogo-vehiculo-electrico</v>
      </c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</row>
    <row r="3531" ht="15.75" customHeight="1">
      <c r="A3531" s="5" t="s">
        <v>4862</v>
      </c>
      <c r="B3531" s="5">
        <v>43892.0</v>
      </c>
      <c r="C3531" s="6" t="s">
        <v>4674</v>
      </c>
      <c r="D3531" s="11">
        <f t="shared" si="1"/>
        <v>70</v>
      </c>
      <c r="E3531" s="8" t="str">
        <f t="shared" si="2"/>
        <v>https://resources.simonelectric.com/simon-ebook-vehiculo-electrico-tw</v>
      </c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</row>
    <row r="3532" ht="15.75" customHeight="1">
      <c r="A3532" s="5" t="s">
        <v>4863</v>
      </c>
      <c r="B3532" s="5">
        <v>43892.0</v>
      </c>
      <c r="C3532" s="6" t="s">
        <v>4864</v>
      </c>
      <c r="D3532" s="11">
        <f t="shared" si="1"/>
        <v>70</v>
      </c>
      <c r="E3532" s="8" t="str">
        <f t="shared" si="2"/>
        <v>https://resources.simonelectric.com/simon-catalogo-vehiculo-electrico</v>
      </c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</row>
    <row r="3533" ht="15.75" customHeight="1">
      <c r="A3533" s="5" t="s">
        <v>4862</v>
      </c>
      <c r="B3533" s="5">
        <v>43892.0</v>
      </c>
      <c r="C3533" s="6" t="s">
        <v>4674</v>
      </c>
      <c r="D3533" s="11">
        <f t="shared" si="1"/>
        <v>70</v>
      </c>
      <c r="E3533" s="8" t="str">
        <f t="shared" si="2"/>
        <v>https://resources.simonelectric.com/simon-ebook-vehiculo-electrico-tw</v>
      </c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</row>
    <row r="3534" ht="15.75" customHeight="1">
      <c r="A3534" s="5" t="s">
        <v>4862</v>
      </c>
      <c r="B3534" s="5">
        <v>43892.0</v>
      </c>
      <c r="C3534" s="6" t="s">
        <v>4674</v>
      </c>
      <c r="D3534" s="10">
        <f t="shared" si="1"/>
        <v>70</v>
      </c>
      <c r="E3534" s="8" t="str">
        <f t="shared" si="2"/>
        <v>https://resources.simonelectric.com/simon-ebook-vehiculo-electrico-tw</v>
      </c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</row>
    <row r="3535" ht="15.75" customHeight="1">
      <c r="A3535" s="5" t="s">
        <v>4865</v>
      </c>
      <c r="B3535" s="5">
        <v>43892.0</v>
      </c>
      <c r="C3535" s="6" t="s">
        <v>4866</v>
      </c>
      <c r="D3535" s="10">
        <f t="shared" si="1"/>
        <v>70</v>
      </c>
      <c r="E3535" s="8" t="str">
        <f t="shared" si="2"/>
        <v>https://resources.simonelectric.com/simon-catalogo-vehiculo-electrico</v>
      </c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</row>
    <row r="3536" ht="15.75" customHeight="1">
      <c r="A3536" s="5" t="s">
        <v>4865</v>
      </c>
      <c r="B3536" s="5">
        <v>43892.0</v>
      </c>
      <c r="C3536" s="6" t="s">
        <v>28</v>
      </c>
      <c r="D3536" s="10" t="str">
        <f t="shared" si="1"/>
        <v>https://resources.simonelectric.com/simon-ebook-vehiculo-electrico</v>
      </c>
      <c r="E3536" s="8" t="str">
        <f t="shared" si="2"/>
        <v>https://resources.simonelectric.com/simon-ebook-vehiculo-electrico</v>
      </c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</row>
    <row r="3537" ht="15.75" customHeight="1">
      <c r="A3537" s="5" t="s">
        <v>4867</v>
      </c>
      <c r="B3537" s="5">
        <v>43892.0</v>
      </c>
      <c r="C3537" s="6" t="s">
        <v>8</v>
      </c>
      <c r="D3537" s="10">
        <f t="shared" si="1"/>
        <v>67</v>
      </c>
      <c r="E3537" s="8" t="str">
        <f t="shared" si="2"/>
        <v>https://resources.simonelectric.com/simon-ebook-vehiculo-electrico</v>
      </c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</row>
    <row r="3538" ht="15.75" customHeight="1">
      <c r="A3538" s="5" t="s">
        <v>4868</v>
      </c>
      <c r="B3538" s="5">
        <v>43892.0</v>
      </c>
      <c r="C3538" s="6" t="s">
        <v>8</v>
      </c>
      <c r="D3538" s="10">
        <f t="shared" si="1"/>
        <v>67</v>
      </c>
      <c r="E3538" s="8" t="str">
        <f t="shared" si="2"/>
        <v>https://resources.simonelectric.com/simon-ebook-vehiculo-electrico</v>
      </c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</row>
    <row r="3539" ht="15.75" customHeight="1">
      <c r="A3539" s="5" t="s">
        <v>2868</v>
      </c>
      <c r="B3539" s="5">
        <v>43891.0</v>
      </c>
      <c r="C3539" s="6" t="s">
        <v>4869</v>
      </c>
      <c r="D3539" s="11">
        <f t="shared" si="1"/>
        <v>70</v>
      </c>
      <c r="E3539" s="8" t="str">
        <f t="shared" si="2"/>
        <v>https://resources.simonelectric.com/simon-catalogo-vehiculo-electrico</v>
      </c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</row>
    <row r="3540" ht="15.75" customHeight="1">
      <c r="A3540" s="5" t="s">
        <v>4870</v>
      </c>
      <c r="B3540" s="5">
        <v>43891.0</v>
      </c>
      <c r="C3540" s="6" t="s">
        <v>31</v>
      </c>
      <c r="D3540" s="11">
        <f t="shared" si="1"/>
        <v>67</v>
      </c>
      <c r="E3540" s="8" t="str">
        <f t="shared" si="2"/>
        <v>https://resources.simonelectric.com/simon-ebook-vehiculo-electrico</v>
      </c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</row>
    <row r="3541" ht="15.75" customHeight="1">
      <c r="A3541" s="5" t="s">
        <v>4871</v>
      </c>
      <c r="B3541" s="5">
        <v>43890.0</v>
      </c>
      <c r="C3541" s="6" t="s">
        <v>8</v>
      </c>
      <c r="D3541" s="11">
        <f t="shared" si="1"/>
        <v>67</v>
      </c>
      <c r="E3541" s="8" t="str">
        <f t="shared" si="2"/>
        <v>https://resources.simonelectric.com/simon-ebook-vehiculo-electrico</v>
      </c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</row>
    <row r="3542" ht="15.75" customHeight="1">
      <c r="A3542" s="5" t="s">
        <v>4872</v>
      </c>
      <c r="B3542" s="5">
        <v>43890.0</v>
      </c>
      <c r="C3542" s="6" t="s">
        <v>4873</v>
      </c>
      <c r="D3542" s="11">
        <f t="shared" si="1"/>
        <v>70</v>
      </c>
      <c r="E3542" s="8" t="str">
        <f t="shared" si="2"/>
        <v>https://resources.simonelectric.com/simon-catalogo-vehiculo-electrico</v>
      </c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</row>
    <row r="3543" ht="15.75" customHeight="1">
      <c r="A3543" s="5" t="s">
        <v>2868</v>
      </c>
      <c r="B3543" s="5">
        <v>43890.0</v>
      </c>
      <c r="C3543" s="6" t="s">
        <v>8</v>
      </c>
      <c r="D3543" s="11">
        <f t="shared" si="1"/>
        <v>67</v>
      </c>
      <c r="E3543" s="8" t="str">
        <f t="shared" si="2"/>
        <v>https://resources.simonelectric.com/simon-ebook-vehiculo-electrico</v>
      </c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</row>
    <row r="3544" ht="15.75" customHeight="1">
      <c r="A3544" s="5" t="s">
        <v>2868</v>
      </c>
      <c r="B3544" s="5">
        <v>43890.0</v>
      </c>
      <c r="C3544" s="6" t="s">
        <v>8</v>
      </c>
      <c r="D3544" s="11">
        <f t="shared" si="1"/>
        <v>67</v>
      </c>
      <c r="E3544" s="8" t="str">
        <f t="shared" si="2"/>
        <v>https://resources.simonelectric.com/simon-ebook-vehiculo-electrico</v>
      </c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</row>
    <row r="3545" ht="15.75" customHeight="1">
      <c r="A3545" s="5" t="s">
        <v>1276</v>
      </c>
      <c r="B3545" s="5">
        <v>43890.0</v>
      </c>
      <c r="C3545" s="6" t="s">
        <v>299</v>
      </c>
      <c r="D3545" s="10" t="str">
        <f t="shared" si="1"/>
        <v>https://resources.simonelectric.com/simon-material-formativo-vehiculo-electrico</v>
      </c>
      <c r="E3545" s="8" t="str">
        <f t="shared" si="2"/>
        <v>https://resources.simonelectric.com/simon-material-formativo-vehiculo-electrico</v>
      </c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</row>
    <row r="3546" ht="15.75" customHeight="1">
      <c r="A3546" s="5" t="s">
        <v>4387</v>
      </c>
      <c r="B3546" s="5">
        <v>43889.0</v>
      </c>
      <c r="C3546" s="6" t="s">
        <v>4674</v>
      </c>
      <c r="D3546" s="11">
        <f t="shared" si="1"/>
        <v>70</v>
      </c>
      <c r="E3546" s="8" t="str">
        <f t="shared" si="2"/>
        <v>https://resources.simonelectric.com/simon-ebook-vehiculo-electrico-tw</v>
      </c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</row>
    <row r="3547" ht="15.75" customHeight="1">
      <c r="A3547" s="5" t="s">
        <v>4874</v>
      </c>
      <c r="B3547" s="5">
        <v>43889.0</v>
      </c>
      <c r="C3547" s="6" t="s">
        <v>31</v>
      </c>
      <c r="D3547" s="10">
        <f t="shared" si="1"/>
        <v>67</v>
      </c>
      <c r="E3547" s="8" t="str">
        <f t="shared" si="2"/>
        <v>https://resources.simonelectric.com/simon-ebook-vehiculo-electrico</v>
      </c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</row>
    <row r="3548" ht="15.75" customHeight="1">
      <c r="A3548" s="5" t="s">
        <v>4875</v>
      </c>
      <c r="B3548" s="5">
        <v>43889.0</v>
      </c>
      <c r="C3548" s="6" t="s">
        <v>8</v>
      </c>
      <c r="D3548" s="10">
        <f t="shared" si="1"/>
        <v>67</v>
      </c>
      <c r="E3548" s="8" t="str">
        <f t="shared" si="2"/>
        <v>https://resources.simonelectric.com/simon-ebook-vehiculo-electrico</v>
      </c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</row>
    <row r="3549" ht="15.75" customHeight="1">
      <c r="A3549" s="5" t="s">
        <v>2094</v>
      </c>
      <c r="B3549" s="5">
        <v>43889.0</v>
      </c>
      <c r="C3549" s="6" t="s">
        <v>299</v>
      </c>
      <c r="D3549" s="10" t="str">
        <f t="shared" si="1"/>
        <v>https://resources.simonelectric.com/simon-material-formativo-vehiculo-electrico</v>
      </c>
      <c r="E3549" s="8" t="str">
        <f t="shared" si="2"/>
        <v>https://resources.simonelectric.com/simon-material-formativo-vehiculo-electrico</v>
      </c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</row>
    <row r="3550" ht="15.75" customHeight="1">
      <c r="A3550" s="5" t="s">
        <v>4876</v>
      </c>
      <c r="B3550" s="5">
        <v>43889.0</v>
      </c>
      <c r="C3550" s="6" t="s">
        <v>75</v>
      </c>
      <c r="D3550" s="11">
        <f t="shared" si="1"/>
        <v>67</v>
      </c>
      <c r="E3550" s="8" t="str">
        <f t="shared" si="2"/>
        <v>https://resources.simonelectric.com/simon-ebook-vehiculo-electrico</v>
      </c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</row>
    <row r="3551" ht="15.75" customHeight="1">
      <c r="A3551" s="5" t="s">
        <v>4877</v>
      </c>
      <c r="B3551" s="5">
        <v>43889.0</v>
      </c>
      <c r="C3551" s="6" t="s">
        <v>4878</v>
      </c>
      <c r="D3551" s="11">
        <f t="shared" si="1"/>
        <v>69</v>
      </c>
      <c r="E3551" s="8" t="str">
        <f t="shared" si="2"/>
        <v>https://resources.simonelectric.com/simon-ebook-vehiculo-electrico-0</v>
      </c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</row>
    <row r="3552" ht="15.75" customHeight="1">
      <c r="A3552" s="5" t="s">
        <v>3068</v>
      </c>
      <c r="B3552" s="5">
        <v>43888.0</v>
      </c>
      <c r="C3552" s="6" t="s">
        <v>4879</v>
      </c>
      <c r="D3552" s="11">
        <f t="shared" si="1"/>
        <v>70</v>
      </c>
      <c r="E3552" s="8" t="str">
        <f t="shared" si="2"/>
        <v>https://resources.simonelectric.com/simon-catalogo-vehiculo-electrico</v>
      </c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</row>
    <row r="3553" ht="15.75" customHeight="1">
      <c r="A3553" s="5" t="s">
        <v>3068</v>
      </c>
      <c r="B3553" s="5">
        <v>43888.0</v>
      </c>
      <c r="C3553" s="6" t="s">
        <v>28</v>
      </c>
      <c r="D3553" s="10" t="str">
        <f t="shared" si="1"/>
        <v>https://resources.simonelectric.com/simon-ebook-vehiculo-electrico</v>
      </c>
      <c r="E3553" s="8" t="str">
        <f t="shared" si="2"/>
        <v>https://resources.simonelectric.com/simon-ebook-vehiculo-electrico</v>
      </c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</row>
    <row r="3554" ht="15.75" customHeight="1">
      <c r="A3554" s="5" t="s">
        <v>4880</v>
      </c>
      <c r="B3554" s="5">
        <v>43888.0</v>
      </c>
      <c r="C3554" s="6" t="s">
        <v>8</v>
      </c>
      <c r="D3554" s="11">
        <f t="shared" si="1"/>
        <v>67</v>
      </c>
      <c r="E3554" s="8" t="str">
        <f t="shared" si="2"/>
        <v>https://resources.simonelectric.com/simon-ebook-vehiculo-electrico</v>
      </c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</row>
    <row r="3555" ht="15.75" customHeight="1">
      <c r="A3555" s="5" t="s">
        <v>3909</v>
      </c>
      <c r="B3555" s="5">
        <v>43888.0</v>
      </c>
      <c r="C3555" s="6" t="s">
        <v>299</v>
      </c>
      <c r="D3555" s="10" t="str">
        <f t="shared" si="1"/>
        <v>https://resources.simonelectric.com/simon-material-formativo-vehiculo-electrico</v>
      </c>
      <c r="E3555" s="8" t="str">
        <f t="shared" si="2"/>
        <v>https://resources.simonelectric.com/simon-material-formativo-vehiculo-electrico</v>
      </c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</row>
    <row r="3556" ht="15.75" customHeight="1">
      <c r="A3556" s="5" t="s">
        <v>4881</v>
      </c>
      <c r="B3556" s="5">
        <v>43888.0</v>
      </c>
      <c r="C3556" s="6" t="s">
        <v>8</v>
      </c>
      <c r="D3556" s="11">
        <f t="shared" si="1"/>
        <v>67</v>
      </c>
      <c r="E3556" s="8" t="str">
        <f t="shared" si="2"/>
        <v>https://resources.simonelectric.com/simon-ebook-vehiculo-electrico</v>
      </c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</row>
    <row r="3557" ht="15.75" customHeight="1">
      <c r="A3557" s="5" t="s">
        <v>4882</v>
      </c>
      <c r="B3557" s="5">
        <v>43888.0</v>
      </c>
      <c r="C3557" s="6" t="s">
        <v>8</v>
      </c>
      <c r="D3557" s="11">
        <f t="shared" si="1"/>
        <v>67</v>
      </c>
      <c r="E3557" s="8" t="str">
        <f t="shared" si="2"/>
        <v>https://resources.simonelectric.com/simon-ebook-vehiculo-electrico</v>
      </c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</row>
    <row r="3558" ht="15.75" customHeight="1">
      <c r="A3558" s="5" t="s">
        <v>4883</v>
      </c>
      <c r="B3558" s="5">
        <v>43888.0</v>
      </c>
      <c r="C3558" s="6" t="s">
        <v>4884</v>
      </c>
      <c r="D3558" s="11">
        <f t="shared" si="1"/>
        <v>67</v>
      </c>
      <c r="E3558" s="8" t="str">
        <f t="shared" si="2"/>
        <v>https://resources.simonelectric.com/simon-ebook-vehiculo-electrico</v>
      </c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</row>
    <row r="3559" ht="15.75" customHeight="1">
      <c r="A3559" s="5" t="s">
        <v>4885</v>
      </c>
      <c r="B3559" s="5">
        <v>43888.0</v>
      </c>
      <c r="C3559" s="6" t="s">
        <v>28</v>
      </c>
      <c r="D3559" s="10" t="str">
        <f t="shared" si="1"/>
        <v>https://resources.simonelectric.com/simon-ebook-vehiculo-electrico</v>
      </c>
      <c r="E3559" s="8" t="str">
        <f t="shared" si="2"/>
        <v>https://resources.simonelectric.com/simon-ebook-vehiculo-electrico</v>
      </c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</row>
    <row r="3560" ht="15.75" customHeight="1">
      <c r="A3560" s="5" t="s">
        <v>4885</v>
      </c>
      <c r="B3560" s="5">
        <v>43888.0</v>
      </c>
      <c r="C3560" s="6" t="s">
        <v>4886</v>
      </c>
      <c r="D3560" s="10">
        <f t="shared" si="1"/>
        <v>70</v>
      </c>
      <c r="E3560" s="8" t="str">
        <f t="shared" si="2"/>
        <v>https://resources.simonelectric.com/simon-catalogo-vehiculo-electrico</v>
      </c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</row>
    <row r="3561" ht="15.75" customHeight="1">
      <c r="A3561" s="5" t="s">
        <v>4887</v>
      </c>
      <c r="B3561" s="5">
        <v>43888.0</v>
      </c>
      <c r="C3561" s="6" t="s">
        <v>8</v>
      </c>
      <c r="D3561" s="11">
        <f t="shared" si="1"/>
        <v>67</v>
      </c>
      <c r="E3561" s="8" t="str">
        <f t="shared" si="2"/>
        <v>https://resources.simonelectric.com/simon-ebook-vehiculo-electrico</v>
      </c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</row>
    <row r="3562" ht="15.75" customHeight="1">
      <c r="A3562" s="5" t="s">
        <v>4888</v>
      </c>
      <c r="B3562" s="5">
        <v>43888.0</v>
      </c>
      <c r="C3562" s="6" t="s">
        <v>4674</v>
      </c>
      <c r="D3562" s="10">
        <f t="shared" si="1"/>
        <v>70</v>
      </c>
      <c r="E3562" s="8" t="str">
        <f t="shared" si="2"/>
        <v>https://resources.simonelectric.com/simon-ebook-vehiculo-electrico-tw</v>
      </c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</row>
    <row r="3563" ht="15.75" customHeight="1">
      <c r="A3563" s="5" t="s">
        <v>4821</v>
      </c>
      <c r="B3563" s="5">
        <v>43888.0</v>
      </c>
      <c r="C3563" s="6" t="s">
        <v>8</v>
      </c>
      <c r="D3563" s="11">
        <f t="shared" si="1"/>
        <v>67</v>
      </c>
      <c r="E3563" s="8" t="str">
        <f t="shared" si="2"/>
        <v>https://resources.simonelectric.com/simon-ebook-vehiculo-electrico</v>
      </c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</row>
    <row r="3564" ht="15.75" customHeight="1">
      <c r="A3564" s="5" t="s">
        <v>4889</v>
      </c>
      <c r="B3564" s="5">
        <v>43888.0</v>
      </c>
      <c r="C3564" s="6" t="s">
        <v>31</v>
      </c>
      <c r="D3564" s="11">
        <f t="shared" si="1"/>
        <v>67</v>
      </c>
      <c r="E3564" s="8" t="str">
        <f t="shared" si="2"/>
        <v>https://resources.simonelectric.com/simon-ebook-vehiculo-electrico</v>
      </c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</row>
    <row r="3565" ht="15.75" customHeight="1">
      <c r="A3565" s="5" t="s">
        <v>4890</v>
      </c>
      <c r="B3565" s="5">
        <v>43888.0</v>
      </c>
      <c r="C3565" s="6" t="s">
        <v>28</v>
      </c>
      <c r="D3565" s="10" t="str">
        <f t="shared" si="1"/>
        <v>https://resources.simonelectric.com/simon-ebook-vehiculo-electrico</v>
      </c>
      <c r="E3565" s="8" t="str">
        <f t="shared" si="2"/>
        <v>https://resources.simonelectric.com/simon-ebook-vehiculo-electrico</v>
      </c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</row>
    <row r="3566" ht="15.75" customHeight="1">
      <c r="A3566" s="5" t="s">
        <v>4891</v>
      </c>
      <c r="B3566" s="5">
        <v>43888.0</v>
      </c>
      <c r="C3566" s="6" t="s">
        <v>4892</v>
      </c>
      <c r="D3566" s="11">
        <f t="shared" si="1"/>
        <v>69</v>
      </c>
      <c r="E3566" s="8" t="str">
        <f t="shared" si="2"/>
        <v>https://resources.simonelectric.com/simon-ebook-vehiculo-electrico-0</v>
      </c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</row>
    <row r="3567" ht="15.75" customHeight="1">
      <c r="A3567" s="5" t="s">
        <v>4893</v>
      </c>
      <c r="B3567" s="5">
        <v>43887.0</v>
      </c>
      <c r="C3567" s="6" t="s">
        <v>8</v>
      </c>
      <c r="D3567" s="11">
        <f t="shared" si="1"/>
        <v>67</v>
      </c>
      <c r="E3567" s="8" t="str">
        <f t="shared" si="2"/>
        <v>https://resources.simonelectric.com/simon-ebook-vehiculo-electrico</v>
      </c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</row>
    <row r="3568" ht="15.75" customHeight="1">
      <c r="A3568" s="5" t="s">
        <v>3906</v>
      </c>
      <c r="B3568" s="5">
        <v>43887.0</v>
      </c>
      <c r="C3568" s="6" t="s">
        <v>299</v>
      </c>
      <c r="D3568" s="10" t="str">
        <f t="shared" si="1"/>
        <v>https://resources.simonelectric.com/simon-material-formativo-vehiculo-electrico</v>
      </c>
      <c r="E3568" s="8" t="str">
        <f t="shared" si="2"/>
        <v>https://resources.simonelectric.com/simon-material-formativo-vehiculo-electrico</v>
      </c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</row>
    <row r="3569" ht="15.75" customHeight="1">
      <c r="A3569" s="5" t="s">
        <v>1955</v>
      </c>
      <c r="B3569" s="5">
        <v>43887.0</v>
      </c>
      <c r="C3569" s="6" t="s">
        <v>6</v>
      </c>
      <c r="D3569" s="10">
        <f t="shared" si="1"/>
        <v>67</v>
      </c>
      <c r="E3569" s="8" t="str">
        <f t="shared" si="2"/>
        <v>https://resources.simonelectric.com/simon-ebook-vehiculo-electrico</v>
      </c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</row>
    <row r="3570" ht="15.75" customHeight="1">
      <c r="A3570" s="5" t="s">
        <v>4894</v>
      </c>
      <c r="B3570" s="5">
        <v>43887.0</v>
      </c>
      <c r="C3570" s="6" t="s">
        <v>299</v>
      </c>
      <c r="D3570" s="10" t="str">
        <f t="shared" si="1"/>
        <v>https://resources.simonelectric.com/simon-material-formativo-vehiculo-electrico</v>
      </c>
      <c r="E3570" s="8" t="str">
        <f t="shared" si="2"/>
        <v>https://resources.simonelectric.com/simon-material-formativo-vehiculo-electrico</v>
      </c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</row>
    <row r="3571" ht="15.75" customHeight="1">
      <c r="A3571" s="5" t="s">
        <v>4895</v>
      </c>
      <c r="B3571" s="5">
        <v>43887.0</v>
      </c>
      <c r="C3571" s="6" t="s">
        <v>8</v>
      </c>
      <c r="D3571" s="11">
        <f t="shared" si="1"/>
        <v>67</v>
      </c>
      <c r="E3571" s="8" t="str">
        <f t="shared" si="2"/>
        <v>https://resources.simonelectric.com/simon-ebook-vehiculo-electrico</v>
      </c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</row>
    <row r="3572" ht="15.75" customHeight="1">
      <c r="A3572" s="5" t="s">
        <v>4896</v>
      </c>
      <c r="B3572" s="5">
        <v>43887.0</v>
      </c>
      <c r="C3572" s="6" t="s">
        <v>75</v>
      </c>
      <c r="D3572" s="11">
        <f t="shared" si="1"/>
        <v>67</v>
      </c>
      <c r="E3572" s="8" t="str">
        <f t="shared" si="2"/>
        <v>https://resources.simonelectric.com/simon-ebook-vehiculo-electrico</v>
      </c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</row>
    <row r="3573" ht="15.75" customHeight="1">
      <c r="A3573" s="5" t="s">
        <v>3171</v>
      </c>
      <c r="B3573" s="5">
        <v>43887.0</v>
      </c>
      <c r="C3573" s="6" t="s">
        <v>10</v>
      </c>
      <c r="D3573" s="10" t="str">
        <f t="shared" si="1"/>
        <v>https://resources.simonelectric.com/simon-catalogo-vehiculo-electrico</v>
      </c>
      <c r="E3573" s="8" t="str">
        <f t="shared" si="2"/>
        <v>https://resources.simonelectric.com/simon-catalogo-vehiculo-electrico</v>
      </c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</row>
    <row r="3574" ht="15.75" customHeight="1">
      <c r="A3574" s="5" t="s">
        <v>3906</v>
      </c>
      <c r="B3574" s="5">
        <v>43887.0</v>
      </c>
      <c r="C3574" s="6" t="s">
        <v>299</v>
      </c>
      <c r="D3574" s="10" t="str">
        <f t="shared" si="1"/>
        <v>https://resources.simonelectric.com/simon-material-formativo-vehiculo-electrico</v>
      </c>
      <c r="E3574" s="8" t="str">
        <f t="shared" si="2"/>
        <v>https://resources.simonelectric.com/simon-material-formativo-vehiculo-electrico</v>
      </c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</row>
    <row r="3575" ht="15.75" customHeight="1">
      <c r="A3575" s="5" t="s">
        <v>2279</v>
      </c>
      <c r="B3575" s="5">
        <v>43887.0</v>
      </c>
      <c r="C3575" s="6" t="s">
        <v>4897</v>
      </c>
      <c r="D3575" s="11">
        <f t="shared" si="1"/>
        <v>70</v>
      </c>
      <c r="E3575" s="8" t="str">
        <f t="shared" si="2"/>
        <v>https://resources.simonelectric.com/simon-catalogo-vehiculo-electrico</v>
      </c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</row>
    <row r="3576" ht="15.75" customHeight="1">
      <c r="A3576" s="5" t="s">
        <v>2279</v>
      </c>
      <c r="B3576" s="5">
        <v>43887.0</v>
      </c>
      <c r="C3576" s="6" t="s">
        <v>28</v>
      </c>
      <c r="D3576" s="10" t="str">
        <f t="shared" si="1"/>
        <v>https://resources.simonelectric.com/simon-ebook-vehiculo-electrico</v>
      </c>
      <c r="E3576" s="8" t="str">
        <f t="shared" si="2"/>
        <v>https://resources.simonelectric.com/simon-ebook-vehiculo-electrico</v>
      </c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</row>
    <row r="3577" ht="15.75" customHeight="1">
      <c r="A3577" s="5" t="s">
        <v>4898</v>
      </c>
      <c r="B3577" s="5">
        <v>43887.0</v>
      </c>
      <c r="C3577" s="6" t="s">
        <v>4899</v>
      </c>
      <c r="D3577" s="11">
        <f t="shared" si="1"/>
        <v>69</v>
      </c>
      <c r="E3577" s="8" t="str">
        <f t="shared" si="2"/>
        <v>https://resources.simonelectric.com/simon-ebook-vehiculo-electrico-0</v>
      </c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</row>
    <row r="3578" ht="15.75" customHeight="1">
      <c r="A3578" s="5" t="s">
        <v>4900</v>
      </c>
      <c r="B3578" s="5">
        <v>43886.0</v>
      </c>
      <c r="C3578" s="6" t="s">
        <v>28</v>
      </c>
      <c r="D3578" s="10" t="str">
        <f t="shared" si="1"/>
        <v>https://resources.simonelectric.com/simon-ebook-vehiculo-electrico</v>
      </c>
      <c r="E3578" s="8" t="str">
        <f t="shared" si="2"/>
        <v>https://resources.simonelectric.com/simon-ebook-vehiculo-electrico</v>
      </c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</row>
    <row r="3579" ht="15.75" customHeight="1">
      <c r="A3579" s="5" t="s">
        <v>4900</v>
      </c>
      <c r="B3579" s="5">
        <v>43886.0</v>
      </c>
      <c r="C3579" s="6" t="s">
        <v>28</v>
      </c>
      <c r="D3579" s="10" t="str">
        <f t="shared" si="1"/>
        <v>https://resources.simonelectric.com/simon-ebook-vehiculo-electrico</v>
      </c>
      <c r="E3579" s="8" t="str">
        <f t="shared" si="2"/>
        <v>https://resources.simonelectric.com/simon-ebook-vehiculo-electrico</v>
      </c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</row>
    <row r="3580" ht="15.75" customHeight="1">
      <c r="A3580" s="5" t="s">
        <v>4901</v>
      </c>
      <c r="B3580" s="5">
        <v>43886.0</v>
      </c>
      <c r="C3580" s="6" t="s">
        <v>48</v>
      </c>
      <c r="D3580" s="11">
        <f t="shared" si="1"/>
        <v>67</v>
      </c>
      <c r="E3580" s="8" t="str">
        <f t="shared" si="2"/>
        <v>https://resources.simonelectric.com/simon-ebook-vehiculo-electrico</v>
      </c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</row>
    <row r="3581" ht="15.75" customHeight="1">
      <c r="A3581" s="5" t="s">
        <v>4902</v>
      </c>
      <c r="B3581" s="5">
        <v>43886.0</v>
      </c>
      <c r="C3581" s="6" t="s">
        <v>4674</v>
      </c>
      <c r="D3581" s="11">
        <f t="shared" si="1"/>
        <v>70</v>
      </c>
      <c r="E3581" s="8" t="str">
        <f t="shared" si="2"/>
        <v>https://resources.simonelectric.com/simon-ebook-vehiculo-electrico-tw</v>
      </c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</row>
    <row r="3582" ht="15.75" customHeight="1">
      <c r="A3582" s="5" t="s">
        <v>4876</v>
      </c>
      <c r="B3582" s="5">
        <v>43886.0</v>
      </c>
      <c r="C3582" s="6" t="s">
        <v>8</v>
      </c>
      <c r="D3582" s="11">
        <f t="shared" si="1"/>
        <v>67</v>
      </c>
      <c r="E3582" s="8" t="str">
        <f t="shared" si="2"/>
        <v>https://resources.simonelectric.com/simon-ebook-vehiculo-electrico</v>
      </c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</row>
    <row r="3583" ht="15.75" customHeight="1">
      <c r="A3583" s="5" t="s">
        <v>4677</v>
      </c>
      <c r="B3583" s="5">
        <v>43886.0</v>
      </c>
      <c r="C3583" s="6" t="s">
        <v>28</v>
      </c>
      <c r="D3583" s="10" t="str">
        <f t="shared" si="1"/>
        <v>https://resources.simonelectric.com/simon-ebook-vehiculo-electrico</v>
      </c>
      <c r="E3583" s="8" t="str">
        <f t="shared" si="2"/>
        <v>https://resources.simonelectric.com/simon-ebook-vehiculo-electrico</v>
      </c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</row>
    <row r="3584" ht="15.75" customHeight="1">
      <c r="A3584" s="5" t="s">
        <v>4903</v>
      </c>
      <c r="B3584" s="5">
        <v>43886.0</v>
      </c>
      <c r="C3584" s="6" t="s">
        <v>4904</v>
      </c>
      <c r="D3584" s="11">
        <f t="shared" si="1"/>
        <v>70</v>
      </c>
      <c r="E3584" s="8" t="str">
        <f t="shared" si="2"/>
        <v>https://resources.simonelectric.com/simon-catalogo-vehiculo-electrico</v>
      </c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</row>
    <row r="3585" ht="15.75" customHeight="1">
      <c r="A3585" s="5" t="s">
        <v>4903</v>
      </c>
      <c r="B3585" s="5">
        <v>43886.0</v>
      </c>
      <c r="C3585" s="6" t="s">
        <v>8</v>
      </c>
      <c r="D3585" s="11">
        <f t="shared" si="1"/>
        <v>67</v>
      </c>
      <c r="E3585" s="8" t="str">
        <f t="shared" si="2"/>
        <v>https://resources.simonelectric.com/simon-ebook-vehiculo-electrico</v>
      </c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</row>
    <row r="3586" ht="15.75" customHeight="1">
      <c r="A3586" s="5" t="s">
        <v>4905</v>
      </c>
      <c r="B3586" s="5">
        <v>43886.0</v>
      </c>
      <c r="C3586" s="6" t="s">
        <v>4674</v>
      </c>
      <c r="D3586" s="11">
        <f t="shared" si="1"/>
        <v>70</v>
      </c>
      <c r="E3586" s="8" t="str">
        <f t="shared" si="2"/>
        <v>https://resources.simonelectric.com/simon-ebook-vehiculo-electrico-tw</v>
      </c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</row>
    <row r="3587" ht="15.75" customHeight="1">
      <c r="A3587" s="5" t="s">
        <v>4761</v>
      </c>
      <c r="B3587" s="5">
        <v>43886.0</v>
      </c>
      <c r="C3587" s="6" t="s">
        <v>75</v>
      </c>
      <c r="D3587" s="11">
        <f t="shared" si="1"/>
        <v>67</v>
      </c>
      <c r="E3587" s="8" t="str">
        <f t="shared" si="2"/>
        <v>https://resources.simonelectric.com/simon-ebook-vehiculo-electrico</v>
      </c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</row>
    <row r="3588" ht="15.75" customHeight="1">
      <c r="A3588" s="5" t="s">
        <v>4906</v>
      </c>
      <c r="B3588" s="5">
        <v>43886.0</v>
      </c>
      <c r="C3588" s="6" t="s">
        <v>4907</v>
      </c>
      <c r="D3588" s="11">
        <f t="shared" si="1"/>
        <v>69</v>
      </c>
      <c r="E3588" s="8" t="str">
        <f t="shared" si="2"/>
        <v>https://resources.simonelectric.com/simon-ebook-vehiculo-electrico-0</v>
      </c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</row>
    <row r="3589" ht="15.75" customHeight="1">
      <c r="A3589" s="5" t="s">
        <v>4908</v>
      </c>
      <c r="B3589" s="5">
        <v>43885.0</v>
      </c>
      <c r="C3589" s="6" t="s">
        <v>6</v>
      </c>
      <c r="D3589" s="11">
        <f t="shared" si="1"/>
        <v>67</v>
      </c>
      <c r="E3589" s="8" t="str">
        <f t="shared" si="2"/>
        <v>https://resources.simonelectric.com/simon-ebook-vehiculo-electrico</v>
      </c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</row>
    <row r="3590" ht="15.75" customHeight="1">
      <c r="A3590" s="5" t="s">
        <v>1150</v>
      </c>
      <c r="B3590" s="5">
        <v>43885.0</v>
      </c>
      <c r="C3590" s="6" t="s">
        <v>8</v>
      </c>
      <c r="D3590" s="11">
        <f t="shared" si="1"/>
        <v>67</v>
      </c>
      <c r="E3590" s="8" t="str">
        <f t="shared" si="2"/>
        <v>https://resources.simonelectric.com/simon-ebook-vehiculo-electrico</v>
      </c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</row>
    <row r="3591" ht="15.75" customHeight="1">
      <c r="A3591" s="5" t="s">
        <v>4909</v>
      </c>
      <c r="B3591" s="5">
        <v>43885.0</v>
      </c>
      <c r="C3591" s="6" t="s">
        <v>8</v>
      </c>
      <c r="D3591" s="10">
        <f t="shared" si="1"/>
        <v>67</v>
      </c>
      <c r="E3591" s="8" t="str">
        <f t="shared" si="2"/>
        <v>https://resources.simonelectric.com/simon-ebook-vehiculo-electrico</v>
      </c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</row>
    <row r="3592" ht="15.75" customHeight="1">
      <c r="A3592" s="5" t="s">
        <v>4910</v>
      </c>
      <c r="B3592" s="5">
        <v>43885.0</v>
      </c>
      <c r="C3592" s="6" t="s">
        <v>299</v>
      </c>
      <c r="D3592" s="10" t="str">
        <f t="shared" si="1"/>
        <v>https://resources.simonelectric.com/simon-material-formativo-vehiculo-electrico</v>
      </c>
      <c r="E3592" s="8" t="str">
        <f t="shared" si="2"/>
        <v>https://resources.simonelectric.com/simon-material-formativo-vehiculo-electrico</v>
      </c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</row>
    <row r="3593" ht="15.75" customHeight="1">
      <c r="A3593" s="5" t="s">
        <v>4911</v>
      </c>
      <c r="B3593" s="5">
        <v>43885.0</v>
      </c>
      <c r="C3593" s="6" t="s">
        <v>75</v>
      </c>
      <c r="D3593" s="11">
        <f t="shared" si="1"/>
        <v>67</v>
      </c>
      <c r="E3593" s="8" t="str">
        <f t="shared" si="2"/>
        <v>https://resources.simonelectric.com/simon-ebook-vehiculo-electrico</v>
      </c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</row>
    <row r="3594" ht="15.75" customHeight="1">
      <c r="A3594" s="5" t="s">
        <v>4912</v>
      </c>
      <c r="B3594" s="5">
        <v>43885.0</v>
      </c>
      <c r="C3594" s="6" t="s">
        <v>299</v>
      </c>
      <c r="D3594" s="10" t="str">
        <f t="shared" si="1"/>
        <v>https://resources.simonelectric.com/simon-material-formativo-vehiculo-electrico</v>
      </c>
      <c r="E3594" s="8" t="str">
        <f t="shared" si="2"/>
        <v>https://resources.simonelectric.com/simon-material-formativo-vehiculo-electrico</v>
      </c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</row>
    <row r="3595" ht="15.75" customHeight="1">
      <c r="A3595" s="5" t="s">
        <v>288</v>
      </c>
      <c r="B3595" s="5">
        <v>43885.0</v>
      </c>
      <c r="C3595" s="6" t="s">
        <v>3846</v>
      </c>
      <c r="D3595" s="11">
        <f t="shared" si="1"/>
        <v>67</v>
      </c>
      <c r="E3595" s="8" t="str">
        <f t="shared" si="2"/>
        <v>https://resources.simonelectric.com/simon-ebook-vehiculo-electrico</v>
      </c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</row>
    <row r="3596" ht="15.75" customHeight="1">
      <c r="A3596" s="5" t="s">
        <v>4913</v>
      </c>
      <c r="B3596" s="5">
        <v>43885.0</v>
      </c>
      <c r="C3596" s="6" t="s">
        <v>4914</v>
      </c>
      <c r="D3596" s="11">
        <f t="shared" si="1"/>
        <v>70</v>
      </c>
      <c r="E3596" s="8" t="str">
        <f t="shared" si="2"/>
        <v>https://resources.simonelectric.com/simon-catalogo-vehiculo-electrico</v>
      </c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</row>
    <row r="3597" ht="15.75" customHeight="1">
      <c r="A3597" s="5" t="s">
        <v>4915</v>
      </c>
      <c r="B3597" s="5">
        <v>43885.0</v>
      </c>
      <c r="C3597" s="6" t="s">
        <v>4916</v>
      </c>
      <c r="D3597" s="10">
        <f t="shared" si="1"/>
        <v>69</v>
      </c>
      <c r="E3597" s="8" t="str">
        <f t="shared" si="2"/>
        <v>https://resources.simonelectric.com/simon-ebook-vehiculo-electrico-0</v>
      </c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</row>
    <row r="3598" ht="15.75" customHeight="1">
      <c r="A3598" s="5" t="s">
        <v>4917</v>
      </c>
      <c r="B3598" s="5">
        <v>43885.0</v>
      </c>
      <c r="C3598" s="6" t="s">
        <v>6</v>
      </c>
      <c r="D3598" s="11">
        <f t="shared" si="1"/>
        <v>67</v>
      </c>
      <c r="E3598" s="8" t="str">
        <f t="shared" si="2"/>
        <v>https://resources.simonelectric.com/simon-ebook-vehiculo-electrico</v>
      </c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</row>
    <row r="3599" ht="15.75" customHeight="1">
      <c r="A3599" s="5" t="s">
        <v>4918</v>
      </c>
      <c r="B3599" s="5">
        <v>43885.0</v>
      </c>
      <c r="C3599" s="6" t="s">
        <v>4919</v>
      </c>
      <c r="D3599" s="11">
        <f t="shared" si="1"/>
        <v>69</v>
      </c>
      <c r="E3599" s="8" t="str">
        <f t="shared" si="2"/>
        <v>https://resources.simonelectric.com/simon-ebook-vehiculo-electrico-0</v>
      </c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</row>
    <row r="3600" ht="15.75" customHeight="1">
      <c r="A3600" s="5" t="s">
        <v>4920</v>
      </c>
      <c r="B3600" s="5">
        <v>43884.0</v>
      </c>
      <c r="C3600" s="6" t="s">
        <v>4674</v>
      </c>
      <c r="D3600" s="10">
        <f t="shared" si="1"/>
        <v>70</v>
      </c>
      <c r="E3600" s="8" t="str">
        <f t="shared" si="2"/>
        <v>https://resources.simonelectric.com/simon-ebook-vehiculo-electrico-tw</v>
      </c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</row>
    <row r="3601" ht="15.75" customHeight="1">
      <c r="A3601" s="5" t="s">
        <v>4921</v>
      </c>
      <c r="B3601" s="5">
        <v>43884.0</v>
      </c>
      <c r="C3601" s="6" t="s">
        <v>8</v>
      </c>
      <c r="D3601" s="11">
        <f t="shared" si="1"/>
        <v>67</v>
      </c>
      <c r="E3601" s="8" t="str">
        <f t="shared" si="2"/>
        <v>https://resources.simonelectric.com/simon-ebook-vehiculo-electrico</v>
      </c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</row>
    <row r="3602" ht="15.75" customHeight="1">
      <c r="A3602" s="5" t="s">
        <v>4922</v>
      </c>
      <c r="B3602" s="5">
        <v>43884.0</v>
      </c>
      <c r="C3602" s="6" t="s">
        <v>4674</v>
      </c>
      <c r="D3602" s="11">
        <f t="shared" si="1"/>
        <v>70</v>
      </c>
      <c r="E3602" s="8" t="str">
        <f t="shared" si="2"/>
        <v>https://resources.simonelectric.com/simon-ebook-vehiculo-electrico-tw</v>
      </c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</row>
    <row r="3603" ht="15.75" customHeight="1">
      <c r="A3603" s="5" t="s">
        <v>4922</v>
      </c>
      <c r="B3603" s="5">
        <v>43883.0</v>
      </c>
      <c r="C3603" s="6" t="s">
        <v>4674</v>
      </c>
      <c r="D3603" s="11">
        <f t="shared" si="1"/>
        <v>70</v>
      </c>
      <c r="E3603" s="8" t="str">
        <f t="shared" si="2"/>
        <v>https://resources.simonelectric.com/simon-ebook-vehiculo-electrico-tw</v>
      </c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</row>
    <row r="3604" ht="15.75" customHeight="1">
      <c r="A3604" s="5" t="s">
        <v>4923</v>
      </c>
      <c r="B3604" s="5">
        <v>43883.0</v>
      </c>
      <c r="C3604" s="6" t="s">
        <v>48</v>
      </c>
      <c r="D3604" s="10">
        <f t="shared" si="1"/>
        <v>67</v>
      </c>
      <c r="E3604" s="8" t="str">
        <f t="shared" si="2"/>
        <v>https://resources.simonelectric.com/simon-ebook-vehiculo-electrico</v>
      </c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</row>
    <row r="3605" ht="15.75" customHeight="1">
      <c r="A3605" s="5" t="s">
        <v>4924</v>
      </c>
      <c r="B3605" s="5">
        <v>43883.0</v>
      </c>
      <c r="C3605" s="6" t="s">
        <v>4674</v>
      </c>
      <c r="D3605" s="11">
        <f t="shared" si="1"/>
        <v>70</v>
      </c>
      <c r="E3605" s="8" t="str">
        <f t="shared" si="2"/>
        <v>https://resources.simonelectric.com/simon-ebook-vehiculo-electrico-tw</v>
      </c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</row>
    <row r="3606" ht="15.75" customHeight="1">
      <c r="A3606" s="5" t="s">
        <v>1150</v>
      </c>
      <c r="B3606" s="5">
        <v>43882.0</v>
      </c>
      <c r="C3606" s="6" t="s">
        <v>4925</v>
      </c>
      <c r="D3606" s="11">
        <f t="shared" si="1"/>
        <v>70</v>
      </c>
      <c r="E3606" s="8" t="str">
        <f t="shared" si="2"/>
        <v>https://resources.simonelectric.com/simon-catalogo-vehiculo-electrico</v>
      </c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</row>
    <row r="3607" ht="15.75" customHeight="1">
      <c r="A3607" s="5" t="s">
        <v>1150</v>
      </c>
      <c r="B3607" s="5">
        <v>43882.0</v>
      </c>
      <c r="C3607" s="6" t="s">
        <v>28</v>
      </c>
      <c r="D3607" s="10" t="str">
        <f t="shared" si="1"/>
        <v>https://resources.simonelectric.com/simon-ebook-vehiculo-electrico</v>
      </c>
      <c r="E3607" s="8" t="str">
        <f t="shared" si="2"/>
        <v>https://resources.simonelectric.com/simon-ebook-vehiculo-electrico</v>
      </c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</row>
    <row r="3608" ht="15.75" customHeight="1">
      <c r="A3608" s="5" t="s">
        <v>4926</v>
      </c>
      <c r="B3608" s="5">
        <v>43882.0</v>
      </c>
      <c r="C3608" s="6" t="s">
        <v>28</v>
      </c>
      <c r="D3608" s="10" t="str">
        <f t="shared" si="1"/>
        <v>https://resources.simonelectric.com/simon-ebook-vehiculo-electrico</v>
      </c>
      <c r="E3608" s="8" t="str">
        <f t="shared" si="2"/>
        <v>https://resources.simonelectric.com/simon-ebook-vehiculo-electrico</v>
      </c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</row>
    <row r="3609" ht="15.75" customHeight="1">
      <c r="A3609" s="5" t="s">
        <v>4926</v>
      </c>
      <c r="B3609" s="5">
        <v>43882.0</v>
      </c>
      <c r="C3609" s="6" t="s">
        <v>4927</v>
      </c>
      <c r="D3609" s="10">
        <f t="shared" si="1"/>
        <v>70</v>
      </c>
      <c r="E3609" s="8" t="str">
        <f t="shared" si="2"/>
        <v>https://resources.simonelectric.com/simon-catalogo-vehiculo-electrico</v>
      </c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</row>
    <row r="3610" ht="15.75" customHeight="1">
      <c r="A3610" s="5" t="s">
        <v>830</v>
      </c>
      <c r="B3610" s="5">
        <v>43882.0</v>
      </c>
      <c r="C3610" s="6" t="s">
        <v>8</v>
      </c>
      <c r="D3610" s="11">
        <f t="shared" si="1"/>
        <v>67</v>
      </c>
      <c r="E3610" s="8" t="str">
        <f t="shared" si="2"/>
        <v>https://resources.simonelectric.com/simon-ebook-vehiculo-electrico</v>
      </c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</row>
    <row r="3611" ht="15.75" customHeight="1">
      <c r="A3611" s="5" t="s">
        <v>4928</v>
      </c>
      <c r="B3611" s="5">
        <v>43882.0</v>
      </c>
      <c r="C3611" s="6" t="s">
        <v>4929</v>
      </c>
      <c r="D3611" s="11">
        <f t="shared" si="1"/>
        <v>67</v>
      </c>
      <c r="E3611" s="8" t="str">
        <f t="shared" si="2"/>
        <v>https://resources.simonelectric.com/simon-ebook-vehiculo-electrico</v>
      </c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</row>
    <row r="3612" ht="15.75" customHeight="1">
      <c r="A3612" s="5" t="s">
        <v>3230</v>
      </c>
      <c r="B3612" s="5">
        <v>43882.0</v>
      </c>
      <c r="C3612" s="6" t="s">
        <v>4930</v>
      </c>
      <c r="D3612" s="11">
        <f t="shared" si="1"/>
        <v>67</v>
      </c>
      <c r="E3612" s="8" t="str">
        <f t="shared" si="2"/>
        <v>https://resources.simonelectric.com/simon-ebook-vehiculo-electrico</v>
      </c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</row>
    <row r="3613" ht="15.75" customHeight="1">
      <c r="A3613" s="5" t="s">
        <v>4931</v>
      </c>
      <c r="B3613" s="5">
        <v>43882.0</v>
      </c>
      <c r="C3613" s="6" t="s">
        <v>8</v>
      </c>
      <c r="D3613" s="11">
        <f t="shared" si="1"/>
        <v>67</v>
      </c>
      <c r="E3613" s="8" t="str">
        <f t="shared" si="2"/>
        <v>https://resources.simonelectric.com/simon-ebook-vehiculo-electrico</v>
      </c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</row>
    <row r="3614" ht="15.75" customHeight="1">
      <c r="A3614" s="5" t="s">
        <v>4932</v>
      </c>
      <c r="B3614" s="5">
        <v>43882.0</v>
      </c>
      <c r="C3614" s="6" t="s">
        <v>4933</v>
      </c>
      <c r="D3614" s="11">
        <f t="shared" si="1"/>
        <v>67</v>
      </c>
      <c r="E3614" s="8" t="str">
        <f t="shared" si="2"/>
        <v>https://resources.simonelectric.com/simon-ebook-vehiculo-electrico</v>
      </c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</row>
    <row r="3615" ht="15.75" customHeight="1">
      <c r="A3615" s="5" t="s">
        <v>4934</v>
      </c>
      <c r="B3615" s="5">
        <v>43882.0</v>
      </c>
      <c r="C3615" s="6" t="s">
        <v>4935</v>
      </c>
      <c r="D3615" s="11">
        <f t="shared" si="1"/>
        <v>69</v>
      </c>
      <c r="E3615" s="8" t="str">
        <f t="shared" si="2"/>
        <v>https://resources.simonelectric.com/simon-ebook-vehiculo-electrico-0</v>
      </c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</row>
    <row r="3616" ht="15.75" customHeight="1">
      <c r="A3616" s="5" t="s">
        <v>4936</v>
      </c>
      <c r="B3616" s="5">
        <v>43882.0</v>
      </c>
      <c r="C3616" s="6" t="s">
        <v>4674</v>
      </c>
      <c r="D3616" s="11">
        <f t="shared" si="1"/>
        <v>70</v>
      </c>
      <c r="E3616" s="8" t="str">
        <f t="shared" si="2"/>
        <v>https://resources.simonelectric.com/simon-ebook-vehiculo-electrico-tw</v>
      </c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</row>
    <row r="3617" ht="15.75" customHeight="1">
      <c r="A3617" s="5" t="s">
        <v>4937</v>
      </c>
      <c r="B3617" s="5">
        <v>43881.0</v>
      </c>
      <c r="C3617" s="6" t="s">
        <v>6</v>
      </c>
      <c r="D3617" s="11">
        <f t="shared" si="1"/>
        <v>67</v>
      </c>
      <c r="E3617" s="8" t="str">
        <f t="shared" si="2"/>
        <v>https://resources.simonelectric.com/simon-ebook-vehiculo-electrico</v>
      </c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</row>
    <row r="3618" ht="15.75" customHeight="1">
      <c r="A3618" s="5" t="s">
        <v>4938</v>
      </c>
      <c r="B3618" s="5">
        <v>43881.0</v>
      </c>
      <c r="C3618" s="6" t="s">
        <v>8</v>
      </c>
      <c r="D3618" s="10">
        <f t="shared" si="1"/>
        <v>67</v>
      </c>
      <c r="E3618" s="8" t="str">
        <f t="shared" si="2"/>
        <v>https://resources.simonelectric.com/simon-ebook-vehiculo-electrico</v>
      </c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</row>
    <row r="3619" ht="15.75" customHeight="1">
      <c r="A3619" s="5" t="s">
        <v>4939</v>
      </c>
      <c r="B3619" s="5">
        <v>43881.0</v>
      </c>
      <c r="C3619" s="6" t="s">
        <v>8</v>
      </c>
      <c r="D3619" s="11">
        <f t="shared" si="1"/>
        <v>67</v>
      </c>
      <c r="E3619" s="8" t="str">
        <f t="shared" si="2"/>
        <v>https://resources.simonelectric.com/simon-ebook-vehiculo-electrico</v>
      </c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</row>
    <row r="3620" ht="15.75" customHeight="1">
      <c r="A3620" s="5" t="s">
        <v>4889</v>
      </c>
      <c r="B3620" s="5">
        <v>43881.0</v>
      </c>
      <c r="C3620" s="6" t="s">
        <v>4940</v>
      </c>
      <c r="D3620" s="11">
        <f t="shared" si="1"/>
        <v>70</v>
      </c>
      <c r="E3620" s="8" t="str">
        <f t="shared" si="2"/>
        <v>https://resources.simonelectric.com/simon-catalogo-vehiculo-electrico</v>
      </c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</row>
    <row r="3621" ht="15.75" customHeight="1">
      <c r="A3621" s="5" t="s">
        <v>4889</v>
      </c>
      <c r="B3621" s="5">
        <v>43881.0</v>
      </c>
      <c r="C3621" s="6" t="s">
        <v>8</v>
      </c>
      <c r="D3621" s="11">
        <f t="shared" si="1"/>
        <v>67</v>
      </c>
      <c r="E3621" s="8" t="str">
        <f t="shared" si="2"/>
        <v>https://resources.simonelectric.com/simon-ebook-vehiculo-electrico</v>
      </c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</row>
    <row r="3622" ht="15.75" customHeight="1">
      <c r="A3622" s="5" t="s">
        <v>2302</v>
      </c>
      <c r="B3622" s="5">
        <v>43881.0</v>
      </c>
      <c r="C3622" s="6" t="s">
        <v>4941</v>
      </c>
      <c r="D3622" s="11">
        <f t="shared" si="1"/>
        <v>67</v>
      </c>
      <c r="E3622" s="8" t="str">
        <f t="shared" si="2"/>
        <v>https://resources.simonelectric.com/simon-ebook-vehiculo-electrico</v>
      </c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</row>
    <row r="3623" ht="15.75" customHeight="1">
      <c r="A3623" s="5" t="s">
        <v>3928</v>
      </c>
      <c r="B3623" s="5">
        <v>43881.0</v>
      </c>
      <c r="C3623" s="6" t="s">
        <v>4942</v>
      </c>
      <c r="D3623" s="11">
        <f t="shared" si="1"/>
        <v>67</v>
      </c>
      <c r="E3623" s="8" t="str">
        <f t="shared" si="2"/>
        <v>https://resources.simonelectric.com/simon-ebook-vehiculo-electrico</v>
      </c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</row>
    <row r="3624" ht="15.75" customHeight="1">
      <c r="A3624" s="5" t="s">
        <v>4943</v>
      </c>
      <c r="B3624" s="5">
        <v>43880.0</v>
      </c>
      <c r="C3624" s="6" t="s">
        <v>4944</v>
      </c>
      <c r="D3624" s="11">
        <f t="shared" si="1"/>
        <v>67</v>
      </c>
      <c r="E3624" s="8" t="str">
        <f t="shared" si="2"/>
        <v>https://resources.simonelectric.com/simon-ebook-vehiculo-electrico</v>
      </c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</row>
    <row r="3625" ht="15.75" customHeight="1">
      <c r="A3625" s="5" t="s">
        <v>4945</v>
      </c>
      <c r="B3625" s="5">
        <v>43880.0</v>
      </c>
      <c r="C3625" s="6" t="s">
        <v>3681</v>
      </c>
      <c r="D3625" s="11">
        <f t="shared" si="1"/>
        <v>67</v>
      </c>
      <c r="E3625" s="8" t="str">
        <f t="shared" si="2"/>
        <v>https://resources.simonelectric.com/simon-ebook-vehiculo-electrico</v>
      </c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</row>
    <row r="3626" ht="15.75" customHeight="1">
      <c r="A3626" s="5" t="s">
        <v>4946</v>
      </c>
      <c r="B3626" s="5">
        <v>43880.0</v>
      </c>
      <c r="C3626" s="6" t="s">
        <v>4947</v>
      </c>
      <c r="D3626" s="11">
        <f t="shared" si="1"/>
        <v>70</v>
      </c>
      <c r="E3626" s="8" t="str">
        <f t="shared" si="2"/>
        <v>https://resources.simonelectric.com/simon-catalogo-vehiculo-electrico</v>
      </c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</row>
    <row r="3627" ht="15.75" customHeight="1">
      <c r="A3627" s="5" t="s">
        <v>4948</v>
      </c>
      <c r="B3627" s="5">
        <v>43880.0</v>
      </c>
      <c r="C3627" s="6" t="s">
        <v>75</v>
      </c>
      <c r="D3627" s="11">
        <f t="shared" si="1"/>
        <v>67</v>
      </c>
      <c r="E3627" s="8" t="str">
        <f t="shared" si="2"/>
        <v>https://resources.simonelectric.com/simon-ebook-vehiculo-electrico</v>
      </c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</row>
    <row r="3628" ht="15.75" customHeight="1">
      <c r="A3628" s="5" t="s">
        <v>4949</v>
      </c>
      <c r="B3628" s="5">
        <v>43880.0</v>
      </c>
      <c r="C3628" s="6" t="s">
        <v>8</v>
      </c>
      <c r="D3628" s="11">
        <f t="shared" si="1"/>
        <v>67</v>
      </c>
      <c r="E3628" s="8" t="str">
        <f t="shared" si="2"/>
        <v>https://resources.simonelectric.com/simon-ebook-vehiculo-electrico</v>
      </c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</row>
    <row r="3629" ht="15.75" customHeight="1">
      <c r="A3629" s="5" t="s">
        <v>4950</v>
      </c>
      <c r="B3629" s="5">
        <v>43880.0</v>
      </c>
      <c r="C3629" s="6" t="s">
        <v>48</v>
      </c>
      <c r="D3629" s="11">
        <f t="shared" si="1"/>
        <v>67</v>
      </c>
      <c r="E3629" s="8" t="str">
        <f t="shared" si="2"/>
        <v>https://resources.simonelectric.com/simon-ebook-vehiculo-electrico</v>
      </c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</row>
    <row r="3630" ht="15.75" customHeight="1">
      <c r="A3630" s="5" t="s">
        <v>4951</v>
      </c>
      <c r="B3630" s="5">
        <v>43880.0</v>
      </c>
      <c r="C3630" s="6" t="s">
        <v>75</v>
      </c>
      <c r="D3630" s="11">
        <f t="shared" si="1"/>
        <v>67</v>
      </c>
      <c r="E3630" s="8" t="str">
        <f t="shared" si="2"/>
        <v>https://resources.simonelectric.com/simon-ebook-vehiculo-electrico</v>
      </c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</row>
    <row r="3631" ht="15.75" customHeight="1">
      <c r="A3631" s="5" t="s">
        <v>4952</v>
      </c>
      <c r="B3631" s="5">
        <v>43880.0</v>
      </c>
      <c r="C3631" s="6" t="s">
        <v>75</v>
      </c>
      <c r="D3631" s="11">
        <f t="shared" si="1"/>
        <v>67</v>
      </c>
      <c r="E3631" s="8" t="str">
        <f t="shared" si="2"/>
        <v>https://resources.simonelectric.com/simon-ebook-vehiculo-electrico</v>
      </c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</row>
    <row r="3632" ht="15.75" customHeight="1">
      <c r="A3632" s="5" t="s">
        <v>4953</v>
      </c>
      <c r="B3632" s="5">
        <v>43879.0</v>
      </c>
      <c r="C3632" s="6" t="s">
        <v>4674</v>
      </c>
      <c r="D3632" s="11">
        <f t="shared" si="1"/>
        <v>70</v>
      </c>
      <c r="E3632" s="8" t="str">
        <f t="shared" si="2"/>
        <v>https://resources.simonelectric.com/simon-ebook-vehiculo-electrico-tw</v>
      </c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</row>
    <row r="3633" ht="15.75" customHeight="1">
      <c r="A3633" s="5" t="s">
        <v>4954</v>
      </c>
      <c r="B3633" s="5">
        <v>43879.0</v>
      </c>
      <c r="C3633" s="6" t="s">
        <v>6</v>
      </c>
      <c r="D3633" s="11">
        <f t="shared" si="1"/>
        <v>67</v>
      </c>
      <c r="E3633" s="8" t="str">
        <f t="shared" si="2"/>
        <v>https://resources.simonelectric.com/simon-ebook-vehiculo-electrico</v>
      </c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</row>
    <row r="3634" ht="15.75" customHeight="1">
      <c r="A3634" s="5" t="s">
        <v>4955</v>
      </c>
      <c r="B3634" s="5">
        <v>43879.0</v>
      </c>
      <c r="C3634" s="6" t="s">
        <v>6</v>
      </c>
      <c r="D3634" s="11">
        <f t="shared" si="1"/>
        <v>67</v>
      </c>
      <c r="E3634" s="8" t="str">
        <f t="shared" si="2"/>
        <v>https://resources.simonelectric.com/simon-ebook-vehiculo-electrico</v>
      </c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</row>
    <row r="3635" ht="15.75" customHeight="1">
      <c r="A3635" s="5" t="s">
        <v>4943</v>
      </c>
      <c r="B3635" s="5">
        <v>43879.0</v>
      </c>
      <c r="C3635" s="6" t="s">
        <v>4944</v>
      </c>
      <c r="D3635" s="11">
        <f t="shared" si="1"/>
        <v>67</v>
      </c>
      <c r="E3635" s="8" t="str">
        <f t="shared" si="2"/>
        <v>https://resources.simonelectric.com/simon-ebook-vehiculo-electrico</v>
      </c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</row>
    <row r="3636" ht="15.75" customHeight="1">
      <c r="A3636" s="5" t="s">
        <v>4928</v>
      </c>
      <c r="B3636" s="5">
        <v>43879.0</v>
      </c>
      <c r="C3636" s="6" t="s">
        <v>4956</v>
      </c>
      <c r="D3636" s="11">
        <f t="shared" si="1"/>
        <v>70</v>
      </c>
      <c r="E3636" s="8" t="str">
        <f t="shared" si="2"/>
        <v>https://resources.simonelectric.com/simon-catalogo-vehiculo-electrico</v>
      </c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</row>
    <row r="3637" ht="15.75" customHeight="1">
      <c r="A3637" s="5" t="s">
        <v>4928</v>
      </c>
      <c r="B3637" s="5">
        <v>43879.0</v>
      </c>
      <c r="C3637" s="6" t="s">
        <v>28</v>
      </c>
      <c r="D3637" s="10" t="str">
        <f t="shared" si="1"/>
        <v>https://resources.simonelectric.com/simon-ebook-vehiculo-electrico</v>
      </c>
      <c r="E3637" s="8" t="str">
        <f t="shared" si="2"/>
        <v>https://resources.simonelectric.com/simon-ebook-vehiculo-electrico</v>
      </c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</row>
    <row r="3638" ht="15.75" customHeight="1">
      <c r="A3638" s="5" t="s">
        <v>4957</v>
      </c>
      <c r="B3638" s="5">
        <v>43879.0</v>
      </c>
      <c r="C3638" s="6" t="s">
        <v>4958</v>
      </c>
      <c r="D3638" s="10">
        <f t="shared" si="1"/>
        <v>70</v>
      </c>
      <c r="E3638" s="8" t="str">
        <f t="shared" si="2"/>
        <v>https://resources.simonelectric.com/simon-catalogo-vehiculo-electrico</v>
      </c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</row>
    <row r="3639" ht="15.75" customHeight="1">
      <c r="A3639" s="5" t="s">
        <v>4959</v>
      </c>
      <c r="B3639" s="5">
        <v>43879.0</v>
      </c>
      <c r="C3639" s="6" t="s">
        <v>4674</v>
      </c>
      <c r="D3639" s="11">
        <f t="shared" si="1"/>
        <v>70</v>
      </c>
      <c r="E3639" s="8" t="str">
        <f t="shared" si="2"/>
        <v>https://resources.simonelectric.com/simon-ebook-vehiculo-electrico-tw</v>
      </c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</row>
    <row r="3640" ht="15.75" customHeight="1">
      <c r="A3640" s="5" t="s">
        <v>4960</v>
      </c>
      <c r="B3640" s="5">
        <v>43879.0</v>
      </c>
      <c r="C3640" s="6" t="s">
        <v>8</v>
      </c>
      <c r="D3640" s="11">
        <f t="shared" si="1"/>
        <v>67</v>
      </c>
      <c r="E3640" s="8" t="str">
        <f t="shared" si="2"/>
        <v>https://resources.simonelectric.com/simon-ebook-vehiculo-electrico</v>
      </c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</row>
    <row r="3641" ht="15.75" customHeight="1">
      <c r="A3641" s="5" t="s">
        <v>4961</v>
      </c>
      <c r="B3641" s="5">
        <v>43879.0</v>
      </c>
      <c r="C3641" s="6" t="s">
        <v>8</v>
      </c>
      <c r="D3641" s="11">
        <f t="shared" si="1"/>
        <v>67</v>
      </c>
      <c r="E3641" s="8" t="str">
        <f t="shared" si="2"/>
        <v>https://resources.simonelectric.com/simon-ebook-vehiculo-electrico</v>
      </c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</row>
    <row r="3642" ht="15.75" customHeight="1">
      <c r="A3642" s="5" t="s">
        <v>4962</v>
      </c>
      <c r="B3642" s="5">
        <v>43879.0</v>
      </c>
      <c r="C3642" s="6" t="s">
        <v>75</v>
      </c>
      <c r="D3642" s="11">
        <f t="shared" si="1"/>
        <v>67</v>
      </c>
      <c r="E3642" s="8" t="str">
        <f t="shared" si="2"/>
        <v>https://resources.simonelectric.com/simon-ebook-vehiculo-electrico</v>
      </c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</row>
    <row r="3643" ht="15.75" customHeight="1">
      <c r="A3643" s="5" t="s">
        <v>4963</v>
      </c>
      <c r="B3643" s="5">
        <v>43879.0</v>
      </c>
      <c r="C3643" s="6" t="s">
        <v>4964</v>
      </c>
      <c r="D3643" s="11">
        <f t="shared" si="1"/>
        <v>70</v>
      </c>
      <c r="E3643" s="8" t="str">
        <f t="shared" si="2"/>
        <v>https://resources.simonelectric.com/simon-catalogo-vehiculo-electrico</v>
      </c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</row>
    <row r="3644" ht="15.75" customHeight="1">
      <c r="A3644" s="5" t="s">
        <v>4965</v>
      </c>
      <c r="B3644" s="5">
        <v>43879.0</v>
      </c>
      <c r="C3644" s="6" t="s">
        <v>4674</v>
      </c>
      <c r="D3644" s="11">
        <f t="shared" si="1"/>
        <v>70</v>
      </c>
      <c r="E3644" s="8" t="str">
        <f t="shared" si="2"/>
        <v>https://resources.simonelectric.com/simon-ebook-vehiculo-electrico-tw</v>
      </c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</row>
    <row r="3645" ht="15.75" customHeight="1">
      <c r="A3645" s="5" t="s">
        <v>4966</v>
      </c>
      <c r="B3645" s="5">
        <v>43879.0</v>
      </c>
      <c r="C3645" s="6" t="s">
        <v>4967</v>
      </c>
      <c r="D3645" s="11">
        <f t="shared" si="1"/>
        <v>70</v>
      </c>
      <c r="E3645" s="8" t="str">
        <f t="shared" si="2"/>
        <v>https://resources.simonelectric.com/simon-catalogo-vehiculo-electrico</v>
      </c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</row>
    <row r="3646" ht="15.75" customHeight="1">
      <c r="A3646" s="5" t="s">
        <v>4968</v>
      </c>
      <c r="B3646" s="5">
        <v>43879.0</v>
      </c>
      <c r="C3646" s="6" t="s">
        <v>4969</v>
      </c>
      <c r="D3646" s="11">
        <f t="shared" si="1"/>
        <v>67</v>
      </c>
      <c r="E3646" s="8" t="str">
        <f t="shared" si="2"/>
        <v>https://resources.simonelectric.com/simon-ebook-vehiculo-electrico</v>
      </c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</row>
    <row r="3647" ht="15.75" customHeight="1">
      <c r="A3647" s="5" t="s">
        <v>4966</v>
      </c>
      <c r="B3647" s="5">
        <v>43878.0</v>
      </c>
      <c r="C3647" s="6" t="s">
        <v>8</v>
      </c>
      <c r="D3647" s="11">
        <f t="shared" si="1"/>
        <v>67</v>
      </c>
      <c r="E3647" s="8" t="str">
        <f t="shared" si="2"/>
        <v>https://resources.simonelectric.com/simon-ebook-vehiculo-electrico</v>
      </c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</row>
    <row r="3648" ht="15.75" customHeight="1">
      <c r="A3648" s="5" t="s">
        <v>4970</v>
      </c>
      <c r="B3648" s="5">
        <v>43878.0</v>
      </c>
      <c r="C3648" s="6" t="s">
        <v>299</v>
      </c>
      <c r="D3648" s="10" t="str">
        <f t="shared" si="1"/>
        <v>https://resources.simonelectric.com/simon-material-formativo-vehiculo-electrico</v>
      </c>
      <c r="E3648" s="8" t="str">
        <f t="shared" si="2"/>
        <v>https://resources.simonelectric.com/simon-material-formativo-vehiculo-electrico</v>
      </c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</row>
    <row r="3649" ht="15.75" customHeight="1">
      <c r="A3649" s="5" t="s">
        <v>4544</v>
      </c>
      <c r="B3649" s="5">
        <v>43878.0</v>
      </c>
      <c r="C3649" s="6" t="s">
        <v>299</v>
      </c>
      <c r="D3649" s="10" t="str">
        <f t="shared" si="1"/>
        <v>https://resources.simonelectric.com/simon-material-formativo-vehiculo-electrico</v>
      </c>
      <c r="E3649" s="8" t="str">
        <f t="shared" si="2"/>
        <v>https://resources.simonelectric.com/simon-material-formativo-vehiculo-electrico</v>
      </c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</row>
    <row r="3650" ht="15.75" customHeight="1">
      <c r="A3650" s="5" t="s">
        <v>4966</v>
      </c>
      <c r="B3650" s="5">
        <v>43878.0</v>
      </c>
      <c r="C3650" s="6" t="s">
        <v>8</v>
      </c>
      <c r="D3650" s="11">
        <f t="shared" si="1"/>
        <v>67</v>
      </c>
      <c r="E3650" s="8" t="str">
        <f t="shared" si="2"/>
        <v>https://resources.simonelectric.com/simon-ebook-vehiculo-electrico</v>
      </c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</row>
    <row r="3651" ht="15.75" customHeight="1">
      <c r="A3651" s="5" t="s">
        <v>2302</v>
      </c>
      <c r="B3651" s="5">
        <v>43878.0</v>
      </c>
      <c r="C3651" s="6" t="s">
        <v>4971</v>
      </c>
      <c r="D3651" s="11">
        <f t="shared" si="1"/>
        <v>70</v>
      </c>
      <c r="E3651" s="8" t="str">
        <f t="shared" si="2"/>
        <v>https://resources.simonelectric.com/simon-catalogo-vehiculo-electrico</v>
      </c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</row>
    <row r="3652" ht="15.75" customHeight="1">
      <c r="A3652" s="5" t="s">
        <v>2302</v>
      </c>
      <c r="B3652" s="5">
        <v>43878.0</v>
      </c>
      <c r="C3652" s="6" t="s">
        <v>8</v>
      </c>
      <c r="D3652" s="11">
        <f t="shared" si="1"/>
        <v>67</v>
      </c>
      <c r="E3652" s="8" t="str">
        <f t="shared" si="2"/>
        <v>https://resources.simonelectric.com/simon-ebook-vehiculo-electrico</v>
      </c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</row>
    <row r="3653" ht="15.75" customHeight="1">
      <c r="A3653" s="5" t="s">
        <v>4972</v>
      </c>
      <c r="B3653" s="5">
        <v>43878.0</v>
      </c>
      <c r="C3653" s="6" t="s">
        <v>75</v>
      </c>
      <c r="D3653" s="11">
        <f t="shared" si="1"/>
        <v>67</v>
      </c>
      <c r="E3653" s="8" t="str">
        <f t="shared" si="2"/>
        <v>https://resources.simonelectric.com/simon-ebook-vehiculo-electrico</v>
      </c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</row>
    <row r="3654" ht="15.75" customHeight="1">
      <c r="A3654" s="5" t="s">
        <v>4973</v>
      </c>
      <c r="B3654" s="5">
        <v>43878.0</v>
      </c>
      <c r="C3654" s="6" t="s">
        <v>4974</v>
      </c>
      <c r="D3654" s="11">
        <f t="shared" si="1"/>
        <v>67</v>
      </c>
      <c r="E3654" s="8" t="str">
        <f t="shared" si="2"/>
        <v>https://resources.simonelectric.com/simon-ebook-vehiculo-electrico</v>
      </c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</row>
    <row r="3655" ht="15.75" customHeight="1">
      <c r="A3655" s="5" t="s">
        <v>4975</v>
      </c>
      <c r="B3655" s="5">
        <v>43878.0</v>
      </c>
      <c r="C3655" s="6" t="s">
        <v>4976</v>
      </c>
      <c r="D3655" s="11">
        <f t="shared" si="1"/>
        <v>70</v>
      </c>
      <c r="E3655" s="8" t="str">
        <f t="shared" si="2"/>
        <v>https://resources.simonelectric.com/simon-catalogo-vehiculo-electrico</v>
      </c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</row>
    <row r="3656" ht="15.75" customHeight="1">
      <c r="A3656" s="5" t="s">
        <v>4977</v>
      </c>
      <c r="B3656" s="5">
        <v>43878.0</v>
      </c>
      <c r="C3656" s="6" t="s">
        <v>4978</v>
      </c>
      <c r="D3656" s="11">
        <f t="shared" si="1"/>
        <v>70</v>
      </c>
      <c r="E3656" s="8" t="str">
        <f t="shared" si="2"/>
        <v>https://resources.simonelectric.com/simon-catalogo-vehiculo-electrico</v>
      </c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</row>
    <row r="3657" ht="15.75" customHeight="1">
      <c r="A3657" s="5" t="s">
        <v>4979</v>
      </c>
      <c r="B3657" s="5">
        <v>43878.0</v>
      </c>
      <c r="C3657" s="6" t="s">
        <v>4980</v>
      </c>
      <c r="D3657" s="11">
        <f t="shared" si="1"/>
        <v>67</v>
      </c>
      <c r="E3657" s="8" t="str">
        <f t="shared" si="2"/>
        <v>https://resources.simonelectric.com/simon-ebook-vehiculo-electrico</v>
      </c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</row>
    <row r="3658" ht="15.75" customHeight="1">
      <c r="A3658" s="5" t="s">
        <v>4981</v>
      </c>
      <c r="B3658" s="5">
        <v>43878.0</v>
      </c>
      <c r="C3658" s="6" t="s">
        <v>4982</v>
      </c>
      <c r="D3658" s="10" t="str">
        <f t="shared" si="1"/>
        <v>https://resources.simonelectric.com/simon-ebook-vehiculo-electrico-tw</v>
      </c>
      <c r="E3658" s="8" t="str">
        <f t="shared" si="2"/>
        <v>https://resources.simonelectric.com/simon-ebook-vehiculo-electrico-tw</v>
      </c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</row>
    <row r="3659" ht="15.75" customHeight="1">
      <c r="A3659" s="5" t="s">
        <v>4983</v>
      </c>
      <c r="B3659" s="5">
        <v>43878.0</v>
      </c>
      <c r="C3659" s="6" t="s">
        <v>4984</v>
      </c>
      <c r="D3659" s="11">
        <f t="shared" si="1"/>
        <v>67</v>
      </c>
      <c r="E3659" s="8" t="str">
        <f t="shared" si="2"/>
        <v>https://resources.simonelectric.com/simon-ebook-vehiculo-electrico</v>
      </c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</row>
    <row r="3660" ht="15.75" customHeight="1">
      <c r="A3660" s="5" t="s">
        <v>2378</v>
      </c>
      <c r="B3660" s="5">
        <v>43878.0</v>
      </c>
      <c r="C3660" s="6" t="s">
        <v>4985</v>
      </c>
      <c r="D3660" s="11">
        <f t="shared" si="1"/>
        <v>67</v>
      </c>
      <c r="E3660" s="8" t="str">
        <f t="shared" si="2"/>
        <v>https://resources.simonelectric.com/simon-ebook-vehiculo-electrico</v>
      </c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</row>
    <row r="3661" ht="15.75" customHeight="1">
      <c r="A3661" s="5" t="s">
        <v>4986</v>
      </c>
      <c r="B3661" s="5">
        <v>43878.0</v>
      </c>
      <c r="C3661" s="6" t="s">
        <v>75</v>
      </c>
      <c r="D3661" s="11">
        <f t="shared" si="1"/>
        <v>67</v>
      </c>
      <c r="E3661" s="8" t="str">
        <f t="shared" si="2"/>
        <v>https://resources.simonelectric.com/simon-ebook-vehiculo-electrico</v>
      </c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</row>
    <row r="3662" ht="15.75" customHeight="1">
      <c r="A3662" s="5" t="s">
        <v>4987</v>
      </c>
      <c r="B3662" s="5">
        <v>43877.0</v>
      </c>
      <c r="C3662" s="6" t="s">
        <v>4674</v>
      </c>
      <c r="D3662" s="11">
        <f t="shared" si="1"/>
        <v>70</v>
      </c>
      <c r="E3662" s="8" t="str">
        <f t="shared" si="2"/>
        <v>https://resources.simonelectric.com/simon-ebook-vehiculo-electrico-tw</v>
      </c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</row>
    <row r="3663" ht="15.75" customHeight="1">
      <c r="A3663" s="5" t="s">
        <v>4988</v>
      </c>
      <c r="B3663" s="5">
        <v>43877.0</v>
      </c>
      <c r="C3663" s="6" t="s">
        <v>4674</v>
      </c>
      <c r="D3663" s="11">
        <f t="shared" si="1"/>
        <v>70</v>
      </c>
      <c r="E3663" s="8" t="str">
        <f t="shared" si="2"/>
        <v>https://resources.simonelectric.com/simon-ebook-vehiculo-electrico-tw</v>
      </c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</row>
    <row r="3664" ht="15.75" customHeight="1">
      <c r="A3664" s="5" t="s">
        <v>4989</v>
      </c>
      <c r="B3664" s="5">
        <v>43877.0</v>
      </c>
      <c r="C3664" s="6" t="s">
        <v>4674</v>
      </c>
      <c r="D3664" s="10">
        <f t="shared" si="1"/>
        <v>70</v>
      </c>
      <c r="E3664" s="8" t="str">
        <f t="shared" si="2"/>
        <v>https://resources.simonelectric.com/simon-ebook-vehiculo-electrico-tw</v>
      </c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</row>
    <row r="3665" ht="15.75" customHeight="1">
      <c r="A3665" s="5" t="s">
        <v>4990</v>
      </c>
      <c r="B3665" s="5">
        <v>43877.0</v>
      </c>
      <c r="C3665" s="6" t="s">
        <v>4674</v>
      </c>
      <c r="D3665" s="10">
        <f t="shared" si="1"/>
        <v>70</v>
      </c>
      <c r="E3665" s="8" t="str">
        <f t="shared" si="2"/>
        <v>https://resources.simonelectric.com/simon-ebook-vehiculo-electrico-tw</v>
      </c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</row>
    <row r="3666" ht="15.75" customHeight="1">
      <c r="A3666" s="5" t="s">
        <v>4661</v>
      </c>
      <c r="B3666" s="5">
        <v>43877.0</v>
      </c>
      <c r="C3666" s="6" t="s">
        <v>4991</v>
      </c>
      <c r="D3666" s="11">
        <f t="shared" si="1"/>
        <v>70</v>
      </c>
      <c r="E3666" s="8" t="str">
        <f t="shared" si="2"/>
        <v>https://resources.simonelectric.com/simon-catalogo-vehiculo-electrico</v>
      </c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</row>
    <row r="3667" ht="15.75" customHeight="1">
      <c r="A3667" s="5" t="s">
        <v>4661</v>
      </c>
      <c r="B3667" s="5">
        <v>43877.0</v>
      </c>
      <c r="C3667" s="6" t="s">
        <v>4992</v>
      </c>
      <c r="D3667" s="11">
        <f t="shared" si="1"/>
        <v>67</v>
      </c>
      <c r="E3667" s="8" t="str">
        <f t="shared" si="2"/>
        <v>https://resources.simonelectric.com/simon-ebook-vehiculo-electrico</v>
      </c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</row>
    <row r="3668" ht="15.75" customHeight="1">
      <c r="A3668" s="5" t="s">
        <v>4993</v>
      </c>
      <c r="B3668" s="5">
        <v>43877.0</v>
      </c>
      <c r="C3668" s="6" t="s">
        <v>28</v>
      </c>
      <c r="D3668" s="10" t="str">
        <f t="shared" si="1"/>
        <v>https://resources.simonelectric.com/simon-ebook-vehiculo-electrico</v>
      </c>
      <c r="E3668" s="8" t="str">
        <f t="shared" si="2"/>
        <v>https://resources.simonelectric.com/simon-ebook-vehiculo-electrico</v>
      </c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</row>
    <row r="3669" ht="15.75" customHeight="1">
      <c r="A3669" s="5" t="s">
        <v>4993</v>
      </c>
      <c r="B3669" s="5">
        <v>43877.0</v>
      </c>
      <c r="C3669" s="6" t="s">
        <v>4994</v>
      </c>
      <c r="D3669" s="10">
        <f t="shared" si="1"/>
        <v>70</v>
      </c>
      <c r="E3669" s="8" t="str">
        <f t="shared" si="2"/>
        <v>https://resources.simonelectric.com/simon-catalogo-vehiculo-electrico</v>
      </c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</row>
    <row r="3670" ht="15.75" customHeight="1">
      <c r="A3670" s="5" t="s">
        <v>4995</v>
      </c>
      <c r="B3670" s="5">
        <v>43877.0</v>
      </c>
      <c r="C3670" s="6" t="s">
        <v>8</v>
      </c>
      <c r="D3670" s="11">
        <f t="shared" si="1"/>
        <v>67</v>
      </c>
      <c r="E3670" s="8" t="str">
        <f t="shared" si="2"/>
        <v>https://resources.simonelectric.com/simon-ebook-vehiculo-electrico</v>
      </c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</row>
    <row r="3671" ht="15.75" customHeight="1">
      <c r="A3671" s="5" t="s">
        <v>4996</v>
      </c>
      <c r="B3671" s="5">
        <v>43877.0</v>
      </c>
      <c r="C3671" s="6" t="s">
        <v>4674</v>
      </c>
      <c r="D3671" s="11">
        <f t="shared" si="1"/>
        <v>70</v>
      </c>
      <c r="E3671" s="8" t="str">
        <f t="shared" si="2"/>
        <v>https://resources.simonelectric.com/simon-ebook-vehiculo-electrico-tw</v>
      </c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</row>
    <row r="3672" ht="15.75" customHeight="1">
      <c r="A3672" s="5" t="s">
        <v>4997</v>
      </c>
      <c r="B3672" s="5">
        <v>43877.0</v>
      </c>
      <c r="C3672" s="6" t="s">
        <v>28</v>
      </c>
      <c r="D3672" s="10" t="str">
        <f t="shared" si="1"/>
        <v>https://resources.simonelectric.com/simon-ebook-vehiculo-electrico</v>
      </c>
      <c r="E3672" s="8" t="str">
        <f t="shared" si="2"/>
        <v>https://resources.simonelectric.com/simon-ebook-vehiculo-electrico</v>
      </c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</row>
    <row r="3673" ht="15.75" customHeight="1">
      <c r="A3673" s="5" t="s">
        <v>4998</v>
      </c>
      <c r="B3673" s="5">
        <v>43877.0</v>
      </c>
      <c r="C3673" s="6" t="s">
        <v>4999</v>
      </c>
      <c r="D3673" s="11">
        <f t="shared" si="1"/>
        <v>70</v>
      </c>
      <c r="E3673" s="8" t="str">
        <f t="shared" si="2"/>
        <v>https://resources.simonelectric.com/simon-catalogo-vehiculo-electrico</v>
      </c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</row>
    <row r="3674" ht="15.75" customHeight="1">
      <c r="A3674" s="5" t="s">
        <v>4998</v>
      </c>
      <c r="B3674" s="5">
        <v>43877.0</v>
      </c>
      <c r="C3674" s="6" t="s">
        <v>4999</v>
      </c>
      <c r="D3674" s="11">
        <f t="shared" si="1"/>
        <v>70</v>
      </c>
      <c r="E3674" s="8" t="str">
        <f t="shared" si="2"/>
        <v>https://resources.simonelectric.com/simon-catalogo-vehiculo-electrico</v>
      </c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</row>
    <row r="3675" ht="15.75" customHeight="1">
      <c r="A3675" s="5" t="s">
        <v>5000</v>
      </c>
      <c r="B3675" s="5">
        <v>43876.0</v>
      </c>
      <c r="C3675" s="6" t="s">
        <v>4674</v>
      </c>
      <c r="D3675" s="11">
        <f t="shared" si="1"/>
        <v>70</v>
      </c>
      <c r="E3675" s="8" t="str">
        <f t="shared" si="2"/>
        <v>https://resources.simonelectric.com/simon-ebook-vehiculo-electrico-tw</v>
      </c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</row>
    <row r="3676" ht="15.75" customHeight="1">
      <c r="A3676" s="5" t="s">
        <v>5001</v>
      </c>
      <c r="B3676" s="5">
        <v>43876.0</v>
      </c>
      <c r="C3676" s="6" t="s">
        <v>5002</v>
      </c>
      <c r="D3676" s="11">
        <f t="shared" si="1"/>
        <v>70</v>
      </c>
      <c r="E3676" s="8" t="str">
        <f t="shared" si="2"/>
        <v>https://resources.simonelectric.com/simon-catalogo-vehiculo-electrico</v>
      </c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</row>
    <row r="3677" ht="15.75" customHeight="1">
      <c r="A3677" s="5" t="s">
        <v>5001</v>
      </c>
      <c r="B3677" s="5">
        <v>43876.0</v>
      </c>
      <c r="C3677" s="6" t="s">
        <v>28</v>
      </c>
      <c r="D3677" s="10" t="str">
        <f t="shared" si="1"/>
        <v>https://resources.simonelectric.com/simon-ebook-vehiculo-electrico</v>
      </c>
      <c r="E3677" s="8" t="str">
        <f t="shared" si="2"/>
        <v>https://resources.simonelectric.com/simon-ebook-vehiculo-electrico</v>
      </c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</row>
    <row r="3678" ht="15.75" customHeight="1">
      <c r="A3678" s="5" t="s">
        <v>5003</v>
      </c>
      <c r="B3678" s="5">
        <v>43876.0</v>
      </c>
      <c r="C3678" s="6" t="s">
        <v>4674</v>
      </c>
      <c r="D3678" s="11">
        <f t="shared" si="1"/>
        <v>70</v>
      </c>
      <c r="E3678" s="8" t="str">
        <f t="shared" si="2"/>
        <v>https://resources.simonelectric.com/simon-ebook-vehiculo-electrico-tw</v>
      </c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</row>
    <row r="3679" ht="15.75" customHeight="1">
      <c r="A3679" s="5" t="s">
        <v>5004</v>
      </c>
      <c r="B3679" s="5">
        <v>43876.0</v>
      </c>
      <c r="C3679" s="6" t="s">
        <v>4674</v>
      </c>
      <c r="D3679" s="10">
        <f t="shared" si="1"/>
        <v>70</v>
      </c>
      <c r="E3679" s="8" t="str">
        <f t="shared" si="2"/>
        <v>https://resources.simonelectric.com/simon-ebook-vehiculo-electrico-tw</v>
      </c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</row>
    <row r="3680" ht="15.75" customHeight="1">
      <c r="A3680" s="5" t="s">
        <v>5005</v>
      </c>
      <c r="B3680" s="5">
        <v>43875.0</v>
      </c>
      <c r="C3680" s="6" t="s">
        <v>4674</v>
      </c>
      <c r="D3680" s="11">
        <f t="shared" si="1"/>
        <v>70</v>
      </c>
      <c r="E3680" s="8" t="str">
        <f t="shared" si="2"/>
        <v>https://resources.simonelectric.com/simon-ebook-vehiculo-electrico-tw</v>
      </c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</row>
    <row r="3681" ht="15.75" customHeight="1">
      <c r="A3681" s="5" t="s">
        <v>5006</v>
      </c>
      <c r="B3681" s="5">
        <v>43875.0</v>
      </c>
      <c r="C3681" s="6" t="s">
        <v>4674</v>
      </c>
      <c r="D3681" s="11">
        <f t="shared" si="1"/>
        <v>70</v>
      </c>
      <c r="E3681" s="8" t="str">
        <f t="shared" si="2"/>
        <v>https://resources.simonelectric.com/simon-ebook-vehiculo-electrico-tw</v>
      </c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</row>
    <row r="3682" ht="15.75" customHeight="1">
      <c r="A3682" s="5" t="s">
        <v>5007</v>
      </c>
      <c r="B3682" s="5">
        <v>43875.0</v>
      </c>
      <c r="C3682" s="6" t="s">
        <v>5008</v>
      </c>
      <c r="D3682" s="11">
        <f t="shared" si="1"/>
        <v>70</v>
      </c>
      <c r="E3682" s="8" t="str">
        <f t="shared" si="2"/>
        <v>https://resources.simonelectric.com/simon-catalogo-vehiculo-electrico</v>
      </c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</row>
    <row r="3683" ht="15.75" customHeight="1">
      <c r="A3683" s="5" t="s">
        <v>5009</v>
      </c>
      <c r="B3683" s="5">
        <v>43875.0</v>
      </c>
      <c r="C3683" s="6" t="s">
        <v>28</v>
      </c>
      <c r="D3683" s="10" t="str">
        <f t="shared" si="1"/>
        <v>https://resources.simonelectric.com/simon-ebook-vehiculo-electrico</v>
      </c>
      <c r="E3683" s="8" t="str">
        <f t="shared" si="2"/>
        <v>https://resources.simonelectric.com/simon-ebook-vehiculo-electrico</v>
      </c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</row>
    <row r="3684" ht="15.75" customHeight="1">
      <c r="A3684" s="5" t="s">
        <v>5010</v>
      </c>
      <c r="B3684" s="5">
        <v>43875.0</v>
      </c>
      <c r="C3684" s="6" t="s">
        <v>299</v>
      </c>
      <c r="D3684" s="10" t="str">
        <f t="shared" si="1"/>
        <v>https://resources.simonelectric.com/simon-material-formativo-vehiculo-electrico</v>
      </c>
      <c r="E3684" s="8" t="str">
        <f t="shared" si="2"/>
        <v>https://resources.simonelectric.com/simon-material-formativo-vehiculo-electrico</v>
      </c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</row>
    <row r="3685" ht="15.75" customHeight="1">
      <c r="A3685" s="5" t="s">
        <v>5011</v>
      </c>
      <c r="B3685" s="5">
        <v>43875.0</v>
      </c>
      <c r="C3685" s="6" t="s">
        <v>4674</v>
      </c>
      <c r="D3685" s="11">
        <f t="shared" si="1"/>
        <v>70</v>
      </c>
      <c r="E3685" s="8" t="str">
        <f t="shared" si="2"/>
        <v>https://resources.simonelectric.com/simon-ebook-vehiculo-electrico-tw</v>
      </c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</row>
    <row r="3686" ht="15.75" customHeight="1">
      <c r="A3686" s="5" t="s">
        <v>5012</v>
      </c>
      <c r="B3686" s="5">
        <v>43875.0</v>
      </c>
      <c r="C3686" s="6" t="s">
        <v>5013</v>
      </c>
      <c r="D3686" s="11">
        <f t="shared" si="1"/>
        <v>70</v>
      </c>
      <c r="E3686" s="8" t="str">
        <f t="shared" si="2"/>
        <v>https://resources.simonelectric.com/simon-catalogo-vehiculo-electrico</v>
      </c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</row>
    <row r="3687" ht="15.75" customHeight="1">
      <c r="A3687" s="5" t="s">
        <v>5014</v>
      </c>
      <c r="B3687" s="5">
        <v>43875.0</v>
      </c>
      <c r="C3687" s="6" t="s">
        <v>31</v>
      </c>
      <c r="D3687" s="11">
        <f t="shared" si="1"/>
        <v>67</v>
      </c>
      <c r="E3687" s="8" t="str">
        <f t="shared" si="2"/>
        <v>https://resources.simonelectric.com/simon-ebook-vehiculo-electrico</v>
      </c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</row>
    <row r="3688" ht="15.75" customHeight="1">
      <c r="A3688" s="5" t="s">
        <v>5015</v>
      </c>
      <c r="B3688" s="5">
        <v>43875.0</v>
      </c>
      <c r="C3688" s="6" t="s">
        <v>5016</v>
      </c>
      <c r="D3688" s="11">
        <f t="shared" si="1"/>
        <v>70</v>
      </c>
      <c r="E3688" s="8" t="str">
        <f t="shared" si="2"/>
        <v>https://resources.simonelectric.com/simon-catalogo-vehiculo-electrico</v>
      </c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</row>
    <row r="3689" ht="15.75" customHeight="1">
      <c r="A3689" s="5" t="s">
        <v>5017</v>
      </c>
      <c r="B3689" s="5">
        <v>43875.0</v>
      </c>
      <c r="C3689" s="6" t="s">
        <v>5018</v>
      </c>
      <c r="D3689" s="11">
        <f t="shared" si="1"/>
        <v>70</v>
      </c>
      <c r="E3689" s="8" t="str">
        <f t="shared" si="2"/>
        <v>https://resources.simonelectric.com/simon-catalogo-vehiculo-electrico</v>
      </c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</row>
    <row r="3690" ht="15.75" customHeight="1">
      <c r="A3690" s="5" t="s">
        <v>5019</v>
      </c>
      <c r="B3690" s="5">
        <v>43875.0</v>
      </c>
      <c r="C3690" s="6" t="s">
        <v>8</v>
      </c>
      <c r="D3690" s="11">
        <f t="shared" si="1"/>
        <v>67</v>
      </c>
      <c r="E3690" s="8" t="str">
        <f t="shared" si="2"/>
        <v>https://resources.simonelectric.com/simon-ebook-vehiculo-electrico</v>
      </c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</row>
    <row r="3691" ht="15.75" customHeight="1">
      <c r="A3691" s="5" t="s">
        <v>5020</v>
      </c>
      <c r="B3691" s="5">
        <v>43874.0</v>
      </c>
      <c r="C3691" s="6" t="s">
        <v>6</v>
      </c>
      <c r="D3691" s="11">
        <f t="shared" si="1"/>
        <v>67</v>
      </c>
      <c r="E3691" s="8" t="str">
        <f t="shared" si="2"/>
        <v>https://resources.simonelectric.com/simon-ebook-vehiculo-electrico</v>
      </c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</row>
    <row r="3692" ht="15.75" customHeight="1">
      <c r="A3692" s="5" t="s">
        <v>4998</v>
      </c>
      <c r="B3692" s="5">
        <v>43874.0</v>
      </c>
      <c r="C3692" s="6" t="s">
        <v>8</v>
      </c>
      <c r="D3692" s="11">
        <f t="shared" si="1"/>
        <v>67</v>
      </c>
      <c r="E3692" s="8" t="str">
        <f t="shared" si="2"/>
        <v>https://resources.simonelectric.com/simon-ebook-vehiculo-electrico</v>
      </c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</row>
    <row r="3693" ht="15.75" customHeight="1">
      <c r="A3693" s="5" t="s">
        <v>4998</v>
      </c>
      <c r="B3693" s="5">
        <v>43874.0</v>
      </c>
      <c r="C3693" s="6" t="s">
        <v>8</v>
      </c>
      <c r="D3693" s="11">
        <f t="shared" si="1"/>
        <v>67</v>
      </c>
      <c r="E3693" s="8" t="str">
        <f t="shared" si="2"/>
        <v>https://resources.simonelectric.com/simon-ebook-vehiculo-electrico</v>
      </c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</row>
    <row r="3694" ht="15.75" customHeight="1">
      <c r="A3694" s="5" t="s">
        <v>5021</v>
      </c>
      <c r="B3694" s="5">
        <v>43874.0</v>
      </c>
      <c r="C3694" s="6" t="s">
        <v>4674</v>
      </c>
      <c r="D3694" s="11">
        <f t="shared" si="1"/>
        <v>70</v>
      </c>
      <c r="E3694" s="8" t="str">
        <f t="shared" si="2"/>
        <v>https://resources.simonelectric.com/simon-ebook-vehiculo-electrico-tw</v>
      </c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</row>
    <row r="3695" ht="15.75" customHeight="1">
      <c r="A3695" s="5" t="s">
        <v>5022</v>
      </c>
      <c r="B3695" s="5">
        <v>43874.0</v>
      </c>
      <c r="C3695" s="6" t="s">
        <v>4674</v>
      </c>
      <c r="D3695" s="11">
        <f t="shared" si="1"/>
        <v>70</v>
      </c>
      <c r="E3695" s="8" t="str">
        <f t="shared" si="2"/>
        <v>https://resources.simonelectric.com/simon-ebook-vehiculo-electrico-tw</v>
      </c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</row>
    <row r="3696" ht="15.75" customHeight="1">
      <c r="A3696" s="5" t="s">
        <v>5023</v>
      </c>
      <c r="B3696" s="5">
        <v>43874.0</v>
      </c>
      <c r="C3696" s="6" t="s">
        <v>4674</v>
      </c>
      <c r="D3696" s="11">
        <f t="shared" si="1"/>
        <v>70</v>
      </c>
      <c r="E3696" s="8" t="str">
        <f t="shared" si="2"/>
        <v>https://resources.simonelectric.com/simon-ebook-vehiculo-electrico-tw</v>
      </c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</row>
    <row r="3697" ht="15.75" customHeight="1">
      <c r="A3697" s="5" t="s">
        <v>5024</v>
      </c>
      <c r="B3697" s="5">
        <v>43874.0</v>
      </c>
      <c r="C3697" s="6" t="s">
        <v>8</v>
      </c>
      <c r="D3697" s="11">
        <f t="shared" si="1"/>
        <v>67</v>
      </c>
      <c r="E3697" s="8" t="str">
        <f t="shared" si="2"/>
        <v>https://resources.simonelectric.com/simon-ebook-vehiculo-electrico</v>
      </c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</row>
    <row r="3698" ht="15.75" customHeight="1">
      <c r="A3698" s="5" t="s">
        <v>5025</v>
      </c>
      <c r="B3698" s="5">
        <v>43874.0</v>
      </c>
      <c r="C3698" s="6" t="s">
        <v>8</v>
      </c>
      <c r="D3698" s="11">
        <f t="shared" si="1"/>
        <v>67</v>
      </c>
      <c r="E3698" s="8" t="str">
        <f t="shared" si="2"/>
        <v>https://resources.simonelectric.com/simon-ebook-vehiculo-electrico</v>
      </c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</row>
    <row r="3699" ht="15.75" customHeight="1">
      <c r="A3699" s="5" t="s">
        <v>5026</v>
      </c>
      <c r="B3699" s="5">
        <v>43874.0</v>
      </c>
      <c r="C3699" s="6" t="s">
        <v>31</v>
      </c>
      <c r="D3699" s="11">
        <f t="shared" si="1"/>
        <v>67</v>
      </c>
      <c r="E3699" s="8" t="str">
        <f t="shared" si="2"/>
        <v>https://resources.simonelectric.com/simon-ebook-vehiculo-electrico</v>
      </c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</row>
    <row r="3700" ht="15.75" customHeight="1">
      <c r="A3700" s="5" t="s">
        <v>5026</v>
      </c>
      <c r="B3700" s="5">
        <v>43874.0</v>
      </c>
      <c r="C3700" s="6" t="s">
        <v>8</v>
      </c>
      <c r="D3700" s="11">
        <f t="shared" si="1"/>
        <v>67</v>
      </c>
      <c r="E3700" s="8" t="str">
        <f t="shared" si="2"/>
        <v>https://resources.simonelectric.com/simon-ebook-vehiculo-electrico</v>
      </c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</row>
    <row r="3701" ht="15.75" customHeight="1">
      <c r="A3701" s="5" t="s">
        <v>5026</v>
      </c>
      <c r="B3701" s="5">
        <v>43874.0</v>
      </c>
      <c r="C3701" s="6" t="s">
        <v>8</v>
      </c>
      <c r="D3701" s="11">
        <f t="shared" si="1"/>
        <v>67</v>
      </c>
      <c r="E3701" s="8" t="str">
        <f t="shared" si="2"/>
        <v>https://resources.simonelectric.com/simon-ebook-vehiculo-electrico</v>
      </c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</row>
    <row r="3702" ht="15.75" customHeight="1">
      <c r="A3702" s="5" t="s">
        <v>5027</v>
      </c>
      <c r="B3702" s="5">
        <v>43874.0</v>
      </c>
      <c r="C3702" s="6" t="s">
        <v>5028</v>
      </c>
      <c r="D3702" s="10">
        <f t="shared" si="1"/>
        <v>67</v>
      </c>
      <c r="E3702" s="8" t="str">
        <f t="shared" si="2"/>
        <v>https://resources.simonelectric.com/simon-ebook-vehiculo-electrico</v>
      </c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</row>
    <row r="3703" ht="15.75" customHeight="1">
      <c r="A3703" s="5" t="s">
        <v>4943</v>
      </c>
      <c r="B3703" s="5">
        <v>43873.0</v>
      </c>
      <c r="C3703" s="6" t="s">
        <v>6</v>
      </c>
      <c r="D3703" s="11">
        <f t="shared" si="1"/>
        <v>67</v>
      </c>
      <c r="E3703" s="8" t="str">
        <f t="shared" si="2"/>
        <v>https://resources.simonelectric.com/simon-ebook-vehiculo-electrico</v>
      </c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</row>
    <row r="3704" ht="15.75" customHeight="1">
      <c r="A3704" s="5" t="s">
        <v>5029</v>
      </c>
      <c r="B3704" s="5">
        <v>43873.0</v>
      </c>
      <c r="C3704" s="6" t="s">
        <v>4674</v>
      </c>
      <c r="D3704" s="11">
        <f t="shared" si="1"/>
        <v>70</v>
      </c>
      <c r="E3704" s="8" t="str">
        <f t="shared" si="2"/>
        <v>https://resources.simonelectric.com/simon-ebook-vehiculo-electrico-tw</v>
      </c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</row>
    <row r="3705" ht="15.75" customHeight="1">
      <c r="A3705" s="5" t="s">
        <v>5030</v>
      </c>
      <c r="B3705" s="5">
        <v>43873.0</v>
      </c>
      <c r="C3705" s="6" t="s">
        <v>4674</v>
      </c>
      <c r="D3705" s="11">
        <f t="shared" si="1"/>
        <v>70</v>
      </c>
      <c r="E3705" s="8" t="str">
        <f t="shared" si="2"/>
        <v>https://resources.simonelectric.com/simon-ebook-vehiculo-electrico-tw</v>
      </c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</row>
    <row r="3706" ht="15.75" customHeight="1">
      <c r="A3706" s="5" t="s">
        <v>5031</v>
      </c>
      <c r="B3706" s="5">
        <v>43873.0</v>
      </c>
      <c r="C3706" s="6" t="s">
        <v>28</v>
      </c>
      <c r="D3706" s="10" t="str">
        <f t="shared" si="1"/>
        <v>https://resources.simonelectric.com/simon-ebook-vehiculo-electrico</v>
      </c>
      <c r="E3706" s="8" t="str">
        <f t="shared" si="2"/>
        <v>https://resources.simonelectric.com/simon-ebook-vehiculo-electrico</v>
      </c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</row>
    <row r="3707" ht="15.75" customHeight="1">
      <c r="A3707" s="5" t="s">
        <v>5032</v>
      </c>
      <c r="B3707" s="5">
        <v>43873.0</v>
      </c>
      <c r="C3707" s="6" t="s">
        <v>299</v>
      </c>
      <c r="D3707" s="10" t="str">
        <f t="shared" si="1"/>
        <v>https://resources.simonelectric.com/simon-material-formativo-vehiculo-electrico</v>
      </c>
      <c r="E3707" s="8" t="str">
        <f t="shared" si="2"/>
        <v>https://resources.simonelectric.com/simon-material-formativo-vehiculo-electrico</v>
      </c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</row>
    <row r="3708" ht="15.75" customHeight="1">
      <c r="A3708" s="5" t="s">
        <v>5033</v>
      </c>
      <c r="B3708" s="5">
        <v>43873.0</v>
      </c>
      <c r="C3708" s="6" t="s">
        <v>4674</v>
      </c>
      <c r="D3708" s="11">
        <f t="shared" si="1"/>
        <v>70</v>
      </c>
      <c r="E3708" s="8" t="str">
        <f t="shared" si="2"/>
        <v>https://resources.simonelectric.com/simon-ebook-vehiculo-electrico-tw</v>
      </c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</row>
    <row r="3709" ht="15.75" customHeight="1">
      <c r="A3709" s="5" t="s">
        <v>4913</v>
      </c>
      <c r="B3709" s="5">
        <v>43873.0</v>
      </c>
      <c r="C3709" s="6" t="s">
        <v>299</v>
      </c>
      <c r="D3709" s="10" t="str">
        <f t="shared" si="1"/>
        <v>https://resources.simonelectric.com/simon-material-formativo-vehiculo-electrico</v>
      </c>
      <c r="E3709" s="8" t="str">
        <f t="shared" si="2"/>
        <v>https://resources.simonelectric.com/simon-material-formativo-vehiculo-electrico</v>
      </c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</row>
    <row r="3710" ht="15.75" customHeight="1">
      <c r="A3710" s="5" t="s">
        <v>5034</v>
      </c>
      <c r="B3710" s="5">
        <v>43873.0</v>
      </c>
      <c r="C3710" s="6" t="s">
        <v>75</v>
      </c>
      <c r="D3710" s="10">
        <f t="shared" si="1"/>
        <v>67</v>
      </c>
      <c r="E3710" s="8" t="str">
        <f t="shared" si="2"/>
        <v>https://resources.simonelectric.com/simon-ebook-vehiculo-electrico</v>
      </c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</row>
    <row r="3711" ht="15.75" customHeight="1">
      <c r="A3711" s="5" t="s">
        <v>5035</v>
      </c>
      <c r="B3711" s="5">
        <v>43873.0</v>
      </c>
      <c r="C3711" s="6" t="s">
        <v>4674</v>
      </c>
      <c r="D3711" s="11">
        <f t="shared" si="1"/>
        <v>70</v>
      </c>
      <c r="E3711" s="8" t="str">
        <f t="shared" si="2"/>
        <v>https://resources.simonelectric.com/simon-ebook-vehiculo-electrico-tw</v>
      </c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</row>
    <row r="3712" ht="15.75" customHeight="1">
      <c r="A3712" s="5" t="s">
        <v>5036</v>
      </c>
      <c r="B3712" s="5">
        <v>43873.0</v>
      </c>
      <c r="C3712" s="6" t="s">
        <v>4674</v>
      </c>
      <c r="D3712" s="11">
        <f t="shared" si="1"/>
        <v>70</v>
      </c>
      <c r="E3712" s="8" t="str">
        <f t="shared" si="2"/>
        <v>https://resources.simonelectric.com/simon-ebook-vehiculo-electrico-tw</v>
      </c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</row>
    <row r="3713" ht="15.75" customHeight="1">
      <c r="A3713" s="5" t="s">
        <v>5037</v>
      </c>
      <c r="B3713" s="5">
        <v>43873.0</v>
      </c>
      <c r="C3713" s="6" t="s">
        <v>4674</v>
      </c>
      <c r="D3713" s="11">
        <f t="shared" si="1"/>
        <v>70</v>
      </c>
      <c r="E3713" s="8" t="str">
        <f t="shared" si="2"/>
        <v>https://resources.simonelectric.com/simon-ebook-vehiculo-electrico-tw</v>
      </c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</row>
    <row r="3714" ht="15.75" customHeight="1">
      <c r="A3714" s="5" t="s">
        <v>5038</v>
      </c>
      <c r="B3714" s="5">
        <v>43872.0</v>
      </c>
      <c r="C3714" s="6" t="s">
        <v>4674</v>
      </c>
      <c r="D3714" s="11">
        <f t="shared" si="1"/>
        <v>70</v>
      </c>
      <c r="E3714" s="8" t="str">
        <f t="shared" si="2"/>
        <v>https://resources.simonelectric.com/simon-ebook-vehiculo-electrico-tw</v>
      </c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</row>
    <row r="3715" ht="15.75" customHeight="1">
      <c r="A3715" s="5" t="s">
        <v>2219</v>
      </c>
      <c r="B3715" s="5">
        <v>43872.0</v>
      </c>
      <c r="C3715" s="6" t="s">
        <v>231</v>
      </c>
      <c r="D3715" s="11">
        <f t="shared" si="1"/>
        <v>67</v>
      </c>
      <c r="E3715" s="8" t="str">
        <f t="shared" si="2"/>
        <v>https://resources.simonelectric.com/simon-ebook-vehiculo-electrico</v>
      </c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</row>
    <row r="3716" ht="15.75" customHeight="1">
      <c r="A3716" s="5" t="s">
        <v>5039</v>
      </c>
      <c r="B3716" s="5">
        <v>43872.0</v>
      </c>
      <c r="C3716" s="6" t="s">
        <v>299</v>
      </c>
      <c r="D3716" s="10" t="str">
        <f t="shared" si="1"/>
        <v>https://resources.simonelectric.com/simon-material-formativo-vehiculo-electrico</v>
      </c>
      <c r="E3716" s="8" t="str">
        <f t="shared" si="2"/>
        <v>https://resources.simonelectric.com/simon-material-formativo-vehiculo-electrico</v>
      </c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</row>
    <row r="3717" ht="15.75" customHeight="1">
      <c r="A3717" s="5" t="s">
        <v>5040</v>
      </c>
      <c r="B3717" s="5">
        <v>43872.0</v>
      </c>
      <c r="C3717" s="6" t="s">
        <v>299</v>
      </c>
      <c r="D3717" s="10" t="str">
        <f t="shared" si="1"/>
        <v>https://resources.simonelectric.com/simon-material-formativo-vehiculo-electrico</v>
      </c>
      <c r="E3717" s="8" t="str">
        <f t="shared" si="2"/>
        <v>https://resources.simonelectric.com/simon-material-formativo-vehiculo-electrico</v>
      </c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</row>
    <row r="3718" ht="15.75" customHeight="1">
      <c r="A3718" s="5" t="s">
        <v>5041</v>
      </c>
      <c r="B3718" s="5">
        <v>43872.0</v>
      </c>
      <c r="C3718" s="6" t="s">
        <v>299</v>
      </c>
      <c r="D3718" s="10" t="str">
        <f t="shared" si="1"/>
        <v>https://resources.simonelectric.com/simon-material-formativo-vehiculo-electrico</v>
      </c>
      <c r="E3718" s="8" t="str">
        <f t="shared" si="2"/>
        <v>https://resources.simonelectric.com/simon-material-formativo-vehiculo-electrico</v>
      </c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</row>
    <row r="3719" ht="15.75" customHeight="1">
      <c r="A3719" s="5" t="s">
        <v>3299</v>
      </c>
      <c r="B3719" s="5">
        <v>43872.0</v>
      </c>
      <c r="C3719" s="6" t="s">
        <v>299</v>
      </c>
      <c r="D3719" s="10" t="str">
        <f t="shared" si="1"/>
        <v>https://resources.simonelectric.com/simon-material-formativo-vehiculo-electrico</v>
      </c>
      <c r="E3719" s="8" t="str">
        <f t="shared" si="2"/>
        <v>https://resources.simonelectric.com/simon-material-formativo-vehiculo-electrico</v>
      </c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</row>
    <row r="3720" ht="15.75" customHeight="1">
      <c r="A3720" s="5" t="s">
        <v>4544</v>
      </c>
      <c r="B3720" s="5">
        <v>43872.0</v>
      </c>
      <c r="C3720" s="6" t="s">
        <v>299</v>
      </c>
      <c r="D3720" s="10" t="str">
        <f t="shared" si="1"/>
        <v>https://resources.simonelectric.com/simon-material-formativo-vehiculo-electrico</v>
      </c>
      <c r="E3720" s="8" t="str">
        <f t="shared" si="2"/>
        <v>https://resources.simonelectric.com/simon-material-formativo-vehiculo-electrico</v>
      </c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</row>
    <row r="3721" ht="15.75" customHeight="1">
      <c r="A3721" s="5" t="s">
        <v>5042</v>
      </c>
      <c r="B3721" s="5">
        <v>43872.0</v>
      </c>
      <c r="C3721" s="6" t="s">
        <v>8</v>
      </c>
      <c r="D3721" s="11">
        <f t="shared" si="1"/>
        <v>67</v>
      </c>
      <c r="E3721" s="8" t="str">
        <f t="shared" si="2"/>
        <v>https://resources.simonelectric.com/simon-ebook-vehiculo-electrico</v>
      </c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</row>
    <row r="3722" ht="15.75" customHeight="1">
      <c r="A3722" s="5" t="s">
        <v>3241</v>
      </c>
      <c r="B3722" s="5">
        <v>43872.0</v>
      </c>
      <c r="C3722" s="6" t="s">
        <v>596</v>
      </c>
      <c r="D3722" s="11">
        <f t="shared" si="1"/>
        <v>67</v>
      </c>
      <c r="E3722" s="8" t="str">
        <f t="shared" si="2"/>
        <v>https://resources.simonelectric.com/simon-ebook-vehiculo-electrico</v>
      </c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</row>
    <row r="3723" ht="15.75" customHeight="1">
      <c r="A3723" s="5" t="s">
        <v>3868</v>
      </c>
      <c r="B3723" s="5">
        <v>43872.0</v>
      </c>
      <c r="C3723" s="6" t="s">
        <v>48</v>
      </c>
      <c r="D3723" s="11">
        <f t="shared" si="1"/>
        <v>67</v>
      </c>
      <c r="E3723" s="8" t="str">
        <f t="shared" si="2"/>
        <v>https://resources.simonelectric.com/simon-ebook-vehiculo-electrico</v>
      </c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</row>
    <row r="3724" ht="15.75" customHeight="1">
      <c r="A3724" s="5" t="s">
        <v>5043</v>
      </c>
      <c r="B3724" s="5">
        <v>43871.0</v>
      </c>
      <c r="C3724" s="6" t="s">
        <v>8</v>
      </c>
      <c r="D3724" s="11">
        <f t="shared" si="1"/>
        <v>67</v>
      </c>
      <c r="E3724" s="8" t="str">
        <f t="shared" si="2"/>
        <v>https://resources.simonelectric.com/simon-ebook-vehiculo-electrico</v>
      </c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</row>
    <row r="3725" ht="15.75" customHeight="1">
      <c r="A3725" s="5" t="s">
        <v>1928</v>
      </c>
      <c r="B3725" s="5">
        <v>43871.0</v>
      </c>
      <c r="C3725" s="6" t="s">
        <v>5044</v>
      </c>
      <c r="D3725" s="10">
        <f t="shared" si="1"/>
        <v>67</v>
      </c>
      <c r="E3725" s="8" t="str">
        <f t="shared" si="2"/>
        <v>https://resources.simonelectric.com/simon-ebook-vehiculo-electrico</v>
      </c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</row>
    <row r="3726" ht="15.75" customHeight="1">
      <c r="A3726" s="5" t="s">
        <v>5045</v>
      </c>
      <c r="B3726" s="5">
        <v>43871.0</v>
      </c>
      <c r="C3726" s="6" t="s">
        <v>600</v>
      </c>
      <c r="D3726" s="11">
        <f t="shared" si="1"/>
        <v>67</v>
      </c>
      <c r="E3726" s="8" t="str">
        <f t="shared" si="2"/>
        <v>https://resources.simonelectric.com/simon-ebook-vehiculo-electrico</v>
      </c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</row>
    <row r="3727" ht="15.75" customHeight="1">
      <c r="A3727" s="5" t="s">
        <v>5046</v>
      </c>
      <c r="B3727" s="5">
        <v>43871.0</v>
      </c>
      <c r="C3727" s="6" t="s">
        <v>5047</v>
      </c>
      <c r="D3727" s="11">
        <f t="shared" si="1"/>
        <v>70</v>
      </c>
      <c r="E3727" s="8" t="str">
        <f t="shared" si="2"/>
        <v>https://resources.simonelectric.com/simon-catalogo-vehiculo-electrico</v>
      </c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</row>
    <row r="3728" ht="15.75" customHeight="1">
      <c r="A3728" s="5" t="s">
        <v>5048</v>
      </c>
      <c r="B3728" s="5">
        <v>43871.0</v>
      </c>
      <c r="C3728" s="6" t="s">
        <v>8</v>
      </c>
      <c r="D3728" s="11">
        <f t="shared" si="1"/>
        <v>67</v>
      </c>
      <c r="E3728" s="8" t="str">
        <f t="shared" si="2"/>
        <v>https://resources.simonelectric.com/simon-ebook-vehiculo-electrico</v>
      </c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</row>
    <row r="3729" ht="15.75" customHeight="1">
      <c r="A3729" s="5" t="s">
        <v>3909</v>
      </c>
      <c r="B3729" s="5">
        <v>43871.0</v>
      </c>
      <c r="C3729" s="6" t="s">
        <v>299</v>
      </c>
      <c r="D3729" s="10" t="str">
        <f t="shared" si="1"/>
        <v>https://resources.simonelectric.com/simon-material-formativo-vehiculo-electrico</v>
      </c>
      <c r="E3729" s="8" t="str">
        <f t="shared" si="2"/>
        <v>https://resources.simonelectric.com/simon-material-formativo-vehiculo-electrico</v>
      </c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</row>
    <row r="3730" ht="15.75" customHeight="1">
      <c r="A3730" s="5" t="s">
        <v>4156</v>
      </c>
      <c r="B3730" s="5">
        <v>43871.0</v>
      </c>
      <c r="C3730" s="6" t="s">
        <v>10</v>
      </c>
      <c r="D3730" s="10" t="str">
        <f t="shared" si="1"/>
        <v>https://resources.simonelectric.com/simon-catalogo-vehiculo-electrico</v>
      </c>
      <c r="E3730" s="8" t="str">
        <f t="shared" si="2"/>
        <v>https://resources.simonelectric.com/simon-catalogo-vehiculo-electrico</v>
      </c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</row>
    <row r="3731" ht="15.75" customHeight="1">
      <c r="A3731" s="5" t="s">
        <v>4156</v>
      </c>
      <c r="B3731" s="5">
        <v>43871.0</v>
      </c>
      <c r="C3731" s="6" t="s">
        <v>28</v>
      </c>
      <c r="D3731" s="10" t="str">
        <f t="shared" si="1"/>
        <v>https://resources.simonelectric.com/simon-ebook-vehiculo-electrico</v>
      </c>
      <c r="E3731" s="8" t="str">
        <f t="shared" si="2"/>
        <v>https://resources.simonelectric.com/simon-ebook-vehiculo-electrico</v>
      </c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</row>
    <row r="3732" ht="15.75" customHeight="1">
      <c r="A3732" s="5" t="s">
        <v>4872</v>
      </c>
      <c r="B3732" s="5">
        <v>43871.0</v>
      </c>
      <c r="C3732" s="6" t="s">
        <v>8</v>
      </c>
      <c r="D3732" s="11">
        <f t="shared" si="1"/>
        <v>67</v>
      </c>
      <c r="E3732" s="8" t="str">
        <f t="shared" si="2"/>
        <v>https://resources.simonelectric.com/simon-ebook-vehiculo-electrico</v>
      </c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</row>
    <row r="3733" ht="15.75" customHeight="1">
      <c r="A3733" s="5" t="s">
        <v>1593</v>
      </c>
      <c r="B3733" s="5">
        <v>43871.0</v>
      </c>
      <c r="C3733" s="6" t="s">
        <v>8</v>
      </c>
      <c r="D3733" s="11">
        <f t="shared" si="1"/>
        <v>67</v>
      </c>
      <c r="E3733" s="8" t="str">
        <f t="shared" si="2"/>
        <v>https://resources.simonelectric.com/simon-ebook-vehiculo-electrico</v>
      </c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</row>
    <row r="3734" ht="15.75" customHeight="1">
      <c r="A3734" s="5" t="s">
        <v>4274</v>
      </c>
      <c r="B3734" s="5">
        <v>43871.0</v>
      </c>
      <c r="C3734" s="6" t="s">
        <v>75</v>
      </c>
      <c r="D3734" s="11">
        <f t="shared" si="1"/>
        <v>67</v>
      </c>
      <c r="E3734" s="8" t="str">
        <f t="shared" si="2"/>
        <v>https://resources.simonelectric.com/simon-ebook-vehiculo-electrico</v>
      </c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</row>
    <row r="3735" ht="15.75" customHeight="1">
      <c r="A3735" s="5" t="s">
        <v>5049</v>
      </c>
      <c r="B3735" s="5">
        <v>43871.0</v>
      </c>
      <c r="C3735" s="6" t="s">
        <v>4114</v>
      </c>
      <c r="D3735" s="11">
        <f t="shared" si="1"/>
        <v>67</v>
      </c>
      <c r="E3735" s="8" t="str">
        <f t="shared" si="2"/>
        <v>https://resources.simonelectric.com/simon-ebook-vehiculo-electrico</v>
      </c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</row>
    <row r="3736" ht="15.75" customHeight="1">
      <c r="A3736" s="5" t="s">
        <v>5050</v>
      </c>
      <c r="B3736" s="5">
        <v>43871.0</v>
      </c>
      <c r="C3736" s="6" t="s">
        <v>5051</v>
      </c>
      <c r="D3736" s="11">
        <f t="shared" si="1"/>
        <v>70</v>
      </c>
      <c r="E3736" s="8" t="str">
        <f t="shared" si="2"/>
        <v>https://resources.simonelectric.com/simon-catalogo-vehiculo-electrico</v>
      </c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</row>
    <row r="3737" ht="15.75" customHeight="1">
      <c r="A3737" s="5" t="s">
        <v>5052</v>
      </c>
      <c r="B3737" s="5">
        <v>43871.0</v>
      </c>
      <c r="C3737" s="6" t="s">
        <v>5053</v>
      </c>
      <c r="D3737" s="11">
        <f t="shared" si="1"/>
        <v>67</v>
      </c>
      <c r="E3737" s="8" t="str">
        <f t="shared" si="2"/>
        <v>https://resources.simonelectric.com/simon-ebook-vehiculo-electrico</v>
      </c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</row>
    <row r="3738" ht="15.75" customHeight="1">
      <c r="A3738" s="5" t="s">
        <v>5054</v>
      </c>
      <c r="B3738" s="5">
        <v>43870.0</v>
      </c>
      <c r="C3738" s="6" t="s">
        <v>8</v>
      </c>
      <c r="D3738" s="11">
        <f t="shared" si="1"/>
        <v>67</v>
      </c>
      <c r="E3738" s="8" t="str">
        <f t="shared" si="2"/>
        <v>https://resources.simonelectric.com/simon-ebook-vehiculo-electrico</v>
      </c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</row>
    <row r="3739" ht="15.75" customHeight="1">
      <c r="A3739" s="5" t="s">
        <v>5055</v>
      </c>
      <c r="B3739" s="5">
        <v>43870.0</v>
      </c>
      <c r="C3739" s="6" t="s">
        <v>5056</v>
      </c>
      <c r="D3739" s="11">
        <f t="shared" si="1"/>
        <v>67</v>
      </c>
      <c r="E3739" s="8" t="str">
        <f t="shared" si="2"/>
        <v>https://resources.simonelectric.com/simon-ebook-vehiculo-electrico</v>
      </c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</row>
    <row r="3740" ht="15.75" customHeight="1">
      <c r="A3740" s="5" t="s">
        <v>5057</v>
      </c>
      <c r="B3740" s="5">
        <v>43870.0</v>
      </c>
      <c r="C3740" s="6" t="s">
        <v>31</v>
      </c>
      <c r="D3740" s="11">
        <f t="shared" si="1"/>
        <v>67</v>
      </c>
      <c r="E3740" s="8" t="str">
        <f t="shared" si="2"/>
        <v>https://resources.simonelectric.com/simon-ebook-vehiculo-electrico</v>
      </c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</row>
    <row r="3741" ht="15.75" customHeight="1">
      <c r="A3741" s="5" t="s">
        <v>5058</v>
      </c>
      <c r="B3741" s="5">
        <v>43870.0</v>
      </c>
      <c r="C3741" s="6" t="s">
        <v>5059</v>
      </c>
      <c r="D3741" s="11">
        <f t="shared" si="1"/>
        <v>67</v>
      </c>
      <c r="E3741" s="8" t="str">
        <f t="shared" si="2"/>
        <v>https://resources.simonelectric.com/simon-ebook-vehiculo-electrico</v>
      </c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</row>
    <row r="3742" ht="15.75" customHeight="1">
      <c r="A3742" s="5" t="s">
        <v>5060</v>
      </c>
      <c r="B3742" s="5">
        <v>43870.0</v>
      </c>
      <c r="C3742" s="6" t="s">
        <v>28</v>
      </c>
      <c r="D3742" s="10" t="str">
        <f t="shared" si="1"/>
        <v>https://resources.simonelectric.com/simon-ebook-vehiculo-electrico</v>
      </c>
      <c r="E3742" s="8" t="str">
        <f t="shared" si="2"/>
        <v>https://resources.simonelectric.com/simon-ebook-vehiculo-electrico</v>
      </c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</row>
    <row r="3743" ht="15.75" customHeight="1">
      <c r="A3743" s="5" t="s">
        <v>5061</v>
      </c>
      <c r="B3743" s="5">
        <v>43869.0</v>
      </c>
      <c r="C3743" s="6" t="s">
        <v>48</v>
      </c>
      <c r="D3743" s="11">
        <f t="shared" si="1"/>
        <v>67</v>
      </c>
      <c r="E3743" s="8" t="str">
        <f t="shared" si="2"/>
        <v>https://resources.simonelectric.com/simon-ebook-vehiculo-electrico</v>
      </c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</row>
    <row r="3744" ht="15.75" customHeight="1">
      <c r="A3744" s="5" t="s">
        <v>5062</v>
      </c>
      <c r="B3744" s="5">
        <v>43868.0</v>
      </c>
      <c r="C3744" s="6" t="s">
        <v>28</v>
      </c>
      <c r="D3744" s="10" t="str">
        <f t="shared" si="1"/>
        <v>https://resources.simonelectric.com/simon-ebook-vehiculo-electrico</v>
      </c>
      <c r="E3744" s="8" t="str">
        <f t="shared" si="2"/>
        <v>https://resources.simonelectric.com/simon-ebook-vehiculo-electrico</v>
      </c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</row>
    <row r="3745" ht="15.75" customHeight="1">
      <c r="A3745" s="5" t="s">
        <v>5063</v>
      </c>
      <c r="B3745" s="5">
        <v>43868.0</v>
      </c>
      <c r="C3745" s="6" t="s">
        <v>6</v>
      </c>
      <c r="D3745" s="11">
        <f t="shared" si="1"/>
        <v>67</v>
      </c>
      <c r="E3745" s="8" t="str">
        <f t="shared" si="2"/>
        <v>https://resources.simonelectric.com/simon-ebook-vehiculo-electrico</v>
      </c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</row>
    <row r="3746" ht="15.75" customHeight="1">
      <c r="A3746" s="5" t="s">
        <v>5064</v>
      </c>
      <c r="B3746" s="5">
        <v>43868.0</v>
      </c>
      <c r="C3746" s="6" t="s">
        <v>5065</v>
      </c>
      <c r="D3746" s="11">
        <f t="shared" si="1"/>
        <v>70</v>
      </c>
      <c r="E3746" s="8" t="str">
        <f t="shared" si="2"/>
        <v>https://resources.simonelectric.com/simon-catalogo-vehiculo-electrico</v>
      </c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</row>
    <row r="3747" ht="15.75" customHeight="1">
      <c r="A3747" s="5" t="s">
        <v>3450</v>
      </c>
      <c r="B3747" s="5">
        <v>43868.0</v>
      </c>
      <c r="C3747" s="6" t="s">
        <v>5066</v>
      </c>
      <c r="D3747" s="10">
        <f t="shared" si="1"/>
        <v>70</v>
      </c>
      <c r="E3747" s="8" t="str">
        <f t="shared" si="2"/>
        <v>https://resources.simonelectric.com/simon-catalogo-vehiculo-electrico</v>
      </c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</row>
    <row r="3748" ht="15.75" customHeight="1">
      <c r="A3748" s="5" t="s">
        <v>2022</v>
      </c>
      <c r="B3748" s="5">
        <v>43868.0</v>
      </c>
      <c r="C3748" s="6" t="s">
        <v>8</v>
      </c>
      <c r="D3748" s="11">
        <f t="shared" si="1"/>
        <v>67</v>
      </c>
      <c r="E3748" s="8" t="str">
        <f t="shared" si="2"/>
        <v>https://resources.simonelectric.com/simon-ebook-vehiculo-electrico</v>
      </c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</row>
    <row r="3749" ht="15.75" customHeight="1">
      <c r="A3749" s="5" t="s">
        <v>5067</v>
      </c>
      <c r="B3749" s="5">
        <v>43868.0</v>
      </c>
      <c r="C3749" s="6" t="s">
        <v>5068</v>
      </c>
      <c r="D3749" s="11">
        <f t="shared" si="1"/>
        <v>70</v>
      </c>
      <c r="E3749" s="8" t="str">
        <f t="shared" si="2"/>
        <v>https://resources.simonelectric.com/simon-catalogo-vehiculo-electrico</v>
      </c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</row>
    <row r="3750" ht="15.75" customHeight="1">
      <c r="A3750" s="5" t="s">
        <v>5069</v>
      </c>
      <c r="B3750" s="5">
        <v>43868.0</v>
      </c>
      <c r="C3750" s="6" t="s">
        <v>5070</v>
      </c>
      <c r="D3750" s="11">
        <f t="shared" si="1"/>
        <v>67</v>
      </c>
      <c r="E3750" s="8" t="str">
        <f t="shared" si="2"/>
        <v>https://resources.simonelectric.com/simon-ebook-vehiculo-electrico</v>
      </c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</row>
    <row r="3751" ht="15.75" customHeight="1">
      <c r="A3751" s="5" t="s">
        <v>5071</v>
      </c>
      <c r="B3751" s="5">
        <v>43868.0</v>
      </c>
      <c r="C3751" s="6" t="s">
        <v>28</v>
      </c>
      <c r="D3751" s="10" t="str">
        <f t="shared" si="1"/>
        <v>https://resources.simonelectric.com/simon-ebook-vehiculo-electrico</v>
      </c>
      <c r="E3751" s="8" t="str">
        <f t="shared" si="2"/>
        <v>https://resources.simonelectric.com/simon-ebook-vehiculo-electrico</v>
      </c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</row>
    <row r="3752" ht="15.75" customHeight="1">
      <c r="A3752" s="5" t="s">
        <v>5072</v>
      </c>
      <c r="B3752" s="5">
        <v>43868.0</v>
      </c>
      <c r="C3752" s="6" t="s">
        <v>6</v>
      </c>
      <c r="D3752" s="11">
        <f t="shared" si="1"/>
        <v>67</v>
      </c>
      <c r="E3752" s="8" t="str">
        <f t="shared" si="2"/>
        <v>https://resources.simonelectric.com/simon-ebook-vehiculo-electrico</v>
      </c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</row>
    <row r="3753" ht="15.75" customHeight="1">
      <c r="A3753" s="5" t="s">
        <v>5073</v>
      </c>
      <c r="B3753" s="5">
        <v>43867.0</v>
      </c>
      <c r="C3753" s="6" t="s">
        <v>8</v>
      </c>
      <c r="D3753" s="11">
        <f t="shared" si="1"/>
        <v>67</v>
      </c>
      <c r="E3753" s="8" t="str">
        <f t="shared" si="2"/>
        <v>https://resources.simonelectric.com/simon-ebook-vehiculo-electrico</v>
      </c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</row>
    <row r="3754" ht="15.75" customHeight="1">
      <c r="A3754" s="5" t="s">
        <v>5074</v>
      </c>
      <c r="B3754" s="5">
        <v>43867.0</v>
      </c>
      <c r="C3754" s="6" t="s">
        <v>5075</v>
      </c>
      <c r="D3754" s="11">
        <f t="shared" si="1"/>
        <v>70</v>
      </c>
      <c r="E3754" s="8" t="str">
        <f t="shared" si="2"/>
        <v>https://resources.simonelectric.com/simon-catalogo-vehiculo-electrico</v>
      </c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</row>
    <row r="3755" ht="15.75" customHeight="1">
      <c r="A3755" s="5" t="s">
        <v>5076</v>
      </c>
      <c r="B3755" s="5">
        <v>43867.0</v>
      </c>
      <c r="C3755" s="6" t="s">
        <v>5077</v>
      </c>
      <c r="D3755" s="11">
        <f t="shared" si="1"/>
        <v>70</v>
      </c>
      <c r="E3755" s="8" t="str">
        <f t="shared" si="2"/>
        <v>https://resources.simonelectric.com/simon-catalogo-vehiculo-electrico</v>
      </c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</row>
    <row r="3756" ht="15.75" customHeight="1">
      <c r="A3756" s="5" t="s">
        <v>5076</v>
      </c>
      <c r="B3756" s="5">
        <v>43867.0</v>
      </c>
      <c r="C3756" s="6" t="s">
        <v>8</v>
      </c>
      <c r="D3756" s="11">
        <f t="shared" si="1"/>
        <v>67</v>
      </c>
      <c r="E3756" s="8" t="str">
        <f t="shared" si="2"/>
        <v>https://resources.simonelectric.com/simon-ebook-vehiculo-electrico</v>
      </c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</row>
    <row r="3757" ht="15.75" customHeight="1">
      <c r="A3757" s="5" t="s">
        <v>5078</v>
      </c>
      <c r="B3757" s="5">
        <v>43867.0</v>
      </c>
      <c r="C3757" s="6" t="s">
        <v>8</v>
      </c>
      <c r="D3757" s="11">
        <f t="shared" si="1"/>
        <v>67</v>
      </c>
      <c r="E3757" s="8" t="str">
        <f t="shared" si="2"/>
        <v>https://resources.simonelectric.com/simon-ebook-vehiculo-electrico</v>
      </c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</row>
    <row r="3758" ht="15.75" customHeight="1">
      <c r="A3758" s="5" t="s">
        <v>5079</v>
      </c>
      <c r="B3758" s="5">
        <v>43867.0</v>
      </c>
      <c r="C3758" s="6" t="s">
        <v>5080</v>
      </c>
      <c r="D3758" s="11">
        <f t="shared" si="1"/>
        <v>67</v>
      </c>
      <c r="E3758" s="8" t="str">
        <f t="shared" si="2"/>
        <v>https://resources.simonelectric.com/simon-ebook-vehiculo-electrico</v>
      </c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</row>
    <row r="3759" ht="15.75" customHeight="1">
      <c r="A3759" s="5" t="s">
        <v>5081</v>
      </c>
      <c r="B3759" s="5">
        <v>43867.0</v>
      </c>
      <c r="C3759" s="6" t="s">
        <v>5082</v>
      </c>
      <c r="D3759" s="11">
        <f t="shared" si="1"/>
        <v>67</v>
      </c>
      <c r="E3759" s="8" t="str">
        <f t="shared" si="2"/>
        <v>https://resources.simonelectric.com/simon-ebook-vehiculo-electrico</v>
      </c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</row>
    <row r="3760" ht="15.75" customHeight="1">
      <c r="A3760" s="5" t="s">
        <v>5083</v>
      </c>
      <c r="B3760" s="5">
        <v>43867.0</v>
      </c>
      <c r="C3760" s="6" t="s">
        <v>5084</v>
      </c>
      <c r="D3760" s="11">
        <f t="shared" si="1"/>
        <v>67</v>
      </c>
      <c r="E3760" s="8" t="str">
        <f t="shared" si="2"/>
        <v>https://resources.simonelectric.com/simon-ebook-vehiculo-electrico</v>
      </c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</row>
    <row r="3761" ht="15.75" customHeight="1">
      <c r="A3761" s="5" t="s">
        <v>1192</v>
      </c>
      <c r="B3761" s="5">
        <v>43867.0</v>
      </c>
      <c r="C3761" s="6" t="s">
        <v>5085</v>
      </c>
      <c r="D3761" s="11">
        <f t="shared" si="1"/>
        <v>67</v>
      </c>
      <c r="E3761" s="8" t="str">
        <f t="shared" si="2"/>
        <v>https://resources.simonelectric.com/simon-ebook-vehiculo-electrico</v>
      </c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</row>
    <row r="3762" ht="15.75" customHeight="1">
      <c r="A3762" s="5" t="s">
        <v>5086</v>
      </c>
      <c r="B3762" s="5">
        <v>43867.0</v>
      </c>
      <c r="C3762" s="6" t="s">
        <v>8</v>
      </c>
      <c r="D3762" s="11">
        <f t="shared" si="1"/>
        <v>67</v>
      </c>
      <c r="E3762" s="8" t="str">
        <f t="shared" si="2"/>
        <v>https://resources.simonelectric.com/simon-ebook-vehiculo-electrico</v>
      </c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</row>
    <row r="3763" ht="15.75" customHeight="1">
      <c r="A3763" s="5" t="s">
        <v>5087</v>
      </c>
      <c r="B3763" s="5">
        <v>43867.0</v>
      </c>
      <c r="C3763" s="6" t="s">
        <v>8</v>
      </c>
      <c r="D3763" s="11">
        <f t="shared" si="1"/>
        <v>67</v>
      </c>
      <c r="E3763" s="8" t="str">
        <f t="shared" si="2"/>
        <v>https://resources.simonelectric.com/simon-ebook-vehiculo-electrico</v>
      </c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</row>
    <row r="3764" ht="15.75" customHeight="1">
      <c r="A3764" s="5" t="s">
        <v>5087</v>
      </c>
      <c r="B3764" s="5">
        <v>43867.0</v>
      </c>
      <c r="C3764" s="6" t="s">
        <v>8</v>
      </c>
      <c r="D3764" s="11">
        <f t="shared" si="1"/>
        <v>67</v>
      </c>
      <c r="E3764" s="8" t="str">
        <f t="shared" si="2"/>
        <v>https://resources.simonelectric.com/simon-ebook-vehiculo-electrico</v>
      </c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</row>
    <row r="3765" ht="15.75" customHeight="1">
      <c r="A3765" s="5" t="s">
        <v>4975</v>
      </c>
      <c r="B3765" s="5">
        <v>43866.0</v>
      </c>
      <c r="C3765" s="6" t="s">
        <v>5088</v>
      </c>
      <c r="D3765" s="10">
        <f t="shared" si="1"/>
        <v>70</v>
      </c>
      <c r="E3765" s="8" t="str">
        <f t="shared" si="2"/>
        <v>https://resources.simonelectric.com/simon-catalogo-vehiculo-electrico</v>
      </c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</row>
    <row r="3766" ht="15.75" customHeight="1">
      <c r="A3766" s="5" t="s">
        <v>4975</v>
      </c>
      <c r="B3766" s="5">
        <v>43866.0</v>
      </c>
      <c r="C3766" s="6" t="s">
        <v>31</v>
      </c>
      <c r="D3766" s="11">
        <f t="shared" si="1"/>
        <v>67</v>
      </c>
      <c r="E3766" s="8" t="str">
        <f t="shared" si="2"/>
        <v>https://resources.simonelectric.com/simon-ebook-vehiculo-electrico</v>
      </c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</row>
    <row r="3767" ht="15.75" customHeight="1">
      <c r="A3767" s="5" t="s">
        <v>5089</v>
      </c>
      <c r="B3767" s="5">
        <v>43866.0</v>
      </c>
      <c r="C3767" s="6" t="s">
        <v>8</v>
      </c>
      <c r="D3767" s="10">
        <f t="shared" si="1"/>
        <v>67</v>
      </c>
      <c r="E3767" s="8" t="str">
        <f t="shared" si="2"/>
        <v>https://resources.simonelectric.com/simon-ebook-vehiculo-electrico</v>
      </c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</row>
    <row r="3768" ht="15.75" customHeight="1">
      <c r="A3768" s="5" t="s">
        <v>5090</v>
      </c>
      <c r="B3768" s="5">
        <v>43866.0</v>
      </c>
      <c r="C3768" s="6" t="s">
        <v>8</v>
      </c>
      <c r="D3768" s="11">
        <f t="shared" si="1"/>
        <v>67</v>
      </c>
      <c r="E3768" s="8" t="str">
        <f t="shared" si="2"/>
        <v>https://resources.simonelectric.com/simon-ebook-vehiculo-electrico</v>
      </c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</row>
    <row r="3769" ht="15.75" customHeight="1">
      <c r="A3769" s="5" t="s">
        <v>5091</v>
      </c>
      <c r="B3769" s="5">
        <v>43866.0</v>
      </c>
      <c r="C3769" s="6" t="s">
        <v>5092</v>
      </c>
      <c r="D3769" s="11">
        <f t="shared" si="1"/>
        <v>67</v>
      </c>
      <c r="E3769" s="8" t="str">
        <f t="shared" si="2"/>
        <v>https://resources.simonelectric.com/simon-ebook-vehiculo-electrico</v>
      </c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</row>
    <row r="3770" ht="15.75" customHeight="1">
      <c r="A3770" s="5" t="s">
        <v>5093</v>
      </c>
      <c r="B3770" s="5">
        <v>43866.0</v>
      </c>
      <c r="C3770" s="6" t="s">
        <v>31</v>
      </c>
      <c r="D3770" s="11">
        <f t="shared" si="1"/>
        <v>67</v>
      </c>
      <c r="E3770" s="8" t="str">
        <f t="shared" si="2"/>
        <v>https://resources.simonelectric.com/simon-ebook-vehiculo-electrico</v>
      </c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</row>
    <row r="3771" ht="15.75" customHeight="1">
      <c r="A3771" s="5" t="s">
        <v>5094</v>
      </c>
      <c r="B3771" s="5">
        <v>43866.0</v>
      </c>
      <c r="C3771" s="6" t="s">
        <v>8</v>
      </c>
      <c r="D3771" s="11">
        <f t="shared" si="1"/>
        <v>67</v>
      </c>
      <c r="E3771" s="8" t="str">
        <f t="shared" si="2"/>
        <v>https://resources.simonelectric.com/simon-ebook-vehiculo-electrico</v>
      </c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</row>
    <row r="3772" ht="15.75" customHeight="1">
      <c r="A3772" s="5" t="s">
        <v>5086</v>
      </c>
      <c r="B3772" s="5">
        <v>43865.0</v>
      </c>
      <c r="C3772" s="6" t="s">
        <v>8</v>
      </c>
      <c r="D3772" s="11">
        <f t="shared" si="1"/>
        <v>67</v>
      </c>
      <c r="E3772" s="8" t="str">
        <f t="shared" si="2"/>
        <v>https://resources.simonelectric.com/simon-ebook-vehiculo-electrico</v>
      </c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</row>
    <row r="3773" ht="15.75" customHeight="1">
      <c r="A3773" s="5" t="s">
        <v>5095</v>
      </c>
      <c r="B3773" s="5">
        <v>43865.0</v>
      </c>
      <c r="C3773" s="6" t="s">
        <v>28</v>
      </c>
      <c r="D3773" s="10" t="str">
        <f t="shared" si="1"/>
        <v>https://resources.simonelectric.com/simon-ebook-vehiculo-electrico</v>
      </c>
      <c r="E3773" s="8" t="str">
        <f t="shared" si="2"/>
        <v>https://resources.simonelectric.com/simon-ebook-vehiculo-electrico</v>
      </c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</row>
    <row r="3774" ht="15.75" customHeight="1">
      <c r="A3774" s="5" t="s">
        <v>5096</v>
      </c>
      <c r="B3774" s="5">
        <v>43865.0</v>
      </c>
      <c r="C3774" s="6" t="s">
        <v>48</v>
      </c>
      <c r="D3774" s="11">
        <f t="shared" si="1"/>
        <v>67</v>
      </c>
      <c r="E3774" s="8" t="str">
        <f t="shared" si="2"/>
        <v>https://resources.simonelectric.com/simon-ebook-vehiculo-electrico</v>
      </c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</row>
    <row r="3775" ht="15.75" customHeight="1">
      <c r="A3775" s="5" t="s">
        <v>4808</v>
      </c>
      <c r="B3775" s="5">
        <v>43865.0</v>
      </c>
      <c r="C3775" s="6" t="s">
        <v>8</v>
      </c>
      <c r="D3775" s="11">
        <f t="shared" si="1"/>
        <v>67</v>
      </c>
      <c r="E3775" s="8" t="str">
        <f t="shared" si="2"/>
        <v>https://resources.simonelectric.com/simon-ebook-vehiculo-electrico</v>
      </c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</row>
    <row r="3776" ht="15.75" customHeight="1">
      <c r="A3776" s="5" t="s">
        <v>5097</v>
      </c>
      <c r="B3776" s="5">
        <v>43865.0</v>
      </c>
      <c r="C3776" s="6" t="s">
        <v>299</v>
      </c>
      <c r="D3776" s="10" t="str">
        <f t="shared" si="1"/>
        <v>https://resources.simonelectric.com/simon-material-formativo-vehiculo-electrico</v>
      </c>
      <c r="E3776" s="8" t="str">
        <f t="shared" si="2"/>
        <v>https://resources.simonelectric.com/simon-material-formativo-vehiculo-electrico</v>
      </c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</row>
    <row r="3777" ht="15.75" customHeight="1">
      <c r="A3777" s="5" t="s">
        <v>5098</v>
      </c>
      <c r="B3777" s="5">
        <v>43865.0</v>
      </c>
      <c r="C3777" s="6" t="s">
        <v>8</v>
      </c>
      <c r="D3777" s="11">
        <f t="shared" si="1"/>
        <v>67</v>
      </c>
      <c r="E3777" s="8" t="str">
        <f t="shared" si="2"/>
        <v>https://resources.simonelectric.com/simon-ebook-vehiculo-electrico</v>
      </c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</row>
    <row r="3778" ht="15.75" customHeight="1">
      <c r="A3778" s="5" t="s">
        <v>5099</v>
      </c>
      <c r="B3778" s="5">
        <v>43865.0</v>
      </c>
      <c r="C3778" s="6" t="s">
        <v>5100</v>
      </c>
      <c r="D3778" s="11">
        <f t="shared" si="1"/>
        <v>70</v>
      </c>
      <c r="E3778" s="8" t="str">
        <f t="shared" si="2"/>
        <v>https://resources.simonelectric.com/simon-catalogo-vehiculo-electrico</v>
      </c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</row>
    <row r="3779" ht="15.75" customHeight="1">
      <c r="A3779" s="5" t="s">
        <v>5099</v>
      </c>
      <c r="B3779" s="5">
        <v>43865.0</v>
      </c>
      <c r="C3779" s="6" t="s">
        <v>28</v>
      </c>
      <c r="D3779" s="10" t="str">
        <f t="shared" si="1"/>
        <v>https://resources.simonelectric.com/simon-ebook-vehiculo-electrico</v>
      </c>
      <c r="E3779" s="8" t="str">
        <f t="shared" si="2"/>
        <v>https://resources.simonelectric.com/simon-ebook-vehiculo-electrico</v>
      </c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</row>
    <row r="3780" ht="15.75" customHeight="1">
      <c r="A3780" s="5" t="s">
        <v>1498</v>
      </c>
      <c r="B3780" s="5">
        <v>43865.0</v>
      </c>
      <c r="C3780" s="6" t="s">
        <v>5101</v>
      </c>
      <c r="D3780" s="11">
        <f t="shared" si="1"/>
        <v>67</v>
      </c>
      <c r="E3780" s="8" t="str">
        <f t="shared" si="2"/>
        <v>https://resources.simonelectric.com/simon-ebook-vehiculo-electrico</v>
      </c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</row>
    <row r="3781" ht="15.75" customHeight="1">
      <c r="A3781" s="5" t="s">
        <v>5102</v>
      </c>
      <c r="B3781" s="5">
        <v>43865.0</v>
      </c>
      <c r="C3781" s="6" t="s">
        <v>5103</v>
      </c>
      <c r="D3781" s="11">
        <f t="shared" si="1"/>
        <v>67</v>
      </c>
      <c r="E3781" s="8" t="str">
        <f t="shared" si="2"/>
        <v>https://resources.simonelectric.com/simon-ebook-vehiculo-electrico</v>
      </c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</row>
    <row r="3782" ht="15.75" customHeight="1">
      <c r="A3782" s="5" t="s">
        <v>5104</v>
      </c>
      <c r="B3782" s="5">
        <v>43865.0</v>
      </c>
      <c r="C3782" s="6" t="s">
        <v>28</v>
      </c>
      <c r="D3782" s="10" t="str">
        <f t="shared" si="1"/>
        <v>https://resources.simonelectric.com/simon-ebook-vehiculo-electrico</v>
      </c>
      <c r="E3782" s="8" t="str">
        <f t="shared" si="2"/>
        <v>https://resources.simonelectric.com/simon-ebook-vehiculo-electrico</v>
      </c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</row>
    <row r="3783" ht="15.75" customHeight="1">
      <c r="A3783" s="5" t="s">
        <v>1192</v>
      </c>
      <c r="B3783" s="5">
        <v>43864.0</v>
      </c>
      <c r="C3783" s="6" t="s">
        <v>5056</v>
      </c>
      <c r="D3783" s="11">
        <f t="shared" si="1"/>
        <v>67</v>
      </c>
      <c r="E3783" s="8" t="str">
        <f t="shared" si="2"/>
        <v>https://resources.simonelectric.com/simon-ebook-vehiculo-electrico</v>
      </c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</row>
    <row r="3784" ht="15.75" customHeight="1">
      <c r="A3784" s="5" t="s">
        <v>2202</v>
      </c>
      <c r="B3784" s="5">
        <v>43864.0</v>
      </c>
      <c r="C3784" s="6" t="s">
        <v>5105</v>
      </c>
      <c r="D3784" s="11">
        <f t="shared" si="1"/>
        <v>67</v>
      </c>
      <c r="E3784" s="8" t="str">
        <f t="shared" si="2"/>
        <v>https://resources.simonelectric.com/simon-ebook-vehiculo-electrico</v>
      </c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</row>
    <row r="3785" ht="15.75" customHeight="1">
      <c r="A3785" s="5" t="s">
        <v>5106</v>
      </c>
      <c r="B3785" s="5">
        <v>43864.0</v>
      </c>
      <c r="C3785" s="6" t="s">
        <v>31</v>
      </c>
      <c r="D3785" s="11">
        <f t="shared" si="1"/>
        <v>67</v>
      </c>
      <c r="E3785" s="8" t="str">
        <f t="shared" si="2"/>
        <v>https://resources.simonelectric.com/simon-ebook-vehiculo-electrico</v>
      </c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</row>
    <row r="3786" ht="15.75" customHeight="1">
      <c r="A3786" s="5" t="s">
        <v>5107</v>
      </c>
      <c r="B3786" s="5">
        <v>43864.0</v>
      </c>
      <c r="C3786" s="6" t="s">
        <v>28</v>
      </c>
      <c r="D3786" s="10" t="str">
        <f t="shared" si="1"/>
        <v>https://resources.simonelectric.com/simon-ebook-vehiculo-electrico</v>
      </c>
      <c r="E3786" s="8" t="str">
        <f t="shared" si="2"/>
        <v>https://resources.simonelectric.com/simon-ebook-vehiculo-electrico</v>
      </c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</row>
    <row r="3787" ht="15.75" customHeight="1">
      <c r="A3787" s="5" t="s">
        <v>5108</v>
      </c>
      <c r="B3787" s="5">
        <v>43864.0</v>
      </c>
      <c r="C3787" s="6" t="s">
        <v>8</v>
      </c>
      <c r="D3787" s="11">
        <f t="shared" si="1"/>
        <v>67</v>
      </c>
      <c r="E3787" s="8" t="str">
        <f t="shared" si="2"/>
        <v>https://resources.simonelectric.com/simon-ebook-vehiculo-electrico</v>
      </c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</row>
    <row r="3788" ht="15.75" customHeight="1">
      <c r="A3788" s="5" t="s">
        <v>5050</v>
      </c>
      <c r="B3788" s="5">
        <v>43864.0</v>
      </c>
      <c r="C3788" s="6" t="s">
        <v>5109</v>
      </c>
      <c r="D3788" s="11">
        <f t="shared" si="1"/>
        <v>70</v>
      </c>
      <c r="E3788" s="8" t="str">
        <f t="shared" si="2"/>
        <v>https://resources.simonelectric.com/simon-catalogo-vehiculo-electrico</v>
      </c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</row>
    <row r="3789" ht="15.75" customHeight="1">
      <c r="A3789" s="5" t="s">
        <v>5050</v>
      </c>
      <c r="B3789" s="5">
        <v>43864.0</v>
      </c>
      <c r="C3789" s="6" t="s">
        <v>5110</v>
      </c>
      <c r="D3789" s="11">
        <f t="shared" si="1"/>
        <v>67</v>
      </c>
      <c r="E3789" s="8" t="str">
        <f t="shared" si="2"/>
        <v>https://resources.simonelectric.com/simon-ebook-vehiculo-electrico</v>
      </c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</row>
    <row r="3790" ht="15.75" customHeight="1">
      <c r="A3790" s="5" t="s">
        <v>5050</v>
      </c>
      <c r="B3790" s="5">
        <v>43864.0</v>
      </c>
      <c r="C3790" s="6" t="s">
        <v>5110</v>
      </c>
      <c r="D3790" s="11">
        <f t="shared" si="1"/>
        <v>67</v>
      </c>
      <c r="E3790" s="8" t="str">
        <f t="shared" si="2"/>
        <v>https://resources.simonelectric.com/simon-ebook-vehiculo-electrico</v>
      </c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</row>
    <row r="3791" ht="15.75" customHeight="1">
      <c r="A3791" s="5" t="s">
        <v>5111</v>
      </c>
      <c r="B3791" s="5">
        <v>43863.0</v>
      </c>
      <c r="C3791" s="6" t="s">
        <v>28</v>
      </c>
      <c r="D3791" s="10" t="str">
        <f t="shared" si="1"/>
        <v>https://resources.simonelectric.com/simon-ebook-vehiculo-electrico</v>
      </c>
      <c r="E3791" s="8" t="str">
        <f t="shared" si="2"/>
        <v>https://resources.simonelectric.com/simon-ebook-vehiculo-electrico</v>
      </c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</row>
    <row r="3792" ht="15.75" customHeight="1">
      <c r="A3792" s="5" t="s">
        <v>5112</v>
      </c>
      <c r="B3792" s="5">
        <v>43863.0</v>
      </c>
      <c r="C3792" s="6" t="s">
        <v>5113</v>
      </c>
      <c r="D3792" s="11">
        <f t="shared" si="1"/>
        <v>67</v>
      </c>
      <c r="E3792" s="8" t="str">
        <f t="shared" si="2"/>
        <v>https://resources.simonelectric.com/simon-ebook-vehiculo-electrico</v>
      </c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</row>
    <row r="3793" ht="15.75" customHeight="1">
      <c r="A3793" s="5" t="s">
        <v>2322</v>
      </c>
      <c r="B3793" s="5">
        <v>43862.0</v>
      </c>
      <c r="C3793" s="6" t="s">
        <v>5114</v>
      </c>
      <c r="D3793" s="11">
        <f t="shared" si="1"/>
        <v>67</v>
      </c>
      <c r="E3793" s="8" t="str">
        <f t="shared" si="2"/>
        <v>https://resources.simonelectric.com/simon-ebook-vehiculo-electrico</v>
      </c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</row>
    <row r="3794" ht="15.75" customHeight="1">
      <c r="A3794" s="5" t="s">
        <v>5115</v>
      </c>
      <c r="B3794" s="5">
        <v>43862.0</v>
      </c>
      <c r="C3794" s="6" t="s">
        <v>5056</v>
      </c>
      <c r="D3794" s="11">
        <f t="shared" si="1"/>
        <v>67</v>
      </c>
      <c r="E3794" s="8" t="str">
        <f t="shared" si="2"/>
        <v>https://resources.simonelectric.com/simon-ebook-vehiculo-electrico</v>
      </c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</row>
    <row r="3795" ht="15.75" customHeight="1">
      <c r="A3795" s="5" t="s">
        <v>5116</v>
      </c>
      <c r="B3795" s="5">
        <v>43862.0</v>
      </c>
      <c r="C3795" s="6" t="s">
        <v>5117</v>
      </c>
      <c r="D3795" s="11">
        <f t="shared" si="1"/>
        <v>67</v>
      </c>
      <c r="E3795" s="8" t="str">
        <f t="shared" si="2"/>
        <v>https://resources.simonelectric.com/simon-ebook-vehiculo-electrico</v>
      </c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</row>
    <row r="3796" ht="15.75" customHeight="1">
      <c r="A3796" s="5" t="s">
        <v>5118</v>
      </c>
      <c r="B3796" s="5">
        <v>43861.0</v>
      </c>
      <c r="C3796" s="6" t="s">
        <v>5119</v>
      </c>
      <c r="D3796" s="11">
        <f t="shared" si="1"/>
        <v>67</v>
      </c>
      <c r="E3796" s="8" t="str">
        <f t="shared" si="2"/>
        <v>https://resources.simonelectric.com/simon-ebook-vehiculo-electrico</v>
      </c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</row>
    <row r="3797" ht="15.75" customHeight="1">
      <c r="A3797" s="5" t="s">
        <v>5120</v>
      </c>
      <c r="B3797" s="5">
        <v>43861.0</v>
      </c>
      <c r="C3797" s="6" t="s">
        <v>8</v>
      </c>
      <c r="D3797" s="11">
        <f t="shared" si="1"/>
        <v>67</v>
      </c>
      <c r="E3797" s="8" t="str">
        <f t="shared" si="2"/>
        <v>https://resources.simonelectric.com/simon-ebook-vehiculo-electrico</v>
      </c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</row>
    <row r="3798" ht="15.75" customHeight="1">
      <c r="A3798" s="5" t="s">
        <v>5121</v>
      </c>
      <c r="B3798" s="5">
        <v>43861.0</v>
      </c>
      <c r="C3798" s="6" t="s">
        <v>8</v>
      </c>
      <c r="D3798" s="11">
        <f t="shared" si="1"/>
        <v>67</v>
      </c>
      <c r="E3798" s="8" t="str">
        <f t="shared" si="2"/>
        <v>https://resources.simonelectric.com/simon-ebook-vehiculo-electrico</v>
      </c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</row>
    <row r="3799" ht="15.75" customHeight="1">
      <c r="A3799" s="5" t="s">
        <v>5122</v>
      </c>
      <c r="B3799" s="5">
        <v>43861.0</v>
      </c>
      <c r="C3799" s="6" t="s">
        <v>5123</v>
      </c>
      <c r="D3799" s="11">
        <f t="shared" si="1"/>
        <v>70</v>
      </c>
      <c r="E3799" s="8" t="str">
        <f t="shared" si="2"/>
        <v>https://resources.simonelectric.com/simon-catalogo-vehiculo-electrico</v>
      </c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</row>
    <row r="3800" ht="15.75" customHeight="1">
      <c r="A3800" s="5" t="s">
        <v>5122</v>
      </c>
      <c r="B3800" s="5">
        <v>43861.0</v>
      </c>
      <c r="C3800" s="6" t="s">
        <v>28</v>
      </c>
      <c r="D3800" s="10" t="str">
        <f t="shared" si="1"/>
        <v>https://resources.simonelectric.com/simon-ebook-vehiculo-electrico</v>
      </c>
      <c r="E3800" s="8" t="str">
        <f t="shared" si="2"/>
        <v>https://resources.simonelectric.com/simon-ebook-vehiculo-electrico</v>
      </c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</row>
    <row r="3801" ht="15.75" customHeight="1">
      <c r="A3801" s="5" t="s">
        <v>5124</v>
      </c>
      <c r="B3801" s="5">
        <v>43861.0</v>
      </c>
      <c r="C3801" s="6" t="s">
        <v>31</v>
      </c>
      <c r="D3801" s="11">
        <f t="shared" si="1"/>
        <v>67</v>
      </c>
      <c r="E3801" s="8" t="str">
        <f t="shared" si="2"/>
        <v>https://resources.simonelectric.com/simon-ebook-vehiculo-electrico</v>
      </c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</row>
    <row r="3802" ht="15.75" customHeight="1">
      <c r="A3802" s="5" t="s">
        <v>5125</v>
      </c>
      <c r="B3802" s="5">
        <v>43861.0</v>
      </c>
      <c r="C3802" s="6" t="s">
        <v>8</v>
      </c>
      <c r="D3802" s="11">
        <f t="shared" si="1"/>
        <v>67</v>
      </c>
      <c r="E3802" s="8" t="str">
        <f t="shared" si="2"/>
        <v>https://resources.simonelectric.com/simon-ebook-vehiculo-electrico</v>
      </c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</row>
    <row r="3803" ht="15.75" customHeight="1">
      <c r="A3803" s="5" t="s">
        <v>5050</v>
      </c>
      <c r="B3803" s="5">
        <v>43860.0</v>
      </c>
      <c r="C3803" s="6" t="s">
        <v>31</v>
      </c>
      <c r="D3803" s="11">
        <f t="shared" si="1"/>
        <v>67</v>
      </c>
      <c r="E3803" s="8" t="str">
        <f t="shared" si="2"/>
        <v>https://resources.simonelectric.com/simon-ebook-vehiculo-electrico</v>
      </c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</row>
    <row r="3804" ht="15.75" customHeight="1">
      <c r="A3804" s="5" t="s">
        <v>5126</v>
      </c>
      <c r="B3804" s="5">
        <v>43860.0</v>
      </c>
      <c r="C3804" s="6" t="s">
        <v>8</v>
      </c>
      <c r="D3804" s="11">
        <f t="shared" si="1"/>
        <v>67</v>
      </c>
      <c r="E3804" s="8" t="str">
        <f t="shared" si="2"/>
        <v>https://resources.simonelectric.com/simon-ebook-vehiculo-electrico</v>
      </c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</row>
    <row r="3805" ht="15.75" customHeight="1">
      <c r="A3805" s="5" t="s">
        <v>5127</v>
      </c>
      <c r="B3805" s="5">
        <v>43860.0</v>
      </c>
      <c r="C3805" s="6" t="s">
        <v>8</v>
      </c>
      <c r="D3805" s="11">
        <f t="shared" si="1"/>
        <v>67</v>
      </c>
      <c r="E3805" s="8" t="str">
        <f t="shared" si="2"/>
        <v>https://resources.simonelectric.com/simon-ebook-vehiculo-electrico</v>
      </c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</row>
    <row r="3806" ht="15.75" customHeight="1">
      <c r="A3806" s="5" t="s">
        <v>5128</v>
      </c>
      <c r="B3806" s="5">
        <v>43860.0</v>
      </c>
      <c r="C3806" s="6" t="s">
        <v>31</v>
      </c>
      <c r="D3806" s="11">
        <f t="shared" si="1"/>
        <v>67</v>
      </c>
      <c r="E3806" s="8" t="str">
        <f t="shared" si="2"/>
        <v>https://resources.simonelectric.com/simon-ebook-vehiculo-electrico</v>
      </c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</row>
    <row r="3807" ht="15.75" customHeight="1">
      <c r="A3807" s="5" t="s">
        <v>5129</v>
      </c>
      <c r="B3807" s="5">
        <v>43860.0</v>
      </c>
      <c r="C3807" s="6" t="s">
        <v>5105</v>
      </c>
      <c r="D3807" s="11">
        <f t="shared" si="1"/>
        <v>67</v>
      </c>
      <c r="E3807" s="8" t="str">
        <f t="shared" si="2"/>
        <v>https://resources.simonelectric.com/simon-ebook-vehiculo-electrico</v>
      </c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</row>
    <row r="3808" ht="15.75" customHeight="1">
      <c r="A3808" s="5" t="s">
        <v>5130</v>
      </c>
      <c r="B3808" s="5">
        <v>43860.0</v>
      </c>
      <c r="C3808" s="6" t="s">
        <v>75</v>
      </c>
      <c r="D3808" s="11">
        <f t="shared" si="1"/>
        <v>67</v>
      </c>
      <c r="E3808" s="8" t="str">
        <f t="shared" si="2"/>
        <v>https://resources.simonelectric.com/simon-ebook-vehiculo-electrico</v>
      </c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</row>
    <row r="3809" ht="15.75" customHeight="1">
      <c r="A3809" s="5" t="s">
        <v>5131</v>
      </c>
      <c r="B3809" s="5">
        <v>43859.0</v>
      </c>
      <c r="C3809" s="6" t="s">
        <v>6</v>
      </c>
      <c r="D3809" s="11">
        <f t="shared" si="1"/>
        <v>67</v>
      </c>
      <c r="E3809" s="8" t="str">
        <f t="shared" si="2"/>
        <v>https://resources.simonelectric.com/simon-ebook-vehiculo-electrico</v>
      </c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</row>
    <row r="3810" ht="15.75" customHeight="1">
      <c r="A3810" s="5" t="s">
        <v>5132</v>
      </c>
      <c r="B3810" s="5">
        <v>43859.0</v>
      </c>
      <c r="C3810" s="6" t="s">
        <v>6</v>
      </c>
      <c r="D3810" s="11">
        <f t="shared" si="1"/>
        <v>67</v>
      </c>
      <c r="E3810" s="8" t="str">
        <f t="shared" si="2"/>
        <v>https://resources.simonelectric.com/simon-ebook-vehiculo-electrico</v>
      </c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</row>
    <row r="3811" ht="15.75" customHeight="1">
      <c r="A3811" s="5" t="s">
        <v>5133</v>
      </c>
      <c r="B3811" s="5">
        <v>43859.0</v>
      </c>
      <c r="C3811" s="6" t="s">
        <v>8</v>
      </c>
      <c r="D3811" s="10">
        <f t="shared" si="1"/>
        <v>67</v>
      </c>
      <c r="E3811" s="8" t="str">
        <f t="shared" si="2"/>
        <v>https://resources.simonelectric.com/simon-ebook-vehiculo-electrico</v>
      </c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</row>
    <row r="3812" ht="15.75" customHeight="1">
      <c r="A3812" s="5" t="s">
        <v>1820</v>
      </c>
      <c r="B3812" s="5">
        <v>43859.0</v>
      </c>
      <c r="C3812" s="6" t="s">
        <v>8</v>
      </c>
      <c r="D3812" s="11">
        <f t="shared" si="1"/>
        <v>67</v>
      </c>
      <c r="E3812" s="8" t="str">
        <f t="shared" si="2"/>
        <v>https://resources.simonelectric.com/simon-ebook-vehiculo-electrico</v>
      </c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</row>
    <row r="3813" ht="15.75" customHeight="1">
      <c r="A3813" s="5" t="s">
        <v>5134</v>
      </c>
      <c r="B3813" s="5">
        <v>43859.0</v>
      </c>
      <c r="C3813" s="6" t="s">
        <v>8</v>
      </c>
      <c r="D3813" s="11">
        <f t="shared" si="1"/>
        <v>67</v>
      </c>
      <c r="E3813" s="8" t="str">
        <f t="shared" si="2"/>
        <v>https://resources.simonelectric.com/simon-ebook-vehiculo-electrico</v>
      </c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</row>
    <row r="3814" ht="15.75" customHeight="1">
      <c r="A3814" s="5" t="s">
        <v>4125</v>
      </c>
      <c r="B3814" s="5">
        <v>43859.0</v>
      </c>
      <c r="C3814" s="6" t="s">
        <v>8</v>
      </c>
      <c r="D3814" s="11">
        <f t="shared" si="1"/>
        <v>67</v>
      </c>
      <c r="E3814" s="8" t="str">
        <f t="shared" si="2"/>
        <v>https://resources.simonelectric.com/simon-ebook-vehiculo-electrico</v>
      </c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</row>
    <row r="3815" ht="15.75" customHeight="1">
      <c r="A3815" s="5" t="s">
        <v>5135</v>
      </c>
      <c r="B3815" s="5">
        <v>43859.0</v>
      </c>
      <c r="C3815" s="6" t="s">
        <v>8</v>
      </c>
      <c r="D3815" s="11">
        <f t="shared" si="1"/>
        <v>67</v>
      </c>
      <c r="E3815" s="8" t="str">
        <f t="shared" si="2"/>
        <v>https://resources.simonelectric.com/simon-ebook-vehiculo-electrico</v>
      </c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</row>
    <row r="3816" ht="15.75" customHeight="1">
      <c r="A3816" s="5" t="s">
        <v>4125</v>
      </c>
      <c r="B3816" s="5">
        <v>43859.0</v>
      </c>
      <c r="C3816" s="6" t="s">
        <v>8</v>
      </c>
      <c r="D3816" s="11">
        <f t="shared" si="1"/>
        <v>67</v>
      </c>
      <c r="E3816" s="8" t="str">
        <f t="shared" si="2"/>
        <v>https://resources.simonelectric.com/simon-ebook-vehiculo-electrico</v>
      </c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</row>
    <row r="3817" ht="15.75" customHeight="1">
      <c r="A3817" s="5" t="s">
        <v>5136</v>
      </c>
      <c r="B3817" s="5">
        <v>43858.0</v>
      </c>
      <c r="C3817" s="6" t="s">
        <v>231</v>
      </c>
      <c r="D3817" s="11">
        <f t="shared" si="1"/>
        <v>67</v>
      </c>
      <c r="E3817" s="8" t="str">
        <f t="shared" si="2"/>
        <v>https://resources.simonelectric.com/simon-ebook-vehiculo-electrico</v>
      </c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</row>
    <row r="3818" ht="15.75" customHeight="1">
      <c r="A3818" s="5" t="s">
        <v>5137</v>
      </c>
      <c r="B3818" s="5">
        <v>43858.0</v>
      </c>
      <c r="C3818" s="6" t="s">
        <v>5138</v>
      </c>
      <c r="D3818" s="11">
        <f t="shared" si="1"/>
        <v>70</v>
      </c>
      <c r="E3818" s="8" t="str">
        <f t="shared" si="2"/>
        <v>https://resources.simonelectric.com/simon-catalogo-vehiculo-electrico</v>
      </c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</row>
    <row r="3819" ht="15.75" customHeight="1">
      <c r="A3819" s="5" t="s">
        <v>5137</v>
      </c>
      <c r="B3819" s="5">
        <v>43858.0</v>
      </c>
      <c r="C3819" s="6" t="s">
        <v>31</v>
      </c>
      <c r="D3819" s="10">
        <f t="shared" si="1"/>
        <v>67</v>
      </c>
      <c r="E3819" s="8" t="str">
        <f t="shared" si="2"/>
        <v>https://resources.simonelectric.com/simon-ebook-vehiculo-electrico</v>
      </c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</row>
    <row r="3820" ht="15.75" customHeight="1">
      <c r="A3820" s="5" t="s">
        <v>5139</v>
      </c>
      <c r="B3820" s="5">
        <v>43858.0</v>
      </c>
      <c r="C3820" s="6" t="s">
        <v>28</v>
      </c>
      <c r="D3820" s="10" t="str">
        <f t="shared" si="1"/>
        <v>https://resources.simonelectric.com/simon-ebook-vehiculo-electrico</v>
      </c>
      <c r="E3820" s="8" t="str">
        <f t="shared" si="2"/>
        <v>https://resources.simonelectric.com/simon-ebook-vehiculo-electrico</v>
      </c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</row>
    <row r="3821" ht="15.75" customHeight="1">
      <c r="A3821" s="5" t="s">
        <v>5139</v>
      </c>
      <c r="B3821" s="5">
        <v>43858.0</v>
      </c>
      <c r="C3821" s="6" t="s">
        <v>5140</v>
      </c>
      <c r="D3821" s="11">
        <f t="shared" si="1"/>
        <v>70</v>
      </c>
      <c r="E3821" s="8" t="str">
        <f t="shared" si="2"/>
        <v>https://resources.simonelectric.com/simon-catalogo-vehiculo-electrico</v>
      </c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</row>
    <row r="3822" ht="15.75" customHeight="1">
      <c r="A3822" s="5" t="s">
        <v>5141</v>
      </c>
      <c r="B3822" s="5">
        <v>43857.0</v>
      </c>
      <c r="C3822" s="6" t="s">
        <v>5142</v>
      </c>
      <c r="D3822" s="11">
        <f t="shared" si="1"/>
        <v>67</v>
      </c>
      <c r="E3822" s="8" t="str">
        <f t="shared" si="2"/>
        <v>https://resources.simonelectric.com/simon-ebook-vehiculo-electrico</v>
      </c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</row>
    <row r="3823" ht="15.75" customHeight="1">
      <c r="A3823" s="5" t="s">
        <v>5143</v>
      </c>
      <c r="B3823" s="5">
        <v>43857.0</v>
      </c>
      <c r="C3823" s="6" t="s">
        <v>5105</v>
      </c>
      <c r="D3823" s="11">
        <f t="shared" si="1"/>
        <v>67</v>
      </c>
      <c r="E3823" s="8" t="str">
        <f t="shared" si="2"/>
        <v>https://resources.simonelectric.com/simon-ebook-vehiculo-electrico</v>
      </c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</row>
    <row r="3824" ht="15.75" customHeight="1">
      <c r="A3824" s="5" t="s">
        <v>5144</v>
      </c>
      <c r="B3824" s="5">
        <v>43857.0</v>
      </c>
      <c r="C3824" s="6" t="s">
        <v>3681</v>
      </c>
      <c r="D3824" s="11">
        <f t="shared" si="1"/>
        <v>67</v>
      </c>
      <c r="E3824" s="8" t="str">
        <f t="shared" si="2"/>
        <v>https://resources.simonelectric.com/simon-ebook-vehiculo-electrico</v>
      </c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</row>
    <row r="3825" ht="15.75" customHeight="1">
      <c r="A3825" s="5" t="s">
        <v>5145</v>
      </c>
      <c r="B3825" s="5">
        <v>43857.0</v>
      </c>
      <c r="C3825" s="6" t="s">
        <v>5146</v>
      </c>
      <c r="D3825" s="11">
        <f t="shared" si="1"/>
        <v>70</v>
      </c>
      <c r="E3825" s="8" t="str">
        <f t="shared" si="2"/>
        <v>https://resources.simonelectric.com/simon-catalogo-vehiculo-electrico</v>
      </c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</row>
    <row r="3826" ht="15.75" customHeight="1">
      <c r="A3826" s="5" t="s">
        <v>5147</v>
      </c>
      <c r="B3826" s="5">
        <v>43857.0</v>
      </c>
      <c r="C3826" s="6" t="s">
        <v>8</v>
      </c>
      <c r="D3826" s="11">
        <f t="shared" si="1"/>
        <v>67</v>
      </c>
      <c r="E3826" s="8" t="str">
        <f t="shared" si="2"/>
        <v>https://resources.simonelectric.com/simon-ebook-vehiculo-electrico</v>
      </c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</row>
    <row r="3827" ht="15.75" customHeight="1">
      <c r="A3827" s="5" t="s">
        <v>17</v>
      </c>
      <c r="B3827" s="5">
        <v>43857.0</v>
      </c>
      <c r="C3827" s="6" t="s">
        <v>5148</v>
      </c>
      <c r="D3827" s="11">
        <f t="shared" si="1"/>
        <v>70</v>
      </c>
      <c r="E3827" s="8" t="str">
        <f t="shared" si="2"/>
        <v>https://resources.simonelectric.com/simon-catalogo-vehiculo-electrico</v>
      </c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</row>
    <row r="3828" ht="15.75" customHeight="1">
      <c r="A3828" s="5" t="s">
        <v>17</v>
      </c>
      <c r="B3828" s="5">
        <v>43857.0</v>
      </c>
      <c r="C3828" s="6" t="s">
        <v>8</v>
      </c>
      <c r="D3828" s="11">
        <f t="shared" si="1"/>
        <v>67</v>
      </c>
      <c r="E3828" s="8" t="str">
        <f t="shared" si="2"/>
        <v>https://resources.simonelectric.com/simon-ebook-vehiculo-electrico</v>
      </c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</row>
    <row r="3829" ht="15.75" customHeight="1">
      <c r="A3829" s="5" t="s">
        <v>5149</v>
      </c>
      <c r="B3829" s="5">
        <v>43857.0</v>
      </c>
      <c r="C3829" s="6" t="s">
        <v>5150</v>
      </c>
      <c r="D3829" s="11">
        <f t="shared" si="1"/>
        <v>70</v>
      </c>
      <c r="E3829" s="8" t="str">
        <f t="shared" si="2"/>
        <v>https://resources.simonelectric.com/simon-catalogo-vehiculo-electrico</v>
      </c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</row>
    <row r="3830" ht="15.75" customHeight="1">
      <c r="A3830" s="5" t="s">
        <v>5151</v>
      </c>
      <c r="B3830" s="5">
        <v>43857.0</v>
      </c>
      <c r="C3830" s="6" t="s">
        <v>75</v>
      </c>
      <c r="D3830" s="11">
        <f t="shared" si="1"/>
        <v>67</v>
      </c>
      <c r="E3830" s="8" t="str">
        <f t="shared" si="2"/>
        <v>https://resources.simonelectric.com/simon-ebook-vehiculo-electrico</v>
      </c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</row>
    <row r="3831" ht="15.75" customHeight="1">
      <c r="A3831" s="5" t="s">
        <v>5152</v>
      </c>
      <c r="B3831" s="5">
        <v>43857.0</v>
      </c>
      <c r="C3831" s="6" t="s">
        <v>5153</v>
      </c>
      <c r="D3831" s="11">
        <f t="shared" si="1"/>
        <v>70</v>
      </c>
      <c r="E3831" s="8" t="str">
        <f t="shared" si="2"/>
        <v>https://resources.simonelectric.com/simon-catalogo-vehiculo-electrico</v>
      </c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</row>
    <row r="3832" ht="15.75" customHeight="1">
      <c r="A3832" s="5" t="s">
        <v>5154</v>
      </c>
      <c r="B3832" s="5">
        <v>43857.0</v>
      </c>
      <c r="C3832" s="6" t="s">
        <v>5155</v>
      </c>
      <c r="D3832" s="11">
        <f t="shared" si="1"/>
        <v>67</v>
      </c>
      <c r="E3832" s="8" t="str">
        <f t="shared" si="2"/>
        <v>https://resources.simonelectric.com/simon-ebook-vehiculo-electrico</v>
      </c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</row>
    <row r="3833" ht="15.75" customHeight="1">
      <c r="A3833" s="5" t="s">
        <v>5156</v>
      </c>
      <c r="B3833" s="5">
        <v>43856.0</v>
      </c>
      <c r="C3833" s="6" t="s">
        <v>8</v>
      </c>
      <c r="D3833" s="11">
        <f t="shared" si="1"/>
        <v>67</v>
      </c>
      <c r="E3833" s="8" t="str">
        <f t="shared" si="2"/>
        <v>https://resources.simonelectric.com/simon-ebook-vehiculo-electrico</v>
      </c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</row>
    <row r="3834" ht="15.75" customHeight="1">
      <c r="A3834" s="5" t="s">
        <v>5157</v>
      </c>
      <c r="B3834" s="5">
        <v>43856.0</v>
      </c>
      <c r="C3834" s="6" t="s">
        <v>5158</v>
      </c>
      <c r="D3834" s="11">
        <f t="shared" si="1"/>
        <v>70</v>
      </c>
      <c r="E3834" s="8" t="str">
        <f t="shared" si="2"/>
        <v>https://resources.simonelectric.com/simon-catalogo-vehiculo-electrico</v>
      </c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</row>
    <row r="3835" ht="15.75" customHeight="1">
      <c r="A3835" s="5" t="s">
        <v>5157</v>
      </c>
      <c r="B3835" s="5">
        <v>43856.0</v>
      </c>
      <c r="C3835" s="6" t="s">
        <v>5159</v>
      </c>
      <c r="D3835" s="10">
        <f t="shared" si="1"/>
        <v>67</v>
      </c>
      <c r="E3835" s="8" t="str">
        <f t="shared" si="2"/>
        <v>https://resources.simonelectric.com/simon-ebook-vehiculo-electrico</v>
      </c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</row>
    <row r="3836" ht="15.75" customHeight="1">
      <c r="A3836" s="5" t="s">
        <v>2358</v>
      </c>
      <c r="B3836" s="5">
        <v>43856.0</v>
      </c>
      <c r="C3836" s="6" t="s">
        <v>5160</v>
      </c>
      <c r="D3836" s="11">
        <f t="shared" si="1"/>
        <v>70</v>
      </c>
      <c r="E3836" s="8" t="str">
        <f t="shared" si="2"/>
        <v>https://resources.simonelectric.com/simon-catalogo-vehiculo-electrico</v>
      </c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</row>
    <row r="3837" ht="15.75" customHeight="1">
      <c r="A3837" s="5" t="s">
        <v>5161</v>
      </c>
      <c r="B3837" s="5">
        <v>43854.0</v>
      </c>
      <c r="C3837" s="6" t="s">
        <v>8</v>
      </c>
      <c r="D3837" s="11">
        <f t="shared" si="1"/>
        <v>67</v>
      </c>
      <c r="E3837" s="8" t="str">
        <f t="shared" si="2"/>
        <v>https://resources.simonelectric.com/simon-ebook-vehiculo-electrico</v>
      </c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</row>
    <row r="3838" ht="15.75" customHeight="1">
      <c r="A3838" s="5" t="s">
        <v>5162</v>
      </c>
      <c r="B3838" s="5">
        <v>43854.0</v>
      </c>
      <c r="C3838" s="6" t="s">
        <v>8</v>
      </c>
      <c r="D3838" s="11">
        <f t="shared" si="1"/>
        <v>67</v>
      </c>
      <c r="E3838" s="8" t="str">
        <f t="shared" si="2"/>
        <v>https://resources.simonelectric.com/simon-ebook-vehiculo-electrico</v>
      </c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</row>
    <row r="3839" ht="15.75" customHeight="1">
      <c r="A3839" s="5" t="s">
        <v>5163</v>
      </c>
      <c r="B3839" s="5">
        <v>43854.0</v>
      </c>
      <c r="C3839" s="6" t="s">
        <v>8</v>
      </c>
      <c r="D3839" s="11">
        <f t="shared" si="1"/>
        <v>67</v>
      </c>
      <c r="E3839" s="8" t="str">
        <f t="shared" si="2"/>
        <v>https://resources.simonelectric.com/simon-ebook-vehiculo-electrico</v>
      </c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</row>
    <row r="3840" ht="15.75" customHeight="1">
      <c r="A3840" s="5" t="s">
        <v>5164</v>
      </c>
      <c r="B3840" s="5">
        <v>43854.0</v>
      </c>
      <c r="C3840" s="6" t="s">
        <v>8</v>
      </c>
      <c r="D3840" s="11">
        <f t="shared" si="1"/>
        <v>67</v>
      </c>
      <c r="E3840" s="8" t="str">
        <f t="shared" si="2"/>
        <v>https://resources.simonelectric.com/simon-ebook-vehiculo-electrico</v>
      </c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</row>
    <row r="3841" ht="15.75" customHeight="1">
      <c r="A3841" s="5" t="s">
        <v>3042</v>
      </c>
      <c r="B3841" s="5">
        <v>43854.0</v>
      </c>
      <c r="C3841" s="6" t="s">
        <v>5165</v>
      </c>
      <c r="D3841" s="11">
        <f t="shared" si="1"/>
        <v>70</v>
      </c>
      <c r="E3841" s="8" t="str">
        <f t="shared" si="2"/>
        <v>https://resources.simonelectric.com/simon-catalogo-vehiculo-electrico</v>
      </c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</row>
    <row r="3842" ht="15.75" customHeight="1">
      <c r="A3842" s="5" t="s">
        <v>5166</v>
      </c>
      <c r="B3842" s="5">
        <v>43853.0</v>
      </c>
      <c r="C3842" s="6" t="s">
        <v>8</v>
      </c>
      <c r="D3842" s="11">
        <f t="shared" si="1"/>
        <v>67</v>
      </c>
      <c r="E3842" s="8" t="str">
        <f t="shared" si="2"/>
        <v>https://resources.simonelectric.com/simon-ebook-vehiculo-electrico</v>
      </c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</row>
    <row r="3843" ht="15.75" customHeight="1">
      <c r="A3843" s="5" t="s">
        <v>5167</v>
      </c>
      <c r="B3843" s="5">
        <v>43853.0</v>
      </c>
      <c r="C3843" s="6" t="s">
        <v>5168</v>
      </c>
      <c r="D3843" s="11">
        <f t="shared" si="1"/>
        <v>67</v>
      </c>
      <c r="E3843" s="8" t="str">
        <f t="shared" si="2"/>
        <v>https://resources.simonelectric.com/simon-ebook-vehiculo-electrico</v>
      </c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</row>
    <row r="3844" ht="15.75" customHeight="1">
      <c r="A3844" s="5" t="s">
        <v>3406</v>
      </c>
      <c r="B3844" s="5">
        <v>43853.0</v>
      </c>
      <c r="C3844" s="6" t="s">
        <v>5169</v>
      </c>
      <c r="D3844" s="11">
        <f t="shared" si="1"/>
        <v>70</v>
      </c>
      <c r="E3844" s="8" t="str">
        <f t="shared" si="2"/>
        <v>https://resources.simonelectric.com/simon-catalogo-vehiculo-electrico</v>
      </c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</row>
    <row r="3845" ht="15.75" customHeight="1">
      <c r="A3845" s="5" t="s">
        <v>5170</v>
      </c>
      <c r="B3845" s="5">
        <v>43853.0</v>
      </c>
      <c r="C3845" s="6" t="s">
        <v>5171</v>
      </c>
      <c r="D3845" s="11">
        <f t="shared" si="1"/>
        <v>70</v>
      </c>
      <c r="E3845" s="8" t="str">
        <f t="shared" si="2"/>
        <v>https://resources.simonelectric.com/simon-catalogo-vehiculo-electrico</v>
      </c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</row>
    <row r="3846" ht="15.75" customHeight="1">
      <c r="A3846" s="5" t="s">
        <v>5170</v>
      </c>
      <c r="B3846" s="5">
        <v>43853.0</v>
      </c>
      <c r="C3846" s="6" t="s">
        <v>28</v>
      </c>
      <c r="D3846" s="10" t="str">
        <f t="shared" si="1"/>
        <v>https://resources.simonelectric.com/simon-ebook-vehiculo-electrico</v>
      </c>
      <c r="E3846" s="8" t="str">
        <f t="shared" si="2"/>
        <v>https://resources.simonelectric.com/simon-ebook-vehiculo-electrico</v>
      </c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</row>
    <row r="3847" ht="15.75" customHeight="1">
      <c r="A3847" s="5" t="s">
        <v>5172</v>
      </c>
      <c r="B3847" s="5">
        <v>43852.0</v>
      </c>
      <c r="C3847" s="6" t="s">
        <v>28</v>
      </c>
      <c r="D3847" s="10" t="str">
        <f t="shared" si="1"/>
        <v>https://resources.simonelectric.com/simon-ebook-vehiculo-electrico</v>
      </c>
      <c r="E3847" s="8" t="str">
        <f t="shared" si="2"/>
        <v>https://resources.simonelectric.com/simon-ebook-vehiculo-electrico</v>
      </c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</row>
    <row r="3848" ht="15.75" customHeight="1">
      <c r="A3848" s="5" t="s">
        <v>5173</v>
      </c>
      <c r="B3848" s="5">
        <v>43852.0</v>
      </c>
      <c r="C3848" s="6" t="s">
        <v>8</v>
      </c>
      <c r="D3848" s="11">
        <f t="shared" si="1"/>
        <v>67</v>
      </c>
      <c r="E3848" s="8" t="str">
        <f t="shared" si="2"/>
        <v>https://resources.simonelectric.com/simon-ebook-vehiculo-electrico</v>
      </c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</row>
    <row r="3849" ht="15.75" customHeight="1">
      <c r="A3849" s="5" t="s">
        <v>5174</v>
      </c>
      <c r="B3849" s="5">
        <v>43852.0</v>
      </c>
      <c r="C3849" s="6" t="s">
        <v>5175</v>
      </c>
      <c r="D3849" s="11">
        <f t="shared" si="1"/>
        <v>67</v>
      </c>
      <c r="E3849" s="8" t="str">
        <f t="shared" si="2"/>
        <v>https://resources.simonelectric.com/simon-ebook-vehiculo-electrico</v>
      </c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</row>
    <row r="3850" ht="15.75" customHeight="1">
      <c r="A3850" s="5" t="s">
        <v>5176</v>
      </c>
      <c r="B3850" s="5">
        <v>43852.0</v>
      </c>
      <c r="C3850" s="6" t="s">
        <v>5177</v>
      </c>
      <c r="D3850" s="11">
        <f t="shared" si="1"/>
        <v>70</v>
      </c>
      <c r="E3850" s="8" t="str">
        <f t="shared" si="2"/>
        <v>https://resources.simonelectric.com/simon-catalogo-vehiculo-electrico</v>
      </c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</row>
    <row r="3851" ht="15.75" customHeight="1">
      <c r="A3851" s="5" t="s">
        <v>5176</v>
      </c>
      <c r="B3851" s="5">
        <v>43852.0</v>
      </c>
      <c r="C3851" s="6" t="s">
        <v>28</v>
      </c>
      <c r="D3851" s="10" t="str">
        <f t="shared" si="1"/>
        <v>https://resources.simonelectric.com/simon-ebook-vehiculo-electrico</v>
      </c>
      <c r="E3851" s="8" t="str">
        <f t="shared" si="2"/>
        <v>https://resources.simonelectric.com/simon-ebook-vehiculo-electrico</v>
      </c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</row>
    <row r="3852" ht="15.75" customHeight="1">
      <c r="A3852" s="5" t="s">
        <v>5178</v>
      </c>
      <c r="B3852" s="5">
        <v>43852.0</v>
      </c>
      <c r="C3852" s="6" t="s">
        <v>6</v>
      </c>
      <c r="D3852" s="11">
        <f t="shared" si="1"/>
        <v>67</v>
      </c>
      <c r="E3852" s="8" t="str">
        <f t="shared" si="2"/>
        <v>https://resources.simonelectric.com/simon-ebook-vehiculo-electrico</v>
      </c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</row>
    <row r="3853" ht="15.75" customHeight="1">
      <c r="A3853" s="5" t="s">
        <v>5179</v>
      </c>
      <c r="B3853" s="5">
        <v>43851.0</v>
      </c>
      <c r="C3853" s="6" t="s">
        <v>31</v>
      </c>
      <c r="D3853" s="11">
        <f t="shared" si="1"/>
        <v>67</v>
      </c>
      <c r="E3853" s="8" t="str">
        <f t="shared" si="2"/>
        <v>https://resources.simonelectric.com/simon-ebook-vehiculo-electrico</v>
      </c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</row>
    <row r="3854" ht="15.75" customHeight="1">
      <c r="A3854" s="5" t="s">
        <v>5180</v>
      </c>
      <c r="B3854" s="5">
        <v>43851.0</v>
      </c>
      <c r="C3854" s="6" t="s">
        <v>31</v>
      </c>
      <c r="D3854" s="11">
        <f t="shared" si="1"/>
        <v>67</v>
      </c>
      <c r="E3854" s="8" t="str">
        <f t="shared" si="2"/>
        <v>https://resources.simonelectric.com/simon-ebook-vehiculo-electrico</v>
      </c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</row>
    <row r="3855" ht="15.75" customHeight="1">
      <c r="A3855" s="5" t="s">
        <v>3089</v>
      </c>
      <c r="B3855" s="5">
        <v>43851.0</v>
      </c>
      <c r="C3855" s="6" t="s">
        <v>8</v>
      </c>
      <c r="D3855" s="11">
        <f t="shared" si="1"/>
        <v>67</v>
      </c>
      <c r="E3855" s="8" t="str">
        <f t="shared" si="2"/>
        <v>https://resources.simonelectric.com/simon-ebook-vehiculo-electrico</v>
      </c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</row>
    <row r="3856" ht="15.75" customHeight="1">
      <c r="A3856" s="5" t="s">
        <v>3089</v>
      </c>
      <c r="B3856" s="5">
        <v>43851.0</v>
      </c>
      <c r="C3856" s="6" t="s">
        <v>5181</v>
      </c>
      <c r="D3856" s="11">
        <f t="shared" si="1"/>
        <v>70</v>
      </c>
      <c r="E3856" s="8" t="str">
        <f t="shared" si="2"/>
        <v>https://resources.simonelectric.com/simon-catalogo-vehiculo-electrico</v>
      </c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</row>
    <row r="3857" ht="15.75" customHeight="1">
      <c r="A3857" s="5" t="s">
        <v>5182</v>
      </c>
      <c r="B3857" s="5">
        <v>43851.0</v>
      </c>
      <c r="C3857" s="6" t="s">
        <v>8</v>
      </c>
      <c r="D3857" s="11">
        <f t="shared" si="1"/>
        <v>67</v>
      </c>
      <c r="E3857" s="8" t="str">
        <f t="shared" si="2"/>
        <v>https://resources.simonelectric.com/simon-ebook-vehiculo-electrico</v>
      </c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</row>
    <row r="3858" ht="15.75" customHeight="1">
      <c r="A3858" s="5" t="s">
        <v>5183</v>
      </c>
      <c r="B3858" s="5">
        <v>43851.0</v>
      </c>
      <c r="C3858" s="6" t="s">
        <v>8</v>
      </c>
      <c r="D3858" s="11">
        <f t="shared" si="1"/>
        <v>67</v>
      </c>
      <c r="E3858" s="8" t="str">
        <f t="shared" si="2"/>
        <v>https://resources.simonelectric.com/simon-ebook-vehiculo-electrico</v>
      </c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</row>
    <row r="3859" ht="15.75" customHeight="1">
      <c r="A3859" s="5" t="s">
        <v>5184</v>
      </c>
      <c r="B3859" s="5">
        <v>43851.0</v>
      </c>
      <c r="C3859" s="6" t="s">
        <v>8</v>
      </c>
      <c r="D3859" s="11">
        <f t="shared" si="1"/>
        <v>67</v>
      </c>
      <c r="E3859" s="8" t="str">
        <f t="shared" si="2"/>
        <v>https://resources.simonelectric.com/simon-ebook-vehiculo-electrico</v>
      </c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</row>
    <row r="3860" ht="15.75" customHeight="1">
      <c r="A3860" s="5" t="s">
        <v>5185</v>
      </c>
      <c r="B3860" s="5">
        <v>43851.0</v>
      </c>
      <c r="C3860" s="6" t="s">
        <v>5186</v>
      </c>
      <c r="D3860" s="11">
        <f t="shared" si="1"/>
        <v>70</v>
      </c>
      <c r="E3860" s="8" t="str">
        <f t="shared" si="2"/>
        <v>https://resources.simonelectric.com/simon-catalogo-vehiculo-electrico</v>
      </c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</row>
    <row r="3861" ht="15.75" customHeight="1">
      <c r="A3861" s="5" t="s">
        <v>5185</v>
      </c>
      <c r="B3861" s="5">
        <v>43851.0</v>
      </c>
      <c r="C3861" s="6" t="s">
        <v>28</v>
      </c>
      <c r="D3861" s="10" t="str">
        <f t="shared" si="1"/>
        <v>https://resources.simonelectric.com/simon-ebook-vehiculo-electrico</v>
      </c>
      <c r="E3861" s="8" t="str">
        <f t="shared" si="2"/>
        <v>https://resources.simonelectric.com/simon-ebook-vehiculo-electrico</v>
      </c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</row>
    <row r="3862" ht="15.75" customHeight="1">
      <c r="A3862" s="5" t="s">
        <v>5187</v>
      </c>
      <c r="B3862" s="5">
        <v>43850.0</v>
      </c>
      <c r="C3862" s="6" t="s">
        <v>48</v>
      </c>
      <c r="D3862" s="11">
        <f t="shared" si="1"/>
        <v>67</v>
      </c>
      <c r="E3862" s="8" t="str">
        <f t="shared" si="2"/>
        <v>https://resources.simonelectric.com/simon-ebook-vehiculo-electrico</v>
      </c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</row>
    <row r="3863" ht="15.75" customHeight="1">
      <c r="A3863" s="5" t="s">
        <v>5188</v>
      </c>
      <c r="B3863" s="5">
        <v>43850.0</v>
      </c>
      <c r="C3863" s="6" t="s">
        <v>5105</v>
      </c>
      <c r="D3863" s="11">
        <f t="shared" si="1"/>
        <v>67</v>
      </c>
      <c r="E3863" s="8" t="str">
        <f t="shared" si="2"/>
        <v>https://resources.simonelectric.com/simon-ebook-vehiculo-electrico</v>
      </c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</row>
    <row r="3864" ht="15.75" customHeight="1">
      <c r="A3864" s="5" t="s">
        <v>5189</v>
      </c>
      <c r="B3864" s="5">
        <v>43850.0</v>
      </c>
      <c r="C3864" s="6" t="s">
        <v>596</v>
      </c>
      <c r="D3864" s="11">
        <f t="shared" si="1"/>
        <v>67</v>
      </c>
      <c r="E3864" s="8" t="str">
        <f t="shared" si="2"/>
        <v>https://resources.simonelectric.com/simon-ebook-vehiculo-electrico</v>
      </c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</row>
    <row r="3865" ht="15.75" customHeight="1">
      <c r="A3865" s="5" t="s">
        <v>2479</v>
      </c>
      <c r="B3865" s="5">
        <v>43850.0</v>
      </c>
      <c r="C3865" s="6" t="s">
        <v>5190</v>
      </c>
      <c r="D3865" s="11">
        <f t="shared" si="1"/>
        <v>67</v>
      </c>
      <c r="E3865" s="8" t="str">
        <f t="shared" si="2"/>
        <v>https://resources.simonelectric.com/simon-ebook-vehiculo-electrico</v>
      </c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</row>
    <row r="3866" ht="15.75" customHeight="1">
      <c r="A3866" s="5" t="s">
        <v>5191</v>
      </c>
      <c r="B3866" s="5">
        <v>43850.0</v>
      </c>
      <c r="C3866" s="6" t="s">
        <v>5192</v>
      </c>
      <c r="D3866" s="11">
        <f t="shared" si="1"/>
        <v>67</v>
      </c>
      <c r="E3866" s="8" t="str">
        <f t="shared" si="2"/>
        <v>https://resources.simonelectric.com/simon-ebook-vehiculo-electrico</v>
      </c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</row>
    <row r="3867" ht="15.75" customHeight="1">
      <c r="A3867" s="5" t="s">
        <v>1107</v>
      </c>
      <c r="B3867" s="5">
        <v>43850.0</v>
      </c>
      <c r="C3867" s="6" t="s">
        <v>8</v>
      </c>
      <c r="D3867" s="11">
        <f t="shared" si="1"/>
        <v>67</v>
      </c>
      <c r="E3867" s="8" t="str">
        <f t="shared" si="2"/>
        <v>https://resources.simonelectric.com/simon-ebook-vehiculo-electrico</v>
      </c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</row>
    <row r="3868" ht="15.75" customHeight="1">
      <c r="A3868" s="5" t="s">
        <v>5167</v>
      </c>
      <c r="B3868" s="5">
        <v>43850.0</v>
      </c>
      <c r="C3868" s="6" t="s">
        <v>231</v>
      </c>
      <c r="D3868" s="11">
        <f t="shared" si="1"/>
        <v>67</v>
      </c>
      <c r="E3868" s="8" t="str">
        <f t="shared" si="2"/>
        <v>https://resources.simonelectric.com/simon-ebook-vehiculo-electrico</v>
      </c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</row>
    <row r="3869" ht="15.75" customHeight="1">
      <c r="A3869" s="5" t="s">
        <v>5191</v>
      </c>
      <c r="B3869" s="5">
        <v>43850.0</v>
      </c>
      <c r="C3869" s="6" t="s">
        <v>5193</v>
      </c>
      <c r="D3869" s="11">
        <f t="shared" si="1"/>
        <v>70</v>
      </c>
      <c r="E3869" s="8" t="str">
        <f t="shared" si="2"/>
        <v>https://resources.simonelectric.com/simon-catalogo-vehiculo-electrico</v>
      </c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</row>
    <row r="3870" ht="15.75" customHeight="1">
      <c r="A3870" s="5" t="s">
        <v>1908</v>
      </c>
      <c r="B3870" s="5">
        <v>43850.0</v>
      </c>
      <c r="C3870" s="6" t="s">
        <v>5194</v>
      </c>
      <c r="D3870" s="11">
        <f t="shared" si="1"/>
        <v>67</v>
      </c>
      <c r="E3870" s="8" t="str">
        <f t="shared" si="2"/>
        <v>https://resources.simonelectric.com/simon-ebook-vehiculo-electrico</v>
      </c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</row>
    <row r="3871" ht="15.75" customHeight="1">
      <c r="A3871" s="5" t="s">
        <v>5195</v>
      </c>
      <c r="B3871" s="5">
        <v>43849.0</v>
      </c>
      <c r="C3871" s="6" t="s">
        <v>1439</v>
      </c>
      <c r="D3871" s="11">
        <f t="shared" si="1"/>
        <v>67</v>
      </c>
      <c r="E3871" s="8" t="str">
        <f t="shared" si="2"/>
        <v>https://resources.simonelectric.com/simon-ebook-vehiculo-electrico</v>
      </c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</row>
    <row r="3872" ht="15.75" customHeight="1">
      <c r="A3872" s="5" t="s">
        <v>4661</v>
      </c>
      <c r="B3872" s="5">
        <v>43849.0</v>
      </c>
      <c r="C3872" s="6" t="s">
        <v>5196</v>
      </c>
      <c r="D3872" s="11">
        <f t="shared" si="1"/>
        <v>67</v>
      </c>
      <c r="E3872" s="8" t="str">
        <f t="shared" si="2"/>
        <v>https://resources.simonelectric.com/simon-ebook-vehiculo-electrico</v>
      </c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</row>
    <row r="3873" ht="15.75" customHeight="1">
      <c r="A3873" s="5" t="s">
        <v>4661</v>
      </c>
      <c r="B3873" s="5">
        <v>43849.0</v>
      </c>
      <c r="C3873" s="6" t="s">
        <v>75</v>
      </c>
      <c r="D3873" s="11">
        <f t="shared" si="1"/>
        <v>67</v>
      </c>
      <c r="E3873" s="8" t="str">
        <f t="shared" si="2"/>
        <v>https://resources.simonelectric.com/simon-ebook-vehiculo-electrico</v>
      </c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</row>
    <row r="3874" ht="15.75" customHeight="1">
      <c r="A3874" s="5" t="s">
        <v>5197</v>
      </c>
      <c r="B3874" s="5">
        <v>43849.0</v>
      </c>
      <c r="C3874" s="6" t="s">
        <v>5056</v>
      </c>
      <c r="D3874" s="11">
        <f t="shared" si="1"/>
        <v>67</v>
      </c>
      <c r="E3874" s="8" t="str">
        <f t="shared" si="2"/>
        <v>https://resources.simonelectric.com/simon-ebook-vehiculo-electrico</v>
      </c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</row>
    <row r="3875" ht="15.75" customHeight="1">
      <c r="A3875" s="5" t="s">
        <v>5198</v>
      </c>
      <c r="B3875" s="5">
        <v>43849.0</v>
      </c>
      <c r="C3875" s="6" t="s">
        <v>8</v>
      </c>
      <c r="D3875" s="11">
        <f t="shared" si="1"/>
        <v>67</v>
      </c>
      <c r="E3875" s="8" t="str">
        <f t="shared" si="2"/>
        <v>https://resources.simonelectric.com/simon-ebook-vehiculo-electrico</v>
      </c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</row>
    <row r="3876" ht="15.75" customHeight="1">
      <c r="A3876" s="5" t="s">
        <v>5197</v>
      </c>
      <c r="B3876" s="5">
        <v>43849.0</v>
      </c>
      <c r="C3876" s="6" t="s">
        <v>31</v>
      </c>
      <c r="D3876" s="11">
        <f t="shared" si="1"/>
        <v>67</v>
      </c>
      <c r="E3876" s="8" t="str">
        <f t="shared" si="2"/>
        <v>https://resources.simonelectric.com/simon-ebook-vehiculo-electrico</v>
      </c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</row>
    <row r="3877" ht="15.75" customHeight="1">
      <c r="A3877" s="5" t="s">
        <v>5137</v>
      </c>
      <c r="B3877" s="5">
        <v>43848.0</v>
      </c>
      <c r="C3877" s="6" t="s">
        <v>5105</v>
      </c>
      <c r="D3877" s="11">
        <f t="shared" si="1"/>
        <v>67</v>
      </c>
      <c r="E3877" s="8" t="str">
        <f t="shared" si="2"/>
        <v>https://resources.simonelectric.com/simon-ebook-vehiculo-electrico</v>
      </c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</row>
    <row r="3878" ht="15.75" customHeight="1">
      <c r="A3878" s="5" t="s">
        <v>5199</v>
      </c>
      <c r="B3878" s="5">
        <v>43847.0</v>
      </c>
      <c r="C3878" s="6" t="s">
        <v>8</v>
      </c>
      <c r="D3878" s="11">
        <f t="shared" si="1"/>
        <v>67</v>
      </c>
      <c r="E3878" s="8" t="str">
        <f t="shared" si="2"/>
        <v>https://resources.simonelectric.com/simon-ebook-vehiculo-electrico</v>
      </c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</row>
    <row r="3879" ht="15.75" customHeight="1">
      <c r="A3879" s="5" t="s">
        <v>4089</v>
      </c>
      <c r="B3879" s="5">
        <v>43847.0</v>
      </c>
      <c r="C3879" s="6" t="s">
        <v>5200</v>
      </c>
      <c r="D3879" s="11">
        <f t="shared" si="1"/>
        <v>67</v>
      </c>
      <c r="E3879" s="8" t="str">
        <f t="shared" si="2"/>
        <v>https://resources.simonelectric.com/simon-ebook-vehiculo-electrico</v>
      </c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</row>
    <row r="3880" ht="15.75" customHeight="1">
      <c r="A3880" s="5" t="s">
        <v>2623</v>
      </c>
      <c r="B3880" s="5">
        <v>43847.0</v>
      </c>
      <c r="C3880" s="6" t="s">
        <v>5201</v>
      </c>
      <c r="D3880" s="11">
        <f t="shared" si="1"/>
        <v>67</v>
      </c>
      <c r="E3880" s="8" t="str">
        <f t="shared" si="2"/>
        <v>https://resources.simonelectric.com/simon-ebook-vehiculo-electrico</v>
      </c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</row>
    <row r="3881" ht="15.75" customHeight="1">
      <c r="A3881" s="5" t="s">
        <v>5202</v>
      </c>
      <c r="B3881" s="5">
        <v>43847.0</v>
      </c>
      <c r="C3881" s="6" t="s">
        <v>5203</v>
      </c>
      <c r="D3881" s="11">
        <f t="shared" si="1"/>
        <v>70</v>
      </c>
      <c r="E3881" s="8" t="str">
        <f t="shared" si="2"/>
        <v>https://resources.simonelectric.com/simon-catalogo-vehiculo-electrico</v>
      </c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</row>
    <row r="3882" ht="15.75" customHeight="1">
      <c r="A3882" s="5" t="s">
        <v>5204</v>
      </c>
      <c r="B3882" s="5">
        <v>43847.0</v>
      </c>
      <c r="C3882" s="6" t="s">
        <v>5205</v>
      </c>
      <c r="D3882" s="11">
        <f t="shared" si="1"/>
        <v>70</v>
      </c>
      <c r="E3882" s="8" t="str">
        <f t="shared" si="2"/>
        <v>https://resources.simonelectric.com/simon-catalogo-vehiculo-electrico</v>
      </c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</row>
    <row r="3883" ht="15.75" customHeight="1">
      <c r="A3883" s="5" t="s">
        <v>5206</v>
      </c>
      <c r="B3883" s="5">
        <v>43846.0</v>
      </c>
      <c r="C3883" s="6" t="s">
        <v>8</v>
      </c>
      <c r="D3883" s="11">
        <f t="shared" si="1"/>
        <v>67</v>
      </c>
      <c r="E3883" s="8" t="str">
        <f t="shared" si="2"/>
        <v>https://resources.simonelectric.com/simon-ebook-vehiculo-electrico</v>
      </c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</row>
    <row r="3884" ht="15.75" customHeight="1">
      <c r="A3884" s="5" t="s">
        <v>5207</v>
      </c>
      <c r="B3884" s="5">
        <v>43846.0</v>
      </c>
      <c r="C3884" s="6" t="s">
        <v>10</v>
      </c>
      <c r="D3884" s="10" t="str">
        <f t="shared" si="1"/>
        <v>https://resources.simonelectric.com/simon-catalogo-vehiculo-electrico</v>
      </c>
      <c r="E3884" s="8" t="str">
        <f t="shared" si="2"/>
        <v>https://resources.simonelectric.com/simon-catalogo-vehiculo-electrico</v>
      </c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</row>
    <row r="3885" ht="15.75" customHeight="1">
      <c r="A3885" s="5" t="s">
        <v>2479</v>
      </c>
      <c r="B3885" s="5">
        <v>43846.0</v>
      </c>
      <c r="C3885" s="6" t="s">
        <v>5056</v>
      </c>
      <c r="D3885" s="11">
        <f t="shared" si="1"/>
        <v>67</v>
      </c>
      <c r="E3885" s="8" t="str">
        <f t="shared" si="2"/>
        <v>https://resources.simonelectric.com/simon-ebook-vehiculo-electrico</v>
      </c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</row>
    <row r="3886" ht="15.75" customHeight="1">
      <c r="A3886" s="5" t="s">
        <v>5208</v>
      </c>
      <c r="B3886" s="5">
        <v>43846.0</v>
      </c>
      <c r="C3886" s="6" t="s">
        <v>5209</v>
      </c>
      <c r="D3886" s="11">
        <f t="shared" si="1"/>
        <v>70</v>
      </c>
      <c r="E3886" s="8" t="str">
        <f t="shared" si="2"/>
        <v>https://resources.simonelectric.com/simon-catalogo-vehiculo-electrico</v>
      </c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</row>
    <row r="3887" ht="15.75" customHeight="1">
      <c r="A3887" s="5" t="s">
        <v>5208</v>
      </c>
      <c r="B3887" s="5">
        <v>43846.0</v>
      </c>
      <c r="C3887" s="6" t="s">
        <v>8</v>
      </c>
      <c r="D3887" s="11">
        <f t="shared" si="1"/>
        <v>67</v>
      </c>
      <c r="E3887" s="8" t="str">
        <f t="shared" si="2"/>
        <v>https://resources.simonelectric.com/simon-ebook-vehiculo-electrico</v>
      </c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</row>
    <row r="3888" ht="15.75" customHeight="1">
      <c r="A3888" s="5" t="s">
        <v>4668</v>
      </c>
      <c r="B3888" s="5">
        <v>43846.0</v>
      </c>
      <c r="C3888" s="6" t="s">
        <v>8</v>
      </c>
      <c r="D3888" s="11">
        <f t="shared" si="1"/>
        <v>67</v>
      </c>
      <c r="E3888" s="8" t="str">
        <f t="shared" si="2"/>
        <v>https://resources.simonelectric.com/simon-ebook-vehiculo-electrico</v>
      </c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</row>
    <row r="3889" ht="15.75" customHeight="1">
      <c r="A3889" s="5" t="s">
        <v>5210</v>
      </c>
      <c r="B3889" s="5">
        <v>43846.0</v>
      </c>
      <c r="C3889" s="6" t="s">
        <v>8</v>
      </c>
      <c r="D3889" s="11">
        <f t="shared" si="1"/>
        <v>67</v>
      </c>
      <c r="E3889" s="8" t="str">
        <f t="shared" si="2"/>
        <v>https://resources.simonelectric.com/simon-ebook-vehiculo-electrico</v>
      </c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</row>
    <row r="3890" ht="15.75" customHeight="1">
      <c r="A3890" s="5" t="s">
        <v>5211</v>
      </c>
      <c r="B3890" s="5">
        <v>43846.0</v>
      </c>
      <c r="C3890" s="6" t="s">
        <v>5212</v>
      </c>
      <c r="D3890" s="11">
        <f t="shared" si="1"/>
        <v>70</v>
      </c>
      <c r="E3890" s="8" t="str">
        <f t="shared" si="2"/>
        <v>https://resources.simonelectric.com/simon-catalogo-vehiculo-electrico</v>
      </c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</row>
    <row r="3891" ht="15.75" customHeight="1">
      <c r="A3891" s="5" t="s">
        <v>5213</v>
      </c>
      <c r="B3891" s="5">
        <v>43846.0</v>
      </c>
      <c r="C3891" s="6" t="s">
        <v>5214</v>
      </c>
      <c r="D3891" s="11">
        <f t="shared" si="1"/>
        <v>67</v>
      </c>
      <c r="E3891" s="8" t="str">
        <f t="shared" si="2"/>
        <v>https://resources.simonelectric.com/simon-ebook-vehiculo-electrico</v>
      </c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</row>
    <row r="3892" ht="15.75" customHeight="1">
      <c r="A3892" s="5" t="s">
        <v>5215</v>
      </c>
      <c r="B3892" s="5">
        <v>43845.0</v>
      </c>
      <c r="C3892" s="6" t="s">
        <v>299</v>
      </c>
      <c r="D3892" s="10" t="str">
        <f t="shared" si="1"/>
        <v>https://resources.simonelectric.com/simon-material-formativo-vehiculo-electrico</v>
      </c>
      <c r="E3892" s="8" t="str">
        <f t="shared" si="2"/>
        <v>https://resources.simonelectric.com/simon-material-formativo-vehiculo-electrico</v>
      </c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</row>
    <row r="3893" ht="15.75" customHeight="1">
      <c r="A3893" s="5" t="s">
        <v>5216</v>
      </c>
      <c r="B3893" s="5">
        <v>43845.0</v>
      </c>
      <c r="C3893" s="6" t="s">
        <v>8</v>
      </c>
      <c r="D3893" s="11">
        <f t="shared" si="1"/>
        <v>67</v>
      </c>
      <c r="E3893" s="8" t="str">
        <f t="shared" si="2"/>
        <v>https://resources.simonelectric.com/simon-ebook-vehiculo-electrico</v>
      </c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</row>
    <row r="3894" ht="15.75" customHeight="1">
      <c r="A3894" s="5" t="s">
        <v>5152</v>
      </c>
      <c r="B3894" s="5">
        <v>43845.0</v>
      </c>
      <c r="C3894" s="6" t="s">
        <v>8</v>
      </c>
      <c r="D3894" s="11">
        <f t="shared" si="1"/>
        <v>67</v>
      </c>
      <c r="E3894" s="8" t="str">
        <f t="shared" si="2"/>
        <v>https://resources.simonelectric.com/simon-ebook-vehiculo-electrico</v>
      </c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</row>
    <row r="3895" ht="15.75" customHeight="1">
      <c r="A3895" s="5" t="s">
        <v>5086</v>
      </c>
      <c r="B3895" s="5">
        <v>43845.0</v>
      </c>
      <c r="C3895" s="6" t="s">
        <v>8</v>
      </c>
      <c r="D3895" s="11">
        <f t="shared" si="1"/>
        <v>67</v>
      </c>
      <c r="E3895" s="8" t="str">
        <f t="shared" si="2"/>
        <v>https://resources.simonelectric.com/simon-ebook-vehiculo-electrico</v>
      </c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</row>
    <row r="3896" ht="15.75" customHeight="1">
      <c r="A3896" s="5" t="s">
        <v>5217</v>
      </c>
      <c r="B3896" s="5">
        <v>43845.0</v>
      </c>
      <c r="C3896" s="6" t="s">
        <v>5218</v>
      </c>
      <c r="D3896" s="11">
        <f t="shared" si="1"/>
        <v>70</v>
      </c>
      <c r="E3896" s="8" t="str">
        <f t="shared" si="2"/>
        <v>https://resources.simonelectric.com/simon-catalogo-vehiculo-electrico</v>
      </c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</row>
    <row r="3897" ht="15.75" customHeight="1">
      <c r="A3897" s="5" t="s">
        <v>5217</v>
      </c>
      <c r="B3897" s="5">
        <v>43845.0</v>
      </c>
      <c r="C3897" s="6" t="s">
        <v>231</v>
      </c>
      <c r="D3897" s="11">
        <f t="shared" si="1"/>
        <v>67</v>
      </c>
      <c r="E3897" s="8" t="str">
        <f t="shared" si="2"/>
        <v>https://resources.simonelectric.com/simon-ebook-vehiculo-electrico</v>
      </c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</row>
    <row r="3898" ht="15.75" customHeight="1">
      <c r="A3898" s="5" t="s">
        <v>5219</v>
      </c>
      <c r="B3898" s="5">
        <v>43845.0</v>
      </c>
      <c r="C3898" s="6" t="s">
        <v>5220</v>
      </c>
      <c r="D3898" s="11">
        <f t="shared" si="1"/>
        <v>70</v>
      </c>
      <c r="E3898" s="8" t="str">
        <f t="shared" si="2"/>
        <v>https://resources.simonelectric.com/simon-catalogo-vehiculo-electrico</v>
      </c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</row>
    <row r="3899" ht="15.75" customHeight="1">
      <c r="A3899" s="5" t="s">
        <v>5219</v>
      </c>
      <c r="B3899" s="5">
        <v>43845.0</v>
      </c>
      <c r="C3899" s="6" t="s">
        <v>5221</v>
      </c>
      <c r="D3899" s="11">
        <f t="shared" si="1"/>
        <v>67</v>
      </c>
      <c r="E3899" s="8" t="str">
        <f t="shared" si="2"/>
        <v>https://resources.simonelectric.com/simon-ebook-vehiculo-electrico</v>
      </c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</row>
    <row r="3900" ht="15.75" customHeight="1">
      <c r="A3900" s="5" t="s">
        <v>5091</v>
      </c>
      <c r="B3900" s="5">
        <v>43844.0</v>
      </c>
      <c r="C3900" s="6" t="s">
        <v>8</v>
      </c>
      <c r="D3900" s="11">
        <f t="shared" si="1"/>
        <v>67</v>
      </c>
      <c r="E3900" s="8" t="str">
        <f t="shared" si="2"/>
        <v>https://resources.simonelectric.com/simon-ebook-vehiculo-electrico</v>
      </c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</row>
    <row r="3901" ht="15.75" customHeight="1">
      <c r="A3901" s="5" t="s">
        <v>5149</v>
      </c>
      <c r="B3901" s="5">
        <v>43844.0</v>
      </c>
      <c r="C3901" s="6" t="s">
        <v>8</v>
      </c>
      <c r="D3901" s="11">
        <f t="shared" si="1"/>
        <v>67</v>
      </c>
      <c r="E3901" s="8" t="str">
        <f t="shared" si="2"/>
        <v>https://resources.simonelectric.com/simon-ebook-vehiculo-electrico</v>
      </c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</row>
    <row r="3902" ht="15.75" customHeight="1">
      <c r="A3902" s="5" t="s">
        <v>5222</v>
      </c>
      <c r="B3902" s="5">
        <v>43844.0</v>
      </c>
      <c r="C3902" s="6" t="s">
        <v>8</v>
      </c>
      <c r="D3902" s="11">
        <f t="shared" si="1"/>
        <v>67</v>
      </c>
      <c r="E3902" s="8" t="str">
        <f t="shared" si="2"/>
        <v>https://resources.simonelectric.com/simon-ebook-vehiculo-electrico</v>
      </c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</row>
    <row r="3903" ht="15.75" customHeight="1">
      <c r="A3903" s="5" t="s">
        <v>5223</v>
      </c>
      <c r="B3903" s="5">
        <v>43844.0</v>
      </c>
      <c r="C3903" s="6" t="s">
        <v>8</v>
      </c>
      <c r="D3903" s="11">
        <f t="shared" si="1"/>
        <v>67</v>
      </c>
      <c r="E3903" s="8" t="str">
        <f t="shared" si="2"/>
        <v>https://resources.simonelectric.com/simon-ebook-vehiculo-electrico</v>
      </c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</row>
    <row r="3904" ht="15.75" customHeight="1">
      <c r="A3904" s="5" t="s">
        <v>5224</v>
      </c>
      <c r="B3904" s="5">
        <v>43844.0</v>
      </c>
      <c r="C3904" s="6" t="s">
        <v>5225</v>
      </c>
      <c r="D3904" s="11">
        <f t="shared" si="1"/>
        <v>70</v>
      </c>
      <c r="E3904" s="8" t="str">
        <f t="shared" si="2"/>
        <v>https://resources.simonelectric.com/simon-catalogo-vehiculo-electrico</v>
      </c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</row>
    <row r="3905" ht="15.75" customHeight="1">
      <c r="A3905" s="5" t="s">
        <v>5224</v>
      </c>
      <c r="B3905" s="5">
        <v>43844.0</v>
      </c>
      <c r="C3905" s="6" t="s">
        <v>8</v>
      </c>
      <c r="D3905" s="11">
        <f t="shared" si="1"/>
        <v>67</v>
      </c>
      <c r="E3905" s="8" t="str">
        <f t="shared" si="2"/>
        <v>https://resources.simonelectric.com/simon-ebook-vehiculo-electrico</v>
      </c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</row>
    <row r="3906" ht="15.75" customHeight="1">
      <c r="A3906" s="5" t="s">
        <v>1107</v>
      </c>
      <c r="B3906" s="5">
        <v>43844.0</v>
      </c>
      <c r="C3906" s="6" t="s">
        <v>8</v>
      </c>
      <c r="D3906" s="11">
        <f t="shared" si="1"/>
        <v>67</v>
      </c>
      <c r="E3906" s="8" t="str">
        <f t="shared" si="2"/>
        <v>https://resources.simonelectric.com/simon-ebook-vehiculo-electrico</v>
      </c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</row>
    <row r="3907" ht="15.75" customHeight="1">
      <c r="A3907" s="5" t="s">
        <v>2623</v>
      </c>
      <c r="B3907" s="5">
        <v>43844.0</v>
      </c>
      <c r="C3907" s="6" t="s">
        <v>28</v>
      </c>
      <c r="D3907" s="10" t="str">
        <f t="shared" si="1"/>
        <v>https://resources.simonelectric.com/simon-ebook-vehiculo-electrico</v>
      </c>
      <c r="E3907" s="8" t="str">
        <f t="shared" si="2"/>
        <v>https://resources.simonelectric.com/simon-ebook-vehiculo-electrico</v>
      </c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</row>
    <row r="3908" ht="15.75" customHeight="1">
      <c r="A3908" s="5" t="s">
        <v>2623</v>
      </c>
      <c r="B3908" s="5">
        <v>43844.0</v>
      </c>
      <c r="C3908" s="6" t="s">
        <v>5226</v>
      </c>
      <c r="D3908" s="11">
        <f t="shared" si="1"/>
        <v>70</v>
      </c>
      <c r="E3908" s="8" t="str">
        <f t="shared" si="2"/>
        <v>https://resources.simonelectric.com/simon-catalogo-vehiculo-electrico</v>
      </c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</row>
    <row r="3909" ht="15.75" customHeight="1">
      <c r="A3909" s="5" t="s">
        <v>5227</v>
      </c>
      <c r="B3909" s="5">
        <v>43844.0</v>
      </c>
      <c r="C3909" s="6" t="s">
        <v>31</v>
      </c>
      <c r="D3909" s="11">
        <f t="shared" si="1"/>
        <v>67</v>
      </c>
      <c r="E3909" s="8" t="str">
        <f t="shared" si="2"/>
        <v>https://resources.simonelectric.com/simon-ebook-vehiculo-electrico</v>
      </c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</row>
    <row r="3910" ht="15.75" customHeight="1">
      <c r="A3910" s="5" t="s">
        <v>5118</v>
      </c>
      <c r="B3910" s="5">
        <v>43844.0</v>
      </c>
      <c r="C3910" s="6" t="s">
        <v>5228</v>
      </c>
      <c r="D3910" s="11">
        <f t="shared" si="1"/>
        <v>70</v>
      </c>
      <c r="E3910" s="8" t="str">
        <f t="shared" si="2"/>
        <v>https://resources.simonelectric.com/simon-catalogo-vehiculo-electrico</v>
      </c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</row>
    <row r="3911" ht="15.75" customHeight="1">
      <c r="A3911" s="5" t="s">
        <v>5229</v>
      </c>
      <c r="B3911" s="5">
        <v>43843.0</v>
      </c>
      <c r="C3911" s="6" t="s">
        <v>5230</v>
      </c>
      <c r="D3911" s="11">
        <f t="shared" si="1"/>
        <v>67</v>
      </c>
      <c r="E3911" s="8" t="str">
        <f t="shared" si="2"/>
        <v>https://resources.simonelectric.com/simon-ebook-vehiculo-electrico</v>
      </c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</row>
    <row r="3912" ht="15.75" customHeight="1">
      <c r="A3912" s="5" t="s">
        <v>3494</v>
      </c>
      <c r="B3912" s="5">
        <v>43843.0</v>
      </c>
      <c r="C3912" s="6" t="s">
        <v>28</v>
      </c>
      <c r="D3912" s="10" t="str">
        <f t="shared" si="1"/>
        <v>https://resources.simonelectric.com/simon-ebook-vehiculo-electrico</v>
      </c>
      <c r="E3912" s="8" t="str">
        <f t="shared" si="2"/>
        <v>https://resources.simonelectric.com/simon-ebook-vehiculo-electrico</v>
      </c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</row>
    <row r="3913" ht="15.75" customHeight="1">
      <c r="A3913" s="5" t="s">
        <v>5231</v>
      </c>
      <c r="B3913" s="5">
        <v>43843.0</v>
      </c>
      <c r="C3913" s="6" t="s">
        <v>8</v>
      </c>
      <c r="D3913" s="11">
        <f t="shared" si="1"/>
        <v>67</v>
      </c>
      <c r="E3913" s="8" t="str">
        <f t="shared" si="2"/>
        <v>https://resources.simonelectric.com/simon-ebook-vehiculo-electrico</v>
      </c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</row>
    <row r="3914" ht="15.75" customHeight="1">
      <c r="A3914" s="5" t="s">
        <v>5232</v>
      </c>
      <c r="B3914" s="5">
        <v>43843.0</v>
      </c>
      <c r="C3914" s="6" t="s">
        <v>5233</v>
      </c>
      <c r="D3914" s="11">
        <f t="shared" si="1"/>
        <v>70</v>
      </c>
      <c r="E3914" s="8" t="str">
        <f t="shared" si="2"/>
        <v>https://resources.simonelectric.com/simon-catalogo-vehiculo-electrico</v>
      </c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</row>
    <row r="3915" ht="15.75" customHeight="1">
      <c r="A3915" s="5" t="s">
        <v>5234</v>
      </c>
      <c r="B3915" s="5">
        <v>43843.0</v>
      </c>
      <c r="C3915" s="6" t="s">
        <v>8</v>
      </c>
      <c r="D3915" s="11">
        <f t="shared" si="1"/>
        <v>67</v>
      </c>
      <c r="E3915" s="8" t="str">
        <f t="shared" si="2"/>
        <v>https://resources.simonelectric.com/simon-ebook-vehiculo-electrico</v>
      </c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</row>
    <row r="3916" ht="15.75" customHeight="1">
      <c r="A3916" s="5" t="s">
        <v>3042</v>
      </c>
      <c r="B3916" s="5">
        <v>43843.0</v>
      </c>
      <c r="C3916" s="6" t="s">
        <v>8</v>
      </c>
      <c r="D3916" s="11">
        <f t="shared" si="1"/>
        <v>67</v>
      </c>
      <c r="E3916" s="8" t="str">
        <f t="shared" si="2"/>
        <v>https://resources.simonelectric.com/simon-ebook-vehiculo-electrico</v>
      </c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</row>
    <row r="3917" ht="15.75" customHeight="1">
      <c r="A3917" s="5" t="s">
        <v>1561</v>
      </c>
      <c r="B3917" s="5">
        <v>43843.0</v>
      </c>
      <c r="C3917" s="6" t="s">
        <v>5235</v>
      </c>
      <c r="D3917" s="11">
        <f t="shared" si="1"/>
        <v>67</v>
      </c>
      <c r="E3917" s="8" t="str">
        <f t="shared" si="2"/>
        <v>https://resources.simonelectric.com/simon-ebook-vehiculo-electrico</v>
      </c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</row>
    <row r="3918" ht="15.75" customHeight="1">
      <c r="A3918" s="5" t="s">
        <v>1561</v>
      </c>
      <c r="B3918" s="5">
        <v>43843.0</v>
      </c>
      <c r="C3918" s="6" t="s">
        <v>5236</v>
      </c>
      <c r="D3918" s="11">
        <f t="shared" si="1"/>
        <v>70</v>
      </c>
      <c r="E3918" s="8" t="str">
        <f t="shared" si="2"/>
        <v>https://resources.simonelectric.com/simon-catalogo-vehiculo-electrico</v>
      </c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</row>
    <row r="3919" ht="15.75" customHeight="1">
      <c r="A3919" s="5" t="s">
        <v>5191</v>
      </c>
      <c r="B3919" s="5">
        <v>43843.0</v>
      </c>
      <c r="C3919" s="6" t="s">
        <v>5237</v>
      </c>
      <c r="D3919" s="11">
        <f t="shared" si="1"/>
        <v>67</v>
      </c>
      <c r="E3919" s="8" t="str">
        <f t="shared" si="2"/>
        <v>https://resources.simonelectric.com/simon-ebook-vehiculo-electrico</v>
      </c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</row>
    <row r="3920" ht="15.75" customHeight="1">
      <c r="A3920" s="5" t="s">
        <v>1109</v>
      </c>
      <c r="B3920" s="5">
        <v>43843.0</v>
      </c>
      <c r="C3920" s="6" t="s">
        <v>5238</v>
      </c>
      <c r="D3920" s="11">
        <f t="shared" si="1"/>
        <v>70</v>
      </c>
      <c r="E3920" s="8" t="str">
        <f t="shared" si="2"/>
        <v>https://resources.simonelectric.com/simon-catalogo-vehiculo-electrico</v>
      </c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</row>
    <row r="3921" ht="15.75" customHeight="1">
      <c r="A3921" s="5" t="s">
        <v>5239</v>
      </c>
      <c r="B3921" s="5">
        <v>43843.0</v>
      </c>
      <c r="C3921" s="6" t="s">
        <v>5105</v>
      </c>
      <c r="D3921" s="11">
        <f t="shared" si="1"/>
        <v>67</v>
      </c>
      <c r="E3921" s="8" t="str">
        <f t="shared" si="2"/>
        <v>https://resources.simonelectric.com/simon-ebook-vehiculo-electrico</v>
      </c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</row>
    <row r="3922" ht="15.75" customHeight="1">
      <c r="A3922" s="5" t="s">
        <v>5240</v>
      </c>
      <c r="B3922" s="5">
        <v>43843.0</v>
      </c>
      <c r="C3922" s="6" t="s">
        <v>8</v>
      </c>
      <c r="D3922" s="11">
        <f t="shared" si="1"/>
        <v>67</v>
      </c>
      <c r="E3922" s="8" t="str">
        <f t="shared" si="2"/>
        <v>https://resources.simonelectric.com/simon-ebook-vehiculo-electrico</v>
      </c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</row>
    <row r="3923" ht="15.75" customHeight="1">
      <c r="A3923" s="5" t="s">
        <v>1651</v>
      </c>
      <c r="B3923" s="5">
        <v>43843.0</v>
      </c>
      <c r="C3923" s="6" t="s">
        <v>5241</v>
      </c>
      <c r="D3923" s="11">
        <f t="shared" si="1"/>
        <v>67</v>
      </c>
      <c r="E3923" s="8" t="str">
        <f t="shared" si="2"/>
        <v>https://resources.simonelectric.com/simon-ebook-vehiculo-electrico</v>
      </c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</row>
    <row r="3924" ht="15.75" customHeight="1">
      <c r="A3924" s="5" t="s">
        <v>119</v>
      </c>
      <c r="B3924" s="5">
        <v>43843.0</v>
      </c>
      <c r="C3924" s="6" t="s">
        <v>31</v>
      </c>
      <c r="D3924" s="11">
        <f t="shared" si="1"/>
        <v>67</v>
      </c>
      <c r="E3924" s="8" t="str">
        <f t="shared" si="2"/>
        <v>https://resources.simonelectric.com/simon-ebook-vehiculo-electrico</v>
      </c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</row>
    <row r="3925" ht="15.75" customHeight="1">
      <c r="A3925" s="5" t="s">
        <v>4604</v>
      </c>
      <c r="B3925" s="5">
        <v>43843.0</v>
      </c>
      <c r="C3925" s="6" t="s">
        <v>31</v>
      </c>
      <c r="D3925" s="11">
        <f t="shared" si="1"/>
        <v>67</v>
      </c>
      <c r="E3925" s="8" t="str">
        <f t="shared" si="2"/>
        <v>https://resources.simonelectric.com/simon-ebook-vehiculo-electrico</v>
      </c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</row>
    <row r="3926" ht="15.75" customHeight="1">
      <c r="A3926" s="5" t="s">
        <v>5242</v>
      </c>
      <c r="B3926" s="5">
        <v>43843.0</v>
      </c>
      <c r="C3926" s="6" t="s">
        <v>5105</v>
      </c>
      <c r="D3926" s="11">
        <f t="shared" si="1"/>
        <v>67</v>
      </c>
      <c r="E3926" s="8" t="str">
        <f t="shared" si="2"/>
        <v>https://resources.simonelectric.com/simon-ebook-vehiculo-electrico</v>
      </c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</row>
    <row r="3927" ht="15.75" customHeight="1">
      <c r="A3927" s="5" t="s">
        <v>3018</v>
      </c>
      <c r="B3927" s="5">
        <v>43842.0</v>
      </c>
      <c r="C3927" s="6" t="s">
        <v>5243</v>
      </c>
      <c r="D3927" s="11">
        <f t="shared" si="1"/>
        <v>67</v>
      </c>
      <c r="E3927" s="8" t="str">
        <f t="shared" si="2"/>
        <v>https://resources.simonelectric.com/simon-ebook-vehiculo-electrico</v>
      </c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</row>
    <row r="3928" ht="15.75" customHeight="1">
      <c r="A3928" s="5" t="s">
        <v>1964</v>
      </c>
      <c r="B3928" s="5">
        <v>43842.0</v>
      </c>
      <c r="C3928" s="6" t="s">
        <v>31</v>
      </c>
      <c r="D3928" s="11">
        <f t="shared" si="1"/>
        <v>67</v>
      </c>
      <c r="E3928" s="8" t="str">
        <f t="shared" si="2"/>
        <v>https://resources.simonelectric.com/simon-ebook-vehiculo-electrico</v>
      </c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</row>
    <row r="3929" ht="15.75" customHeight="1">
      <c r="A3929" s="5" t="s">
        <v>5244</v>
      </c>
      <c r="B3929" s="5">
        <v>43841.0</v>
      </c>
      <c r="C3929" s="6" t="s">
        <v>28</v>
      </c>
      <c r="D3929" s="10" t="str">
        <f t="shared" si="1"/>
        <v>https://resources.simonelectric.com/simon-ebook-vehiculo-electrico</v>
      </c>
      <c r="E3929" s="8" t="str">
        <f t="shared" si="2"/>
        <v>https://resources.simonelectric.com/simon-ebook-vehiculo-electrico</v>
      </c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</row>
    <row r="3930" ht="15.75" customHeight="1">
      <c r="A3930" s="5" t="s">
        <v>5245</v>
      </c>
      <c r="B3930" s="5">
        <v>43840.0</v>
      </c>
      <c r="C3930" s="6" t="s">
        <v>31</v>
      </c>
      <c r="D3930" s="11">
        <f t="shared" si="1"/>
        <v>67</v>
      </c>
      <c r="E3930" s="8" t="str">
        <f t="shared" si="2"/>
        <v>https://resources.simonelectric.com/simon-ebook-vehiculo-electrico</v>
      </c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</row>
    <row r="3931" ht="15.75" customHeight="1">
      <c r="A3931" s="5" t="s">
        <v>5246</v>
      </c>
      <c r="B3931" s="5">
        <v>43840.0</v>
      </c>
      <c r="C3931" s="6" t="s">
        <v>5247</v>
      </c>
      <c r="D3931" s="11">
        <f t="shared" si="1"/>
        <v>67</v>
      </c>
      <c r="E3931" s="8" t="str">
        <f t="shared" si="2"/>
        <v>https://resources.simonelectric.com/simon-ebook-vehiculo-electrico</v>
      </c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</row>
    <row r="3932" ht="15.75" customHeight="1">
      <c r="A3932" s="5" t="s">
        <v>3498</v>
      </c>
      <c r="B3932" s="5">
        <v>43840.0</v>
      </c>
      <c r="C3932" s="6" t="s">
        <v>8</v>
      </c>
      <c r="D3932" s="11">
        <f t="shared" si="1"/>
        <v>67</v>
      </c>
      <c r="E3932" s="8" t="str">
        <f t="shared" si="2"/>
        <v>https://resources.simonelectric.com/simon-ebook-vehiculo-electrico</v>
      </c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</row>
    <row r="3933" ht="15.75" customHeight="1">
      <c r="A3933" s="5" t="s">
        <v>5248</v>
      </c>
      <c r="B3933" s="5">
        <v>43840.0</v>
      </c>
      <c r="C3933" s="6" t="s">
        <v>5249</v>
      </c>
      <c r="D3933" s="11">
        <f t="shared" si="1"/>
        <v>67</v>
      </c>
      <c r="E3933" s="8" t="str">
        <f t="shared" si="2"/>
        <v>https://resources.simonelectric.com/simon-ebook-vehiculo-electrico</v>
      </c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</row>
    <row r="3934" ht="15.75" customHeight="1">
      <c r="A3934" s="5" t="s">
        <v>5248</v>
      </c>
      <c r="B3934" s="5">
        <v>43840.0</v>
      </c>
      <c r="C3934" s="6" t="s">
        <v>3681</v>
      </c>
      <c r="D3934" s="11">
        <f t="shared" si="1"/>
        <v>67</v>
      </c>
      <c r="E3934" s="8" t="str">
        <f t="shared" si="2"/>
        <v>https://resources.simonelectric.com/simon-ebook-vehiculo-electrico</v>
      </c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</row>
    <row r="3935" ht="15.75" customHeight="1">
      <c r="A3935" s="5" t="s">
        <v>5248</v>
      </c>
      <c r="B3935" s="5">
        <v>43840.0</v>
      </c>
      <c r="C3935" s="6" t="s">
        <v>31</v>
      </c>
      <c r="D3935" s="11">
        <f t="shared" si="1"/>
        <v>67</v>
      </c>
      <c r="E3935" s="8" t="str">
        <f t="shared" si="2"/>
        <v>https://resources.simonelectric.com/simon-ebook-vehiculo-electrico</v>
      </c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</row>
    <row r="3936" ht="15.75" customHeight="1">
      <c r="A3936" s="5" t="s">
        <v>5227</v>
      </c>
      <c r="B3936" s="5">
        <v>43840.0</v>
      </c>
      <c r="C3936" s="6" t="s">
        <v>75</v>
      </c>
      <c r="D3936" s="11">
        <f t="shared" si="1"/>
        <v>67</v>
      </c>
      <c r="E3936" s="8" t="str">
        <f t="shared" si="2"/>
        <v>https://resources.simonelectric.com/simon-ebook-vehiculo-electrico</v>
      </c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</row>
    <row r="3937" ht="15.75" customHeight="1">
      <c r="A3937" s="5" t="s">
        <v>5250</v>
      </c>
      <c r="B3937" s="5">
        <v>43840.0</v>
      </c>
      <c r="C3937" s="6" t="s">
        <v>8</v>
      </c>
      <c r="D3937" s="11">
        <f t="shared" si="1"/>
        <v>67</v>
      </c>
      <c r="E3937" s="8" t="str">
        <f t="shared" si="2"/>
        <v>https://resources.simonelectric.com/simon-ebook-vehiculo-electrico</v>
      </c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</row>
    <row r="3938" ht="15.75" customHeight="1">
      <c r="A3938" s="5" t="s">
        <v>5251</v>
      </c>
      <c r="B3938" s="5">
        <v>43840.0</v>
      </c>
      <c r="C3938" s="6" t="s">
        <v>75</v>
      </c>
      <c r="D3938" s="11">
        <f t="shared" si="1"/>
        <v>67</v>
      </c>
      <c r="E3938" s="8" t="str">
        <f t="shared" si="2"/>
        <v>https://resources.simonelectric.com/simon-ebook-vehiculo-electrico</v>
      </c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</row>
    <row r="3939" ht="15.75" customHeight="1">
      <c r="A3939" s="5" t="s">
        <v>5252</v>
      </c>
      <c r="B3939" s="5">
        <v>43839.0</v>
      </c>
      <c r="C3939" s="6" t="s">
        <v>5056</v>
      </c>
      <c r="D3939" s="11">
        <f t="shared" si="1"/>
        <v>67</v>
      </c>
      <c r="E3939" s="8" t="str">
        <f t="shared" si="2"/>
        <v>https://resources.simonelectric.com/simon-ebook-vehiculo-electrico</v>
      </c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</row>
    <row r="3940" ht="15.75" customHeight="1">
      <c r="A3940" s="5" t="s">
        <v>696</v>
      </c>
      <c r="B3940" s="5">
        <v>43839.0</v>
      </c>
      <c r="C3940" s="6" t="s">
        <v>5253</v>
      </c>
      <c r="D3940" s="11">
        <f t="shared" si="1"/>
        <v>67</v>
      </c>
      <c r="E3940" s="8" t="str">
        <f t="shared" si="2"/>
        <v>https://resources.simonelectric.com/simon-ebook-vehiculo-electrico</v>
      </c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</row>
    <row r="3941" ht="15.75" customHeight="1">
      <c r="A3941" s="5" t="s">
        <v>5254</v>
      </c>
      <c r="B3941" s="5">
        <v>43839.0</v>
      </c>
      <c r="C3941" s="6" t="s">
        <v>5255</v>
      </c>
      <c r="D3941" s="11">
        <f t="shared" si="1"/>
        <v>67</v>
      </c>
      <c r="E3941" s="8" t="str">
        <f t="shared" si="2"/>
        <v>https://resources.simonelectric.com/simon-ebook-vehiculo-electrico</v>
      </c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</row>
    <row r="3942" ht="15.75" customHeight="1">
      <c r="A3942" s="5" t="s">
        <v>5256</v>
      </c>
      <c r="B3942" s="5">
        <v>43839.0</v>
      </c>
      <c r="C3942" s="6" t="s">
        <v>5257</v>
      </c>
      <c r="D3942" s="11">
        <f t="shared" si="1"/>
        <v>67</v>
      </c>
      <c r="E3942" s="8" t="str">
        <f t="shared" si="2"/>
        <v>https://resources.simonelectric.com/simon-ebook-vehiculo-electrico</v>
      </c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</row>
    <row r="3943" ht="15.75" customHeight="1">
      <c r="A3943" s="5" t="s">
        <v>5258</v>
      </c>
      <c r="B3943" s="5">
        <v>43839.0</v>
      </c>
      <c r="C3943" s="6" t="s">
        <v>8</v>
      </c>
      <c r="D3943" s="11">
        <f t="shared" si="1"/>
        <v>67</v>
      </c>
      <c r="E3943" s="8" t="str">
        <f t="shared" si="2"/>
        <v>https://resources.simonelectric.com/simon-ebook-vehiculo-electrico</v>
      </c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</row>
    <row r="3944" ht="15.75" customHeight="1">
      <c r="A3944" s="5" t="s">
        <v>1026</v>
      </c>
      <c r="B3944" s="5">
        <v>43839.0</v>
      </c>
      <c r="C3944" s="6" t="s">
        <v>31</v>
      </c>
      <c r="D3944" s="11">
        <f t="shared" si="1"/>
        <v>67</v>
      </c>
      <c r="E3944" s="8" t="str">
        <f t="shared" si="2"/>
        <v>https://resources.simonelectric.com/simon-ebook-vehiculo-electrico</v>
      </c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</row>
    <row r="3945" ht="15.75" customHeight="1">
      <c r="A3945" s="5" t="s">
        <v>5259</v>
      </c>
      <c r="B3945" s="5">
        <v>43839.0</v>
      </c>
      <c r="C3945" s="6" t="s">
        <v>31</v>
      </c>
      <c r="D3945" s="11">
        <f t="shared" si="1"/>
        <v>67</v>
      </c>
      <c r="E3945" s="8" t="str">
        <f t="shared" si="2"/>
        <v>https://resources.simonelectric.com/simon-ebook-vehiculo-electrico</v>
      </c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</row>
    <row r="3946" ht="15.75" customHeight="1">
      <c r="A3946" s="5" t="s">
        <v>5260</v>
      </c>
      <c r="B3946" s="5">
        <v>43839.0</v>
      </c>
      <c r="C3946" s="6" t="s">
        <v>6</v>
      </c>
      <c r="D3946" s="11">
        <f t="shared" si="1"/>
        <v>67</v>
      </c>
      <c r="E3946" s="8" t="str">
        <f t="shared" si="2"/>
        <v>https://resources.simonelectric.com/simon-ebook-vehiculo-electrico</v>
      </c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</row>
    <row r="3947" ht="15.75" customHeight="1">
      <c r="A3947" s="5" t="s">
        <v>1651</v>
      </c>
      <c r="B3947" s="5">
        <v>43839.0</v>
      </c>
      <c r="C3947" s="6" t="s">
        <v>10</v>
      </c>
      <c r="D3947" s="10" t="str">
        <f t="shared" si="1"/>
        <v>https://resources.simonelectric.com/simon-catalogo-vehiculo-electrico</v>
      </c>
      <c r="E3947" s="8" t="str">
        <f t="shared" si="2"/>
        <v>https://resources.simonelectric.com/simon-catalogo-vehiculo-electrico</v>
      </c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</row>
    <row r="3948" ht="15.75" customHeight="1">
      <c r="A3948" s="5" t="s">
        <v>5261</v>
      </c>
      <c r="B3948" s="5">
        <v>43838.0</v>
      </c>
      <c r="C3948" s="6" t="s">
        <v>5262</v>
      </c>
      <c r="D3948" s="11">
        <f t="shared" si="1"/>
        <v>70</v>
      </c>
      <c r="E3948" s="8" t="str">
        <f t="shared" si="2"/>
        <v>https://resources.simonelectric.com/simon-catalogo-vehiculo-electrico</v>
      </c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</row>
    <row r="3949" ht="15.75" customHeight="1">
      <c r="A3949" s="5" t="s">
        <v>5261</v>
      </c>
      <c r="B3949" s="5">
        <v>43838.0</v>
      </c>
      <c r="C3949" s="6" t="s">
        <v>28</v>
      </c>
      <c r="D3949" s="10" t="str">
        <f t="shared" si="1"/>
        <v>https://resources.simonelectric.com/simon-ebook-vehiculo-electrico</v>
      </c>
      <c r="E3949" s="8" t="str">
        <f t="shared" si="2"/>
        <v>https://resources.simonelectric.com/simon-ebook-vehiculo-electrico</v>
      </c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</row>
    <row r="3950" ht="15.75" customHeight="1">
      <c r="A3950" s="5" t="s">
        <v>5263</v>
      </c>
      <c r="B3950" s="5">
        <v>43838.0</v>
      </c>
      <c r="C3950" s="6" t="s">
        <v>8</v>
      </c>
      <c r="D3950" s="11">
        <f t="shared" si="1"/>
        <v>67</v>
      </c>
      <c r="E3950" s="8" t="str">
        <f t="shared" si="2"/>
        <v>https://resources.simonelectric.com/simon-ebook-vehiculo-electrico</v>
      </c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</row>
    <row r="3951" ht="15.75" customHeight="1">
      <c r="A3951" s="5" t="s">
        <v>5264</v>
      </c>
      <c r="B3951" s="5">
        <v>43838.0</v>
      </c>
      <c r="C3951" s="6" t="s">
        <v>8</v>
      </c>
      <c r="D3951" s="11">
        <f t="shared" si="1"/>
        <v>67</v>
      </c>
      <c r="E3951" s="8" t="str">
        <f t="shared" si="2"/>
        <v>https://resources.simonelectric.com/simon-ebook-vehiculo-electrico</v>
      </c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</row>
    <row r="3952" ht="15.75" customHeight="1">
      <c r="A3952" s="5" t="s">
        <v>5265</v>
      </c>
      <c r="B3952" s="5">
        <v>43838.0</v>
      </c>
      <c r="C3952" s="6" t="s">
        <v>5266</v>
      </c>
      <c r="D3952" s="11">
        <f t="shared" si="1"/>
        <v>67</v>
      </c>
      <c r="E3952" s="8" t="str">
        <f t="shared" si="2"/>
        <v>https://resources.simonelectric.com/simon-ebook-vehiculo-electrico</v>
      </c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</row>
    <row r="3953" ht="15.75" customHeight="1">
      <c r="A3953" s="5" t="s">
        <v>5267</v>
      </c>
      <c r="B3953" s="5">
        <v>43837.0</v>
      </c>
      <c r="C3953" s="6" t="s">
        <v>231</v>
      </c>
      <c r="D3953" s="11">
        <f t="shared" si="1"/>
        <v>67</v>
      </c>
      <c r="E3953" s="8" t="str">
        <f t="shared" si="2"/>
        <v>https://resources.simonelectric.com/simon-ebook-vehiculo-electrico</v>
      </c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</row>
    <row r="3954" ht="15.75" customHeight="1">
      <c r="A3954" s="5" t="s">
        <v>5268</v>
      </c>
      <c r="B3954" s="5">
        <v>43837.0</v>
      </c>
      <c r="C3954" s="6" t="s">
        <v>5269</v>
      </c>
      <c r="D3954" s="11">
        <f t="shared" si="1"/>
        <v>67</v>
      </c>
      <c r="E3954" s="8" t="str">
        <f t="shared" si="2"/>
        <v>https://resources.simonelectric.com/simon-ebook-vehiculo-electrico</v>
      </c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</row>
    <row r="3955" ht="15.75" customHeight="1">
      <c r="A3955" s="5" t="s">
        <v>5270</v>
      </c>
      <c r="B3955" s="5">
        <v>43837.0</v>
      </c>
      <c r="C3955" s="6" t="s">
        <v>5271</v>
      </c>
      <c r="D3955" s="11">
        <f t="shared" si="1"/>
        <v>67</v>
      </c>
      <c r="E3955" s="8" t="str">
        <f t="shared" si="2"/>
        <v>https://resources.simonelectric.com/simon-ebook-vehiculo-electrico</v>
      </c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</row>
    <row r="3956" ht="15.75" customHeight="1">
      <c r="A3956" s="5" t="s">
        <v>2631</v>
      </c>
      <c r="B3956" s="5">
        <v>43837.0</v>
      </c>
      <c r="C3956" s="6" t="s">
        <v>600</v>
      </c>
      <c r="D3956" s="11">
        <f t="shared" si="1"/>
        <v>67</v>
      </c>
      <c r="E3956" s="8" t="str">
        <f t="shared" si="2"/>
        <v>https://resources.simonelectric.com/simon-ebook-vehiculo-electrico</v>
      </c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</row>
    <row r="3957" ht="15.75" customHeight="1">
      <c r="A3957" s="5" t="s">
        <v>5272</v>
      </c>
      <c r="B3957" s="5">
        <v>43837.0</v>
      </c>
      <c r="C3957" s="6" t="s">
        <v>8</v>
      </c>
      <c r="D3957" s="11">
        <f t="shared" si="1"/>
        <v>67</v>
      </c>
      <c r="E3957" s="8" t="str">
        <f t="shared" si="2"/>
        <v>https://resources.simonelectric.com/simon-ebook-vehiculo-electrico</v>
      </c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</row>
    <row r="3958" ht="15.75" customHeight="1">
      <c r="A3958" s="5" t="s">
        <v>4742</v>
      </c>
      <c r="B3958" s="5">
        <v>43837.0</v>
      </c>
      <c r="C3958" s="6" t="s">
        <v>5273</v>
      </c>
      <c r="D3958" s="11">
        <f t="shared" si="1"/>
        <v>70</v>
      </c>
      <c r="E3958" s="8" t="str">
        <f t="shared" si="2"/>
        <v>https://resources.simonelectric.com/simon-catalogo-vehiculo-electrico</v>
      </c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</row>
    <row r="3959" ht="15.75" customHeight="1">
      <c r="A3959" s="5" t="s">
        <v>5274</v>
      </c>
      <c r="B3959" s="5">
        <v>43837.0</v>
      </c>
      <c r="C3959" s="6" t="s">
        <v>31</v>
      </c>
      <c r="D3959" s="11">
        <f t="shared" si="1"/>
        <v>67</v>
      </c>
      <c r="E3959" s="8" t="str">
        <f t="shared" si="2"/>
        <v>https://resources.simonelectric.com/simon-ebook-vehiculo-electrico</v>
      </c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</row>
    <row r="3960" ht="15.75" customHeight="1">
      <c r="A3960" s="5" t="s">
        <v>5191</v>
      </c>
      <c r="B3960" s="5">
        <v>43837.0</v>
      </c>
      <c r="C3960" s="6" t="s">
        <v>31</v>
      </c>
      <c r="D3960" s="11">
        <f t="shared" si="1"/>
        <v>67</v>
      </c>
      <c r="E3960" s="8" t="str">
        <f t="shared" si="2"/>
        <v>https://resources.simonelectric.com/simon-ebook-vehiculo-electrico</v>
      </c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</row>
    <row r="3961" ht="15.75" customHeight="1">
      <c r="A3961" s="5" t="s">
        <v>5275</v>
      </c>
      <c r="B3961" s="5">
        <v>43837.0</v>
      </c>
      <c r="C3961" s="6" t="s">
        <v>5276</v>
      </c>
      <c r="D3961" s="11">
        <f t="shared" si="1"/>
        <v>67</v>
      </c>
      <c r="E3961" s="8" t="str">
        <f t="shared" si="2"/>
        <v>https://resources.simonelectric.com/simon-ebook-vehiculo-electrico</v>
      </c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</row>
    <row r="3962" ht="15.75" customHeight="1">
      <c r="A3962" s="5" t="s">
        <v>5277</v>
      </c>
      <c r="B3962" s="5">
        <v>43837.0</v>
      </c>
      <c r="C3962" s="6" t="s">
        <v>5278</v>
      </c>
      <c r="D3962" s="11">
        <f t="shared" si="1"/>
        <v>67</v>
      </c>
      <c r="E3962" s="8" t="str">
        <f t="shared" si="2"/>
        <v>https://resources.simonelectric.com/simon-ebook-vehiculo-electrico</v>
      </c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</row>
    <row r="3963" ht="15.75" customHeight="1">
      <c r="A3963" s="5" t="s">
        <v>5191</v>
      </c>
      <c r="B3963" s="5">
        <v>43837.0</v>
      </c>
      <c r="C3963" s="6" t="s">
        <v>5279</v>
      </c>
      <c r="D3963" s="11">
        <f t="shared" si="1"/>
        <v>67</v>
      </c>
      <c r="E3963" s="8" t="str">
        <f t="shared" si="2"/>
        <v>https://resources.simonelectric.com/simon-ebook-vehiculo-electrico</v>
      </c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</row>
    <row r="3964" ht="15.75" customHeight="1">
      <c r="A3964" s="5" t="s">
        <v>2934</v>
      </c>
      <c r="B3964" s="5">
        <v>43837.0</v>
      </c>
      <c r="C3964" s="6" t="s">
        <v>8</v>
      </c>
      <c r="D3964" s="11">
        <f t="shared" si="1"/>
        <v>67</v>
      </c>
      <c r="E3964" s="8" t="str">
        <f t="shared" si="2"/>
        <v>https://resources.simonelectric.com/simon-ebook-vehiculo-electrico</v>
      </c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</row>
    <row r="3965" ht="15.75" customHeight="1">
      <c r="A3965" s="5" t="s">
        <v>5204</v>
      </c>
      <c r="B3965" s="5">
        <v>43837.0</v>
      </c>
      <c r="C3965" s="6" t="s">
        <v>5280</v>
      </c>
      <c r="D3965" s="11">
        <f t="shared" si="1"/>
        <v>67</v>
      </c>
      <c r="E3965" s="8" t="str">
        <f t="shared" si="2"/>
        <v>https://resources.simonelectric.com/simon-ebook-vehiculo-electrico</v>
      </c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</row>
    <row r="3966" ht="15.75" customHeight="1">
      <c r="A3966" s="5" t="s">
        <v>5281</v>
      </c>
      <c r="B3966" s="5">
        <v>43837.0</v>
      </c>
      <c r="C3966" s="6" t="s">
        <v>5282</v>
      </c>
      <c r="D3966" s="11">
        <f t="shared" si="1"/>
        <v>67</v>
      </c>
      <c r="E3966" s="8" t="str">
        <f t="shared" si="2"/>
        <v>https://resources.simonelectric.com/simon-ebook-vehiculo-electrico</v>
      </c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</row>
    <row r="3967" ht="15.75" customHeight="1">
      <c r="A3967" s="5" t="s">
        <v>3303</v>
      </c>
      <c r="B3967" s="5">
        <v>43837.0</v>
      </c>
      <c r="C3967" s="6" t="s">
        <v>5283</v>
      </c>
      <c r="D3967" s="11">
        <f t="shared" si="1"/>
        <v>67</v>
      </c>
      <c r="E3967" s="8" t="str">
        <f t="shared" si="2"/>
        <v>https://resources.simonelectric.com/simon-ebook-vehiculo-electrico</v>
      </c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</row>
    <row r="3968" ht="15.75" customHeight="1">
      <c r="A3968" s="5" t="s">
        <v>1026</v>
      </c>
      <c r="B3968" s="5">
        <v>43837.0</v>
      </c>
      <c r="C3968" s="6" t="s">
        <v>5284</v>
      </c>
      <c r="D3968" s="11">
        <f t="shared" si="1"/>
        <v>67</v>
      </c>
      <c r="E3968" s="8" t="str">
        <f t="shared" si="2"/>
        <v>https://resources.simonelectric.com/simon-ebook-vehiculo-electrico</v>
      </c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</row>
    <row r="3969" ht="15.75" customHeight="1">
      <c r="A3969" s="5" t="s">
        <v>5285</v>
      </c>
      <c r="B3969" s="5">
        <v>43837.0</v>
      </c>
      <c r="C3969" s="6" t="s">
        <v>5286</v>
      </c>
      <c r="D3969" s="11">
        <f t="shared" si="1"/>
        <v>67</v>
      </c>
      <c r="E3969" s="8" t="str">
        <f t="shared" si="2"/>
        <v>https://resources.simonelectric.com/simon-ebook-vehiculo-electrico</v>
      </c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</row>
    <row r="3970" ht="15.75" customHeight="1">
      <c r="A3970" s="5" t="s">
        <v>5287</v>
      </c>
      <c r="B3970" s="5">
        <v>43837.0</v>
      </c>
      <c r="C3970" s="6" t="s">
        <v>5105</v>
      </c>
      <c r="D3970" s="11">
        <f t="shared" si="1"/>
        <v>67</v>
      </c>
      <c r="E3970" s="8" t="str">
        <f t="shared" si="2"/>
        <v>https://resources.simonelectric.com/simon-ebook-vehiculo-electrico</v>
      </c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</row>
    <row r="3971" ht="15.75" customHeight="1">
      <c r="A3971" s="5" t="s">
        <v>5288</v>
      </c>
      <c r="B3971" s="5">
        <v>43837.0</v>
      </c>
      <c r="C3971" s="6" t="s">
        <v>5289</v>
      </c>
      <c r="D3971" s="11">
        <f t="shared" si="1"/>
        <v>67</v>
      </c>
      <c r="E3971" s="8" t="str">
        <f t="shared" si="2"/>
        <v>https://resources.simonelectric.com/simon-ebook-vehiculo-electrico</v>
      </c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</row>
    <row r="3972" ht="15.75" customHeight="1">
      <c r="A3972" s="5" t="s">
        <v>5290</v>
      </c>
      <c r="B3972" s="5">
        <v>43836.0</v>
      </c>
      <c r="C3972" s="6" t="s">
        <v>31</v>
      </c>
      <c r="D3972" s="11">
        <f t="shared" si="1"/>
        <v>67</v>
      </c>
      <c r="E3972" s="8" t="str">
        <f t="shared" si="2"/>
        <v>https://resources.simonelectric.com/simon-ebook-vehiculo-electrico</v>
      </c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</row>
    <row r="3973" ht="15.75" customHeight="1">
      <c r="A3973" s="5" t="s">
        <v>5291</v>
      </c>
      <c r="B3973" s="5">
        <v>43836.0</v>
      </c>
      <c r="C3973" s="6" t="s">
        <v>5292</v>
      </c>
      <c r="D3973" s="11">
        <f t="shared" si="1"/>
        <v>67</v>
      </c>
      <c r="E3973" s="8" t="str">
        <f t="shared" si="2"/>
        <v>https://resources.simonelectric.com/simon-ebook-vehiculo-electrico</v>
      </c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</row>
    <row r="3974" ht="15.75" customHeight="1">
      <c r="A3974" s="5" t="s">
        <v>5293</v>
      </c>
      <c r="B3974" s="5">
        <v>43836.0</v>
      </c>
      <c r="C3974" s="6" t="s">
        <v>5294</v>
      </c>
      <c r="D3974" s="11">
        <f t="shared" si="1"/>
        <v>67</v>
      </c>
      <c r="E3974" s="8" t="str">
        <f t="shared" si="2"/>
        <v>https://resources.simonelectric.com/simon-ebook-vehiculo-electrico</v>
      </c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</row>
    <row r="3975" ht="15.75" customHeight="1">
      <c r="A3975" s="5" t="s">
        <v>3264</v>
      </c>
      <c r="B3975" s="5">
        <v>43836.0</v>
      </c>
      <c r="C3975" s="6" t="s">
        <v>5295</v>
      </c>
      <c r="D3975" s="11">
        <f t="shared" si="1"/>
        <v>67</v>
      </c>
      <c r="E3975" s="8" t="str">
        <f t="shared" si="2"/>
        <v>https://resources.simonelectric.com/simon-ebook-vehiculo-electrico</v>
      </c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</row>
    <row r="3976" ht="15.75" customHeight="1">
      <c r="A3976" s="5" t="s">
        <v>5229</v>
      </c>
      <c r="B3976" s="5">
        <v>43836.0</v>
      </c>
      <c r="C3976" s="6" t="s">
        <v>5296</v>
      </c>
      <c r="D3976" s="11">
        <f t="shared" si="1"/>
        <v>67</v>
      </c>
      <c r="E3976" s="8" t="str">
        <f t="shared" si="2"/>
        <v>https://resources.simonelectric.com/simon-ebook-vehiculo-electrico</v>
      </c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</row>
    <row r="3977" ht="15.75" customHeight="1">
      <c r="A3977" s="5" t="s">
        <v>5297</v>
      </c>
      <c r="B3977" s="5">
        <v>43835.0</v>
      </c>
      <c r="C3977" s="6" t="s">
        <v>5105</v>
      </c>
      <c r="D3977" s="11">
        <f t="shared" si="1"/>
        <v>67</v>
      </c>
      <c r="E3977" s="8" t="str">
        <f t="shared" si="2"/>
        <v>https://resources.simonelectric.com/simon-ebook-vehiculo-electrico</v>
      </c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</row>
    <row r="3978" ht="15.75" customHeight="1">
      <c r="A3978" s="5" t="s">
        <v>4362</v>
      </c>
      <c r="B3978" s="5">
        <v>43834.0</v>
      </c>
      <c r="C3978" s="6" t="s">
        <v>75</v>
      </c>
      <c r="D3978" s="11">
        <f t="shared" si="1"/>
        <v>67</v>
      </c>
      <c r="E3978" s="8" t="str">
        <f t="shared" si="2"/>
        <v>https://resources.simonelectric.com/simon-ebook-vehiculo-electrico</v>
      </c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</row>
    <row r="3979" ht="15.75" customHeight="1">
      <c r="A3979" s="5" t="s">
        <v>4362</v>
      </c>
      <c r="B3979" s="5">
        <v>43834.0</v>
      </c>
      <c r="C3979" s="6" t="s">
        <v>8</v>
      </c>
      <c r="D3979" s="11">
        <f t="shared" si="1"/>
        <v>67</v>
      </c>
      <c r="E3979" s="8" t="str">
        <f t="shared" si="2"/>
        <v>https://resources.simonelectric.com/simon-ebook-vehiculo-electrico</v>
      </c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</row>
    <row r="3980" ht="15.75" customHeight="1">
      <c r="A3980" s="5" t="s">
        <v>5298</v>
      </c>
      <c r="B3980" s="5">
        <v>43834.0</v>
      </c>
      <c r="C3980" s="6" t="s">
        <v>5299</v>
      </c>
      <c r="D3980" s="11">
        <f t="shared" si="1"/>
        <v>67</v>
      </c>
      <c r="E3980" s="8" t="str">
        <f t="shared" si="2"/>
        <v>https://resources.simonelectric.com/simon-ebook-vehiculo-electrico</v>
      </c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</row>
    <row r="3981" ht="15.75" customHeight="1">
      <c r="A3981" s="5" t="s">
        <v>5300</v>
      </c>
      <c r="B3981" s="5">
        <v>43834.0</v>
      </c>
      <c r="C3981" s="6" t="s">
        <v>5301</v>
      </c>
      <c r="D3981" s="11">
        <f t="shared" si="1"/>
        <v>67</v>
      </c>
      <c r="E3981" s="8" t="str">
        <f t="shared" si="2"/>
        <v>https://resources.simonelectric.com/simon-ebook-vehiculo-electrico</v>
      </c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</row>
    <row r="3982" ht="15.75" customHeight="1">
      <c r="A3982" s="5" t="s">
        <v>5268</v>
      </c>
      <c r="B3982" s="5">
        <v>43834.0</v>
      </c>
      <c r="C3982" s="6" t="s">
        <v>5302</v>
      </c>
      <c r="D3982" s="11">
        <f t="shared" si="1"/>
        <v>67</v>
      </c>
      <c r="E3982" s="8" t="str">
        <f t="shared" si="2"/>
        <v>https://resources.simonelectric.com/simon-ebook-vehiculo-electrico</v>
      </c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</row>
    <row r="3983" ht="15.75" customHeight="1">
      <c r="A3983" s="5" t="s">
        <v>5303</v>
      </c>
      <c r="B3983" s="5">
        <v>43834.0</v>
      </c>
      <c r="C3983" s="6" t="s">
        <v>8</v>
      </c>
      <c r="D3983" s="11">
        <f t="shared" si="1"/>
        <v>67</v>
      </c>
      <c r="E3983" s="8" t="str">
        <f t="shared" si="2"/>
        <v>https://resources.simonelectric.com/simon-ebook-vehiculo-electrico</v>
      </c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</row>
    <row r="3984" ht="15.75" customHeight="1">
      <c r="A3984" s="5" t="s">
        <v>5304</v>
      </c>
      <c r="B3984" s="5">
        <v>43834.0</v>
      </c>
      <c r="C3984" s="6" t="s">
        <v>5278</v>
      </c>
      <c r="D3984" s="11">
        <f t="shared" si="1"/>
        <v>67</v>
      </c>
      <c r="E3984" s="8" t="str">
        <f t="shared" si="2"/>
        <v>https://resources.simonelectric.com/simon-ebook-vehiculo-electrico</v>
      </c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</row>
    <row r="3985" ht="15.75" customHeight="1">
      <c r="A3985" s="5" t="s">
        <v>2467</v>
      </c>
      <c r="B3985" s="5">
        <v>43834.0</v>
      </c>
      <c r="C3985" s="6" t="s">
        <v>5305</v>
      </c>
      <c r="D3985" s="11">
        <f t="shared" si="1"/>
        <v>67</v>
      </c>
      <c r="E3985" s="8" t="str">
        <f t="shared" si="2"/>
        <v>https://resources.simonelectric.com/simon-ebook-vehiculo-electrico</v>
      </c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</row>
    <row r="3986" ht="15.75" customHeight="1">
      <c r="A3986" s="5" t="s">
        <v>5306</v>
      </c>
      <c r="B3986" s="5">
        <v>43833.0</v>
      </c>
      <c r="C3986" s="6" t="s">
        <v>48</v>
      </c>
      <c r="D3986" s="11">
        <f t="shared" si="1"/>
        <v>67</v>
      </c>
      <c r="E3986" s="8" t="str">
        <f t="shared" si="2"/>
        <v>https://resources.simonelectric.com/simon-ebook-vehiculo-electrico</v>
      </c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</row>
    <row r="3987" ht="15.75" customHeight="1">
      <c r="A3987" s="5" t="s">
        <v>5307</v>
      </c>
      <c r="B3987" s="5">
        <v>43833.0</v>
      </c>
      <c r="C3987" s="6" t="s">
        <v>5308</v>
      </c>
      <c r="D3987" s="11">
        <f t="shared" si="1"/>
        <v>67</v>
      </c>
      <c r="E3987" s="8" t="str">
        <f t="shared" si="2"/>
        <v>https://resources.simonelectric.com/simon-ebook-vehiculo-electrico</v>
      </c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</row>
    <row r="3988" ht="15.75" customHeight="1">
      <c r="A3988" s="5" t="s">
        <v>5309</v>
      </c>
      <c r="B3988" s="5">
        <v>43833.0</v>
      </c>
      <c r="C3988" s="6" t="s">
        <v>5310</v>
      </c>
      <c r="D3988" s="11">
        <f t="shared" si="1"/>
        <v>67</v>
      </c>
      <c r="E3988" s="8" t="str">
        <f t="shared" si="2"/>
        <v>https://resources.simonelectric.com/simon-ebook-vehiculo-electrico</v>
      </c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</row>
    <row r="3989" ht="15.75" customHeight="1">
      <c r="A3989" s="5" t="s">
        <v>2070</v>
      </c>
      <c r="B3989" s="5">
        <v>43833.0</v>
      </c>
      <c r="C3989" s="6" t="s">
        <v>5311</v>
      </c>
      <c r="D3989" s="11">
        <f t="shared" si="1"/>
        <v>67</v>
      </c>
      <c r="E3989" s="8" t="str">
        <f t="shared" si="2"/>
        <v>https://resources.simonelectric.com/simon-ebook-vehiculo-electrico</v>
      </c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</row>
    <row r="3990" ht="15.75" customHeight="1">
      <c r="A3990" s="5" t="s">
        <v>5312</v>
      </c>
      <c r="B3990" s="5">
        <v>43833.0</v>
      </c>
      <c r="C3990" s="6" t="s">
        <v>5313</v>
      </c>
      <c r="D3990" s="11">
        <f t="shared" si="1"/>
        <v>67</v>
      </c>
      <c r="E3990" s="8" t="str">
        <f t="shared" si="2"/>
        <v>https://resources.simonelectric.com/simon-ebook-vehiculo-electrico</v>
      </c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</row>
    <row r="3991" ht="15.75" customHeight="1">
      <c r="A3991" s="5" t="s">
        <v>5314</v>
      </c>
      <c r="B3991" s="5">
        <v>43833.0</v>
      </c>
      <c r="C3991" s="6" t="s">
        <v>5315</v>
      </c>
      <c r="D3991" s="11">
        <f t="shared" si="1"/>
        <v>67</v>
      </c>
      <c r="E3991" s="8" t="str">
        <f t="shared" si="2"/>
        <v>https://resources.simonelectric.com/simon-ebook-vehiculo-electrico</v>
      </c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</row>
    <row r="3992" ht="15.75" customHeight="1">
      <c r="A3992" s="5" t="s">
        <v>1109</v>
      </c>
      <c r="B3992" s="5">
        <v>43833.0</v>
      </c>
      <c r="C3992" s="6" t="s">
        <v>5278</v>
      </c>
      <c r="D3992" s="11">
        <f t="shared" si="1"/>
        <v>67</v>
      </c>
      <c r="E3992" s="8" t="str">
        <f t="shared" si="2"/>
        <v>https://resources.simonelectric.com/simon-ebook-vehiculo-electrico</v>
      </c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</row>
    <row r="3993" ht="15.75" customHeight="1">
      <c r="A3993" s="5" t="s">
        <v>5316</v>
      </c>
      <c r="B3993" s="5">
        <v>43833.0</v>
      </c>
      <c r="C3993" s="6" t="s">
        <v>28</v>
      </c>
      <c r="D3993" s="10" t="str">
        <f t="shared" si="1"/>
        <v>https://resources.simonelectric.com/simon-ebook-vehiculo-electrico</v>
      </c>
      <c r="E3993" s="8" t="str">
        <f t="shared" si="2"/>
        <v>https://resources.simonelectric.com/simon-ebook-vehiculo-electrico</v>
      </c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</row>
    <row r="3994" ht="15.75" customHeight="1">
      <c r="A3994" s="5" t="s">
        <v>5316</v>
      </c>
      <c r="B3994" s="5">
        <v>43833.0</v>
      </c>
      <c r="C3994" s="6" t="s">
        <v>5317</v>
      </c>
      <c r="D3994" s="11">
        <f t="shared" si="1"/>
        <v>70</v>
      </c>
      <c r="E3994" s="8" t="str">
        <f t="shared" si="2"/>
        <v>https://resources.simonelectric.com/simon-catalogo-vehiculo-electrico</v>
      </c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</row>
    <row r="3995" ht="15.75" customHeight="1">
      <c r="A3995" s="5" t="s">
        <v>5318</v>
      </c>
      <c r="B3995" s="5">
        <v>43833.0</v>
      </c>
      <c r="C3995" s="6" t="s">
        <v>31</v>
      </c>
      <c r="D3995" s="11">
        <f t="shared" si="1"/>
        <v>67</v>
      </c>
      <c r="E3995" s="8" t="str">
        <f t="shared" si="2"/>
        <v>https://resources.simonelectric.com/simon-ebook-vehiculo-electrico</v>
      </c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</row>
    <row r="3996" ht="15.75" customHeight="1">
      <c r="A3996" s="5" t="s">
        <v>5319</v>
      </c>
      <c r="B3996" s="5">
        <v>43833.0</v>
      </c>
      <c r="C3996" s="6" t="s">
        <v>31</v>
      </c>
      <c r="D3996" s="11">
        <f t="shared" si="1"/>
        <v>67</v>
      </c>
      <c r="E3996" s="8" t="str">
        <f t="shared" si="2"/>
        <v>https://resources.simonelectric.com/simon-ebook-vehiculo-electrico</v>
      </c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</row>
    <row r="3997" ht="15.75" customHeight="1">
      <c r="A3997" s="5" t="s">
        <v>5320</v>
      </c>
      <c r="B3997" s="5">
        <v>43833.0</v>
      </c>
      <c r="C3997" s="6" t="s">
        <v>31</v>
      </c>
      <c r="D3997" s="11">
        <f t="shared" si="1"/>
        <v>67</v>
      </c>
      <c r="E3997" s="8" t="str">
        <f t="shared" si="2"/>
        <v>https://resources.simonelectric.com/simon-ebook-vehiculo-electrico</v>
      </c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</row>
    <row r="3998" ht="15.75" customHeight="1">
      <c r="A3998" s="5" t="s">
        <v>814</v>
      </c>
      <c r="B3998" s="5">
        <v>43833.0</v>
      </c>
      <c r="C3998" s="6" t="s">
        <v>31</v>
      </c>
      <c r="D3998" s="11">
        <f t="shared" si="1"/>
        <v>67</v>
      </c>
      <c r="E3998" s="8" t="str">
        <f t="shared" si="2"/>
        <v>https://resources.simonelectric.com/simon-ebook-vehiculo-electrico</v>
      </c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</row>
    <row r="3999" ht="15.75" customHeight="1">
      <c r="A3999" s="5" t="s">
        <v>2845</v>
      </c>
      <c r="B3999" s="5">
        <v>43833.0</v>
      </c>
      <c r="C3999" s="6" t="s">
        <v>5321</v>
      </c>
      <c r="D3999" s="11">
        <f t="shared" si="1"/>
        <v>67</v>
      </c>
      <c r="E3999" s="8" t="str">
        <f t="shared" si="2"/>
        <v>https://resources.simonelectric.com/simon-ebook-vehiculo-electrico</v>
      </c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</row>
    <row r="4000" ht="15.75" customHeight="1">
      <c r="A4000" s="5" t="s">
        <v>5322</v>
      </c>
      <c r="B4000" s="5">
        <v>43833.0</v>
      </c>
      <c r="C4000" s="6" t="s">
        <v>31</v>
      </c>
      <c r="D4000" s="11">
        <f t="shared" si="1"/>
        <v>67</v>
      </c>
      <c r="E4000" s="8" t="str">
        <f t="shared" si="2"/>
        <v>https://resources.simonelectric.com/simon-ebook-vehiculo-electrico</v>
      </c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</row>
    <row r="4001" ht="15.75" customHeight="1">
      <c r="A4001" s="5" t="s">
        <v>5322</v>
      </c>
      <c r="B4001" s="5">
        <v>43833.0</v>
      </c>
      <c r="C4001" s="6" t="s">
        <v>28</v>
      </c>
      <c r="D4001" s="10" t="str">
        <f t="shared" si="1"/>
        <v>https://resources.simonelectric.com/simon-ebook-vehiculo-electrico</v>
      </c>
      <c r="E4001" s="8" t="str">
        <f t="shared" si="2"/>
        <v>https://resources.simonelectric.com/simon-ebook-vehiculo-electrico</v>
      </c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</row>
    <row r="4002" ht="15.75" customHeight="1">
      <c r="A4002" s="5" t="s">
        <v>5323</v>
      </c>
      <c r="B4002" s="5">
        <v>43833.0</v>
      </c>
      <c r="C4002" s="6" t="s">
        <v>10</v>
      </c>
      <c r="D4002" s="10" t="str">
        <f t="shared" si="1"/>
        <v>https://resources.simonelectric.com/simon-catalogo-vehiculo-electrico</v>
      </c>
      <c r="E4002" s="8" t="str">
        <f t="shared" si="2"/>
        <v>https://resources.simonelectric.com/simon-catalogo-vehiculo-electrico</v>
      </c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</row>
    <row r="4003" ht="15.75" customHeight="1">
      <c r="A4003" s="5" t="s">
        <v>5324</v>
      </c>
      <c r="B4003" s="5">
        <v>43833.0</v>
      </c>
      <c r="C4003" s="6" t="s">
        <v>5325</v>
      </c>
      <c r="D4003" s="11">
        <f t="shared" si="1"/>
        <v>70</v>
      </c>
      <c r="E4003" s="8" t="str">
        <f t="shared" si="2"/>
        <v>https://resources.simonelectric.com/simon-catalogo-vehiculo-electrico</v>
      </c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</row>
    <row r="4004" ht="15.75" customHeight="1">
      <c r="A4004" s="5" t="s">
        <v>5326</v>
      </c>
      <c r="B4004" s="5">
        <v>43833.0</v>
      </c>
      <c r="C4004" s="6" t="s">
        <v>8</v>
      </c>
      <c r="D4004" s="11">
        <f t="shared" si="1"/>
        <v>67</v>
      </c>
      <c r="E4004" s="8" t="str">
        <f t="shared" si="2"/>
        <v>https://resources.simonelectric.com/simon-ebook-vehiculo-electrico</v>
      </c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</row>
    <row r="4005" ht="15.75" customHeight="1">
      <c r="A4005" s="5" t="s">
        <v>5327</v>
      </c>
      <c r="B4005" s="5">
        <v>43833.0</v>
      </c>
      <c r="C4005" s="6" t="s">
        <v>5328</v>
      </c>
      <c r="D4005" s="11">
        <f t="shared" si="1"/>
        <v>67</v>
      </c>
      <c r="E4005" s="8" t="str">
        <f t="shared" si="2"/>
        <v>https://resources.simonelectric.com/simon-ebook-vehiculo-electrico</v>
      </c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</row>
    <row r="4006" ht="15.75" customHeight="1">
      <c r="A4006" s="5" t="s">
        <v>715</v>
      </c>
      <c r="B4006" s="5">
        <v>43833.0</v>
      </c>
      <c r="C4006" s="6" t="s">
        <v>5329</v>
      </c>
      <c r="D4006" s="11">
        <f t="shared" si="1"/>
        <v>67</v>
      </c>
      <c r="E4006" s="8" t="str">
        <f t="shared" si="2"/>
        <v>https://resources.simonelectric.com/simon-ebook-vehiculo-electrico</v>
      </c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</row>
    <row r="4007" ht="15.75" customHeight="1">
      <c r="A4007" s="5" t="s">
        <v>5330</v>
      </c>
      <c r="B4007" s="5">
        <v>43832.0</v>
      </c>
      <c r="C4007" s="6" t="s">
        <v>31</v>
      </c>
      <c r="D4007" s="11">
        <f t="shared" si="1"/>
        <v>67</v>
      </c>
      <c r="E4007" s="8" t="str">
        <f t="shared" si="2"/>
        <v>https://resources.simonelectric.com/simon-ebook-vehiculo-electrico</v>
      </c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</row>
    <row r="4008" ht="15.75" customHeight="1">
      <c r="A4008" s="5" t="s">
        <v>5331</v>
      </c>
      <c r="B4008" s="5">
        <v>43832.0</v>
      </c>
      <c r="C4008" s="6" t="s">
        <v>5332</v>
      </c>
      <c r="D4008" s="11">
        <f t="shared" si="1"/>
        <v>67</v>
      </c>
      <c r="E4008" s="8" t="str">
        <f t="shared" si="2"/>
        <v>https://resources.simonelectric.com/simon-ebook-vehiculo-electrico</v>
      </c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</row>
    <row r="4009" ht="15.75" customHeight="1">
      <c r="A4009" s="5" t="s">
        <v>2964</v>
      </c>
      <c r="B4009" s="5">
        <v>43832.0</v>
      </c>
      <c r="C4009" s="6" t="s">
        <v>5333</v>
      </c>
      <c r="D4009" s="11">
        <f t="shared" si="1"/>
        <v>67</v>
      </c>
      <c r="E4009" s="8" t="str">
        <f t="shared" si="2"/>
        <v>https://resources.simonelectric.com/simon-ebook-vehiculo-electrico</v>
      </c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</row>
    <row r="4010" ht="15.75" customHeight="1">
      <c r="A4010" s="5" t="s">
        <v>5334</v>
      </c>
      <c r="B4010" s="5">
        <v>43832.0</v>
      </c>
      <c r="C4010" s="6" t="s">
        <v>5335</v>
      </c>
      <c r="D4010" s="11">
        <f t="shared" si="1"/>
        <v>67</v>
      </c>
      <c r="E4010" s="8" t="str">
        <f t="shared" si="2"/>
        <v>https://resources.simonelectric.com/simon-ebook-vehiculo-electrico</v>
      </c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</row>
    <row r="4011" ht="15.75" customHeight="1">
      <c r="A4011" s="5" t="s">
        <v>1979</v>
      </c>
      <c r="B4011" s="5">
        <v>43832.0</v>
      </c>
      <c r="C4011" s="6" t="s">
        <v>31</v>
      </c>
      <c r="D4011" s="11">
        <f t="shared" si="1"/>
        <v>67</v>
      </c>
      <c r="E4011" s="8" t="str">
        <f t="shared" si="2"/>
        <v>https://resources.simonelectric.com/simon-ebook-vehiculo-electrico</v>
      </c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</row>
    <row r="4012" ht="15.75" customHeight="1">
      <c r="A4012" s="5" t="s">
        <v>5336</v>
      </c>
      <c r="B4012" s="5">
        <v>43832.0</v>
      </c>
      <c r="C4012" s="6" t="s">
        <v>5337</v>
      </c>
      <c r="D4012" s="11">
        <f t="shared" si="1"/>
        <v>70</v>
      </c>
      <c r="E4012" s="8" t="str">
        <f t="shared" si="2"/>
        <v>https://resources.simonelectric.com/simon-catalogo-vehiculo-electrico</v>
      </c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</row>
    <row r="4013" ht="15.75" customHeight="1">
      <c r="A4013" s="5" t="s">
        <v>5338</v>
      </c>
      <c r="B4013" s="5">
        <v>43832.0</v>
      </c>
      <c r="C4013" s="6" t="s">
        <v>8</v>
      </c>
      <c r="D4013" s="11">
        <f t="shared" si="1"/>
        <v>67</v>
      </c>
      <c r="E4013" s="8" t="str">
        <f t="shared" si="2"/>
        <v>https://resources.simonelectric.com/simon-ebook-vehiculo-electrico</v>
      </c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</row>
    <row r="4014" ht="15.75" customHeight="1">
      <c r="A4014" s="5" t="s">
        <v>5339</v>
      </c>
      <c r="B4014" s="5">
        <v>43832.0</v>
      </c>
      <c r="C4014" s="6" t="s">
        <v>5340</v>
      </c>
      <c r="D4014" s="11">
        <f t="shared" si="1"/>
        <v>67</v>
      </c>
      <c r="E4014" s="8" t="str">
        <f t="shared" si="2"/>
        <v>https://resources.simonelectric.com/simon-ebook-vehiculo-electrico</v>
      </c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</row>
    <row r="4015" ht="15.75" customHeight="1">
      <c r="A4015" s="5" t="s">
        <v>5118</v>
      </c>
      <c r="B4015" s="5">
        <v>43832.0</v>
      </c>
      <c r="C4015" s="6" t="s">
        <v>31</v>
      </c>
      <c r="D4015" s="11">
        <f t="shared" si="1"/>
        <v>67</v>
      </c>
      <c r="E4015" s="8" t="str">
        <f t="shared" si="2"/>
        <v>https://resources.simonelectric.com/simon-ebook-vehiculo-electrico</v>
      </c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</row>
    <row r="4016" ht="15.75" customHeight="1">
      <c r="A4016" s="5" t="s">
        <v>5118</v>
      </c>
      <c r="B4016" s="5">
        <v>43832.0</v>
      </c>
      <c r="C4016" s="6" t="s">
        <v>5341</v>
      </c>
      <c r="D4016" s="11">
        <f t="shared" si="1"/>
        <v>67</v>
      </c>
      <c r="E4016" s="8" t="str">
        <f t="shared" si="2"/>
        <v>https://resources.simonelectric.com/simon-ebook-vehiculo-electrico</v>
      </c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</row>
    <row r="4017" ht="15.75" customHeight="1">
      <c r="A4017" s="5" t="s">
        <v>5342</v>
      </c>
      <c r="B4017" s="5">
        <v>43832.0</v>
      </c>
      <c r="C4017" s="6" t="s">
        <v>28</v>
      </c>
      <c r="D4017" s="10" t="str">
        <f t="shared" si="1"/>
        <v>https://resources.simonelectric.com/simon-ebook-vehiculo-electrico</v>
      </c>
      <c r="E4017" s="8" t="str">
        <f t="shared" si="2"/>
        <v>https://resources.simonelectric.com/simon-ebook-vehiculo-electrico</v>
      </c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</row>
    <row r="4018" ht="15.75" customHeight="1">
      <c r="A4018" s="5" t="s">
        <v>1561</v>
      </c>
      <c r="B4018" s="5">
        <v>43832.0</v>
      </c>
      <c r="C4018" s="6" t="s">
        <v>31</v>
      </c>
      <c r="D4018" s="11">
        <f t="shared" si="1"/>
        <v>67</v>
      </c>
      <c r="E4018" s="8" t="str">
        <f t="shared" si="2"/>
        <v>https://resources.simonelectric.com/simon-ebook-vehiculo-electrico</v>
      </c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</row>
    <row r="4019" ht="15.75" customHeight="1">
      <c r="A4019" s="5" t="s">
        <v>5343</v>
      </c>
      <c r="B4019" s="5">
        <v>43832.0</v>
      </c>
      <c r="C4019" s="6" t="s">
        <v>31</v>
      </c>
      <c r="D4019" s="11">
        <f t="shared" si="1"/>
        <v>67</v>
      </c>
      <c r="E4019" s="8" t="str">
        <f t="shared" si="2"/>
        <v>https://resources.simonelectric.com/simon-ebook-vehiculo-electrico</v>
      </c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</row>
    <row r="4020" ht="15.75" customHeight="1">
      <c r="A4020" s="5" t="s">
        <v>2408</v>
      </c>
      <c r="B4020" s="5">
        <v>43832.0</v>
      </c>
      <c r="C4020" s="6" t="s">
        <v>5344</v>
      </c>
      <c r="D4020" s="11">
        <f t="shared" si="1"/>
        <v>67</v>
      </c>
      <c r="E4020" s="8" t="str">
        <f t="shared" si="2"/>
        <v>https://resources.simonelectric.com/simon-ebook-vehiculo-electrico</v>
      </c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</row>
    <row r="4021" ht="15.75" customHeight="1">
      <c r="A4021" s="5" t="s">
        <v>5345</v>
      </c>
      <c r="B4021" s="5">
        <v>43832.0</v>
      </c>
      <c r="C4021" s="6" t="s">
        <v>5346</v>
      </c>
      <c r="D4021" s="11">
        <f t="shared" si="1"/>
        <v>67</v>
      </c>
      <c r="E4021" s="8" t="str">
        <f t="shared" si="2"/>
        <v>https://resources.simonelectric.com/simon-ebook-vehiculo-electrico</v>
      </c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</row>
    <row r="4022" ht="15.75" customHeight="1">
      <c r="A4022" s="5" t="s">
        <v>3361</v>
      </c>
      <c r="B4022" s="5">
        <v>43832.0</v>
      </c>
      <c r="C4022" s="6" t="s">
        <v>5347</v>
      </c>
      <c r="D4022" s="11">
        <f t="shared" si="1"/>
        <v>67</v>
      </c>
      <c r="E4022" s="8" t="str">
        <f t="shared" si="2"/>
        <v>https://resources.simonelectric.com/simon-ebook-vehiculo-electrico</v>
      </c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</row>
    <row r="4023" ht="15.75" customHeight="1">
      <c r="A4023" s="5" t="s">
        <v>1299</v>
      </c>
      <c r="B4023" s="5">
        <v>43832.0</v>
      </c>
      <c r="C4023" s="6" t="s">
        <v>5348</v>
      </c>
      <c r="D4023" s="11">
        <f t="shared" si="1"/>
        <v>67</v>
      </c>
      <c r="E4023" s="8" t="str">
        <f t="shared" si="2"/>
        <v>https://resources.simonelectric.com/simon-ebook-vehiculo-electrico</v>
      </c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</row>
    <row r="4024" ht="15.75" customHeight="1">
      <c r="A4024" s="5" t="s">
        <v>5232</v>
      </c>
      <c r="B4024" s="5">
        <v>43832.0</v>
      </c>
      <c r="C4024" s="6" t="s">
        <v>31</v>
      </c>
      <c r="D4024" s="11">
        <f t="shared" si="1"/>
        <v>67</v>
      </c>
      <c r="E4024" s="8" t="str">
        <f t="shared" si="2"/>
        <v>https://resources.simonelectric.com/simon-ebook-vehiculo-electrico</v>
      </c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</row>
    <row r="4025" ht="15.75" customHeight="1">
      <c r="A4025" s="5" t="s">
        <v>2351</v>
      </c>
      <c r="B4025" s="5">
        <v>43832.0</v>
      </c>
      <c r="C4025" s="6" t="s">
        <v>5349</v>
      </c>
      <c r="D4025" s="11">
        <f t="shared" si="1"/>
        <v>67</v>
      </c>
      <c r="E4025" s="8" t="str">
        <f t="shared" si="2"/>
        <v>https://resources.simonelectric.com/simon-ebook-vehiculo-electrico</v>
      </c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</row>
    <row r="4026" ht="15.75" customHeight="1">
      <c r="A4026" s="5" t="s">
        <v>5293</v>
      </c>
      <c r="B4026" s="5">
        <v>43832.0</v>
      </c>
      <c r="C4026" s="6" t="s">
        <v>31</v>
      </c>
      <c r="D4026" s="11">
        <f t="shared" si="1"/>
        <v>67</v>
      </c>
      <c r="E4026" s="8" t="str">
        <f t="shared" si="2"/>
        <v>https://resources.simonelectric.com/simon-ebook-vehiculo-electrico</v>
      </c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</row>
    <row r="4027" ht="15.75" customHeight="1">
      <c r="A4027" s="5" t="s">
        <v>1026</v>
      </c>
      <c r="B4027" s="5">
        <v>43832.0</v>
      </c>
      <c r="C4027" s="6" t="s">
        <v>31</v>
      </c>
      <c r="D4027" s="11">
        <f t="shared" si="1"/>
        <v>67</v>
      </c>
      <c r="E4027" s="8" t="str">
        <f t="shared" si="2"/>
        <v>https://resources.simonelectric.com/simon-ebook-vehiculo-electrico</v>
      </c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</row>
    <row r="4028" ht="15.75" customHeight="1">
      <c r="A4028" s="5" t="s">
        <v>2647</v>
      </c>
      <c r="B4028" s="5">
        <v>43832.0</v>
      </c>
      <c r="C4028" s="6" t="s">
        <v>5350</v>
      </c>
      <c r="D4028" s="11">
        <f t="shared" si="1"/>
        <v>67</v>
      </c>
      <c r="E4028" s="8" t="str">
        <f t="shared" si="2"/>
        <v>https://resources.simonelectric.com/simon-ebook-vehiculo-electrico</v>
      </c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</row>
    <row r="4029" ht="15.75" customHeight="1">
      <c r="A4029" s="5" t="s">
        <v>5351</v>
      </c>
      <c r="B4029" s="5">
        <v>43832.0</v>
      </c>
      <c r="C4029" s="6" t="s">
        <v>31</v>
      </c>
      <c r="D4029" s="11">
        <f t="shared" si="1"/>
        <v>67</v>
      </c>
      <c r="E4029" s="8" t="str">
        <f t="shared" si="2"/>
        <v>https://resources.simonelectric.com/simon-ebook-vehiculo-electrico</v>
      </c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</row>
    <row r="4030" ht="15.75" customHeight="1">
      <c r="A4030" s="5" t="s">
        <v>2453</v>
      </c>
      <c r="B4030" s="5">
        <v>43832.0</v>
      </c>
      <c r="C4030" s="6" t="s">
        <v>5352</v>
      </c>
      <c r="D4030" s="11">
        <f t="shared" si="1"/>
        <v>67</v>
      </c>
      <c r="E4030" s="8" t="str">
        <f t="shared" si="2"/>
        <v>https://resources.simonelectric.com/simon-ebook-vehiculo-electrico</v>
      </c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</row>
    <row r="4031" ht="15.75" customHeight="1">
      <c r="A4031" s="5" t="s">
        <v>3435</v>
      </c>
      <c r="B4031" s="5">
        <v>43832.0</v>
      </c>
      <c r="C4031" s="6" t="s">
        <v>5353</v>
      </c>
      <c r="D4031" s="11">
        <f t="shared" si="1"/>
        <v>67</v>
      </c>
      <c r="E4031" s="8" t="str">
        <f t="shared" si="2"/>
        <v>https://resources.simonelectric.com/simon-ebook-vehiculo-electrico</v>
      </c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</row>
    <row r="4032" ht="15.75" customHeight="1">
      <c r="A4032" s="5" t="s">
        <v>751</v>
      </c>
      <c r="B4032" s="5">
        <v>43832.0</v>
      </c>
      <c r="C4032" s="6" t="s">
        <v>31</v>
      </c>
      <c r="D4032" s="11">
        <f t="shared" si="1"/>
        <v>67</v>
      </c>
      <c r="E4032" s="8" t="str">
        <f t="shared" si="2"/>
        <v>https://resources.simonelectric.com/simon-ebook-vehiculo-electrico</v>
      </c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</row>
    <row r="4033" ht="15.75" customHeight="1">
      <c r="A4033" s="5" t="s">
        <v>4865</v>
      </c>
      <c r="B4033" s="5">
        <v>43832.0</v>
      </c>
      <c r="C4033" s="6" t="s">
        <v>75</v>
      </c>
      <c r="D4033" s="11">
        <f t="shared" si="1"/>
        <v>67</v>
      </c>
      <c r="E4033" s="8" t="str">
        <f t="shared" si="2"/>
        <v>https://resources.simonelectric.com/simon-ebook-vehiculo-electrico</v>
      </c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</row>
    <row r="4034" ht="15.75" customHeight="1">
      <c r="A4034" s="5" t="s">
        <v>5354</v>
      </c>
      <c r="B4034" s="5">
        <v>43832.0</v>
      </c>
      <c r="C4034" s="6" t="s">
        <v>5355</v>
      </c>
      <c r="D4034" s="11">
        <f t="shared" si="1"/>
        <v>67</v>
      </c>
      <c r="E4034" s="8" t="str">
        <f t="shared" si="2"/>
        <v>https://resources.simonelectric.com/simon-ebook-vehiculo-electrico</v>
      </c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</row>
    <row r="4035" ht="15.75" customHeight="1">
      <c r="A4035" s="5" t="s">
        <v>5356</v>
      </c>
      <c r="B4035" s="5">
        <v>43832.0</v>
      </c>
      <c r="C4035" s="6" t="s">
        <v>5357</v>
      </c>
      <c r="D4035" s="11">
        <f t="shared" si="1"/>
        <v>67</v>
      </c>
      <c r="E4035" s="8" t="str">
        <f t="shared" si="2"/>
        <v>https://resources.simonelectric.com/simon-ebook-vehiculo-electrico</v>
      </c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</row>
    <row r="4036" ht="15.75" customHeight="1">
      <c r="A4036" s="5" t="s">
        <v>5358</v>
      </c>
      <c r="B4036" s="5">
        <v>43832.0</v>
      </c>
      <c r="C4036" s="6" t="s">
        <v>231</v>
      </c>
      <c r="D4036" s="11">
        <f t="shared" si="1"/>
        <v>67</v>
      </c>
      <c r="E4036" s="8" t="str">
        <f t="shared" si="2"/>
        <v>https://resources.simonelectric.com/simon-ebook-vehiculo-electrico</v>
      </c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</row>
    <row r="4037" ht="15.75" customHeight="1">
      <c r="A4037" s="5" t="s">
        <v>5359</v>
      </c>
      <c r="B4037" s="5">
        <v>43832.0</v>
      </c>
      <c r="C4037" s="6" t="s">
        <v>31</v>
      </c>
      <c r="D4037" s="11">
        <f t="shared" si="1"/>
        <v>67</v>
      </c>
      <c r="E4037" s="8" t="str">
        <f t="shared" si="2"/>
        <v>https://resources.simonelectric.com/simon-ebook-vehiculo-electrico</v>
      </c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</row>
    <row r="4038" ht="15.75" customHeight="1">
      <c r="A4038" s="5" t="s">
        <v>5360</v>
      </c>
      <c r="B4038" s="5">
        <v>43832.0</v>
      </c>
      <c r="C4038" s="6" t="s">
        <v>5361</v>
      </c>
      <c r="D4038" s="11">
        <f t="shared" si="1"/>
        <v>67</v>
      </c>
      <c r="E4038" s="8" t="str">
        <f t="shared" si="2"/>
        <v>https://resources.simonelectric.com/simon-ebook-vehiculo-electrico</v>
      </c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</row>
    <row r="4039" ht="15.75" customHeight="1">
      <c r="A4039" s="5" t="s">
        <v>2893</v>
      </c>
      <c r="B4039" s="5">
        <v>43832.0</v>
      </c>
      <c r="C4039" s="6" t="s">
        <v>31</v>
      </c>
      <c r="D4039" s="11">
        <f t="shared" si="1"/>
        <v>67</v>
      </c>
      <c r="E4039" s="8" t="str">
        <f t="shared" si="2"/>
        <v>https://resources.simonelectric.com/simon-ebook-vehiculo-electrico</v>
      </c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</row>
    <row r="4040" ht="15.75" customHeight="1">
      <c r="A4040" s="5" t="s">
        <v>5362</v>
      </c>
      <c r="B4040" s="5">
        <v>43832.0</v>
      </c>
      <c r="C4040" s="6" t="s">
        <v>31</v>
      </c>
      <c r="D4040" s="11">
        <f t="shared" si="1"/>
        <v>67</v>
      </c>
      <c r="E4040" s="8" t="str">
        <f t="shared" si="2"/>
        <v>https://resources.simonelectric.com/simon-ebook-vehiculo-electrico</v>
      </c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</row>
    <row r="4041" ht="15.75" customHeight="1">
      <c r="A4041" s="5" t="s">
        <v>2254</v>
      </c>
      <c r="B4041" s="5">
        <v>43832.0</v>
      </c>
      <c r="C4041" s="6" t="s">
        <v>5363</v>
      </c>
      <c r="D4041" s="11">
        <f t="shared" si="1"/>
        <v>67</v>
      </c>
      <c r="E4041" s="8" t="str">
        <f t="shared" si="2"/>
        <v>https://resources.simonelectric.com/simon-ebook-vehiculo-electrico</v>
      </c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</row>
    <row r="4042" ht="15.75" customHeight="1">
      <c r="A4042" s="5" t="s">
        <v>355</v>
      </c>
      <c r="B4042" s="5">
        <v>43832.0</v>
      </c>
      <c r="C4042" s="6" t="s">
        <v>31</v>
      </c>
      <c r="D4042" s="11">
        <f t="shared" si="1"/>
        <v>67</v>
      </c>
      <c r="E4042" s="8" t="str">
        <f t="shared" si="2"/>
        <v>https://resources.simonelectric.com/simon-ebook-vehiculo-electrico</v>
      </c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</row>
    <row r="4043" ht="15.75" customHeight="1">
      <c r="A4043" s="5" t="s">
        <v>5364</v>
      </c>
      <c r="B4043" s="5">
        <v>43832.0</v>
      </c>
      <c r="C4043" s="6" t="s">
        <v>5365</v>
      </c>
      <c r="D4043" s="11">
        <f t="shared" si="1"/>
        <v>67</v>
      </c>
      <c r="E4043" s="8" t="str">
        <f t="shared" si="2"/>
        <v>https://resources.simonelectric.com/simon-ebook-vehiculo-electrico</v>
      </c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</row>
    <row r="4044" ht="15.75" customHeight="1">
      <c r="A4044" s="5" t="s">
        <v>2733</v>
      </c>
      <c r="B4044" s="5">
        <v>43832.0</v>
      </c>
      <c r="C4044" s="6" t="s">
        <v>31</v>
      </c>
      <c r="D4044" s="11">
        <f t="shared" si="1"/>
        <v>67</v>
      </c>
      <c r="E4044" s="8" t="str">
        <f t="shared" si="2"/>
        <v>https://resources.simonelectric.com/simon-ebook-vehiculo-electrico</v>
      </c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</row>
    <row r="4045" ht="15.75" customHeight="1">
      <c r="A4045" s="5" t="s">
        <v>5366</v>
      </c>
      <c r="B4045" s="5">
        <v>43832.0</v>
      </c>
      <c r="C4045" s="6" t="s">
        <v>5367</v>
      </c>
      <c r="D4045" s="11">
        <f t="shared" si="1"/>
        <v>67</v>
      </c>
      <c r="E4045" s="8" t="str">
        <f t="shared" si="2"/>
        <v>https://resources.simonelectric.com/simon-ebook-vehiculo-electrico</v>
      </c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</row>
    <row r="4046" ht="15.75" customHeight="1">
      <c r="A4046" s="5" t="s">
        <v>104</v>
      </c>
      <c r="B4046" s="5">
        <v>43832.0</v>
      </c>
      <c r="C4046" s="6" t="s">
        <v>5368</v>
      </c>
      <c r="D4046" s="11">
        <f t="shared" si="1"/>
        <v>67</v>
      </c>
      <c r="E4046" s="8" t="str">
        <f t="shared" si="2"/>
        <v>https://resources.simonelectric.com/simon-ebook-vehiculo-electrico</v>
      </c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</row>
    <row r="4047" ht="15.75" customHeight="1">
      <c r="A4047" s="5" t="s">
        <v>5369</v>
      </c>
      <c r="B4047" s="5">
        <v>43832.0</v>
      </c>
      <c r="C4047" s="6" t="s">
        <v>31</v>
      </c>
      <c r="D4047" s="11">
        <f t="shared" si="1"/>
        <v>67</v>
      </c>
      <c r="E4047" s="8" t="str">
        <f t="shared" si="2"/>
        <v>https://resources.simonelectric.com/simon-ebook-vehiculo-electrico</v>
      </c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</row>
    <row r="4048" ht="15.75" customHeight="1">
      <c r="A4048" s="5" t="s">
        <v>2968</v>
      </c>
      <c r="B4048" s="5">
        <v>43832.0</v>
      </c>
      <c r="C4048" s="6" t="s">
        <v>5370</v>
      </c>
      <c r="D4048" s="11">
        <f t="shared" si="1"/>
        <v>67</v>
      </c>
      <c r="E4048" s="8" t="str">
        <f t="shared" si="2"/>
        <v>https://resources.simonelectric.com/simon-ebook-vehiculo-electrico</v>
      </c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</row>
    <row r="4049" ht="15.75" customHeight="1">
      <c r="A4049" s="5" t="s">
        <v>2968</v>
      </c>
      <c r="B4049" s="5">
        <v>43832.0</v>
      </c>
      <c r="C4049" s="6" t="s">
        <v>5370</v>
      </c>
      <c r="D4049" s="11">
        <f t="shared" si="1"/>
        <v>67</v>
      </c>
      <c r="E4049" s="8" t="str">
        <f t="shared" si="2"/>
        <v>https://resources.simonelectric.com/simon-ebook-vehiculo-electrico</v>
      </c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</row>
    <row r="4050" ht="15.75" customHeight="1">
      <c r="A4050" s="5" t="s">
        <v>5371</v>
      </c>
      <c r="B4050" s="5">
        <v>43832.0</v>
      </c>
      <c r="C4050" s="6" t="s">
        <v>5372</v>
      </c>
      <c r="D4050" s="11">
        <f t="shared" si="1"/>
        <v>67</v>
      </c>
      <c r="E4050" s="8" t="str">
        <f t="shared" si="2"/>
        <v>https://resources.simonelectric.com/simon-ebook-vehiculo-electrico</v>
      </c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</row>
    <row r="4051" ht="15.75" customHeight="1">
      <c r="A4051" s="5" t="s">
        <v>5373</v>
      </c>
      <c r="B4051" s="5">
        <v>43832.0</v>
      </c>
      <c r="C4051" s="6" t="s">
        <v>5374</v>
      </c>
      <c r="D4051" s="11">
        <f t="shared" si="1"/>
        <v>67</v>
      </c>
      <c r="E4051" s="8" t="str">
        <f t="shared" si="2"/>
        <v>https://resources.simonelectric.com/simon-ebook-vehiculo-electrico</v>
      </c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</row>
    <row r="4052" ht="15.75" customHeight="1">
      <c r="A4052" s="5" t="s">
        <v>5375</v>
      </c>
      <c r="B4052" s="5">
        <v>43832.0</v>
      </c>
      <c r="C4052" s="6" t="s">
        <v>5376</v>
      </c>
      <c r="D4052" s="11">
        <f t="shared" si="1"/>
        <v>67</v>
      </c>
      <c r="E4052" s="8" t="str">
        <f t="shared" si="2"/>
        <v>https://resources.simonelectric.com/simon-ebook-vehiculo-electrico</v>
      </c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</row>
    <row r="4053" ht="15.75" customHeight="1">
      <c r="A4053" s="5" t="s">
        <v>5377</v>
      </c>
      <c r="B4053" s="5">
        <v>43832.0</v>
      </c>
      <c r="C4053" s="6" t="s">
        <v>5378</v>
      </c>
      <c r="D4053" s="11">
        <f t="shared" si="1"/>
        <v>67</v>
      </c>
      <c r="E4053" s="8" t="str">
        <f t="shared" si="2"/>
        <v>https://resources.simonelectric.com/simon-ebook-vehiculo-electrico</v>
      </c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</row>
    <row r="4054" ht="15.75" customHeight="1">
      <c r="A4054" s="5" t="s">
        <v>5379</v>
      </c>
      <c r="B4054" s="5">
        <v>43832.0</v>
      </c>
      <c r="C4054" s="6" t="s">
        <v>5380</v>
      </c>
      <c r="D4054" s="11">
        <f t="shared" si="1"/>
        <v>67</v>
      </c>
      <c r="E4054" s="8" t="str">
        <f t="shared" si="2"/>
        <v>https://resources.simonelectric.com/simon-ebook-vehiculo-electrico</v>
      </c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</row>
    <row r="4055" ht="15.75" customHeight="1">
      <c r="A4055" s="5" t="s">
        <v>3042</v>
      </c>
      <c r="B4055" s="5">
        <v>43832.0</v>
      </c>
      <c r="C4055" s="6" t="s">
        <v>5381</v>
      </c>
      <c r="D4055" s="11">
        <f t="shared" si="1"/>
        <v>67</v>
      </c>
      <c r="E4055" s="8" t="str">
        <f t="shared" si="2"/>
        <v>https://resources.simonelectric.com/simon-ebook-vehiculo-electrico</v>
      </c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</row>
    <row r="4056" ht="15.75" customHeight="1">
      <c r="A4056" s="5" t="s">
        <v>5382</v>
      </c>
      <c r="B4056" s="5">
        <v>43832.0</v>
      </c>
      <c r="C4056" s="6" t="s">
        <v>5383</v>
      </c>
      <c r="D4056" s="11">
        <f t="shared" si="1"/>
        <v>67</v>
      </c>
      <c r="E4056" s="8" t="str">
        <f t="shared" si="2"/>
        <v>https://resources.simonelectric.com/simon-ebook-vehiculo-electrico</v>
      </c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</row>
    <row r="4057" ht="15.75" customHeight="1">
      <c r="A4057" s="5" t="s">
        <v>5384</v>
      </c>
      <c r="B4057" s="5">
        <v>43832.0</v>
      </c>
      <c r="C4057" s="6" t="s">
        <v>5385</v>
      </c>
      <c r="D4057" s="11">
        <f t="shared" si="1"/>
        <v>67</v>
      </c>
      <c r="E4057" s="8" t="str">
        <f t="shared" si="2"/>
        <v>https://resources.simonelectric.com/simon-ebook-vehiculo-electrico</v>
      </c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</row>
    <row r="4058" ht="15.75" customHeight="1">
      <c r="A4058" s="5" t="s">
        <v>3264</v>
      </c>
      <c r="B4058" s="5">
        <v>43832.0</v>
      </c>
      <c r="C4058" s="6" t="s">
        <v>5386</v>
      </c>
      <c r="D4058" s="11">
        <f t="shared" si="1"/>
        <v>67</v>
      </c>
      <c r="E4058" s="8" t="str">
        <f t="shared" si="2"/>
        <v>https://resources.simonelectric.com/simon-ebook-vehiculo-electrico</v>
      </c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</row>
    <row r="4059" ht="15.75" customHeight="1">
      <c r="A4059" s="5" t="s">
        <v>5387</v>
      </c>
      <c r="B4059" s="5">
        <v>43832.0</v>
      </c>
      <c r="C4059" s="6" t="s">
        <v>5388</v>
      </c>
      <c r="D4059" s="11">
        <f t="shared" si="1"/>
        <v>67</v>
      </c>
      <c r="E4059" s="8" t="str">
        <f t="shared" si="2"/>
        <v>https://resources.simonelectric.com/simon-ebook-vehiculo-electrico</v>
      </c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</row>
    <row r="4060" ht="15.75" customHeight="1">
      <c r="A4060" s="5" t="s">
        <v>5389</v>
      </c>
      <c r="B4060" s="5">
        <v>43832.0</v>
      </c>
      <c r="C4060" s="6" t="s">
        <v>31</v>
      </c>
      <c r="D4060" s="11">
        <f t="shared" si="1"/>
        <v>67</v>
      </c>
      <c r="E4060" s="8" t="str">
        <f t="shared" si="2"/>
        <v>https://resources.simonelectric.com/simon-ebook-vehiculo-electrico</v>
      </c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</row>
    <row r="4061" ht="15.75" customHeight="1">
      <c r="A4061" s="5" t="s">
        <v>5390</v>
      </c>
      <c r="B4061" s="5">
        <v>43832.0</v>
      </c>
      <c r="C4061" s="6" t="s">
        <v>5391</v>
      </c>
      <c r="D4061" s="11">
        <f t="shared" si="1"/>
        <v>67</v>
      </c>
      <c r="E4061" s="8" t="str">
        <f t="shared" si="2"/>
        <v>https://resources.simonelectric.com/simon-ebook-vehiculo-electrico</v>
      </c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</row>
    <row r="4062" ht="15.75" customHeight="1">
      <c r="A4062" s="5" t="s">
        <v>5392</v>
      </c>
      <c r="B4062" s="5">
        <v>43832.0</v>
      </c>
      <c r="C4062" s="6" t="s">
        <v>48</v>
      </c>
      <c r="D4062" s="11">
        <f t="shared" si="1"/>
        <v>67</v>
      </c>
      <c r="E4062" s="8" t="str">
        <f t="shared" si="2"/>
        <v>https://resources.simonelectric.com/simon-ebook-vehiculo-electrico</v>
      </c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</row>
    <row r="4063" ht="15.75" customHeight="1">
      <c r="A4063" s="5" t="s">
        <v>2847</v>
      </c>
      <c r="B4063" s="5">
        <v>43832.0</v>
      </c>
      <c r="C4063" s="6" t="s">
        <v>31</v>
      </c>
      <c r="D4063" s="11">
        <f t="shared" si="1"/>
        <v>67</v>
      </c>
      <c r="E4063" s="8" t="str">
        <f t="shared" si="2"/>
        <v>https://resources.simonelectric.com/simon-ebook-vehiculo-electrico</v>
      </c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</row>
    <row r="4064" ht="15.75" customHeight="1">
      <c r="A4064" s="5" t="s">
        <v>5393</v>
      </c>
      <c r="B4064" s="5">
        <v>43832.0</v>
      </c>
      <c r="C4064" s="6" t="s">
        <v>31</v>
      </c>
      <c r="D4064" s="11">
        <f t="shared" si="1"/>
        <v>67</v>
      </c>
      <c r="E4064" s="8" t="str">
        <f t="shared" si="2"/>
        <v>https://resources.simonelectric.com/simon-ebook-vehiculo-electrico</v>
      </c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</row>
    <row r="4065" ht="15.75" customHeight="1">
      <c r="A4065" s="5" t="s">
        <v>5394</v>
      </c>
      <c r="B4065" s="5">
        <v>43832.0</v>
      </c>
      <c r="C4065" s="6" t="s">
        <v>5395</v>
      </c>
      <c r="D4065" s="11">
        <f t="shared" si="1"/>
        <v>67</v>
      </c>
      <c r="E4065" s="8" t="str">
        <f t="shared" si="2"/>
        <v>https://resources.simonelectric.com/simon-ebook-vehiculo-electrico</v>
      </c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</row>
    <row r="4066" ht="15.75" customHeight="1">
      <c r="A4066" s="5" t="s">
        <v>5396</v>
      </c>
      <c r="B4066" s="5">
        <v>43832.0</v>
      </c>
      <c r="C4066" s="6" t="s">
        <v>5397</v>
      </c>
      <c r="D4066" s="11">
        <f t="shared" si="1"/>
        <v>67</v>
      </c>
      <c r="E4066" s="8" t="str">
        <f t="shared" si="2"/>
        <v>https://resources.simonelectric.com/simon-ebook-vehiculo-electrico</v>
      </c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</row>
    <row r="4067" ht="15.75" customHeight="1">
      <c r="A4067" s="5" t="s">
        <v>5312</v>
      </c>
      <c r="B4067" s="5">
        <v>43832.0</v>
      </c>
      <c r="C4067" s="6" t="s">
        <v>5313</v>
      </c>
      <c r="D4067" s="11">
        <f t="shared" si="1"/>
        <v>67</v>
      </c>
      <c r="E4067" s="8" t="str">
        <f t="shared" si="2"/>
        <v>https://resources.simonelectric.com/simon-ebook-vehiculo-electrico</v>
      </c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</row>
    <row r="4068" ht="15.75" customHeight="1">
      <c r="A4068" s="5" t="s">
        <v>5398</v>
      </c>
      <c r="B4068" s="5">
        <v>43832.0</v>
      </c>
      <c r="C4068" s="6" t="s">
        <v>5399</v>
      </c>
      <c r="D4068" s="11">
        <f t="shared" si="1"/>
        <v>67</v>
      </c>
      <c r="E4068" s="8" t="str">
        <f t="shared" si="2"/>
        <v>https://resources.simonelectric.com/simon-ebook-vehiculo-electrico</v>
      </c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</row>
    <row r="4069" ht="15.75" customHeight="1">
      <c r="A4069" s="5" t="s">
        <v>5400</v>
      </c>
      <c r="B4069" s="5">
        <v>43831.0</v>
      </c>
      <c r="C4069" s="6" t="s">
        <v>5401</v>
      </c>
      <c r="D4069" s="11">
        <f t="shared" si="1"/>
        <v>67</v>
      </c>
      <c r="E4069" s="8" t="str">
        <f t="shared" si="2"/>
        <v>https://resources.simonelectric.com/simon-ebook-vehiculo-electrico</v>
      </c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</row>
    <row r="4070" ht="15.75" customHeight="1">
      <c r="A4070" s="12"/>
      <c r="B4070" s="12"/>
      <c r="C4070" s="13"/>
      <c r="D4070" s="14"/>
      <c r="E4070" s="1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</row>
    <row r="4071" ht="15.75" customHeight="1">
      <c r="A4071" s="12"/>
      <c r="B4071" s="12"/>
      <c r="C4071" s="13"/>
      <c r="D4071" s="14"/>
      <c r="E4071" s="1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</row>
    <row r="4072" ht="15.75" customHeight="1">
      <c r="A4072" s="12"/>
      <c r="B4072" s="12"/>
      <c r="C4072" s="13"/>
      <c r="D4072" s="14"/>
      <c r="E4072" s="1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</row>
    <row r="4073" ht="15.75" customHeight="1">
      <c r="A4073" s="12"/>
      <c r="B4073" s="12"/>
      <c r="C4073" s="13"/>
      <c r="D4073" s="14"/>
      <c r="E4073" s="1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</row>
    <row r="4074" ht="15.75" customHeight="1">
      <c r="A4074" s="12"/>
      <c r="B4074" s="12"/>
      <c r="C4074" s="13"/>
      <c r="D4074" s="14"/>
      <c r="E4074" s="1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</row>
    <row r="4075" ht="15.75" customHeight="1">
      <c r="A4075" s="12"/>
      <c r="B4075" s="12"/>
      <c r="C4075" s="13"/>
      <c r="D4075" s="14"/>
      <c r="E4075" s="1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</row>
    <row r="4076" ht="15.75" customHeight="1">
      <c r="A4076" s="12"/>
      <c r="B4076" s="12"/>
      <c r="C4076" s="13"/>
      <c r="D4076" s="14"/>
      <c r="E4076" s="1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</row>
    <row r="4077" ht="15.75" customHeight="1">
      <c r="A4077" s="12"/>
      <c r="B4077" s="12"/>
      <c r="C4077" s="13"/>
      <c r="D4077" s="14"/>
      <c r="E4077" s="1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</row>
    <row r="4078" ht="15.75" customHeight="1">
      <c r="A4078" s="12"/>
      <c r="B4078" s="12"/>
      <c r="C4078" s="13"/>
      <c r="D4078" s="14"/>
      <c r="E4078" s="1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</row>
    <row r="4079" ht="15.75" customHeight="1">
      <c r="A4079" s="12"/>
      <c r="B4079" s="12"/>
      <c r="C4079" s="13"/>
      <c r="D4079" s="14"/>
      <c r="E4079" s="1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</row>
    <row r="4080" ht="15.75" customHeight="1">
      <c r="A4080" s="12"/>
      <c r="B4080" s="12"/>
      <c r="C4080" s="13"/>
      <c r="D4080" s="14"/>
      <c r="E4080" s="1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</row>
    <row r="4081" ht="15.75" customHeight="1">
      <c r="A4081" s="12"/>
      <c r="B4081" s="12"/>
      <c r="C4081" s="13"/>
      <c r="D4081" s="14"/>
      <c r="E4081" s="1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</row>
    <row r="4082" ht="15.75" customHeight="1">
      <c r="A4082" s="12"/>
      <c r="B4082" s="12"/>
      <c r="C4082" s="13"/>
      <c r="D4082" s="14"/>
      <c r="E4082" s="1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</row>
    <row r="4083" ht="15.75" customHeight="1">
      <c r="A4083" s="12"/>
      <c r="B4083" s="12"/>
      <c r="C4083" s="13"/>
      <c r="D4083" s="14"/>
      <c r="E4083" s="1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</row>
    <row r="4084" ht="15.75" customHeight="1">
      <c r="A4084" s="12"/>
      <c r="B4084" s="12"/>
      <c r="C4084" s="13"/>
      <c r="D4084" s="14"/>
      <c r="E4084" s="1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</row>
    <row r="4085" ht="15.75" customHeight="1">
      <c r="A4085" s="12"/>
      <c r="B4085" s="12"/>
      <c r="C4085" s="13"/>
      <c r="D4085" s="14"/>
      <c r="E4085" s="1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</row>
    <row r="4086" ht="15.75" customHeight="1">
      <c r="A4086" s="12"/>
      <c r="B4086" s="12"/>
      <c r="C4086" s="13"/>
      <c r="D4086" s="14"/>
      <c r="E4086" s="1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</row>
    <row r="4087" ht="15.75" customHeight="1">
      <c r="A4087" s="12"/>
      <c r="B4087" s="12"/>
      <c r="C4087" s="13"/>
      <c r="D4087" s="14"/>
      <c r="E4087" s="1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3"/>
    <hyperlink r:id="rId1193" ref="C1194"/>
    <hyperlink r:id="rId1194" ref="C1195"/>
    <hyperlink r:id="rId1195" ref="C1196"/>
    <hyperlink r:id="rId1196" ref="C1197"/>
    <hyperlink r:id="rId1197" ref="C1198"/>
    <hyperlink r:id="rId1198" ref="C1199"/>
    <hyperlink r:id="rId1199" ref="C1200"/>
    <hyperlink r:id="rId1200" ref="C1201"/>
    <hyperlink r:id="rId1201" ref="C1202"/>
    <hyperlink r:id="rId1202" ref="C1203"/>
    <hyperlink r:id="rId1203" ref="C1204"/>
    <hyperlink r:id="rId1204" ref="C1205"/>
    <hyperlink r:id="rId1205" ref="C1206"/>
    <hyperlink r:id="rId1206" ref="C1207"/>
    <hyperlink r:id="rId1207" ref="C1208"/>
    <hyperlink r:id="rId1208" ref="C1209"/>
    <hyperlink r:id="rId1209" ref="C1210"/>
    <hyperlink r:id="rId1210" ref="C1211"/>
    <hyperlink r:id="rId1211" ref="C1212"/>
    <hyperlink r:id="rId1212" ref="C1213"/>
    <hyperlink r:id="rId1213" ref="C1214"/>
    <hyperlink r:id="rId1214" ref="C1215"/>
    <hyperlink r:id="rId1215" ref="C1216"/>
    <hyperlink r:id="rId1216" ref="C1217"/>
    <hyperlink r:id="rId1217" ref="C1218"/>
    <hyperlink r:id="rId1218" ref="C1219"/>
    <hyperlink r:id="rId1219" ref="C1220"/>
    <hyperlink r:id="rId1220" ref="C1221"/>
    <hyperlink r:id="rId1221" ref="C1222"/>
    <hyperlink r:id="rId1222" ref="C1223"/>
    <hyperlink r:id="rId1223" ref="C1224"/>
    <hyperlink r:id="rId1224" ref="C1225"/>
    <hyperlink r:id="rId1225" ref="C1226"/>
    <hyperlink r:id="rId1226" ref="C1227"/>
    <hyperlink r:id="rId1227" ref="C1228"/>
    <hyperlink r:id="rId1228" ref="C1229"/>
    <hyperlink r:id="rId1229" ref="C1230"/>
    <hyperlink r:id="rId1230" ref="C1231"/>
    <hyperlink r:id="rId1231" ref="C1232"/>
    <hyperlink r:id="rId1232" ref="C1233"/>
    <hyperlink r:id="rId1233" ref="C1234"/>
    <hyperlink r:id="rId1234" ref="C1235"/>
    <hyperlink r:id="rId1235" ref="C1236"/>
    <hyperlink r:id="rId1236" ref="C1237"/>
    <hyperlink r:id="rId1237" ref="C1238"/>
    <hyperlink r:id="rId1238" ref="C1239"/>
    <hyperlink r:id="rId1239" ref="C1240"/>
    <hyperlink r:id="rId1240" ref="C1241"/>
    <hyperlink r:id="rId1241" ref="C1242"/>
    <hyperlink r:id="rId1242" ref="C1243"/>
    <hyperlink r:id="rId1243" ref="C1244"/>
    <hyperlink r:id="rId1244" ref="C1245"/>
    <hyperlink r:id="rId1245" ref="C1246"/>
    <hyperlink r:id="rId1246" ref="C1247"/>
    <hyperlink r:id="rId1247" ref="C1248"/>
    <hyperlink r:id="rId1248" ref="C1249"/>
    <hyperlink r:id="rId1249" ref="C1250"/>
    <hyperlink r:id="rId1250" ref="C1251"/>
    <hyperlink r:id="rId1251" ref="C1252"/>
    <hyperlink r:id="rId1252" ref="C1253"/>
    <hyperlink r:id="rId1253" ref="C1254"/>
    <hyperlink r:id="rId1254" ref="C1255"/>
    <hyperlink r:id="rId1255" ref="C1256"/>
    <hyperlink r:id="rId1256" ref="C1257"/>
    <hyperlink r:id="rId1257" ref="C1258"/>
    <hyperlink r:id="rId1258" ref="C1259"/>
    <hyperlink r:id="rId1259" ref="C1260"/>
    <hyperlink r:id="rId1260" ref="C1261"/>
    <hyperlink r:id="rId1261" ref="C1262"/>
    <hyperlink r:id="rId1262" ref="C1263"/>
    <hyperlink r:id="rId1263" ref="C1264"/>
    <hyperlink r:id="rId1264" ref="C1265"/>
    <hyperlink r:id="rId1265" ref="C1266"/>
    <hyperlink r:id="rId1266" ref="C1267"/>
    <hyperlink r:id="rId1267" ref="C1268"/>
    <hyperlink r:id="rId1268" ref="C1269"/>
    <hyperlink r:id="rId1269" ref="C1270"/>
    <hyperlink r:id="rId1270" ref="C1271"/>
    <hyperlink r:id="rId1271" ref="C1272"/>
    <hyperlink r:id="rId1272" ref="C1273"/>
    <hyperlink r:id="rId1273" ref="C1274"/>
    <hyperlink r:id="rId1274" ref="C1275"/>
    <hyperlink r:id="rId1275" ref="C1276"/>
    <hyperlink r:id="rId1276" ref="C1277"/>
    <hyperlink r:id="rId1277" ref="C1278"/>
    <hyperlink r:id="rId1278" ref="C1279"/>
    <hyperlink r:id="rId1279" ref="C1280"/>
    <hyperlink r:id="rId1280" ref="C1281"/>
    <hyperlink r:id="rId1281" ref="C1282"/>
    <hyperlink r:id="rId1282" ref="C1283"/>
    <hyperlink r:id="rId1283" ref="C1284"/>
    <hyperlink r:id="rId1284" ref="C1285"/>
    <hyperlink r:id="rId1285" ref="C1286"/>
    <hyperlink r:id="rId1286" ref="C1287"/>
    <hyperlink r:id="rId1287" ref="C1288"/>
    <hyperlink r:id="rId1288" ref="C1289"/>
    <hyperlink r:id="rId1289" ref="C1290"/>
    <hyperlink r:id="rId1290" ref="C1291"/>
    <hyperlink r:id="rId1291" ref="C1292"/>
    <hyperlink r:id="rId1292" ref="C1293"/>
    <hyperlink r:id="rId1293" ref="C1294"/>
    <hyperlink r:id="rId1294" ref="C1295"/>
    <hyperlink r:id="rId1295" ref="C1296"/>
    <hyperlink r:id="rId1296" ref="C1297"/>
    <hyperlink r:id="rId1297" ref="C1298"/>
    <hyperlink r:id="rId1298" ref="C1299"/>
    <hyperlink r:id="rId1299" ref="C1300"/>
    <hyperlink r:id="rId1300" ref="C1301"/>
    <hyperlink r:id="rId1301" ref="C1302"/>
    <hyperlink r:id="rId1302" ref="C1303"/>
    <hyperlink r:id="rId1303" ref="C1304"/>
    <hyperlink r:id="rId1304" ref="C1305"/>
    <hyperlink r:id="rId1305" ref="C1306"/>
    <hyperlink r:id="rId1306" ref="C1307"/>
    <hyperlink r:id="rId1307" ref="C1308"/>
    <hyperlink r:id="rId1308" ref="C1309"/>
    <hyperlink r:id="rId1309" ref="C1310"/>
    <hyperlink r:id="rId1310" ref="C1311"/>
    <hyperlink r:id="rId1311" ref="C1312"/>
    <hyperlink r:id="rId1312" ref="C1313"/>
    <hyperlink r:id="rId1313" ref="C1314"/>
    <hyperlink r:id="rId1314" ref="C1315"/>
    <hyperlink r:id="rId1315" ref="C1316"/>
    <hyperlink r:id="rId1316" ref="C1317"/>
    <hyperlink r:id="rId1317" ref="C1318"/>
    <hyperlink r:id="rId1318" ref="C1319"/>
    <hyperlink r:id="rId1319" ref="C1320"/>
    <hyperlink r:id="rId1320" ref="C1321"/>
    <hyperlink r:id="rId1321" ref="C1322"/>
    <hyperlink r:id="rId1322" ref="C1323"/>
    <hyperlink r:id="rId1323" ref="C1324"/>
    <hyperlink r:id="rId1324" ref="C1325"/>
    <hyperlink r:id="rId1325" ref="C1326"/>
    <hyperlink r:id="rId1326" ref="C1327"/>
    <hyperlink r:id="rId1327" ref="C1328"/>
    <hyperlink r:id="rId1328" ref="C1329"/>
    <hyperlink r:id="rId1329" ref="C1330"/>
    <hyperlink r:id="rId1330" ref="C1331"/>
    <hyperlink r:id="rId1331" ref="C1332"/>
    <hyperlink r:id="rId1332" ref="C1333"/>
    <hyperlink r:id="rId1333" ref="C1334"/>
    <hyperlink r:id="rId1334" ref="C1335"/>
    <hyperlink r:id="rId1335" ref="C1336"/>
    <hyperlink r:id="rId1336" ref="C1337"/>
    <hyperlink r:id="rId1337" ref="C1338"/>
    <hyperlink r:id="rId1338" ref="C1339"/>
    <hyperlink r:id="rId1339" ref="C1340"/>
    <hyperlink r:id="rId1340" ref="C1341"/>
    <hyperlink r:id="rId1341" ref="C1342"/>
    <hyperlink r:id="rId1342" ref="C1343"/>
    <hyperlink r:id="rId1343" ref="C1344"/>
    <hyperlink r:id="rId1344" ref="C1345"/>
    <hyperlink r:id="rId1345" ref="C1346"/>
    <hyperlink r:id="rId1346" ref="C1347"/>
    <hyperlink r:id="rId1347" ref="C1348"/>
    <hyperlink r:id="rId1348" ref="C1349"/>
    <hyperlink r:id="rId1349" ref="C1350"/>
    <hyperlink r:id="rId1350" ref="C1351"/>
    <hyperlink r:id="rId1351" ref="C1352"/>
    <hyperlink r:id="rId1352" ref="C1353"/>
    <hyperlink r:id="rId1353" ref="C1354"/>
    <hyperlink r:id="rId1354" ref="C1355"/>
    <hyperlink r:id="rId1355" ref="C1356"/>
    <hyperlink r:id="rId1356" ref="C1357"/>
    <hyperlink r:id="rId1357" ref="C1358"/>
    <hyperlink r:id="rId1358" ref="C1359"/>
    <hyperlink r:id="rId1359" ref="C1360"/>
    <hyperlink r:id="rId1360" ref="C1361"/>
    <hyperlink r:id="rId1361" ref="C1362"/>
    <hyperlink r:id="rId1362" ref="C1363"/>
    <hyperlink r:id="rId1363" ref="C1364"/>
    <hyperlink r:id="rId1364" ref="C1365"/>
    <hyperlink r:id="rId1365" ref="C1366"/>
    <hyperlink r:id="rId1366" ref="C1367"/>
    <hyperlink r:id="rId1367" ref="C1368"/>
    <hyperlink r:id="rId1368" ref="C1369"/>
    <hyperlink r:id="rId1369" ref="C1370"/>
    <hyperlink r:id="rId1370" ref="C1371"/>
    <hyperlink r:id="rId1371" ref="C1372"/>
    <hyperlink r:id="rId1372" ref="C1373"/>
    <hyperlink r:id="rId1373" ref="C1374"/>
    <hyperlink r:id="rId1374" ref="C1375"/>
    <hyperlink r:id="rId1375" ref="C1376"/>
    <hyperlink r:id="rId1376" ref="C1377"/>
    <hyperlink r:id="rId1377" ref="C1378"/>
    <hyperlink r:id="rId1378" ref="C1379"/>
    <hyperlink r:id="rId1379" ref="C1380"/>
    <hyperlink r:id="rId1380" ref="C1381"/>
    <hyperlink r:id="rId1381" ref="C1382"/>
    <hyperlink r:id="rId1382" ref="C1383"/>
    <hyperlink r:id="rId1383" ref="C1384"/>
    <hyperlink r:id="rId1384" ref="C1385"/>
    <hyperlink r:id="rId1385" ref="C1386"/>
    <hyperlink r:id="rId1386" ref="C1387"/>
    <hyperlink r:id="rId1387" ref="C1388"/>
    <hyperlink r:id="rId1388" ref="C1389"/>
    <hyperlink r:id="rId1389" ref="C1390"/>
    <hyperlink r:id="rId1390" ref="C1391"/>
    <hyperlink r:id="rId1391" ref="C1392"/>
    <hyperlink r:id="rId1392" ref="C1393"/>
    <hyperlink r:id="rId1393" ref="C1394"/>
    <hyperlink r:id="rId1394" ref="C1395"/>
    <hyperlink r:id="rId1395" ref="C1396"/>
    <hyperlink r:id="rId1396" ref="C1397"/>
    <hyperlink r:id="rId1397" ref="C1398"/>
    <hyperlink r:id="rId1398" ref="C1399"/>
    <hyperlink r:id="rId1399" ref="C1400"/>
    <hyperlink r:id="rId1400" ref="C1401"/>
    <hyperlink r:id="rId1401" ref="C1402"/>
    <hyperlink r:id="rId1402" ref="C1403"/>
    <hyperlink r:id="rId1403" ref="C1404"/>
    <hyperlink r:id="rId1404" ref="C1405"/>
    <hyperlink r:id="rId1405" ref="C1406"/>
    <hyperlink r:id="rId1406" ref="C1407"/>
    <hyperlink r:id="rId1407" ref="C1408"/>
    <hyperlink r:id="rId1408" ref="C1409"/>
    <hyperlink r:id="rId1409" ref="C1410"/>
    <hyperlink r:id="rId1410" ref="C1411"/>
    <hyperlink r:id="rId1411" ref="C1412"/>
    <hyperlink r:id="rId1412" ref="C1413"/>
    <hyperlink r:id="rId1413" ref="C1414"/>
    <hyperlink r:id="rId1414" ref="C1415"/>
    <hyperlink r:id="rId1415" ref="C1416"/>
    <hyperlink r:id="rId1416" ref="C1417"/>
    <hyperlink r:id="rId1417" ref="C1418"/>
    <hyperlink r:id="rId1418" ref="C1419"/>
    <hyperlink r:id="rId1419" ref="C1420"/>
    <hyperlink r:id="rId1420" ref="C1421"/>
    <hyperlink r:id="rId1421" ref="C1422"/>
    <hyperlink r:id="rId1422" ref="C1423"/>
    <hyperlink r:id="rId1423" ref="C1424"/>
    <hyperlink r:id="rId1424" ref="C1425"/>
    <hyperlink r:id="rId1425" ref="C1426"/>
    <hyperlink r:id="rId1426" ref="C1427"/>
    <hyperlink r:id="rId1427" ref="C1428"/>
    <hyperlink r:id="rId1428" ref="C1429"/>
    <hyperlink r:id="rId1429" ref="C1430"/>
    <hyperlink r:id="rId1430" ref="C1431"/>
    <hyperlink r:id="rId1431" ref="C1432"/>
    <hyperlink r:id="rId1432" ref="C1433"/>
    <hyperlink r:id="rId1433" ref="C1434"/>
    <hyperlink r:id="rId1434" ref="C1435"/>
    <hyperlink r:id="rId1435" ref="C1436"/>
    <hyperlink r:id="rId1436" ref="C1437"/>
    <hyperlink r:id="rId1437" ref="C1438"/>
    <hyperlink r:id="rId1438" ref="C1439"/>
    <hyperlink r:id="rId1439" ref="C1440"/>
    <hyperlink r:id="rId1440" ref="C1441"/>
    <hyperlink r:id="rId1441" ref="C1442"/>
    <hyperlink r:id="rId1442" ref="C1443"/>
    <hyperlink r:id="rId1443" ref="C1444"/>
    <hyperlink r:id="rId1444" ref="C1445"/>
    <hyperlink r:id="rId1445" ref="C1446"/>
    <hyperlink r:id="rId1446" ref="C1447"/>
    <hyperlink r:id="rId1447" ref="C1448"/>
    <hyperlink r:id="rId1448" ref="C1449"/>
    <hyperlink r:id="rId1449" ref="C1450"/>
    <hyperlink r:id="rId1450" ref="C1451"/>
    <hyperlink r:id="rId1451" ref="C1452"/>
    <hyperlink r:id="rId1452" ref="C1453"/>
    <hyperlink r:id="rId1453" ref="C1454"/>
    <hyperlink r:id="rId1454" ref="C1455"/>
    <hyperlink r:id="rId1455" ref="C1456"/>
    <hyperlink r:id="rId1456" ref="C1457"/>
    <hyperlink r:id="rId1457" ref="C1458"/>
    <hyperlink r:id="rId1458" ref="C1459"/>
    <hyperlink r:id="rId1459" ref="C1460"/>
    <hyperlink r:id="rId1460" ref="C1461"/>
    <hyperlink r:id="rId1461" ref="C1462"/>
    <hyperlink r:id="rId1462" ref="C1463"/>
    <hyperlink r:id="rId1463" ref="C1464"/>
    <hyperlink r:id="rId1464" ref="C1465"/>
    <hyperlink r:id="rId1465" ref="C1466"/>
    <hyperlink r:id="rId1466" ref="C1467"/>
    <hyperlink r:id="rId1467" ref="C1468"/>
    <hyperlink r:id="rId1468" ref="C1469"/>
    <hyperlink r:id="rId1469" ref="C1470"/>
    <hyperlink r:id="rId1470" ref="C1471"/>
    <hyperlink r:id="rId1471" ref="C1472"/>
    <hyperlink r:id="rId1472" ref="C1473"/>
    <hyperlink r:id="rId1473" ref="C1474"/>
    <hyperlink r:id="rId1474" ref="C1475"/>
    <hyperlink r:id="rId1475" ref="C1476"/>
    <hyperlink r:id="rId1476" ref="C1477"/>
    <hyperlink r:id="rId1477" ref="C1478"/>
    <hyperlink r:id="rId1478" ref="C1479"/>
    <hyperlink r:id="rId1479" ref="C1480"/>
    <hyperlink r:id="rId1480" ref="C1481"/>
    <hyperlink r:id="rId1481" ref="C1482"/>
    <hyperlink r:id="rId1482" ref="C1483"/>
    <hyperlink r:id="rId1483" ref="C1484"/>
    <hyperlink r:id="rId1484" ref="C1485"/>
    <hyperlink r:id="rId1485" ref="C1486"/>
    <hyperlink r:id="rId1486" ref="C1487"/>
    <hyperlink r:id="rId1487" ref="C1488"/>
    <hyperlink r:id="rId1488" ref="C1489"/>
    <hyperlink r:id="rId1489" ref="C1490"/>
    <hyperlink r:id="rId1490" ref="C1491"/>
    <hyperlink r:id="rId1491" ref="C1492"/>
    <hyperlink r:id="rId1492" ref="C1493"/>
    <hyperlink r:id="rId1493" ref="C1494"/>
    <hyperlink r:id="rId1494" ref="C1495"/>
    <hyperlink r:id="rId1495" ref="C1496"/>
    <hyperlink r:id="rId1496" ref="C1497"/>
    <hyperlink r:id="rId1497" ref="C1498"/>
    <hyperlink r:id="rId1498" ref="C1499"/>
    <hyperlink r:id="rId1499" ref="C1500"/>
    <hyperlink r:id="rId1500" ref="C1501"/>
    <hyperlink r:id="rId1501" ref="C1502"/>
    <hyperlink r:id="rId1502" ref="C1503"/>
    <hyperlink r:id="rId1503" ref="C1504"/>
    <hyperlink r:id="rId1504" ref="C1505"/>
    <hyperlink r:id="rId1505" ref="C1506"/>
    <hyperlink r:id="rId1506" ref="C1507"/>
    <hyperlink r:id="rId1507" ref="C1508"/>
    <hyperlink r:id="rId1508" ref="C1509"/>
    <hyperlink r:id="rId1509" ref="C1510"/>
    <hyperlink r:id="rId1510" ref="C1511"/>
    <hyperlink r:id="rId1511" ref="C1512"/>
    <hyperlink r:id="rId1512" ref="C1513"/>
    <hyperlink r:id="rId1513" ref="C1514"/>
    <hyperlink r:id="rId1514" ref="C1515"/>
    <hyperlink r:id="rId1515" ref="C1516"/>
    <hyperlink r:id="rId1516" ref="C1517"/>
    <hyperlink r:id="rId1517" ref="C1518"/>
    <hyperlink r:id="rId1518" ref="C1519"/>
    <hyperlink r:id="rId1519" ref="C1520"/>
    <hyperlink r:id="rId1520" ref="C1521"/>
    <hyperlink r:id="rId1521" ref="C1522"/>
    <hyperlink r:id="rId1522" ref="C1523"/>
    <hyperlink r:id="rId1523" ref="C1524"/>
    <hyperlink r:id="rId1524" ref="C1525"/>
    <hyperlink r:id="rId1525" ref="C1526"/>
    <hyperlink r:id="rId1526" ref="C1527"/>
    <hyperlink r:id="rId1527" ref="C1528"/>
    <hyperlink r:id="rId1528" ref="C1529"/>
    <hyperlink r:id="rId1529" ref="C1530"/>
    <hyperlink r:id="rId1530" ref="C1531"/>
    <hyperlink r:id="rId1531" ref="C1532"/>
    <hyperlink r:id="rId1532" ref="C1533"/>
    <hyperlink r:id="rId1533" ref="C1534"/>
    <hyperlink r:id="rId1534" ref="C1535"/>
    <hyperlink r:id="rId1535" ref="C1536"/>
    <hyperlink r:id="rId1536" ref="C1537"/>
    <hyperlink r:id="rId1537" ref="C1538"/>
    <hyperlink r:id="rId1538" ref="C1539"/>
    <hyperlink r:id="rId1539" ref="C1540"/>
    <hyperlink r:id="rId1540" ref="C1541"/>
    <hyperlink r:id="rId1541" ref="C1542"/>
    <hyperlink r:id="rId1542" ref="C1543"/>
    <hyperlink r:id="rId1543" ref="C1544"/>
    <hyperlink r:id="rId1544" ref="C1545"/>
    <hyperlink r:id="rId1545" ref="C1546"/>
    <hyperlink r:id="rId1546" ref="C1547"/>
    <hyperlink r:id="rId1547" ref="C1548"/>
    <hyperlink r:id="rId1548" ref="C1549"/>
    <hyperlink r:id="rId1549" ref="C1550"/>
    <hyperlink r:id="rId1550" ref="C1551"/>
    <hyperlink r:id="rId1551" ref="C1552"/>
    <hyperlink r:id="rId1552" ref="C1553"/>
    <hyperlink r:id="rId1553" ref="C1554"/>
    <hyperlink r:id="rId1554" ref="C1555"/>
    <hyperlink r:id="rId1555" ref="C1556"/>
    <hyperlink r:id="rId1556" ref="C1557"/>
    <hyperlink r:id="rId1557" ref="C1558"/>
    <hyperlink r:id="rId1558" ref="C1559"/>
    <hyperlink r:id="rId1559" ref="C1560"/>
    <hyperlink r:id="rId1560" ref="C1561"/>
    <hyperlink r:id="rId1561" ref="C1562"/>
    <hyperlink r:id="rId1562" ref="C1563"/>
    <hyperlink r:id="rId1563" ref="C1564"/>
    <hyperlink r:id="rId1564" ref="C1565"/>
    <hyperlink r:id="rId1565" ref="C1566"/>
    <hyperlink r:id="rId1566" ref="C1567"/>
    <hyperlink r:id="rId1567" ref="C1568"/>
    <hyperlink r:id="rId1568" ref="C1569"/>
    <hyperlink r:id="rId1569" ref="C1570"/>
    <hyperlink r:id="rId1570" ref="C1571"/>
    <hyperlink r:id="rId1571" ref="C1572"/>
    <hyperlink r:id="rId1572" ref="C1573"/>
    <hyperlink r:id="rId1573" ref="C1574"/>
    <hyperlink r:id="rId1574" ref="C1575"/>
    <hyperlink r:id="rId1575" ref="C1576"/>
    <hyperlink r:id="rId1576" ref="C1577"/>
    <hyperlink r:id="rId1577" ref="C1578"/>
    <hyperlink r:id="rId1578" ref="C1579"/>
    <hyperlink r:id="rId1579" ref="C1580"/>
    <hyperlink r:id="rId1580" ref="C1581"/>
    <hyperlink r:id="rId1581" ref="C1582"/>
    <hyperlink r:id="rId1582" ref="C1583"/>
    <hyperlink r:id="rId1583" ref="C1584"/>
    <hyperlink r:id="rId1584" ref="C1585"/>
    <hyperlink r:id="rId1585" ref="C1586"/>
    <hyperlink r:id="rId1586" ref="C1587"/>
    <hyperlink r:id="rId1587" ref="C1588"/>
    <hyperlink r:id="rId1588" ref="C1589"/>
    <hyperlink r:id="rId1589" ref="C1590"/>
    <hyperlink r:id="rId1590" ref="C1591"/>
    <hyperlink r:id="rId1591" ref="C1592"/>
    <hyperlink r:id="rId1592" ref="C1593"/>
    <hyperlink r:id="rId1593" ref="C1594"/>
    <hyperlink r:id="rId1594" ref="C1595"/>
    <hyperlink r:id="rId1595" ref="C1596"/>
    <hyperlink r:id="rId1596" ref="C1597"/>
    <hyperlink r:id="rId1597" ref="C1598"/>
    <hyperlink r:id="rId1598" ref="C1599"/>
    <hyperlink r:id="rId1599" ref="C1600"/>
    <hyperlink r:id="rId1600" ref="C1601"/>
    <hyperlink r:id="rId1601" ref="C1602"/>
    <hyperlink r:id="rId1602" ref="C1603"/>
    <hyperlink r:id="rId1603" ref="C1604"/>
    <hyperlink r:id="rId1604" ref="C1605"/>
    <hyperlink r:id="rId1605" ref="C1606"/>
    <hyperlink r:id="rId1606" ref="C1607"/>
    <hyperlink r:id="rId1607" ref="C1608"/>
    <hyperlink r:id="rId1608" ref="C1609"/>
    <hyperlink r:id="rId1609" ref="C1610"/>
    <hyperlink r:id="rId1610" ref="C1611"/>
    <hyperlink r:id="rId1611" ref="C1612"/>
    <hyperlink r:id="rId1612" ref="C1613"/>
    <hyperlink r:id="rId1613" ref="C1614"/>
    <hyperlink r:id="rId1614" ref="C1615"/>
    <hyperlink r:id="rId1615" ref="C1616"/>
    <hyperlink r:id="rId1616" ref="C1617"/>
    <hyperlink r:id="rId1617" ref="C1618"/>
    <hyperlink r:id="rId1618" ref="C1619"/>
    <hyperlink r:id="rId1619" ref="C1620"/>
    <hyperlink r:id="rId1620" ref="C1621"/>
    <hyperlink r:id="rId1621" ref="C1622"/>
    <hyperlink r:id="rId1622" ref="C1623"/>
    <hyperlink r:id="rId1623" ref="C1624"/>
    <hyperlink r:id="rId1624" ref="C1625"/>
    <hyperlink r:id="rId1625" ref="C1626"/>
    <hyperlink r:id="rId1626" ref="C1627"/>
    <hyperlink r:id="rId1627" ref="C1628"/>
    <hyperlink r:id="rId1628" ref="C1629"/>
    <hyperlink r:id="rId1629" ref="C1630"/>
    <hyperlink r:id="rId1630" ref="C1631"/>
    <hyperlink r:id="rId1631" ref="C1632"/>
    <hyperlink r:id="rId1632" ref="C1633"/>
    <hyperlink r:id="rId1633" ref="C1634"/>
    <hyperlink r:id="rId1634" ref="C1635"/>
    <hyperlink r:id="rId1635" ref="C1636"/>
    <hyperlink r:id="rId1636" ref="C1637"/>
    <hyperlink r:id="rId1637" ref="C1638"/>
    <hyperlink r:id="rId1638" ref="C1639"/>
    <hyperlink r:id="rId1639" ref="C1640"/>
    <hyperlink r:id="rId1640" ref="C1641"/>
    <hyperlink r:id="rId1641" ref="C1642"/>
    <hyperlink r:id="rId1642" ref="C1643"/>
    <hyperlink r:id="rId1643" ref="C1644"/>
    <hyperlink r:id="rId1644" ref="C1645"/>
    <hyperlink r:id="rId1645" ref="C1646"/>
    <hyperlink r:id="rId1646" ref="C1647"/>
    <hyperlink r:id="rId1647" ref="C1648"/>
    <hyperlink r:id="rId1648" ref="C1649"/>
    <hyperlink r:id="rId1649" ref="C1650"/>
    <hyperlink r:id="rId1650" ref="C1651"/>
    <hyperlink r:id="rId1651" ref="C1652"/>
    <hyperlink r:id="rId1652" ref="C1653"/>
    <hyperlink r:id="rId1653" ref="C1654"/>
    <hyperlink r:id="rId1654" ref="C1655"/>
    <hyperlink r:id="rId1655" ref="C1656"/>
    <hyperlink r:id="rId1656" ref="C1657"/>
    <hyperlink r:id="rId1657" ref="C1658"/>
    <hyperlink r:id="rId1658" ref="C1659"/>
    <hyperlink r:id="rId1659" ref="C1660"/>
    <hyperlink r:id="rId1660" ref="C1661"/>
    <hyperlink r:id="rId1661" ref="C1662"/>
    <hyperlink r:id="rId1662" ref="C1663"/>
    <hyperlink r:id="rId1663" ref="C1664"/>
    <hyperlink r:id="rId1664" ref="C1665"/>
    <hyperlink r:id="rId1665" ref="C1666"/>
    <hyperlink r:id="rId1666" ref="C1667"/>
    <hyperlink r:id="rId1667" ref="C1668"/>
    <hyperlink r:id="rId1668" ref="C1669"/>
    <hyperlink r:id="rId1669" ref="C1670"/>
    <hyperlink r:id="rId1670" ref="C1671"/>
    <hyperlink r:id="rId1671" ref="C1672"/>
    <hyperlink r:id="rId1672" ref="C1673"/>
    <hyperlink r:id="rId1673" ref="C1674"/>
    <hyperlink r:id="rId1674" ref="C1675"/>
    <hyperlink r:id="rId1675" ref="C1676"/>
    <hyperlink r:id="rId1676" ref="C1677"/>
    <hyperlink r:id="rId1677" ref="C1678"/>
    <hyperlink r:id="rId1678" ref="C1679"/>
    <hyperlink r:id="rId1679" ref="C1680"/>
    <hyperlink r:id="rId1680" ref="C1681"/>
    <hyperlink r:id="rId1681" ref="C1682"/>
    <hyperlink r:id="rId1682" ref="C1683"/>
    <hyperlink r:id="rId1683" ref="C1684"/>
    <hyperlink r:id="rId1684" ref="C1685"/>
    <hyperlink r:id="rId1685" ref="C1686"/>
    <hyperlink r:id="rId1686" ref="C1687"/>
    <hyperlink r:id="rId1687" ref="C1688"/>
    <hyperlink r:id="rId1688" ref="C1689"/>
    <hyperlink r:id="rId1689" ref="C1690"/>
    <hyperlink r:id="rId1690" ref="C1691"/>
    <hyperlink r:id="rId1691" ref="C1692"/>
    <hyperlink r:id="rId1692" ref="C1693"/>
    <hyperlink r:id="rId1693" ref="C1694"/>
    <hyperlink r:id="rId1694" ref="C1695"/>
    <hyperlink r:id="rId1695" ref="C1696"/>
    <hyperlink r:id="rId1696" ref="C1697"/>
    <hyperlink r:id="rId1697" ref="C1698"/>
    <hyperlink r:id="rId1698" ref="C1699"/>
    <hyperlink r:id="rId1699" ref="C1700"/>
    <hyperlink r:id="rId1700" ref="C1701"/>
    <hyperlink r:id="rId1701" ref="C1702"/>
    <hyperlink r:id="rId1702" ref="C1703"/>
    <hyperlink r:id="rId1703" ref="C1704"/>
    <hyperlink r:id="rId1704" ref="C1705"/>
    <hyperlink r:id="rId1705" ref="C1706"/>
    <hyperlink r:id="rId1706" ref="C1707"/>
    <hyperlink r:id="rId1707" ref="C1708"/>
    <hyperlink r:id="rId1708" ref="C1709"/>
    <hyperlink r:id="rId1709" ref="C1710"/>
    <hyperlink r:id="rId1710" ref="C1711"/>
    <hyperlink r:id="rId1711" ref="C1712"/>
    <hyperlink r:id="rId1712" ref="C1713"/>
    <hyperlink r:id="rId1713" ref="C1714"/>
    <hyperlink r:id="rId1714" ref="C1715"/>
    <hyperlink r:id="rId1715" ref="C1716"/>
    <hyperlink r:id="rId1716" ref="C1717"/>
    <hyperlink r:id="rId1717" ref="C1718"/>
    <hyperlink r:id="rId1718" ref="C1719"/>
    <hyperlink r:id="rId1719" ref="C1720"/>
    <hyperlink r:id="rId1720" ref="C1721"/>
    <hyperlink r:id="rId1721" ref="C1722"/>
    <hyperlink r:id="rId1722" ref="C1723"/>
    <hyperlink r:id="rId1723" ref="C1724"/>
    <hyperlink r:id="rId1724" ref="C1725"/>
    <hyperlink r:id="rId1725" ref="C1726"/>
    <hyperlink r:id="rId1726" ref="C1727"/>
    <hyperlink r:id="rId1727" ref="C1728"/>
    <hyperlink r:id="rId1728" ref="C1729"/>
    <hyperlink r:id="rId1729" ref="C1730"/>
    <hyperlink r:id="rId1730" ref="C1731"/>
    <hyperlink r:id="rId1731" ref="C1732"/>
    <hyperlink r:id="rId1732" ref="C1733"/>
    <hyperlink r:id="rId1733" ref="C1734"/>
    <hyperlink r:id="rId1734" ref="C1735"/>
    <hyperlink r:id="rId1735" ref="C1736"/>
    <hyperlink r:id="rId1736" ref="C1737"/>
    <hyperlink r:id="rId1737" ref="C1738"/>
    <hyperlink r:id="rId1738" ref="C1739"/>
    <hyperlink r:id="rId1739" ref="C1740"/>
    <hyperlink r:id="rId1740" ref="C1741"/>
    <hyperlink r:id="rId1741" ref="C1742"/>
    <hyperlink r:id="rId1742" ref="C1743"/>
    <hyperlink r:id="rId1743" ref="C1744"/>
    <hyperlink r:id="rId1744" ref="C1745"/>
    <hyperlink r:id="rId1745" ref="C1746"/>
    <hyperlink r:id="rId1746" ref="C1747"/>
    <hyperlink r:id="rId1747" ref="C1748"/>
    <hyperlink r:id="rId1748" ref="C1749"/>
    <hyperlink r:id="rId1749" ref="C1750"/>
    <hyperlink r:id="rId1750" ref="C1751"/>
    <hyperlink r:id="rId1751" ref="C1752"/>
    <hyperlink r:id="rId1752" ref="C1753"/>
    <hyperlink r:id="rId1753" ref="C1754"/>
    <hyperlink r:id="rId1754" ref="C1755"/>
    <hyperlink r:id="rId1755" ref="C1756"/>
    <hyperlink r:id="rId1756" ref="C1757"/>
    <hyperlink r:id="rId1757" ref="C1758"/>
    <hyperlink r:id="rId1758" ref="C1759"/>
    <hyperlink r:id="rId1759" ref="C1760"/>
    <hyperlink r:id="rId1760" ref="C1761"/>
    <hyperlink r:id="rId1761" ref="C1762"/>
    <hyperlink r:id="rId1762" ref="C1763"/>
    <hyperlink r:id="rId1763" ref="C1764"/>
    <hyperlink r:id="rId1764" ref="C1765"/>
    <hyperlink r:id="rId1765" ref="C1766"/>
    <hyperlink r:id="rId1766" ref="C1767"/>
    <hyperlink r:id="rId1767" ref="C1768"/>
    <hyperlink r:id="rId1768" ref="C1769"/>
    <hyperlink r:id="rId1769" ref="C1770"/>
    <hyperlink r:id="rId1770" ref="C1771"/>
    <hyperlink r:id="rId1771" ref="C1772"/>
    <hyperlink r:id="rId1772" ref="C1773"/>
    <hyperlink r:id="rId1773" ref="C1774"/>
    <hyperlink r:id="rId1774" ref="C1775"/>
    <hyperlink r:id="rId1775" ref="C1776"/>
    <hyperlink r:id="rId1776" ref="C1777"/>
    <hyperlink r:id="rId1777" ref="C1778"/>
    <hyperlink r:id="rId1778" ref="C1779"/>
    <hyperlink r:id="rId1779" ref="C1780"/>
    <hyperlink r:id="rId1780" ref="C1781"/>
    <hyperlink r:id="rId1781" ref="C1782"/>
    <hyperlink r:id="rId1782" ref="C1783"/>
    <hyperlink r:id="rId1783" ref="C1784"/>
    <hyperlink r:id="rId1784" ref="C1785"/>
    <hyperlink r:id="rId1785" ref="C1786"/>
    <hyperlink r:id="rId1786" ref="C1787"/>
    <hyperlink r:id="rId1787" ref="C1788"/>
    <hyperlink r:id="rId1788" ref="C1789"/>
    <hyperlink r:id="rId1789" ref="C1790"/>
    <hyperlink r:id="rId1790" ref="C1791"/>
    <hyperlink r:id="rId1791" ref="C1792"/>
    <hyperlink r:id="rId1792" ref="C1793"/>
    <hyperlink r:id="rId1793" ref="C1794"/>
    <hyperlink r:id="rId1794" ref="C1795"/>
    <hyperlink r:id="rId1795" ref="C1796"/>
    <hyperlink r:id="rId1796" ref="C1797"/>
    <hyperlink r:id="rId1797" ref="C1798"/>
    <hyperlink r:id="rId1798" ref="C1799"/>
    <hyperlink r:id="rId1799" ref="C1800"/>
    <hyperlink r:id="rId1800" ref="C1801"/>
    <hyperlink r:id="rId1801" ref="C1802"/>
    <hyperlink r:id="rId1802" ref="C1803"/>
    <hyperlink r:id="rId1803" ref="C1804"/>
    <hyperlink r:id="rId1804" ref="C1805"/>
    <hyperlink r:id="rId1805" ref="C1806"/>
    <hyperlink r:id="rId1806" ref="C1807"/>
    <hyperlink r:id="rId1807" ref="C1808"/>
    <hyperlink r:id="rId1808" ref="C1809"/>
    <hyperlink r:id="rId1809" ref="C1810"/>
    <hyperlink r:id="rId1810" ref="C1811"/>
    <hyperlink r:id="rId1811" ref="C1812"/>
    <hyperlink r:id="rId1812" ref="C1813"/>
    <hyperlink r:id="rId1813" ref="C1814"/>
    <hyperlink r:id="rId1814" ref="C1815"/>
    <hyperlink r:id="rId1815" ref="C1816"/>
    <hyperlink r:id="rId1816" ref="C1817"/>
    <hyperlink r:id="rId1817" ref="C1818"/>
    <hyperlink r:id="rId1818" ref="C1819"/>
    <hyperlink r:id="rId1819" ref="C1820"/>
    <hyperlink r:id="rId1820" ref="C1821"/>
    <hyperlink r:id="rId1821" ref="C1822"/>
    <hyperlink r:id="rId1822" ref="C1823"/>
    <hyperlink r:id="rId1823" ref="C1824"/>
    <hyperlink r:id="rId1824" ref="C1825"/>
    <hyperlink r:id="rId1825" ref="C1826"/>
    <hyperlink r:id="rId1826" ref="C1827"/>
    <hyperlink r:id="rId1827" ref="C1828"/>
    <hyperlink r:id="rId1828" ref="C1829"/>
    <hyperlink r:id="rId1829" ref="C1830"/>
    <hyperlink r:id="rId1830" ref="C1831"/>
    <hyperlink r:id="rId1831" ref="C1832"/>
    <hyperlink r:id="rId1832" ref="C1833"/>
    <hyperlink r:id="rId1833" ref="C1834"/>
    <hyperlink r:id="rId1834" ref="C1835"/>
    <hyperlink r:id="rId1835" ref="C1836"/>
    <hyperlink r:id="rId1836" ref="C1837"/>
    <hyperlink r:id="rId1837" ref="C1838"/>
    <hyperlink r:id="rId1838" ref="C1839"/>
    <hyperlink r:id="rId1839" ref="C1840"/>
    <hyperlink r:id="rId1840" ref="C1841"/>
    <hyperlink r:id="rId1841" ref="C1842"/>
    <hyperlink r:id="rId1842" ref="C1843"/>
    <hyperlink r:id="rId1843" ref="C1844"/>
    <hyperlink r:id="rId1844" ref="C1845"/>
    <hyperlink r:id="rId1845" ref="C1846"/>
    <hyperlink r:id="rId1846" ref="C1847"/>
    <hyperlink r:id="rId1847" ref="C1848"/>
    <hyperlink r:id="rId1848" ref="C1849"/>
    <hyperlink r:id="rId1849" ref="C1850"/>
    <hyperlink r:id="rId1850" ref="C1851"/>
    <hyperlink r:id="rId1851" ref="C1852"/>
    <hyperlink r:id="rId1852" ref="C1853"/>
    <hyperlink r:id="rId1853" ref="C1854"/>
    <hyperlink r:id="rId1854" ref="C1855"/>
    <hyperlink r:id="rId1855" ref="C1856"/>
    <hyperlink r:id="rId1856" ref="C1857"/>
    <hyperlink r:id="rId1857" ref="C1858"/>
    <hyperlink r:id="rId1858" ref="C1859"/>
    <hyperlink r:id="rId1859" ref="C1860"/>
    <hyperlink r:id="rId1860" ref="C1861"/>
    <hyperlink r:id="rId1861" ref="C1862"/>
    <hyperlink r:id="rId1862" ref="C1863"/>
    <hyperlink r:id="rId1863" ref="C1864"/>
    <hyperlink r:id="rId1864" ref="C1865"/>
    <hyperlink r:id="rId1865" ref="C1866"/>
    <hyperlink r:id="rId1866" ref="C1867"/>
    <hyperlink r:id="rId1867" ref="C1868"/>
    <hyperlink r:id="rId1868" ref="C1869"/>
    <hyperlink r:id="rId1869" ref="C1870"/>
    <hyperlink r:id="rId1870" ref="C1871"/>
    <hyperlink r:id="rId1871" ref="C1872"/>
    <hyperlink r:id="rId1872" ref="C1873"/>
    <hyperlink r:id="rId1873" ref="C1874"/>
    <hyperlink r:id="rId1874" ref="C1875"/>
    <hyperlink r:id="rId1875" ref="C1876"/>
    <hyperlink r:id="rId1876" ref="C1877"/>
    <hyperlink r:id="rId1877" ref="C1878"/>
    <hyperlink r:id="rId1878" ref="C1879"/>
    <hyperlink r:id="rId1879" ref="C1880"/>
    <hyperlink r:id="rId1880" ref="C1881"/>
    <hyperlink r:id="rId1881" ref="C1882"/>
    <hyperlink r:id="rId1882" ref="C1883"/>
    <hyperlink r:id="rId1883" ref="C1884"/>
    <hyperlink r:id="rId1884" ref="C1885"/>
    <hyperlink r:id="rId1885" ref="C1886"/>
    <hyperlink r:id="rId1886" ref="C1887"/>
    <hyperlink r:id="rId1887" ref="C1888"/>
    <hyperlink r:id="rId1888" ref="C1889"/>
    <hyperlink r:id="rId1889" ref="C1890"/>
    <hyperlink r:id="rId1890" ref="C1891"/>
    <hyperlink r:id="rId1891" ref="C1892"/>
    <hyperlink r:id="rId1892" ref="C1893"/>
    <hyperlink r:id="rId1893" ref="C1894"/>
    <hyperlink r:id="rId1894" ref="C1895"/>
    <hyperlink r:id="rId1895" ref="C1896"/>
    <hyperlink r:id="rId1896" ref="C1897"/>
    <hyperlink r:id="rId1897" ref="C1898"/>
    <hyperlink r:id="rId1898" ref="C1899"/>
    <hyperlink r:id="rId1899" ref="C1900"/>
    <hyperlink r:id="rId1900" ref="C1901"/>
    <hyperlink r:id="rId1901" ref="C1902"/>
    <hyperlink r:id="rId1902" ref="C1903"/>
    <hyperlink r:id="rId1903" ref="C1904"/>
    <hyperlink r:id="rId1904" ref="C1905"/>
    <hyperlink r:id="rId1905" ref="C1906"/>
    <hyperlink r:id="rId1906" ref="C1907"/>
    <hyperlink r:id="rId1907" ref="C1908"/>
    <hyperlink r:id="rId1908" ref="C1909"/>
    <hyperlink r:id="rId1909" ref="C1910"/>
    <hyperlink r:id="rId1910" ref="C1911"/>
    <hyperlink r:id="rId1911" ref="C1912"/>
    <hyperlink r:id="rId1912" ref="C1913"/>
    <hyperlink r:id="rId1913" ref="C1914"/>
    <hyperlink r:id="rId1914" ref="C1915"/>
    <hyperlink r:id="rId1915" ref="C1916"/>
    <hyperlink r:id="rId1916" ref="C1917"/>
    <hyperlink r:id="rId1917" ref="C1918"/>
    <hyperlink r:id="rId1918" ref="C1919"/>
    <hyperlink r:id="rId1919" ref="C1920"/>
    <hyperlink r:id="rId1920" ref="C1921"/>
    <hyperlink r:id="rId1921" ref="C1922"/>
    <hyperlink r:id="rId1922" ref="C1923"/>
    <hyperlink r:id="rId1923" ref="C1924"/>
    <hyperlink r:id="rId1924" ref="C1925"/>
    <hyperlink r:id="rId1925" ref="C1926"/>
    <hyperlink r:id="rId1926" ref="C1927"/>
    <hyperlink r:id="rId1927" ref="C1928"/>
    <hyperlink r:id="rId1928" ref="C1929"/>
    <hyperlink r:id="rId1929" ref="C1930"/>
    <hyperlink r:id="rId1930" ref="C1931"/>
    <hyperlink r:id="rId1931" ref="C1932"/>
    <hyperlink r:id="rId1932" ref="C1933"/>
    <hyperlink r:id="rId1933" ref="C1934"/>
    <hyperlink r:id="rId1934" ref="C1935"/>
    <hyperlink r:id="rId1935" ref="C1936"/>
    <hyperlink r:id="rId1936" ref="C1937"/>
    <hyperlink r:id="rId1937" ref="C1938"/>
    <hyperlink r:id="rId1938" ref="C1939"/>
    <hyperlink r:id="rId1939" ref="C1940"/>
    <hyperlink r:id="rId1940" ref="C1941"/>
    <hyperlink r:id="rId1941" ref="C1942"/>
    <hyperlink r:id="rId1942" ref="C1943"/>
    <hyperlink r:id="rId1943" ref="C1944"/>
    <hyperlink r:id="rId1944" ref="C1945"/>
    <hyperlink r:id="rId1945" ref="C1946"/>
    <hyperlink r:id="rId1946" ref="C1947"/>
    <hyperlink r:id="rId1947" ref="C1948"/>
    <hyperlink r:id="rId1948" ref="C1949"/>
    <hyperlink r:id="rId1949" ref="C1950"/>
    <hyperlink r:id="rId1950" ref="C1951"/>
    <hyperlink r:id="rId1951" ref="C1952"/>
    <hyperlink r:id="rId1952" ref="C1953"/>
    <hyperlink r:id="rId1953" ref="C1954"/>
    <hyperlink r:id="rId1954" ref="C1955"/>
    <hyperlink r:id="rId1955" ref="C1956"/>
    <hyperlink r:id="rId1956" ref="C1957"/>
    <hyperlink r:id="rId1957" ref="C1958"/>
    <hyperlink r:id="rId1958" ref="C1959"/>
    <hyperlink r:id="rId1959" ref="C1960"/>
    <hyperlink r:id="rId1960" ref="C1961"/>
    <hyperlink r:id="rId1961" ref="C1962"/>
    <hyperlink r:id="rId1962" ref="C1963"/>
    <hyperlink r:id="rId1963" ref="C1964"/>
    <hyperlink r:id="rId1964" ref="C1965"/>
    <hyperlink r:id="rId1965" ref="C1966"/>
    <hyperlink r:id="rId1966" ref="C1967"/>
    <hyperlink r:id="rId1967" ref="C1968"/>
    <hyperlink r:id="rId1968" ref="C1969"/>
    <hyperlink r:id="rId1969" ref="C1970"/>
    <hyperlink r:id="rId1970" ref="C1971"/>
    <hyperlink r:id="rId1971" ref="C1972"/>
    <hyperlink r:id="rId1972" ref="C1973"/>
    <hyperlink r:id="rId1973" ref="C1974"/>
    <hyperlink r:id="rId1974" ref="C1975"/>
    <hyperlink r:id="rId1975" ref="C1976"/>
    <hyperlink r:id="rId1976" ref="C1977"/>
    <hyperlink r:id="rId1977" ref="C1978"/>
    <hyperlink r:id="rId1978" ref="C1979"/>
    <hyperlink r:id="rId1979" ref="C1980"/>
    <hyperlink r:id="rId1980" ref="C1981"/>
    <hyperlink r:id="rId1981" ref="C1982"/>
    <hyperlink r:id="rId1982" ref="C1983"/>
    <hyperlink r:id="rId1983" ref="C1984"/>
    <hyperlink r:id="rId1984" ref="C1985"/>
    <hyperlink r:id="rId1985" ref="C1986"/>
    <hyperlink r:id="rId1986" ref="C1987"/>
    <hyperlink r:id="rId1987" ref="C1988"/>
    <hyperlink r:id="rId1988" ref="C1989"/>
    <hyperlink r:id="rId1989" ref="C1990"/>
    <hyperlink r:id="rId1990" ref="C1991"/>
    <hyperlink r:id="rId1991" ref="C1992"/>
    <hyperlink r:id="rId1992" ref="C1993"/>
    <hyperlink r:id="rId1993" ref="C1994"/>
    <hyperlink r:id="rId1994" ref="C1995"/>
    <hyperlink r:id="rId1995" ref="C1996"/>
    <hyperlink r:id="rId1996" ref="C1997"/>
    <hyperlink r:id="rId1997" ref="C1998"/>
    <hyperlink r:id="rId1998" ref="C1999"/>
    <hyperlink r:id="rId1999" ref="C2000"/>
    <hyperlink r:id="rId2000" ref="C2001"/>
    <hyperlink r:id="rId2001" ref="C2002"/>
    <hyperlink r:id="rId2002" ref="C2003"/>
    <hyperlink r:id="rId2003" ref="C2004"/>
    <hyperlink r:id="rId2004" ref="C2005"/>
    <hyperlink r:id="rId2005" ref="C2006"/>
    <hyperlink r:id="rId2006" ref="C2007"/>
    <hyperlink r:id="rId2007" ref="C2008"/>
    <hyperlink r:id="rId2008" ref="C2009"/>
    <hyperlink r:id="rId2009" ref="C2010"/>
    <hyperlink r:id="rId2010" ref="C2011"/>
    <hyperlink r:id="rId2011" ref="C2012"/>
    <hyperlink r:id="rId2012" ref="C2013"/>
    <hyperlink r:id="rId2013" ref="C2014"/>
    <hyperlink r:id="rId2014" ref="C2015"/>
    <hyperlink r:id="rId2015" ref="C2016"/>
    <hyperlink r:id="rId2016" ref="C2017"/>
    <hyperlink r:id="rId2017" ref="C2018"/>
    <hyperlink r:id="rId2018" ref="C2019"/>
    <hyperlink r:id="rId2019" ref="C2020"/>
    <hyperlink r:id="rId2020" ref="C2021"/>
    <hyperlink r:id="rId2021" ref="C2022"/>
    <hyperlink r:id="rId2022" ref="C2023"/>
    <hyperlink r:id="rId2023" ref="C2024"/>
    <hyperlink r:id="rId2024" ref="C2025"/>
    <hyperlink r:id="rId2025" ref="C2026"/>
    <hyperlink r:id="rId2026" ref="C2027"/>
    <hyperlink r:id="rId2027" ref="C2028"/>
    <hyperlink r:id="rId2028" ref="C2029"/>
    <hyperlink r:id="rId2029" ref="C2030"/>
    <hyperlink r:id="rId2030" ref="C2031"/>
    <hyperlink r:id="rId2031" ref="C2032"/>
    <hyperlink r:id="rId2032" ref="C2033"/>
    <hyperlink r:id="rId2033" ref="C2034"/>
    <hyperlink r:id="rId2034" ref="C2035"/>
    <hyperlink r:id="rId2035" ref="C2036"/>
    <hyperlink r:id="rId2036" ref="C2037"/>
    <hyperlink r:id="rId2037" ref="C2038"/>
    <hyperlink r:id="rId2038" ref="C2039"/>
    <hyperlink r:id="rId2039" ref="C2040"/>
    <hyperlink r:id="rId2040" ref="C2041"/>
    <hyperlink r:id="rId2041" ref="C2042"/>
    <hyperlink r:id="rId2042" ref="C2043"/>
    <hyperlink r:id="rId2043" ref="C2044"/>
    <hyperlink r:id="rId2044" ref="C2045"/>
    <hyperlink r:id="rId2045" ref="C2046"/>
    <hyperlink r:id="rId2046" ref="C2047"/>
    <hyperlink r:id="rId2047" ref="C2048"/>
    <hyperlink r:id="rId2048" ref="C2049"/>
    <hyperlink r:id="rId2049" ref="C2050"/>
    <hyperlink r:id="rId2050" ref="C2051"/>
    <hyperlink r:id="rId2051" ref="C2052"/>
    <hyperlink r:id="rId2052" ref="C2053"/>
    <hyperlink r:id="rId2053" ref="C2054"/>
    <hyperlink r:id="rId2054" ref="C2055"/>
    <hyperlink r:id="rId2055" ref="C2056"/>
    <hyperlink r:id="rId2056" ref="C2057"/>
    <hyperlink r:id="rId2057" ref="C2058"/>
    <hyperlink r:id="rId2058" ref="C2059"/>
    <hyperlink r:id="rId2059" ref="C2060"/>
    <hyperlink r:id="rId2060" ref="C2061"/>
    <hyperlink r:id="rId2061" ref="C2062"/>
    <hyperlink r:id="rId2062" ref="C2063"/>
    <hyperlink r:id="rId2063" ref="C2064"/>
    <hyperlink r:id="rId2064" ref="C2065"/>
    <hyperlink r:id="rId2065" ref="C2066"/>
    <hyperlink r:id="rId2066" ref="C2067"/>
    <hyperlink r:id="rId2067" ref="C2068"/>
    <hyperlink r:id="rId2068" ref="C2069"/>
    <hyperlink r:id="rId2069" ref="C2070"/>
    <hyperlink r:id="rId2070" ref="C2071"/>
    <hyperlink r:id="rId2071" ref="C2072"/>
    <hyperlink r:id="rId2072" ref="C2073"/>
    <hyperlink r:id="rId2073" ref="C2074"/>
    <hyperlink r:id="rId2074" ref="C2075"/>
    <hyperlink r:id="rId2075" ref="C2076"/>
    <hyperlink r:id="rId2076" ref="C2077"/>
    <hyperlink r:id="rId2077" ref="C2078"/>
    <hyperlink r:id="rId2078" ref="C2079"/>
    <hyperlink r:id="rId2079" ref="C2080"/>
    <hyperlink r:id="rId2080" ref="C2081"/>
    <hyperlink r:id="rId2081" ref="C2082"/>
    <hyperlink r:id="rId2082" ref="C2083"/>
    <hyperlink r:id="rId2083" ref="C2084"/>
    <hyperlink r:id="rId2084" ref="C2085"/>
    <hyperlink r:id="rId2085" ref="C2086"/>
    <hyperlink r:id="rId2086" ref="C2087"/>
    <hyperlink r:id="rId2087" ref="C2088"/>
    <hyperlink r:id="rId2088" ref="C2089"/>
    <hyperlink r:id="rId2089" ref="C2090"/>
    <hyperlink r:id="rId2090" ref="C2091"/>
    <hyperlink r:id="rId2091" ref="C2092"/>
    <hyperlink r:id="rId2092" ref="C2093"/>
    <hyperlink r:id="rId2093" ref="C2094"/>
    <hyperlink r:id="rId2094" ref="C2095"/>
    <hyperlink r:id="rId2095" ref="C2096"/>
    <hyperlink r:id="rId2096" ref="C2097"/>
    <hyperlink r:id="rId2097" ref="C2098"/>
    <hyperlink r:id="rId2098" ref="C2099"/>
    <hyperlink r:id="rId2099" ref="C2100"/>
    <hyperlink r:id="rId2100" ref="C2101"/>
    <hyperlink r:id="rId2101" ref="C2102"/>
    <hyperlink r:id="rId2102" ref="C2103"/>
    <hyperlink r:id="rId2103" ref="C2104"/>
    <hyperlink r:id="rId2104" ref="C2105"/>
    <hyperlink r:id="rId2105" ref="C2106"/>
    <hyperlink r:id="rId2106" ref="C2107"/>
    <hyperlink r:id="rId2107" ref="C2108"/>
    <hyperlink r:id="rId2108" ref="C2109"/>
    <hyperlink r:id="rId2109" ref="C2110"/>
    <hyperlink r:id="rId2110" ref="C2111"/>
    <hyperlink r:id="rId2111" ref="C2112"/>
    <hyperlink r:id="rId2112" ref="C2113"/>
    <hyperlink r:id="rId2113" ref="C2114"/>
    <hyperlink r:id="rId2114" ref="C2115"/>
    <hyperlink r:id="rId2115" ref="C2116"/>
    <hyperlink r:id="rId2116" ref="C2117"/>
    <hyperlink r:id="rId2117" ref="C2118"/>
    <hyperlink r:id="rId2118" ref="C2119"/>
    <hyperlink r:id="rId2119" ref="C2120"/>
    <hyperlink r:id="rId2120" ref="C2121"/>
    <hyperlink r:id="rId2121" ref="C2122"/>
    <hyperlink r:id="rId2122" ref="C2123"/>
    <hyperlink r:id="rId2123" ref="C2124"/>
    <hyperlink r:id="rId2124" ref="C2125"/>
    <hyperlink r:id="rId2125" ref="C2126"/>
    <hyperlink r:id="rId2126" ref="C2127"/>
    <hyperlink r:id="rId2127" ref="C2128"/>
    <hyperlink r:id="rId2128" ref="C2129"/>
    <hyperlink r:id="rId2129" ref="C2130"/>
    <hyperlink r:id="rId2130" ref="C2131"/>
    <hyperlink r:id="rId2131" ref="C2132"/>
    <hyperlink r:id="rId2132" ref="C2133"/>
    <hyperlink r:id="rId2133" ref="C2134"/>
    <hyperlink r:id="rId2134" ref="C2135"/>
    <hyperlink r:id="rId2135" ref="C2136"/>
    <hyperlink r:id="rId2136" ref="C2137"/>
    <hyperlink r:id="rId2137" ref="C2138"/>
    <hyperlink r:id="rId2138" ref="C2139"/>
    <hyperlink r:id="rId2139" ref="C2140"/>
    <hyperlink r:id="rId2140" ref="C2141"/>
    <hyperlink r:id="rId2141" ref="C2142"/>
    <hyperlink r:id="rId2142" ref="C2143"/>
    <hyperlink r:id="rId2143" ref="C2144"/>
    <hyperlink r:id="rId2144" ref="C2145"/>
    <hyperlink r:id="rId2145" ref="C2146"/>
    <hyperlink r:id="rId2146" ref="C2147"/>
    <hyperlink r:id="rId2147" ref="C2148"/>
    <hyperlink r:id="rId2148" ref="C2149"/>
    <hyperlink r:id="rId2149" ref="C2150"/>
    <hyperlink r:id="rId2150" ref="C2151"/>
    <hyperlink r:id="rId2151" ref="C2152"/>
    <hyperlink r:id="rId2152" ref="C2153"/>
    <hyperlink r:id="rId2153" ref="C2154"/>
    <hyperlink r:id="rId2154" ref="C2155"/>
    <hyperlink r:id="rId2155" ref="C2156"/>
    <hyperlink r:id="rId2156" ref="C2157"/>
    <hyperlink r:id="rId2157" ref="C2158"/>
    <hyperlink r:id="rId2158" ref="C2159"/>
    <hyperlink r:id="rId2159" ref="C2160"/>
    <hyperlink r:id="rId2160" ref="C2161"/>
    <hyperlink r:id="rId2161" ref="C2162"/>
    <hyperlink r:id="rId2162" ref="C2163"/>
    <hyperlink r:id="rId2163" ref="C2164"/>
    <hyperlink r:id="rId2164" ref="C2165"/>
    <hyperlink r:id="rId2165" ref="C2166"/>
    <hyperlink r:id="rId2166" ref="C2167"/>
    <hyperlink r:id="rId2167" ref="C2168"/>
    <hyperlink r:id="rId2168" ref="C2169"/>
    <hyperlink r:id="rId2169" ref="C2170"/>
    <hyperlink r:id="rId2170" ref="C2171"/>
    <hyperlink r:id="rId2171" ref="C2172"/>
    <hyperlink r:id="rId2172" ref="C2173"/>
    <hyperlink r:id="rId2173" ref="C2174"/>
    <hyperlink r:id="rId2174" ref="C2175"/>
    <hyperlink r:id="rId2175" ref="C2176"/>
    <hyperlink r:id="rId2176" ref="C2177"/>
    <hyperlink r:id="rId2177" ref="C2178"/>
    <hyperlink r:id="rId2178" ref="C2179"/>
    <hyperlink r:id="rId2179" ref="C2180"/>
    <hyperlink r:id="rId2180" ref="C2181"/>
    <hyperlink r:id="rId2181" ref="C2182"/>
    <hyperlink r:id="rId2182" ref="C2183"/>
    <hyperlink r:id="rId2183" ref="C2184"/>
    <hyperlink r:id="rId2184" ref="C2185"/>
    <hyperlink r:id="rId2185" ref="C2186"/>
    <hyperlink r:id="rId2186" ref="C2187"/>
    <hyperlink r:id="rId2187" ref="C2188"/>
    <hyperlink r:id="rId2188" ref="C2189"/>
    <hyperlink r:id="rId2189" ref="C2190"/>
    <hyperlink r:id="rId2190" ref="C2191"/>
    <hyperlink r:id="rId2191" ref="C2192"/>
    <hyperlink r:id="rId2192" ref="C2193"/>
    <hyperlink r:id="rId2193" ref="C2194"/>
    <hyperlink r:id="rId2194" ref="C2195"/>
    <hyperlink r:id="rId2195" ref="C2196"/>
    <hyperlink r:id="rId2196" ref="C2197"/>
    <hyperlink r:id="rId2197" ref="C2198"/>
    <hyperlink r:id="rId2198" ref="C2199"/>
    <hyperlink r:id="rId2199" ref="C2200"/>
    <hyperlink r:id="rId2200" ref="C2201"/>
    <hyperlink r:id="rId2201" ref="C2202"/>
    <hyperlink r:id="rId2202" ref="C2203"/>
    <hyperlink r:id="rId2203" ref="C2204"/>
    <hyperlink r:id="rId2204" ref="C2205"/>
    <hyperlink r:id="rId2205" ref="C2206"/>
    <hyperlink r:id="rId2206" ref="C2207"/>
    <hyperlink r:id="rId2207" ref="C2208"/>
    <hyperlink r:id="rId2208" ref="C2209"/>
    <hyperlink r:id="rId2209" ref="C2210"/>
    <hyperlink r:id="rId2210" ref="C2211"/>
    <hyperlink r:id="rId2211" ref="C2212"/>
    <hyperlink r:id="rId2212" ref="C2213"/>
    <hyperlink r:id="rId2213" ref="C2214"/>
    <hyperlink r:id="rId2214" ref="C2215"/>
    <hyperlink r:id="rId2215" ref="C2216"/>
    <hyperlink r:id="rId2216" ref="C2217"/>
    <hyperlink r:id="rId2217" ref="C2218"/>
    <hyperlink r:id="rId2218" ref="C2219"/>
    <hyperlink r:id="rId2219" ref="C2220"/>
    <hyperlink r:id="rId2220" ref="C2221"/>
    <hyperlink r:id="rId2221" ref="C2222"/>
    <hyperlink r:id="rId2222" ref="C2223"/>
    <hyperlink r:id="rId2223" ref="C2224"/>
    <hyperlink r:id="rId2224" ref="C2225"/>
    <hyperlink r:id="rId2225" ref="C2226"/>
    <hyperlink r:id="rId2226" ref="C2227"/>
    <hyperlink r:id="rId2227" ref="C2228"/>
    <hyperlink r:id="rId2228" ref="C2229"/>
    <hyperlink r:id="rId2229" ref="C2230"/>
    <hyperlink r:id="rId2230" ref="C2231"/>
    <hyperlink r:id="rId2231" ref="C2232"/>
    <hyperlink r:id="rId2232" ref="C2233"/>
    <hyperlink r:id="rId2233" ref="C2234"/>
    <hyperlink r:id="rId2234" ref="C2235"/>
    <hyperlink r:id="rId2235" ref="C2236"/>
    <hyperlink r:id="rId2236" ref="C2237"/>
    <hyperlink r:id="rId2237" ref="C2238"/>
    <hyperlink r:id="rId2238" ref="C2239"/>
    <hyperlink r:id="rId2239" ref="C2240"/>
    <hyperlink r:id="rId2240" ref="C2241"/>
    <hyperlink r:id="rId2241" ref="C2242"/>
    <hyperlink r:id="rId2242" ref="C2243"/>
    <hyperlink r:id="rId2243" ref="C2244"/>
    <hyperlink r:id="rId2244" ref="C2245"/>
    <hyperlink r:id="rId2245" ref="C2246"/>
    <hyperlink r:id="rId2246" ref="C2247"/>
    <hyperlink r:id="rId2247" ref="C2248"/>
    <hyperlink r:id="rId2248" ref="C2249"/>
    <hyperlink r:id="rId2249" ref="C2250"/>
    <hyperlink r:id="rId2250" ref="C2251"/>
    <hyperlink r:id="rId2251" ref="C2252"/>
    <hyperlink r:id="rId2252" ref="C2253"/>
    <hyperlink r:id="rId2253" ref="C2254"/>
    <hyperlink r:id="rId2254" ref="C2255"/>
    <hyperlink r:id="rId2255" ref="C2256"/>
    <hyperlink r:id="rId2256" ref="C2257"/>
    <hyperlink r:id="rId2257" ref="C2258"/>
    <hyperlink r:id="rId2258" ref="C2259"/>
    <hyperlink r:id="rId2259" ref="C2260"/>
    <hyperlink r:id="rId2260" ref="C2261"/>
    <hyperlink r:id="rId2261" ref="C2262"/>
    <hyperlink r:id="rId2262" ref="C2263"/>
    <hyperlink r:id="rId2263" ref="C2264"/>
    <hyperlink r:id="rId2264" ref="C2265"/>
    <hyperlink r:id="rId2265" ref="C2266"/>
    <hyperlink r:id="rId2266" ref="C2267"/>
    <hyperlink r:id="rId2267" ref="C2268"/>
    <hyperlink r:id="rId2268" ref="C2269"/>
    <hyperlink r:id="rId2269" ref="C2270"/>
    <hyperlink r:id="rId2270" ref="C2271"/>
    <hyperlink r:id="rId2271" ref="C2272"/>
    <hyperlink r:id="rId2272" ref="C2273"/>
    <hyperlink r:id="rId2273" ref="C2274"/>
    <hyperlink r:id="rId2274" ref="C2275"/>
    <hyperlink r:id="rId2275" ref="C2276"/>
    <hyperlink r:id="rId2276" ref="C2277"/>
    <hyperlink r:id="rId2277" ref="C2278"/>
    <hyperlink r:id="rId2278" ref="C2279"/>
    <hyperlink r:id="rId2279" ref="C2280"/>
    <hyperlink r:id="rId2280" ref="C2281"/>
    <hyperlink r:id="rId2281" ref="C2282"/>
    <hyperlink r:id="rId2282" ref="C2283"/>
    <hyperlink r:id="rId2283" ref="C2284"/>
    <hyperlink r:id="rId2284" ref="C2285"/>
    <hyperlink r:id="rId2285" ref="C2286"/>
    <hyperlink r:id="rId2286" ref="C2287"/>
    <hyperlink r:id="rId2287" ref="C2288"/>
    <hyperlink r:id="rId2288" ref="C2289"/>
    <hyperlink r:id="rId2289" ref="C2290"/>
    <hyperlink r:id="rId2290" ref="C2291"/>
    <hyperlink r:id="rId2291" ref="C2292"/>
    <hyperlink r:id="rId2292" ref="C2293"/>
    <hyperlink r:id="rId2293" ref="C2294"/>
    <hyperlink r:id="rId2294" ref="C2295"/>
    <hyperlink r:id="rId2295" ref="C2296"/>
    <hyperlink r:id="rId2296" ref="C2297"/>
    <hyperlink r:id="rId2297" ref="C2298"/>
    <hyperlink r:id="rId2298" ref="C2299"/>
    <hyperlink r:id="rId2299" ref="C2300"/>
    <hyperlink r:id="rId2300" ref="C2301"/>
    <hyperlink r:id="rId2301" ref="C2302"/>
    <hyperlink r:id="rId2302" ref="C2303"/>
    <hyperlink r:id="rId2303" ref="C2304"/>
    <hyperlink r:id="rId2304" ref="C2305"/>
    <hyperlink r:id="rId2305" ref="C2306"/>
    <hyperlink r:id="rId2306" ref="C2307"/>
    <hyperlink r:id="rId2307" ref="C2308"/>
    <hyperlink r:id="rId2308" ref="C2309"/>
    <hyperlink r:id="rId2309" ref="C2310"/>
    <hyperlink r:id="rId2310" ref="C2311"/>
    <hyperlink r:id="rId2311" ref="C2312"/>
    <hyperlink r:id="rId2312" ref="C2313"/>
    <hyperlink r:id="rId2313" ref="C2314"/>
    <hyperlink r:id="rId2314" ref="C2315"/>
    <hyperlink r:id="rId2315" ref="C2316"/>
    <hyperlink r:id="rId2316" ref="C2317"/>
    <hyperlink r:id="rId2317" ref="C2318"/>
    <hyperlink r:id="rId2318" ref="C2319"/>
    <hyperlink r:id="rId2319" ref="C2320"/>
    <hyperlink r:id="rId2320" ref="C2321"/>
    <hyperlink r:id="rId2321" ref="C2322"/>
    <hyperlink r:id="rId2322" ref="C2323"/>
    <hyperlink r:id="rId2323" ref="C2324"/>
    <hyperlink r:id="rId2324" ref="C2325"/>
    <hyperlink r:id="rId2325" ref="C2326"/>
    <hyperlink r:id="rId2326" ref="C2327"/>
    <hyperlink r:id="rId2327" ref="C2328"/>
    <hyperlink r:id="rId2328" ref="C2329"/>
    <hyperlink r:id="rId2329" ref="C2330"/>
    <hyperlink r:id="rId2330" ref="C2331"/>
    <hyperlink r:id="rId2331" ref="C2332"/>
    <hyperlink r:id="rId2332" ref="C2333"/>
    <hyperlink r:id="rId2333" ref="C2334"/>
    <hyperlink r:id="rId2334" ref="C2335"/>
    <hyperlink r:id="rId2335" ref="C2336"/>
    <hyperlink r:id="rId2336" ref="C2337"/>
    <hyperlink r:id="rId2337" ref="C2338"/>
    <hyperlink r:id="rId2338" ref="C2339"/>
    <hyperlink r:id="rId2339" ref="C2340"/>
    <hyperlink r:id="rId2340" ref="C2341"/>
    <hyperlink r:id="rId2341" ref="C2342"/>
    <hyperlink r:id="rId2342" ref="C2343"/>
    <hyperlink r:id="rId2343" ref="C2344"/>
    <hyperlink r:id="rId2344" ref="C2345"/>
    <hyperlink r:id="rId2345" ref="C2346"/>
    <hyperlink r:id="rId2346" ref="C2347"/>
    <hyperlink r:id="rId2347" ref="C2348"/>
    <hyperlink r:id="rId2348" ref="C2349"/>
    <hyperlink r:id="rId2349" ref="C2350"/>
    <hyperlink r:id="rId2350" ref="C2351"/>
    <hyperlink r:id="rId2351" ref="C2352"/>
    <hyperlink r:id="rId2352" ref="C2353"/>
    <hyperlink r:id="rId2353" ref="C2354"/>
    <hyperlink r:id="rId2354" ref="C2355"/>
    <hyperlink r:id="rId2355" ref="C2356"/>
    <hyperlink r:id="rId2356" ref="C2357"/>
    <hyperlink r:id="rId2357" ref="C2358"/>
    <hyperlink r:id="rId2358" ref="C2359"/>
    <hyperlink r:id="rId2359" ref="C2360"/>
    <hyperlink r:id="rId2360" ref="C2361"/>
    <hyperlink r:id="rId2361" ref="C2362"/>
    <hyperlink r:id="rId2362" ref="C2363"/>
    <hyperlink r:id="rId2363" ref="C2364"/>
    <hyperlink r:id="rId2364" ref="C2365"/>
    <hyperlink r:id="rId2365" ref="C2366"/>
    <hyperlink r:id="rId2366" ref="C2367"/>
    <hyperlink r:id="rId2367" ref="C2368"/>
    <hyperlink r:id="rId2368" ref="C2369"/>
    <hyperlink r:id="rId2369" ref="C2370"/>
    <hyperlink r:id="rId2370" ref="C2371"/>
    <hyperlink r:id="rId2371" ref="C2372"/>
    <hyperlink r:id="rId2372" ref="C2373"/>
    <hyperlink r:id="rId2373" ref="C2374"/>
    <hyperlink r:id="rId2374" ref="C2375"/>
    <hyperlink r:id="rId2375" ref="C2376"/>
    <hyperlink r:id="rId2376" ref="C2377"/>
    <hyperlink r:id="rId2377" ref="C2378"/>
    <hyperlink r:id="rId2378" ref="C2379"/>
    <hyperlink r:id="rId2379" ref="C2380"/>
    <hyperlink r:id="rId2380" ref="C2381"/>
    <hyperlink r:id="rId2381" ref="C2382"/>
    <hyperlink r:id="rId2382" ref="C2383"/>
    <hyperlink r:id="rId2383" ref="C2384"/>
    <hyperlink r:id="rId2384" ref="C2385"/>
    <hyperlink r:id="rId2385" ref="C2386"/>
    <hyperlink r:id="rId2386" ref="C2387"/>
    <hyperlink r:id="rId2387" ref="C2388"/>
    <hyperlink r:id="rId2388" ref="C2389"/>
    <hyperlink r:id="rId2389" ref="C2390"/>
    <hyperlink r:id="rId2390" ref="C2391"/>
    <hyperlink r:id="rId2391" ref="C2392"/>
    <hyperlink r:id="rId2392" ref="C2393"/>
    <hyperlink r:id="rId2393" ref="C2394"/>
    <hyperlink r:id="rId2394" ref="C2395"/>
    <hyperlink r:id="rId2395" ref="C2396"/>
    <hyperlink r:id="rId2396" ref="C2397"/>
    <hyperlink r:id="rId2397" ref="C2398"/>
    <hyperlink r:id="rId2398" ref="C2399"/>
    <hyperlink r:id="rId2399" ref="C2400"/>
    <hyperlink r:id="rId2400" ref="C2401"/>
    <hyperlink r:id="rId2401" ref="C2402"/>
    <hyperlink r:id="rId2402" ref="C2403"/>
    <hyperlink r:id="rId2403" ref="C2404"/>
    <hyperlink r:id="rId2404" ref="C2405"/>
    <hyperlink r:id="rId2405" ref="C2406"/>
    <hyperlink r:id="rId2406" ref="C2407"/>
    <hyperlink r:id="rId2407" ref="C2408"/>
    <hyperlink r:id="rId2408" ref="C2409"/>
    <hyperlink r:id="rId2409" ref="C2410"/>
    <hyperlink r:id="rId2410" ref="C2411"/>
    <hyperlink r:id="rId2411" ref="C2412"/>
    <hyperlink r:id="rId2412" ref="C2413"/>
    <hyperlink r:id="rId2413" ref="C2414"/>
    <hyperlink r:id="rId2414" ref="C2415"/>
    <hyperlink r:id="rId2415" ref="C2416"/>
    <hyperlink r:id="rId2416" ref="C2417"/>
    <hyperlink r:id="rId2417" ref="C2418"/>
    <hyperlink r:id="rId2418" ref="C2419"/>
    <hyperlink r:id="rId2419" ref="C2420"/>
    <hyperlink r:id="rId2420" ref="C2421"/>
    <hyperlink r:id="rId2421" ref="C2422"/>
    <hyperlink r:id="rId2422" ref="C2423"/>
    <hyperlink r:id="rId2423" ref="C2424"/>
    <hyperlink r:id="rId2424" ref="C2425"/>
    <hyperlink r:id="rId2425" ref="C2426"/>
    <hyperlink r:id="rId2426" ref="C2427"/>
    <hyperlink r:id="rId2427" ref="C2428"/>
    <hyperlink r:id="rId2428" ref="C2429"/>
    <hyperlink r:id="rId2429" ref="C2430"/>
    <hyperlink r:id="rId2430" ref="C2431"/>
    <hyperlink r:id="rId2431" ref="C2432"/>
    <hyperlink r:id="rId2432" ref="C2433"/>
    <hyperlink r:id="rId2433" ref="C2434"/>
    <hyperlink r:id="rId2434" ref="C2435"/>
    <hyperlink r:id="rId2435" ref="C2436"/>
    <hyperlink r:id="rId2436" ref="C2437"/>
    <hyperlink r:id="rId2437" ref="C2438"/>
    <hyperlink r:id="rId2438" ref="C2439"/>
    <hyperlink r:id="rId2439" ref="C2440"/>
    <hyperlink r:id="rId2440" ref="C2441"/>
    <hyperlink r:id="rId2441" ref="C2442"/>
    <hyperlink r:id="rId2442" ref="C2443"/>
    <hyperlink r:id="rId2443" ref="C2444"/>
    <hyperlink r:id="rId2444" ref="C2445"/>
    <hyperlink r:id="rId2445" ref="C2446"/>
    <hyperlink r:id="rId2446" ref="C2447"/>
    <hyperlink r:id="rId2447" ref="C2448"/>
    <hyperlink r:id="rId2448" ref="C2449"/>
    <hyperlink r:id="rId2449" ref="C2450"/>
    <hyperlink r:id="rId2450" ref="C2451"/>
    <hyperlink r:id="rId2451" ref="C2452"/>
    <hyperlink r:id="rId2452" ref="C2453"/>
    <hyperlink r:id="rId2453" ref="C2454"/>
    <hyperlink r:id="rId2454" ref="C2455"/>
    <hyperlink r:id="rId2455" ref="C2456"/>
    <hyperlink r:id="rId2456" ref="C2457"/>
    <hyperlink r:id="rId2457" ref="C2458"/>
    <hyperlink r:id="rId2458" ref="C2459"/>
    <hyperlink r:id="rId2459" ref="C2460"/>
    <hyperlink r:id="rId2460" ref="C2461"/>
    <hyperlink r:id="rId2461" ref="C2462"/>
    <hyperlink r:id="rId2462" ref="C2463"/>
    <hyperlink r:id="rId2463" ref="C2464"/>
    <hyperlink r:id="rId2464" ref="C2465"/>
    <hyperlink r:id="rId2465" ref="C2466"/>
    <hyperlink r:id="rId2466" ref="C2467"/>
    <hyperlink r:id="rId2467" ref="C2468"/>
    <hyperlink r:id="rId2468" ref="C2469"/>
    <hyperlink r:id="rId2469" ref="C2470"/>
    <hyperlink r:id="rId2470" ref="C2471"/>
    <hyperlink r:id="rId2471" ref="C2472"/>
    <hyperlink r:id="rId2472" ref="C2473"/>
    <hyperlink r:id="rId2473" ref="C2474"/>
    <hyperlink r:id="rId2474" ref="C2475"/>
    <hyperlink r:id="rId2475" ref="C2476"/>
    <hyperlink r:id="rId2476" ref="C2477"/>
    <hyperlink r:id="rId2477" ref="C2478"/>
    <hyperlink r:id="rId2478" ref="C2479"/>
    <hyperlink r:id="rId2479" ref="C2480"/>
    <hyperlink r:id="rId2480" ref="C2481"/>
    <hyperlink r:id="rId2481" ref="C2482"/>
    <hyperlink r:id="rId2482" ref="C2483"/>
    <hyperlink r:id="rId2483" ref="C2484"/>
    <hyperlink r:id="rId2484" ref="C2485"/>
    <hyperlink r:id="rId2485" ref="C2486"/>
    <hyperlink r:id="rId2486" ref="C2487"/>
    <hyperlink r:id="rId2487" ref="C2488"/>
    <hyperlink r:id="rId2488" ref="C2489"/>
    <hyperlink r:id="rId2489" ref="C2490"/>
    <hyperlink r:id="rId2490" ref="C2491"/>
    <hyperlink r:id="rId2491" ref="C2492"/>
    <hyperlink r:id="rId2492" ref="C2493"/>
    <hyperlink r:id="rId2493" ref="C2494"/>
    <hyperlink r:id="rId2494" ref="C2495"/>
    <hyperlink r:id="rId2495" ref="C2496"/>
    <hyperlink r:id="rId2496" ref="C2497"/>
    <hyperlink r:id="rId2497" ref="C2498"/>
    <hyperlink r:id="rId2498" ref="C2499"/>
    <hyperlink r:id="rId2499" ref="C2500"/>
    <hyperlink r:id="rId2500" ref="C2501"/>
    <hyperlink r:id="rId2501" ref="C2502"/>
    <hyperlink r:id="rId2502" ref="C2503"/>
    <hyperlink r:id="rId2503" ref="C2504"/>
    <hyperlink r:id="rId2504" ref="C2505"/>
    <hyperlink r:id="rId2505" ref="C2506"/>
    <hyperlink r:id="rId2506" ref="C2507"/>
    <hyperlink r:id="rId2507" ref="C2508"/>
    <hyperlink r:id="rId2508" ref="C2509"/>
    <hyperlink r:id="rId2509" ref="C2510"/>
    <hyperlink r:id="rId2510" ref="C2511"/>
    <hyperlink r:id="rId2511" ref="C2512"/>
    <hyperlink r:id="rId2512" ref="C2513"/>
    <hyperlink r:id="rId2513" ref="C2514"/>
    <hyperlink r:id="rId2514" ref="C2515"/>
    <hyperlink r:id="rId2515" ref="C2516"/>
    <hyperlink r:id="rId2516" ref="C2517"/>
    <hyperlink r:id="rId2517" ref="C2518"/>
    <hyperlink r:id="rId2518" ref="C2519"/>
    <hyperlink r:id="rId2519" ref="C2520"/>
    <hyperlink r:id="rId2520" ref="C2521"/>
    <hyperlink r:id="rId2521" ref="C2522"/>
    <hyperlink r:id="rId2522" ref="C2523"/>
    <hyperlink r:id="rId2523" ref="C2524"/>
    <hyperlink r:id="rId2524" ref="C2525"/>
    <hyperlink r:id="rId2525" ref="C2526"/>
    <hyperlink r:id="rId2526" ref="C2527"/>
    <hyperlink r:id="rId2527" ref="C2528"/>
    <hyperlink r:id="rId2528" ref="C2529"/>
    <hyperlink r:id="rId2529" ref="C2530"/>
    <hyperlink r:id="rId2530" ref="C2531"/>
    <hyperlink r:id="rId2531" ref="C2532"/>
    <hyperlink r:id="rId2532" ref="C2533"/>
    <hyperlink r:id="rId2533" ref="C2534"/>
    <hyperlink r:id="rId2534" ref="C2535"/>
    <hyperlink r:id="rId2535" ref="C2536"/>
    <hyperlink r:id="rId2536" ref="C2537"/>
    <hyperlink r:id="rId2537" ref="C2538"/>
    <hyperlink r:id="rId2538" ref="C2539"/>
    <hyperlink r:id="rId2539" ref="C2540"/>
    <hyperlink r:id="rId2540" ref="C2541"/>
    <hyperlink r:id="rId2541" ref="C2542"/>
    <hyperlink r:id="rId2542" ref="C2543"/>
    <hyperlink r:id="rId2543" ref="C2544"/>
    <hyperlink r:id="rId2544" ref="C2545"/>
    <hyperlink r:id="rId2545" ref="C2546"/>
    <hyperlink r:id="rId2546" ref="C2547"/>
    <hyperlink r:id="rId2547" ref="C2548"/>
    <hyperlink r:id="rId2548" ref="C2549"/>
    <hyperlink r:id="rId2549" ref="C2550"/>
    <hyperlink r:id="rId2550" ref="C2551"/>
    <hyperlink r:id="rId2551" ref="C2552"/>
    <hyperlink r:id="rId2552" ref="C2553"/>
    <hyperlink r:id="rId2553" ref="C2554"/>
    <hyperlink r:id="rId2554" ref="C2555"/>
    <hyperlink r:id="rId2555" ref="C2556"/>
    <hyperlink r:id="rId2556" ref="C2557"/>
    <hyperlink r:id="rId2557" ref="C2558"/>
    <hyperlink r:id="rId2558" ref="C2559"/>
    <hyperlink r:id="rId2559" ref="C2560"/>
    <hyperlink r:id="rId2560" ref="C2561"/>
    <hyperlink r:id="rId2561" ref="C2562"/>
    <hyperlink r:id="rId2562" ref="C2563"/>
    <hyperlink r:id="rId2563" ref="C2564"/>
    <hyperlink r:id="rId2564" ref="C2565"/>
    <hyperlink r:id="rId2565" ref="C2566"/>
    <hyperlink r:id="rId2566" ref="C2567"/>
    <hyperlink r:id="rId2567" ref="C2568"/>
    <hyperlink r:id="rId2568" ref="C2569"/>
    <hyperlink r:id="rId2569" ref="C2570"/>
    <hyperlink r:id="rId2570" ref="C2571"/>
    <hyperlink r:id="rId2571" ref="C2572"/>
    <hyperlink r:id="rId2572" ref="C2573"/>
    <hyperlink r:id="rId2573" ref="C2574"/>
    <hyperlink r:id="rId2574" ref="C2575"/>
    <hyperlink r:id="rId2575" ref="C2576"/>
    <hyperlink r:id="rId2576" ref="C2577"/>
    <hyperlink r:id="rId2577" ref="C2578"/>
    <hyperlink r:id="rId2578" ref="C2579"/>
    <hyperlink r:id="rId2579" ref="C2580"/>
    <hyperlink r:id="rId2580" ref="C2581"/>
    <hyperlink r:id="rId2581" ref="C2582"/>
    <hyperlink r:id="rId2582" ref="C2583"/>
    <hyperlink r:id="rId2583" ref="C2584"/>
    <hyperlink r:id="rId2584" ref="C2585"/>
    <hyperlink r:id="rId2585" ref="C2586"/>
    <hyperlink r:id="rId2586" ref="C2587"/>
    <hyperlink r:id="rId2587" ref="C2588"/>
    <hyperlink r:id="rId2588" ref="C2589"/>
    <hyperlink r:id="rId2589" ref="C2590"/>
    <hyperlink r:id="rId2590" ref="C2591"/>
    <hyperlink r:id="rId2591" ref="C2592"/>
    <hyperlink r:id="rId2592" ref="C2593"/>
    <hyperlink r:id="rId2593" ref="C2594"/>
    <hyperlink r:id="rId2594" ref="C2595"/>
    <hyperlink r:id="rId2595" ref="C2596"/>
    <hyperlink r:id="rId2596" ref="C2597"/>
    <hyperlink r:id="rId2597" ref="C2598"/>
    <hyperlink r:id="rId2598" ref="C2599"/>
    <hyperlink r:id="rId2599" ref="C2600"/>
    <hyperlink r:id="rId2600" ref="C2601"/>
    <hyperlink r:id="rId2601" ref="C2602"/>
    <hyperlink r:id="rId2602" ref="C2603"/>
    <hyperlink r:id="rId2603" ref="C2604"/>
    <hyperlink r:id="rId2604" ref="C2605"/>
    <hyperlink r:id="rId2605" ref="C2606"/>
    <hyperlink r:id="rId2606" ref="C2607"/>
    <hyperlink r:id="rId2607" ref="C2608"/>
    <hyperlink r:id="rId2608" ref="C2609"/>
    <hyperlink r:id="rId2609" ref="C2610"/>
    <hyperlink r:id="rId2610" ref="C2611"/>
    <hyperlink r:id="rId2611" ref="C2612"/>
    <hyperlink r:id="rId2612" ref="C2613"/>
    <hyperlink r:id="rId2613" ref="C2614"/>
    <hyperlink r:id="rId2614" ref="C2615"/>
    <hyperlink r:id="rId2615" ref="C2616"/>
    <hyperlink r:id="rId2616" ref="C2617"/>
    <hyperlink r:id="rId2617" ref="C2618"/>
    <hyperlink r:id="rId2618" ref="C2619"/>
    <hyperlink r:id="rId2619" ref="C2620"/>
    <hyperlink r:id="rId2620" ref="C2621"/>
    <hyperlink r:id="rId2621" ref="C2622"/>
    <hyperlink r:id="rId2622" ref="C2623"/>
    <hyperlink r:id="rId2623" ref="C2624"/>
    <hyperlink r:id="rId2624" ref="C2625"/>
    <hyperlink r:id="rId2625" ref="C2626"/>
    <hyperlink r:id="rId2626" ref="C2627"/>
    <hyperlink r:id="rId2627" ref="C2628"/>
    <hyperlink r:id="rId2628" ref="C2629"/>
    <hyperlink r:id="rId2629" ref="C2630"/>
    <hyperlink r:id="rId2630" ref="C2631"/>
    <hyperlink r:id="rId2631" ref="C2632"/>
    <hyperlink r:id="rId2632" ref="C2633"/>
    <hyperlink r:id="rId2633" ref="C2634"/>
    <hyperlink r:id="rId2634" ref="C2635"/>
    <hyperlink r:id="rId2635" ref="C2636"/>
    <hyperlink r:id="rId2636" ref="C2637"/>
    <hyperlink r:id="rId2637" ref="C2638"/>
    <hyperlink r:id="rId2638" ref="C2639"/>
    <hyperlink r:id="rId2639" ref="C2640"/>
    <hyperlink r:id="rId2640" ref="C2641"/>
    <hyperlink r:id="rId2641" ref="C2642"/>
    <hyperlink r:id="rId2642" ref="C2643"/>
    <hyperlink r:id="rId2643" ref="C2644"/>
    <hyperlink r:id="rId2644" ref="C2645"/>
    <hyperlink r:id="rId2645" ref="C2646"/>
    <hyperlink r:id="rId2646" ref="C2647"/>
    <hyperlink r:id="rId2647" ref="C2648"/>
    <hyperlink r:id="rId2648" ref="C2649"/>
    <hyperlink r:id="rId2649" ref="C2650"/>
    <hyperlink r:id="rId2650" ref="C2651"/>
    <hyperlink r:id="rId2651" ref="C2652"/>
    <hyperlink r:id="rId2652" ref="C2653"/>
    <hyperlink r:id="rId2653" ref="C2654"/>
    <hyperlink r:id="rId2654" ref="C2655"/>
    <hyperlink r:id="rId2655" ref="C2656"/>
    <hyperlink r:id="rId2656" ref="C2657"/>
    <hyperlink r:id="rId2657" ref="C2658"/>
    <hyperlink r:id="rId2658" ref="C2659"/>
    <hyperlink r:id="rId2659" ref="C2660"/>
    <hyperlink r:id="rId2660" ref="C2661"/>
    <hyperlink r:id="rId2661" ref="C2662"/>
    <hyperlink r:id="rId2662" ref="C2663"/>
    <hyperlink r:id="rId2663" ref="C2664"/>
    <hyperlink r:id="rId2664" ref="C2665"/>
    <hyperlink r:id="rId2665" ref="C2666"/>
    <hyperlink r:id="rId2666" ref="C2667"/>
    <hyperlink r:id="rId2667" ref="C2668"/>
    <hyperlink r:id="rId2668" ref="C2669"/>
    <hyperlink r:id="rId2669" ref="C2670"/>
    <hyperlink r:id="rId2670" ref="C2671"/>
    <hyperlink r:id="rId2671" ref="C2672"/>
    <hyperlink r:id="rId2672" ref="C2673"/>
    <hyperlink r:id="rId2673" ref="C2674"/>
    <hyperlink r:id="rId2674" ref="C2675"/>
    <hyperlink r:id="rId2675" ref="C2676"/>
    <hyperlink r:id="rId2676" ref="C2677"/>
    <hyperlink r:id="rId2677" ref="C2678"/>
    <hyperlink r:id="rId2678" ref="C2679"/>
    <hyperlink r:id="rId2679" ref="C2680"/>
    <hyperlink r:id="rId2680" ref="C2681"/>
    <hyperlink r:id="rId2681" ref="C2682"/>
    <hyperlink r:id="rId2682" ref="C2683"/>
    <hyperlink r:id="rId2683" ref="C2684"/>
    <hyperlink r:id="rId2684" ref="C2685"/>
    <hyperlink r:id="rId2685" ref="C2686"/>
    <hyperlink r:id="rId2686" ref="C2687"/>
    <hyperlink r:id="rId2687" ref="C2688"/>
    <hyperlink r:id="rId2688" ref="C2689"/>
    <hyperlink r:id="rId2689" ref="C2690"/>
    <hyperlink r:id="rId2690" ref="C2691"/>
    <hyperlink r:id="rId2691" ref="C2692"/>
    <hyperlink r:id="rId2692" ref="C2693"/>
    <hyperlink r:id="rId2693" ref="C2694"/>
    <hyperlink r:id="rId2694" ref="C2695"/>
    <hyperlink r:id="rId2695" ref="C2696"/>
    <hyperlink r:id="rId2696" ref="C2697"/>
    <hyperlink r:id="rId2697" ref="C2698"/>
    <hyperlink r:id="rId2698" ref="C2699"/>
    <hyperlink r:id="rId2699" ref="C2700"/>
    <hyperlink r:id="rId2700" ref="C2701"/>
    <hyperlink r:id="rId2701" ref="C2702"/>
    <hyperlink r:id="rId2702" ref="C2703"/>
    <hyperlink r:id="rId2703" ref="C2704"/>
    <hyperlink r:id="rId2704" ref="C2705"/>
    <hyperlink r:id="rId2705" ref="C2706"/>
    <hyperlink r:id="rId2706" ref="C2707"/>
    <hyperlink r:id="rId2707" ref="C2708"/>
    <hyperlink r:id="rId2708" ref="C2709"/>
    <hyperlink r:id="rId2709" ref="C2710"/>
    <hyperlink r:id="rId2710" ref="C2711"/>
    <hyperlink r:id="rId2711" ref="C2712"/>
    <hyperlink r:id="rId2712" ref="C2713"/>
    <hyperlink r:id="rId2713" ref="C2714"/>
    <hyperlink r:id="rId2714" ref="C2715"/>
    <hyperlink r:id="rId2715" ref="C2716"/>
    <hyperlink r:id="rId2716" ref="C2717"/>
    <hyperlink r:id="rId2717" ref="C2718"/>
    <hyperlink r:id="rId2718" ref="C2719"/>
    <hyperlink r:id="rId2719" ref="C2720"/>
    <hyperlink r:id="rId2720" ref="C2721"/>
    <hyperlink r:id="rId2721" ref="C2722"/>
    <hyperlink r:id="rId2722" ref="C2723"/>
    <hyperlink r:id="rId2723" ref="C2724"/>
    <hyperlink r:id="rId2724" ref="C2725"/>
    <hyperlink r:id="rId2725" ref="C2726"/>
    <hyperlink r:id="rId2726" ref="C2727"/>
    <hyperlink r:id="rId2727" ref="C2728"/>
    <hyperlink r:id="rId2728" ref="C2729"/>
    <hyperlink r:id="rId2729" ref="C2730"/>
    <hyperlink r:id="rId2730" ref="C2731"/>
    <hyperlink r:id="rId2731" ref="C2732"/>
    <hyperlink r:id="rId2732" ref="C2733"/>
    <hyperlink r:id="rId2733" ref="C2734"/>
    <hyperlink r:id="rId2734" ref="C2735"/>
    <hyperlink r:id="rId2735" ref="C2736"/>
    <hyperlink r:id="rId2736" ref="C2737"/>
    <hyperlink r:id="rId2737" ref="C2738"/>
    <hyperlink r:id="rId2738" ref="C2739"/>
    <hyperlink r:id="rId2739" ref="C2740"/>
    <hyperlink r:id="rId2740" ref="C2741"/>
    <hyperlink r:id="rId2741" ref="C2742"/>
    <hyperlink r:id="rId2742" ref="C2743"/>
    <hyperlink r:id="rId2743" ref="C2744"/>
    <hyperlink r:id="rId2744" ref="C2745"/>
    <hyperlink r:id="rId2745" ref="C2746"/>
    <hyperlink r:id="rId2746" ref="C2747"/>
    <hyperlink r:id="rId2747" ref="C2748"/>
    <hyperlink r:id="rId2748" ref="C2749"/>
    <hyperlink r:id="rId2749" ref="C2750"/>
    <hyperlink r:id="rId2750" ref="C2751"/>
    <hyperlink r:id="rId2751" ref="C2752"/>
    <hyperlink r:id="rId2752" ref="C2753"/>
    <hyperlink r:id="rId2753" ref="C2754"/>
    <hyperlink r:id="rId2754" ref="C2755"/>
    <hyperlink r:id="rId2755" ref="C2756"/>
    <hyperlink r:id="rId2756" ref="C2757"/>
    <hyperlink r:id="rId2757" ref="C2758"/>
    <hyperlink r:id="rId2758" ref="C2759"/>
    <hyperlink r:id="rId2759" ref="C2760"/>
    <hyperlink r:id="rId2760" ref="C2761"/>
    <hyperlink r:id="rId2761" ref="C2762"/>
    <hyperlink r:id="rId2762" ref="C2763"/>
    <hyperlink r:id="rId2763" ref="C2764"/>
    <hyperlink r:id="rId2764" ref="C2765"/>
    <hyperlink r:id="rId2765" ref="C2766"/>
    <hyperlink r:id="rId2766" ref="C2767"/>
    <hyperlink r:id="rId2767" ref="C2768"/>
    <hyperlink r:id="rId2768" ref="C2769"/>
    <hyperlink r:id="rId2769" ref="C2770"/>
    <hyperlink r:id="rId2770" ref="C2771"/>
    <hyperlink r:id="rId2771" ref="C2772"/>
    <hyperlink r:id="rId2772" ref="C2773"/>
    <hyperlink r:id="rId2773" ref="C2774"/>
    <hyperlink r:id="rId2774" ref="C2775"/>
    <hyperlink r:id="rId2775" ref="C2776"/>
    <hyperlink r:id="rId2776" ref="C2777"/>
    <hyperlink r:id="rId2777" ref="C2778"/>
    <hyperlink r:id="rId2778" ref="C2779"/>
    <hyperlink r:id="rId2779" ref="C2780"/>
    <hyperlink r:id="rId2780" ref="C2781"/>
    <hyperlink r:id="rId2781" ref="C2782"/>
    <hyperlink r:id="rId2782" ref="C2783"/>
    <hyperlink r:id="rId2783" ref="C2784"/>
    <hyperlink r:id="rId2784" ref="C2785"/>
    <hyperlink r:id="rId2785" ref="C2786"/>
    <hyperlink r:id="rId2786" ref="C2787"/>
    <hyperlink r:id="rId2787" ref="C2788"/>
    <hyperlink r:id="rId2788" ref="C2789"/>
    <hyperlink r:id="rId2789" ref="C2790"/>
    <hyperlink r:id="rId2790" ref="C2791"/>
    <hyperlink r:id="rId2791" ref="C2792"/>
    <hyperlink r:id="rId2792" ref="C2793"/>
    <hyperlink r:id="rId2793" ref="C2794"/>
    <hyperlink r:id="rId2794" ref="C2795"/>
    <hyperlink r:id="rId2795" ref="C2796"/>
    <hyperlink r:id="rId2796" ref="C2797"/>
    <hyperlink r:id="rId2797" ref="C2798"/>
    <hyperlink r:id="rId2798" ref="C2799"/>
    <hyperlink r:id="rId2799" ref="C2800"/>
    <hyperlink r:id="rId2800" ref="C2801"/>
    <hyperlink r:id="rId2801" ref="C2802"/>
    <hyperlink r:id="rId2802" ref="C2803"/>
    <hyperlink r:id="rId2803" ref="C2804"/>
    <hyperlink r:id="rId2804" ref="C2805"/>
    <hyperlink r:id="rId2805" ref="C2806"/>
    <hyperlink r:id="rId2806" ref="C2807"/>
    <hyperlink r:id="rId2807" ref="C2808"/>
    <hyperlink r:id="rId2808" ref="C2809"/>
    <hyperlink r:id="rId2809" ref="C2810"/>
    <hyperlink r:id="rId2810" ref="C2811"/>
    <hyperlink r:id="rId2811" ref="C2812"/>
    <hyperlink r:id="rId2812" ref="C2813"/>
    <hyperlink r:id="rId2813" ref="C2814"/>
    <hyperlink r:id="rId2814" ref="C2815"/>
    <hyperlink r:id="rId2815" ref="C2816"/>
    <hyperlink r:id="rId2816" ref="C2817"/>
    <hyperlink r:id="rId2817" ref="C2818"/>
    <hyperlink r:id="rId2818" ref="C2819"/>
    <hyperlink r:id="rId2819" ref="C2820"/>
    <hyperlink r:id="rId2820" ref="C2821"/>
    <hyperlink r:id="rId2821" ref="C2822"/>
    <hyperlink r:id="rId2822" ref="C2823"/>
    <hyperlink r:id="rId2823" ref="C2824"/>
    <hyperlink r:id="rId2824" ref="C2825"/>
    <hyperlink r:id="rId2825" ref="C2826"/>
    <hyperlink r:id="rId2826" ref="C2827"/>
    <hyperlink r:id="rId2827" ref="C2828"/>
    <hyperlink r:id="rId2828" ref="C2829"/>
    <hyperlink r:id="rId2829" ref="C2830"/>
    <hyperlink r:id="rId2830" ref="C2831"/>
    <hyperlink r:id="rId2831" ref="C2832"/>
    <hyperlink r:id="rId2832" ref="C2833"/>
    <hyperlink r:id="rId2833" ref="C2834"/>
    <hyperlink r:id="rId2834" ref="C2835"/>
    <hyperlink r:id="rId2835" ref="C2836"/>
    <hyperlink r:id="rId2836" ref="C2837"/>
    <hyperlink r:id="rId2837" ref="C2838"/>
    <hyperlink r:id="rId2838" ref="C2839"/>
    <hyperlink r:id="rId2839" ref="C2840"/>
    <hyperlink r:id="rId2840" ref="C2841"/>
    <hyperlink r:id="rId2841" ref="C2842"/>
    <hyperlink r:id="rId2842" ref="C2843"/>
    <hyperlink r:id="rId2843" ref="C2844"/>
    <hyperlink r:id="rId2844" ref="C2845"/>
    <hyperlink r:id="rId2845" ref="C2846"/>
    <hyperlink r:id="rId2846" ref="C2847"/>
    <hyperlink r:id="rId2847" ref="C2848"/>
    <hyperlink r:id="rId2848" ref="C2849"/>
    <hyperlink r:id="rId2849" ref="C2850"/>
    <hyperlink r:id="rId2850" ref="C2851"/>
    <hyperlink r:id="rId2851" ref="C2852"/>
    <hyperlink r:id="rId2852" ref="C2853"/>
    <hyperlink r:id="rId2853" ref="C2854"/>
    <hyperlink r:id="rId2854" ref="C2855"/>
    <hyperlink r:id="rId2855" ref="C2856"/>
    <hyperlink r:id="rId2856" ref="C2857"/>
    <hyperlink r:id="rId2857" ref="C2858"/>
    <hyperlink r:id="rId2858" ref="C2859"/>
    <hyperlink r:id="rId2859" ref="C2860"/>
    <hyperlink r:id="rId2860" ref="C2861"/>
    <hyperlink r:id="rId2861" ref="C2862"/>
    <hyperlink r:id="rId2862" ref="C2863"/>
    <hyperlink r:id="rId2863" ref="C2864"/>
    <hyperlink r:id="rId2864" ref="C2865"/>
    <hyperlink r:id="rId2865" ref="C2866"/>
    <hyperlink r:id="rId2866" ref="C2867"/>
    <hyperlink r:id="rId2867" ref="C2868"/>
    <hyperlink r:id="rId2868" ref="C2869"/>
    <hyperlink r:id="rId2869" ref="C2870"/>
    <hyperlink r:id="rId2870" ref="C2871"/>
    <hyperlink r:id="rId2871" ref="C2872"/>
    <hyperlink r:id="rId2872" ref="C2873"/>
    <hyperlink r:id="rId2873" ref="C2874"/>
    <hyperlink r:id="rId2874" ref="C2875"/>
    <hyperlink r:id="rId2875" ref="C2876"/>
    <hyperlink r:id="rId2876" ref="C2877"/>
    <hyperlink r:id="rId2877" ref="C2878"/>
    <hyperlink r:id="rId2878" ref="C2879"/>
    <hyperlink r:id="rId2879" ref="C2880"/>
    <hyperlink r:id="rId2880" ref="C2881"/>
    <hyperlink r:id="rId2881" ref="C2882"/>
    <hyperlink r:id="rId2882" ref="C2883"/>
    <hyperlink r:id="rId2883" ref="C2884"/>
    <hyperlink r:id="rId2884" ref="C2885"/>
    <hyperlink r:id="rId2885" ref="C2886"/>
    <hyperlink r:id="rId2886" ref="C2887"/>
    <hyperlink r:id="rId2887" ref="C2888"/>
    <hyperlink r:id="rId2888" ref="C2889"/>
    <hyperlink r:id="rId2889" ref="C2890"/>
    <hyperlink r:id="rId2890" ref="C2891"/>
    <hyperlink r:id="rId2891" ref="C2892"/>
    <hyperlink r:id="rId2892" ref="C2893"/>
    <hyperlink r:id="rId2893" ref="C2894"/>
    <hyperlink r:id="rId2894" ref="C2895"/>
    <hyperlink r:id="rId2895" ref="C2896"/>
    <hyperlink r:id="rId2896" ref="C2897"/>
    <hyperlink r:id="rId2897" ref="C2898"/>
    <hyperlink r:id="rId2898" ref="C2899"/>
    <hyperlink r:id="rId2899" ref="C2900"/>
    <hyperlink r:id="rId2900" ref="C2901"/>
    <hyperlink r:id="rId2901" ref="C2902"/>
    <hyperlink r:id="rId2902" ref="C2903"/>
    <hyperlink r:id="rId2903" ref="C2904"/>
    <hyperlink r:id="rId2904" ref="C2905"/>
    <hyperlink r:id="rId2905" ref="C2906"/>
    <hyperlink r:id="rId2906" ref="C2907"/>
    <hyperlink r:id="rId2907" ref="C2908"/>
    <hyperlink r:id="rId2908" ref="C2909"/>
    <hyperlink r:id="rId2909" ref="C2910"/>
    <hyperlink r:id="rId2910" ref="C2911"/>
    <hyperlink r:id="rId2911" ref="C2912"/>
    <hyperlink r:id="rId2912" ref="C2913"/>
    <hyperlink r:id="rId2913" ref="C2914"/>
    <hyperlink r:id="rId2914" ref="C2915"/>
    <hyperlink r:id="rId2915" ref="C2916"/>
    <hyperlink r:id="rId2916" ref="C2917"/>
    <hyperlink r:id="rId2917" ref="C2918"/>
    <hyperlink r:id="rId2918" ref="C2919"/>
    <hyperlink r:id="rId2919" ref="C2920"/>
    <hyperlink r:id="rId2920" ref="C2921"/>
    <hyperlink r:id="rId2921" ref="C2922"/>
    <hyperlink r:id="rId2922" ref="C2923"/>
    <hyperlink r:id="rId2923" ref="C2924"/>
    <hyperlink r:id="rId2924" ref="C2925"/>
    <hyperlink r:id="rId2925" ref="C2926"/>
    <hyperlink r:id="rId2926" ref="C2927"/>
    <hyperlink r:id="rId2927" ref="C2928"/>
    <hyperlink r:id="rId2928" ref="C2929"/>
    <hyperlink r:id="rId2929" ref="C2930"/>
    <hyperlink r:id="rId2930" ref="C2931"/>
    <hyperlink r:id="rId2931" ref="C2932"/>
    <hyperlink r:id="rId2932" ref="C2933"/>
    <hyperlink r:id="rId2933" ref="C2934"/>
    <hyperlink r:id="rId2934" ref="C2935"/>
    <hyperlink r:id="rId2935" ref="C2936"/>
    <hyperlink r:id="rId2936" ref="C2937"/>
    <hyperlink r:id="rId2937" ref="C2938"/>
    <hyperlink r:id="rId2938" ref="C2939"/>
    <hyperlink r:id="rId2939" ref="C2940"/>
    <hyperlink r:id="rId2940" ref="C2941"/>
    <hyperlink r:id="rId2941" ref="C2942"/>
    <hyperlink r:id="rId2942" ref="C2943"/>
    <hyperlink r:id="rId2943" ref="C2944"/>
    <hyperlink r:id="rId2944" ref="C2945"/>
    <hyperlink r:id="rId2945" ref="C2946"/>
    <hyperlink r:id="rId2946" ref="C2947"/>
    <hyperlink r:id="rId2947" ref="C2948"/>
    <hyperlink r:id="rId2948" ref="C2949"/>
    <hyperlink r:id="rId2949" ref="C2950"/>
    <hyperlink r:id="rId2950" ref="C2951"/>
    <hyperlink r:id="rId2951" ref="C2952"/>
    <hyperlink r:id="rId2952" ref="C2953"/>
    <hyperlink r:id="rId2953" ref="C2954"/>
    <hyperlink r:id="rId2954" ref="C2955"/>
    <hyperlink r:id="rId2955" ref="C2956"/>
    <hyperlink r:id="rId2956" ref="C2957"/>
    <hyperlink r:id="rId2957" ref="C2958"/>
    <hyperlink r:id="rId2958" ref="C2959"/>
    <hyperlink r:id="rId2959" ref="C2960"/>
    <hyperlink r:id="rId2960" ref="C2961"/>
    <hyperlink r:id="rId2961" ref="C2962"/>
    <hyperlink r:id="rId2962" ref="C2963"/>
    <hyperlink r:id="rId2963" ref="C2964"/>
    <hyperlink r:id="rId2964" ref="C2965"/>
    <hyperlink r:id="rId2965" ref="C2966"/>
    <hyperlink r:id="rId2966" ref="C2967"/>
    <hyperlink r:id="rId2967" ref="C2968"/>
    <hyperlink r:id="rId2968" ref="C2969"/>
    <hyperlink r:id="rId2969" ref="C2970"/>
    <hyperlink r:id="rId2970" ref="C2971"/>
    <hyperlink r:id="rId2971" ref="C2972"/>
    <hyperlink r:id="rId2972" ref="C2973"/>
    <hyperlink r:id="rId2973" ref="C2974"/>
    <hyperlink r:id="rId2974" ref="C2975"/>
    <hyperlink r:id="rId2975" ref="C2976"/>
    <hyperlink r:id="rId2976" ref="C2977"/>
    <hyperlink r:id="rId2977" ref="C2978"/>
    <hyperlink r:id="rId2978" ref="C2979"/>
    <hyperlink r:id="rId2979" ref="C2980"/>
    <hyperlink r:id="rId2980" ref="C2981"/>
    <hyperlink r:id="rId2981" ref="C2982"/>
    <hyperlink r:id="rId2982" ref="C2983"/>
    <hyperlink r:id="rId2983" ref="C2984"/>
    <hyperlink r:id="rId2984" ref="C2985"/>
    <hyperlink r:id="rId2985" ref="C2986"/>
    <hyperlink r:id="rId2986" ref="C2987"/>
    <hyperlink r:id="rId2987" ref="C2988"/>
    <hyperlink r:id="rId2988" ref="C2989"/>
    <hyperlink r:id="rId2989" ref="C2990"/>
    <hyperlink r:id="rId2990" ref="C2991"/>
    <hyperlink r:id="rId2991" ref="C2992"/>
    <hyperlink r:id="rId2992" ref="C2993"/>
    <hyperlink r:id="rId2993" ref="C2994"/>
    <hyperlink r:id="rId2994" ref="C2995"/>
    <hyperlink r:id="rId2995" ref="C2996"/>
    <hyperlink r:id="rId2996" ref="C2997"/>
    <hyperlink r:id="rId2997" ref="C2998"/>
    <hyperlink r:id="rId2998" ref="C2999"/>
    <hyperlink r:id="rId2999" ref="C3000"/>
    <hyperlink r:id="rId3000" ref="C3001"/>
    <hyperlink r:id="rId3001" ref="C3002"/>
    <hyperlink r:id="rId3002" ref="C3003"/>
    <hyperlink r:id="rId3003" ref="C3004"/>
    <hyperlink r:id="rId3004" ref="C3005"/>
    <hyperlink r:id="rId3005" ref="C3006"/>
    <hyperlink r:id="rId3006" ref="C3007"/>
    <hyperlink r:id="rId3007" ref="C3008"/>
    <hyperlink r:id="rId3008" ref="C3009"/>
    <hyperlink r:id="rId3009" ref="C3010"/>
    <hyperlink r:id="rId3010" ref="C3011"/>
    <hyperlink r:id="rId3011" ref="C3012"/>
    <hyperlink r:id="rId3012" ref="C3013"/>
    <hyperlink r:id="rId3013" ref="C3014"/>
    <hyperlink r:id="rId3014" ref="C3015"/>
    <hyperlink r:id="rId3015" ref="C3016"/>
    <hyperlink r:id="rId3016" ref="C3017"/>
    <hyperlink r:id="rId3017" ref="C3018"/>
    <hyperlink r:id="rId3018" ref="C3019"/>
    <hyperlink r:id="rId3019" ref="C3020"/>
    <hyperlink r:id="rId3020" ref="C3021"/>
    <hyperlink r:id="rId3021" ref="C3022"/>
    <hyperlink r:id="rId3022" ref="C3023"/>
    <hyperlink r:id="rId3023" ref="C3024"/>
    <hyperlink r:id="rId3024" ref="C3025"/>
    <hyperlink r:id="rId3025" ref="C3026"/>
    <hyperlink r:id="rId3026" ref="C3027"/>
    <hyperlink r:id="rId3027" ref="C3028"/>
    <hyperlink r:id="rId3028" ref="C3029"/>
    <hyperlink r:id="rId3029" ref="C3030"/>
    <hyperlink r:id="rId3030" ref="C3031"/>
    <hyperlink r:id="rId3031" ref="C3032"/>
    <hyperlink r:id="rId3032" ref="C3033"/>
    <hyperlink r:id="rId3033" ref="C3034"/>
    <hyperlink r:id="rId3034" ref="C3035"/>
    <hyperlink r:id="rId3035" ref="C3036"/>
    <hyperlink r:id="rId3036" ref="C3037"/>
    <hyperlink r:id="rId3037" ref="C3038"/>
    <hyperlink r:id="rId3038" ref="C3039"/>
    <hyperlink r:id="rId3039" ref="C3040"/>
    <hyperlink r:id="rId3040" ref="C3041"/>
    <hyperlink r:id="rId3041" ref="C3042"/>
    <hyperlink r:id="rId3042" ref="C3043"/>
    <hyperlink r:id="rId3043" ref="C3044"/>
    <hyperlink r:id="rId3044" ref="C3045"/>
    <hyperlink r:id="rId3045" ref="C3046"/>
    <hyperlink r:id="rId3046" ref="C3047"/>
    <hyperlink r:id="rId3047" ref="C3048"/>
    <hyperlink r:id="rId3048" ref="C3049"/>
    <hyperlink r:id="rId3049" ref="C3050"/>
    <hyperlink r:id="rId3050" ref="C3051"/>
    <hyperlink r:id="rId3051" ref="C3052"/>
    <hyperlink r:id="rId3052" ref="C3053"/>
    <hyperlink r:id="rId3053" ref="C3054"/>
    <hyperlink r:id="rId3054" ref="C3055"/>
    <hyperlink r:id="rId3055" ref="C3056"/>
    <hyperlink r:id="rId3056" ref="C3057"/>
    <hyperlink r:id="rId3057" ref="C3058"/>
    <hyperlink r:id="rId3058" ref="C3059"/>
    <hyperlink r:id="rId3059" ref="C3060"/>
    <hyperlink r:id="rId3060" ref="C3061"/>
    <hyperlink r:id="rId3061" ref="C3062"/>
    <hyperlink r:id="rId3062" ref="C3063"/>
    <hyperlink r:id="rId3063" ref="C3064"/>
    <hyperlink r:id="rId3064" ref="C3065"/>
    <hyperlink r:id="rId3065" ref="C3066"/>
    <hyperlink r:id="rId3066" ref="C3067"/>
    <hyperlink r:id="rId3067" ref="C3068"/>
    <hyperlink r:id="rId3068" ref="C3069"/>
    <hyperlink r:id="rId3069" ref="C3070"/>
    <hyperlink r:id="rId3070" ref="C3071"/>
    <hyperlink r:id="rId3071" ref="C3072"/>
    <hyperlink r:id="rId3072" ref="C3073"/>
    <hyperlink r:id="rId3073" ref="C3074"/>
    <hyperlink r:id="rId3074" ref="C3075"/>
    <hyperlink r:id="rId3075" ref="C3076"/>
    <hyperlink r:id="rId3076" ref="C3077"/>
    <hyperlink r:id="rId3077" ref="C3078"/>
    <hyperlink r:id="rId3078" ref="C3079"/>
    <hyperlink r:id="rId3079" ref="C3080"/>
    <hyperlink r:id="rId3080" ref="C3081"/>
    <hyperlink r:id="rId3081" ref="C3082"/>
    <hyperlink r:id="rId3082" ref="C3083"/>
    <hyperlink r:id="rId3083" ref="C3084"/>
    <hyperlink r:id="rId3084" ref="C3085"/>
    <hyperlink r:id="rId3085" ref="C3086"/>
    <hyperlink r:id="rId3086" ref="C3087"/>
    <hyperlink r:id="rId3087" ref="C3088"/>
    <hyperlink r:id="rId3088" ref="C3089"/>
    <hyperlink r:id="rId3089" ref="C3090"/>
    <hyperlink r:id="rId3090" ref="C3091"/>
    <hyperlink r:id="rId3091" ref="C3092"/>
    <hyperlink r:id="rId3092" ref="C3093"/>
    <hyperlink r:id="rId3093" ref="C3094"/>
    <hyperlink r:id="rId3094" ref="C3095"/>
    <hyperlink r:id="rId3095" ref="C3096"/>
    <hyperlink r:id="rId3096" ref="C3097"/>
    <hyperlink r:id="rId3097" ref="C3098"/>
    <hyperlink r:id="rId3098" ref="C3099"/>
    <hyperlink r:id="rId3099" ref="C3100"/>
    <hyperlink r:id="rId3100" ref="C3101"/>
    <hyperlink r:id="rId3101" ref="C3102"/>
    <hyperlink r:id="rId3102" ref="C3103"/>
    <hyperlink r:id="rId3103" ref="C3104"/>
    <hyperlink r:id="rId3104" ref="C3105"/>
    <hyperlink r:id="rId3105" ref="C3106"/>
    <hyperlink r:id="rId3106" ref="C3107"/>
    <hyperlink r:id="rId3107" ref="C3108"/>
    <hyperlink r:id="rId3108" ref="C3109"/>
    <hyperlink r:id="rId3109" ref="C3110"/>
    <hyperlink r:id="rId3110" ref="C3111"/>
    <hyperlink r:id="rId3111" ref="C3112"/>
    <hyperlink r:id="rId3112" ref="C3113"/>
    <hyperlink r:id="rId3113" ref="C3114"/>
    <hyperlink r:id="rId3114" ref="C3115"/>
    <hyperlink r:id="rId3115" ref="C3116"/>
    <hyperlink r:id="rId3116" ref="C3117"/>
    <hyperlink r:id="rId3117" ref="C3118"/>
    <hyperlink r:id="rId3118" ref="C3119"/>
    <hyperlink r:id="rId3119" ref="C3120"/>
    <hyperlink r:id="rId3120" ref="C3121"/>
    <hyperlink r:id="rId3121" ref="C3122"/>
    <hyperlink r:id="rId3122" ref="C3123"/>
    <hyperlink r:id="rId3123" ref="C3124"/>
    <hyperlink r:id="rId3124" ref="C3125"/>
    <hyperlink r:id="rId3125" ref="C3126"/>
    <hyperlink r:id="rId3126" ref="C3127"/>
    <hyperlink r:id="rId3127" ref="C3128"/>
    <hyperlink r:id="rId3128" ref="C3129"/>
    <hyperlink r:id="rId3129" ref="C3130"/>
    <hyperlink r:id="rId3130" ref="C3131"/>
    <hyperlink r:id="rId3131" ref="C3132"/>
    <hyperlink r:id="rId3132" ref="C3133"/>
    <hyperlink r:id="rId3133" ref="C3134"/>
    <hyperlink r:id="rId3134" ref="C3135"/>
    <hyperlink r:id="rId3135" ref="C3136"/>
    <hyperlink r:id="rId3136" ref="C3137"/>
    <hyperlink r:id="rId3137" ref="C3138"/>
    <hyperlink r:id="rId3138" ref="C3139"/>
    <hyperlink r:id="rId3139" ref="C3140"/>
    <hyperlink r:id="rId3140" ref="C3141"/>
    <hyperlink r:id="rId3141" ref="C3142"/>
    <hyperlink r:id="rId3142" ref="C3143"/>
    <hyperlink r:id="rId3143" ref="C3144"/>
    <hyperlink r:id="rId3144" ref="C3145"/>
    <hyperlink r:id="rId3145" ref="C3146"/>
    <hyperlink r:id="rId3146" ref="C3147"/>
    <hyperlink r:id="rId3147" ref="C3148"/>
    <hyperlink r:id="rId3148" ref="C3149"/>
    <hyperlink r:id="rId3149" ref="C3150"/>
    <hyperlink r:id="rId3150" ref="C3151"/>
    <hyperlink r:id="rId3151" ref="C3152"/>
    <hyperlink r:id="rId3152" ref="C3153"/>
    <hyperlink r:id="rId3153" ref="C3154"/>
    <hyperlink r:id="rId3154" ref="C3155"/>
    <hyperlink r:id="rId3155" ref="C3156"/>
    <hyperlink r:id="rId3156" ref="C3157"/>
    <hyperlink r:id="rId3157" ref="C3158"/>
    <hyperlink r:id="rId3158" ref="C3159"/>
    <hyperlink r:id="rId3159" ref="C3160"/>
    <hyperlink r:id="rId3160" ref="C3161"/>
    <hyperlink r:id="rId3161" ref="C3162"/>
    <hyperlink r:id="rId3162" ref="C3163"/>
    <hyperlink r:id="rId3163" ref="C3164"/>
    <hyperlink r:id="rId3164" ref="C3165"/>
    <hyperlink r:id="rId3165" ref="C3166"/>
    <hyperlink r:id="rId3166" ref="C3167"/>
    <hyperlink r:id="rId3167" ref="C3168"/>
    <hyperlink r:id="rId3168" ref="C3169"/>
    <hyperlink r:id="rId3169" ref="C3170"/>
    <hyperlink r:id="rId3170" ref="C3171"/>
    <hyperlink r:id="rId3171" ref="C3172"/>
    <hyperlink r:id="rId3172" ref="C3173"/>
    <hyperlink r:id="rId3173" ref="C3174"/>
    <hyperlink r:id="rId3174" ref="C3175"/>
    <hyperlink r:id="rId3175" ref="C3176"/>
    <hyperlink r:id="rId3176" ref="C3177"/>
    <hyperlink r:id="rId3177" ref="C3178"/>
    <hyperlink r:id="rId3178" ref="C3179"/>
    <hyperlink r:id="rId3179" ref="C3180"/>
    <hyperlink r:id="rId3180" ref="C3181"/>
    <hyperlink r:id="rId3181" ref="C3182"/>
    <hyperlink r:id="rId3182" ref="C3183"/>
    <hyperlink r:id="rId3183" ref="C3184"/>
    <hyperlink r:id="rId3184" ref="C3185"/>
    <hyperlink r:id="rId3185" ref="C3186"/>
    <hyperlink r:id="rId3186" ref="C3187"/>
    <hyperlink r:id="rId3187" ref="C3188"/>
    <hyperlink r:id="rId3188" ref="C3189"/>
    <hyperlink r:id="rId3189" ref="C3190"/>
    <hyperlink r:id="rId3190" ref="C3191"/>
    <hyperlink r:id="rId3191" ref="C3192"/>
    <hyperlink r:id="rId3192" ref="C3193"/>
    <hyperlink r:id="rId3193" ref="C3194"/>
    <hyperlink r:id="rId3194" ref="C3195"/>
    <hyperlink r:id="rId3195" ref="C3196"/>
    <hyperlink r:id="rId3196" ref="C3197"/>
    <hyperlink r:id="rId3197" ref="C3198"/>
    <hyperlink r:id="rId3198" ref="C3199"/>
    <hyperlink r:id="rId3199" ref="C3200"/>
    <hyperlink r:id="rId3200" ref="C3201"/>
    <hyperlink r:id="rId3201" ref="C3202"/>
    <hyperlink r:id="rId3202" ref="C3203"/>
    <hyperlink r:id="rId3203" ref="C3204"/>
    <hyperlink r:id="rId3204" ref="C3205"/>
    <hyperlink r:id="rId3205" ref="C3206"/>
    <hyperlink r:id="rId3206" ref="C3207"/>
    <hyperlink r:id="rId3207" ref="C3208"/>
    <hyperlink r:id="rId3208" ref="C3209"/>
    <hyperlink r:id="rId3209" ref="C3210"/>
    <hyperlink r:id="rId3210" ref="C3211"/>
    <hyperlink r:id="rId3211" ref="C3212"/>
    <hyperlink r:id="rId3212" ref="C3213"/>
    <hyperlink r:id="rId3213" ref="C3214"/>
    <hyperlink r:id="rId3214" ref="C3215"/>
    <hyperlink r:id="rId3215" ref="C3216"/>
    <hyperlink r:id="rId3216" ref="C3217"/>
    <hyperlink r:id="rId3217" ref="C3218"/>
    <hyperlink r:id="rId3218" ref="C3219"/>
    <hyperlink r:id="rId3219" ref="C3220"/>
    <hyperlink r:id="rId3220" ref="C3221"/>
    <hyperlink r:id="rId3221" ref="C3222"/>
    <hyperlink r:id="rId3222" ref="C3223"/>
    <hyperlink r:id="rId3223" ref="C3224"/>
    <hyperlink r:id="rId3224" ref="C3225"/>
    <hyperlink r:id="rId3225" ref="C3226"/>
    <hyperlink r:id="rId3226" ref="C3227"/>
    <hyperlink r:id="rId3227" ref="C3228"/>
    <hyperlink r:id="rId3228" ref="C3229"/>
    <hyperlink r:id="rId3229" ref="C3230"/>
    <hyperlink r:id="rId3230" ref="C3231"/>
    <hyperlink r:id="rId3231" ref="C3232"/>
    <hyperlink r:id="rId3232" ref="C3233"/>
    <hyperlink r:id="rId3233" ref="C3234"/>
    <hyperlink r:id="rId3234" ref="C3235"/>
    <hyperlink r:id="rId3235" ref="C3236"/>
    <hyperlink r:id="rId3236" ref="C3237"/>
    <hyperlink r:id="rId3237" ref="C3238"/>
    <hyperlink r:id="rId3238" ref="C3239"/>
    <hyperlink r:id="rId3239" ref="C3240"/>
    <hyperlink r:id="rId3240" ref="C3241"/>
    <hyperlink r:id="rId3241" ref="C3242"/>
    <hyperlink r:id="rId3242" ref="C3243"/>
    <hyperlink r:id="rId3243" ref="C3244"/>
    <hyperlink r:id="rId3244" ref="C3245"/>
    <hyperlink r:id="rId3245" ref="C3246"/>
    <hyperlink r:id="rId3246" ref="C3247"/>
    <hyperlink r:id="rId3247" ref="C3248"/>
    <hyperlink r:id="rId3248" ref="C3249"/>
    <hyperlink r:id="rId3249" ref="C3250"/>
    <hyperlink r:id="rId3250" ref="C3251"/>
    <hyperlink r:id="rId3251" ref="C3252"/>
    <hyperlink r:id="rId3252" ref="C3253"/>
    <hyperlink r:id="rId3253" ref="C3254"/>
    <hyperlink r:id="rId3254" ref="C3255"/>
    <hyperlink r:id="rId3255" ref="C3256"/>
    <hyperlink r:id="rId3256" ref="C3257"/>
    <hyperlink r:id="rId3257" ref="C3258"/>
    <hyperlink r:id="rId3258" ref="C3259"/>
    <hyperlink r:id="rId3259" ref="C3260"/>
    <hyperlink r:id="rId3260" ref="C3261"/>
    <hyperlink r:id="rId3261" ref="C3262"/>
    <hyperlink r:id="rId3262" ref="C3263"/>
    <hyperlink r:id="rId3263" ref="C3264"/>
    <hyperlink r:id="rId3264" ref="C3265"/>
    <hyperlink r:id="rId3265" ref="C3266"/>
    <hyperlink r:id="rId3266" ref="C3267"/>
    <hyperlink r:id="rId3267" ref="C3268"/>
    <hyperlink r:id="rId3268" ref="C3269"/>
    <hyperlink r:id="rId3269" ref="C3270"/>
    <hyperlink r:id="rId3270" ref="C3271"/>
    <hyperlink r:id="rId3271" ref="C3272"/>
    <hyperlink r:id="rId3272" ref="C3273"/>
    <hyperlink r:id="rId3273" ref="C3274"/>
    <hyperlink r:id="rId3274" ref="C3275"/>
    <hyperlink r:id="rId3275" ref="C3276"/>
    <hyperlink r:id="rId3276" ref="C3277"/>
    <hyperlink r:id="rId3277" ref="C3278"/>
    <hyperlink r:id="rId3278" ref="C3279"/>
    <hyperlink r:id="rId3279" ref="C3280"/>
    <hyperlink r:id="rId3280" ref="C3281"/>
    <hyperlink r:id="rId3281" ref="C3282"/>
    <hyperlink r:id="rId3282" ref="C3283"/>
    <hyperlink r:id="rId3283" ref="C3284"/>
    <hyperlink r:id="rId3284" ref="C3285"/>
    <hyperlink r:id="rId3285" ref="C3286"/>
    <hyperlink r:id="rId3286" ref="C3287"/>
    <hyperlink r:id="rId3287" ref="C3288"/>
    <hyperlink r:id="rId3288" ref="C3289"/>
    <hyperlink r:id="rId3289" ref="C3290"/>
    <hyperlink r:id="rId3290" ref="C3291"/>
    <hyperlink r:id="rId3291" ref="C3292"/>
    <hyperlink r:id="rId3292" ref="C3293"/>
    <hyperlink r:id="rId3293" ref="C3294"/>
    <hyperlink r:id="rId3294" ref="C3295"/>
    <hyperlink r:id="rId3295" ref="C3296"/>
    <hyperlink r:id="rId3296" ref="C3297"/>
    <hyperlink r:id="rId3297" ref="C3298"/>
    <hyperlink r:id="rId3298" ref="C3299"/>
    <hyperlink r:id="rId3299" ref="C3300"/>
    <hyperlink r:id="rId3300" ref="C3301"/>
    <hyperlink r:id="rId3301" ref="C3302"/>
    <hyperlink r:id="rId3302" ref="C3303"/>
    <hyperlink r:id="rId3303" ref="C3304"/>
    <hyperlink r:id="rId3304" ref="C3305"/>
    <hyperlink r:id="rId3305" ref="C3306"/>
    <hyperlink r:id="rId3306" ref="C3307"/>
    <hyperlink r:id="rId3307" ref="C3308"/>
    <hyperlink r:id="rId3308" ref="C3309"/>
    <hyperlink r:id="rId3309" ref="C3310"/>
    <hyperlink r:id="rId3310" ref="C3311"/>
    <hyperlink r:id="rId3311" ref="C3312"/>
    <hyperlink r:id="rId3312" ref="C3313"/>
    <hyperlink r:id="rId3313" ref="C3314"/>
    <hyperlink r:id="rId3314" ref="C3315"/>
    <hyperlink r:id="rId3315" ref="C3316"/>
    <hyperlink r:id="rId3316" ref="C3317"/>
    <hyperlink r:id="rId3317" ref="C3318"/>
    <hyperlink r:id="rId3318" ref="C3319"/>
    <hyperlink r:id="rId3319" ref="C3320"/>
    <hyperlink r:id="rId3320" ref="C3321"/>
    <hyperlink r:id="rId3321" ref="C3322"/>
    <hyperlink r:id="rId3322" ref="C3323"/>
    <hyperlink r:id="rId3323" ref="C3324"/>
    <hyperlink r:id="rId3324" ref="C3325"/>
    <hyperlink r:id="rId3325" ref="C3326"/>
    <hyperlink r:id="rId3326" ref="C3327"/>
    <hyperlink r:id="rId3327" ref="C3328"/>
    <hyperlink r:id="rId3328" ref="C3329"/>
    <hyperlink r:id="rId3329" ref="C3330"/>
    <hyperlink r:id="rId3330" ref="C3331"/>
    <hyperlink r:id="rId3331" ref="C3332"/>
    <hyperlink r:id="rId3332" ref="C3333"/>
    <hyperlink r:id="rId3333" ref="C3334"/>
    <hyperlink r:id="rId3334" ref="C3335"/>
    <hyperlink r:id="rId3335" ref="C3336"/>
    <hyperlink r:id="rId3336" ref="C3337"/>
    <hyperlink r:id="rId3337" ref="C3338"/>
    <hyperlink r:id="rId3338" ref="C3339"/>
    <hyperlink r:id="rId3339" ref="C3340"/>
    <hyperlink r:id="rId3340" ref="C3341"/>
    <hyperlink r:id="rId3341" ref="C3342"/>
    <hyperlink r:id="rId3342" ref="C3343"/>
    <hyperlink r:id="rId3343" ref="C3344"/>
    <hyperlink r:id="rId3344" ref="C3345"/>
    <hyperlink r:id="rId3345" ref="C3346"/>
    <hyperlink r:id="rId3346" ref="C3347"/>
    <hyperlink r:id="rId3347" ref="C3348"/>
    <hyperlink r:id="rId3348" ref="C3349"/>
    <hyperlink r:id="rId3349" ref="C3350"/>
    <hyperlink r:id="rId3350" ref="C3351"/>
    <hyperlink r:id="rId3351" ref="C3352"/>
    <hyperlink r:id="rId3352" ref="C3353"/>
    <hyperlink r:id="rId3353" ref="C3354"/>
    <hyperlink r:id="rId3354" ref="C3355"/>
    <hyperlink r:id="rId3355" ref="C3356"/>
    <hyperlink r:id="rId3356" ref="C3357"/>
    <hyperlink r:id="rId3357" ref="C3358"/>
    <hyperlink r:id="rId3358" ref="C3359"/>
    <hyperlink r:id="rId3359" ref="C3360"/>
    <hyperlink r:id="rId3360" ref="C3361"/>
    <hyperlink r:id="rId3361" ref="C3362"/>
    <hyperlink r:id="rId3362" ref="C3363"/>
    <hyperlink r:id="rId3363" ref="C3364"/>
    <hyperlink r:id="rId3364" ref="C3365"/>
    <hyperlink r:id="rId3365" ref="C3366"/>
    <hyperlink r:id="rId3366" ref="C3367"/>
    <hyperlink r:id="rId3367" ref="C3368"/>
    <hyperlink r:id="rId3368" ref="C3369"/>
    <hyperlink r:id="rId3369" ref="C3370"/>
    <hyperlink r:id="rId3370" ref="C3371"/>
    <hyperlink r:id="rId3371" ref="C3372"/>
    <hyperlink r:id="rId3372" ref="C3373"/>
    <hyperlink r:id="rId3373" ref="C3374"/>
    <hyperlink r:id="rId3374" ref="C3375"/>
    <hyperlink r:id="rId3375" ref="C3376"/>
    <hyperlink r:id="rId3376" ref="C3377"/>
    <hyperlink r:id="rId3377" ref="C3378"/>
    <hyperlink r:id="rId3378" ref="C3379"/>
    <hyperlink r:id="rId3379" ref="C3380"/>
    <hyperlink r:id="rId3380" ref="C3381"/>
    <hyperlink r:id="rId3381" ref="C3382"/>
    <hyperlink r:id="rId3382" ref="C3383"/>
    <hyperlink r:id="rId3383" ref="C3384"/>
    <hyperlink r:id="rId3384" ref="C3385"/>
    <hyperlink r:id="rId3385" ref="C3386"/>
    <hyperlink r:id="rId3386" ref="C3387"/>
    <hyperlink r:id="rId3387" ref="C3388"/>
    <hyperlink r:id="rId3388" ref="C3389"/>
    <hyperlink r:id="rId3389" ref="C3390"/>
    <hyperlink r:id="rId3390" ref="C3391"/>
    <hyperlink r:id="rId3391" ref="C3392"/>
    <hyperlink r:id="rId3392" ref="C3393"/>
    <hyperlink r:id="rId3393" ref="C3394"/>
    <hyperlink r:id="rId3394" ref="C3395"/>
    <hyperlink r:id="rId3395" ref="C3396"/>
    <hyperlink r:id="rId3396" ref="C3397"/>
    <hyperlink r:id="rId3397" ref="C3398"/>
    <hyperlink r:id="rId3398" ref="C3399"/>
    <hyperlink r:id="rId3399" ref="C3400"/>
    <hyperlink r:id="rId3400" ref="C3401"/>
    <hyperlink r:id="rId3401" ref="C3402"/>
    <hyperlink r:id="rId3402" ref="C3403"/>
    <hyperlink r:id="rId3403" ref="C3404"/>
    <hyperlink r:id="rId3404" ref="C3405"/>
    <hyperlink r:id="rId3405" ref="C3406"/>
    <hyperlink r:id="rId3406" ref="C3407"/>
    <hyperlink r:id="rId3407" ref="C3408"/>
    <hyperlink r:id="rId3408" ref="C3409"/>
    <hyperlink r:id="rId3409" ref="C3410"/>
    <hyperlink r:id="rId3410" ref="C3411"/>
    <hyperlink r:id="rId3411" ref="C3412"/>
    <hyperlink r:id="rId3412" ref="C3413"/>
    <hyperlink r:id="rId3413" ref="C3414"/>
    <hyperlink r:id="rId3414" ref="C3415"/>
    <hyperlink r:id="rId3415" ref="C3416"/>
    <hyperlink r:id="rId3416" ref="C3417"/>
    <hyperlink r:id="rId3417" ref="C3418"/>
    <hyperlink r:id="rId3418" ref="C3419"/>
    <hyperlink r:id="rId3419" ref="C3420"/>
    <hyperlink r:id="rId3420" ref="C3421"/>
    <hyperlink r:id="rId3421" ref="C3422"/>
    <hyperlink r:id="rId3422" ref="C3423"/>
    <hyperlink r:id="rId3423" ref="C3424"/>
    <hyperlink r:id="rId3424" ref="C3425"/>
    <hyperlink r:id="rId3425" ref="C3426"/>
    <hyperlink r:id="rId3426" ref="C3427"/>
    <hyperlink r:id="rId3427" ref="C3428"/>
    <hyperlink r:id="rId3428" ref="C3429"/>
    <hyperlink r:id="rId3429" ref="C3430"/>
    <hyperlink r:id="rId3430" ref="C3431"/>
    <hyperlink r:id="rId3431" ref="C3432"/>
    <hyperlink r:id="rId3432" ref="C3433"/>
    <hyperlink r:id="rId3433" ref="C3434"/>
    <hyperlink r:id="rId3434" ref="C3435"/>
    <hyperlink r:id="rId3435" ref="C3436"/>
    <hyperlink r:id="rId3436" ref="C3437"/>
    <hyperlink r:id="rId3437" ref="C3438"/>
    <hyperlink r:id="rId3438" ref="C3439"/>
    <hyperlink r:id="rId3439" ref="C3440"/>
    <hyperlink r:id="rId3440" ref="C3441"/>
    <hyperlink r:id="rId3441" ref="C3442"/>
    <hyperlink r:id="rId3442" ref="C3443"/>
    <hyperlink r:id="rId3443" ref="C3444"/>
    <hyperlink r:id="rId3444" ref="C3445"/>
    <hyperlink r:id="rId3445" ref="C3446"/>
    <hyperlink r:id="rId3446" ref="C3447"/>
    <hyperlink r:id="rId3447" ref="C3448"/>
    <hyperlink r:id="rId3448" ref="C3449"/>
    <hyperlink r:id="rId3449" ref="C3450"/>
    <hyperlink r:id="rId3450" ref="C3451"/>
    <hyperlink r:id="rId3451" ref="C3452"/>
    <hyperlink r:id="rId3452" ref="C3453"/>
    <hyperlink r:id="rId3453" ref="C3454"/>
    <hyperlink r:id="rId3454" ref="C3455"/>
    <hyperlink r:id="rId3455" ref="C3456"/>
    <hyperlink r:id="rId3456" ref="C3457"/>
    <hyperlink r:id="rId3457" ref="C3458"/>
    <hyperlink r:id="rId3458" ref="C3459"/>
    <hyperlink r:id="rId3459" ref="C3460"/>
    <hyperlink r:id="rId3460" ref="C3461"/>
    <hyperlink r:id="rId3461" ref="C3462"/>
    <hyperlink r:id="rId3462" ref="C3463"/>
    <hyperlink r:id="rId3463" ref="C3464"/>
    <hyperlink r:id="rId3464" ref="C3465"/>
    <hyperlink r:id="rId3465" ref="C3466"/>
    <hyperlink r:id="rId3466" ref="C3467"/>
    <hyperlink r:id="rId3467" ref="C3468"/>
    <hyperlink r:id="rId3468" ref="C3469"/>
    <hyperlink r:id="rId3469" ref="C3470"/>
    <hyperlink r:id="rId3470" ref="C3471"/>
    <hyperlink r:id="rId3471" ref="C3472"/>
    <hyperlink r:id="rId3472" ref="C3473"/>
    <hyperlink r:id="rId3473" ref="C3474"/>
    <hyperlink r:id="rId3474" ref="C3475"/>
    <hyperlink r:id="rId3475" ref="C3476"/>
    <hyperlink r:id="rId3476" ref="C3477"/>
    <hyperlink r:id="rId3477" ref="C3478"/>
    <hyperlink r:id="rId3478" ref="C3479"/>
    <hyperlink r:id="rId3479" ref="C3480"/>
    <hyperlink r:id="rId3480" ref="C3481"/>
    <hyperlink r:id="rId3481" ref="C3482"/>
    <hyperlink r:id="rId3482" ref="C3483"/>
    <hyperlink r:id="rId3483" ref="C3484"/>
    <hyperlink r:id="rId3484" ref="C3485"/>
    <hyperlink r:id="rId3485" ref="C3486"/>
    <hyperlink r:id="rId3486" ref="C3487"/>
    <hyperlink r:id="rId3487" ref="C3488"/>
    <hyperlink r:id="rId3488" ref="C3489"/>
    <hyperlink r:id="rId3489" ref="C3490"/>
    <hyperlink r:id="rId3490" ref="C3491"/>
    <hyperlink r:id="rId3491" ref="C3492"/>
    <hyperlink r:id="rId3492" ref="C3493"/>
    <hyperlink r:id="rId3493" ref="C3494"/>
    <hyperlink r:id="rId3494" ref="C3495"/>
    <hyperlink r:id="rId3495" ref="C3496"/>
    <hyperlink r:id="rId3496" ref="C3497"/>
    <hyperlink r:id="rId3497" ref="C3498"/>
    <hyperlink r:id="rId3498" ref="C3499"/>
    <hyperlink r:id="rId3499" ref="C3500"/>
    <hyperlink r:id="rId3500" ref="C3501"/>
    <hyperlink r:id="rId3501" ref="C3502"/>
    <hyperlink r:id="rId3502" ref="C3503"/>
    <hyperlink r:id="rId3503" ref="C3504"/>
    <hyperlink r:id="rId3504" ref="C3505"/>
    <hyperlink r:id="rId3505" ref="C3506"/>
    <hyperlink r:id="rId3506" ref="C3507"/>
    <hyperlink r:id="rId3507" ref="C3508"/>
    <hyperlink r:id="rId3508" ref="C3509"/>
    <hyperlink r:id="rId3509" ref="C3510"/>
    <hyperlink r:id="rId3510" ref="C3511"/>
    <hyperlink r:id="rId3511" ref="C3512"/>
    <hyperlink r:id="rId3512" ref="C3513"/>
    <hyperlink r:id="rId3513" ref="C3514"/>
    <hyperlink r:id="rId3514" ref="C3515"/>
    <hyperlink r:id="rId3515" ref="C3516"/>
    <hyperlink r:id="rId3516" ref="C3517"/>
    <hyperlink r:id="rId3517" ref="C3518"/>
    <hyperlink r:id="rId3518" ref="C3519"/>
    <hyperlink r:id="rId3519" ref="C3520"/>
    <hyperlink r:id="rId3520" ref="C3521"/>
    <hyperlink r:id="rId3521" ref="C3522"/>
    <hyperlink r:id="rId3522" ref="C3523"/>
    <hyperlink r:id="rId3523" ref="C3524"/>
    <hyperlink r:id="rId3524" ref="C3525"/>
    <hyperlink r:id="rId3525" ref="C3526"/>
    <hyperlink r:id="rId3526" ref="C3527"/>
    <hyperlink r:id="rId3527" ref="C3528"/>
    <hyperlink r:id="rId3528" ref="C3529"/>
    <hyperlink r:id="rId3529" ref="C3530"/>
    <hyperlink r:id="rId3530" ref="C3531"/>
    <hyperlink r:id="rId3531" ref="C3532"/>
    <hyperlink r:id="rId3532" ref="C3533"/>
    <hyperlink r:id="rId3533" ref="C3534"/>
    <hyperlink r:id="rId3534" ref="C3535"/>
    <hyperlink r:id="rId3535" ref="C3536"/>
    <hyperlink r:id="rId3536" ref="C3537"/>
    <hyperlink r:id="rId3537" ref="C3538"/>
    <hyperlink r:id="rId3538" ref="C3539"/>
    <hyperlink r:id="rId3539" ref="C3540"/>
    <hyperlink r:id="rId3540" ref="C3541"/>
    <hyperlink r:id="rId3541" ref="C3542"/>
    <hyperlink r:id="rId3542" ref="C3543"/>
    <hyperlink r:id="rId3543" ref="C3544"/>
    <hyperlink r:id="rId3544" ref="C3545"/>
    <hyperlink r:id="rId3545" ref="C3546"/>
    <hyperlink r:id="rId3546" ref="C3547"/>
    <hyperlink r:id="rId3547" ref="C3548"/>
    <hyperlink r:id="rId3548" ref="C3549"/>
    <hyperlink r:id="rId3549" ref="C3550"/>
    <hyperlink r:id="rId3550" ref="C3551"/>
    <hyperlink r:id="rId3551" ref="C3552"/>
    <hyperlink r:id="rId3552" ref="C3553"/>
    <hyperlink r:id="rId3553" ref="C3554"/>
    <hyperlink r:id="rId3554" ref="C3555"/>
    <hyperlink r:id="rId3555" ref="C3556"/>
    <hyperlink r:id="rId3556" ref="C3557"/>
    <hyperlink r:id="rId3557" ref="C3558"/>
    <hyperlink r:id="rId3558" ref="C3559"/>
    <hyperlink r:id="rId3559" ref="C3560"/>
    <hyperlink r:id="rId3560" ref="C3561"/>
    <hyperlink r:id="rId3561" ref="C3562"/>
    <hyperlink r:id="rId3562" ref="C3563"/>
    <hyperlink r:id="rId3563" ref="C3564"/>
    <hyperlink r:id="rId3564" ref="C3565"/>
    <hyperlink r:id="rId3565" ref="C3566"/>
    <hyperlink r:id="rId3566" ref="C3567"/>
    <hyperlink r:id="rId3567" ref="C3568"/>
    <hyperlink r:id="rId3568" ref="C3569"/>
    <hyperlink r:id="rId3569" ref="C3570"/>
    <hyperlink r:id="rId3570" ref="C3571"/>
    <hyperlink r:id="rId3571" ref="C3572"/>
    <hyperlink r:id="rId3572" ref="C3573"/>
    <hyperlink r:id="rId3573" ref="C3574"/>
    <hyperlink r:id="rId3574" ref="C3575"/>
    <hyperlink r:id="rId3575" ref="C3576"/>
    <hyperlink r:id="rId3576" ref="C3577"/>
    <hyperlink r:id="rId3577" ref="C3578"/>
    <hyperlink r:id="rId3578" ref="C3579"/>
    <hyperlink r:id="rId3579" ref="C3580"/>
    <hyperlink r:id="rId3580" ref="C3581"/>
    <hyperlink r:id="rId3581" ref="C3582"/>
    <hyperlink r:id="rId3582" ref="C3583"/>
    <hyperlink r:id="rId3583" ref="C3584"/>
    <hyperlink r:id="rId3584" ref="C3585"/>
    <hyperlink r:id="rId3585" ref="C3586"/>
    <hyperlink r:id="rId3586" ref="C3587"/>
    <hyperlink r:id="rId3587" ref="C3588"/>
    <hyperlink r:id="rId3588" ref="C3589"/>
    <hyperlink r:id="rId3589" ref="C3590"/>
    <hyperlink r:id="rId3590" ref="C3591"/>
    <hyperlink r:id="rId3591" ref="C3592"/>
    <hyperlink r:id="rId3592" ref="C3593"/>
    <hyperlink r:id="rId3593" ref="C3594"/>
    <hyperlink r:id="rId3594" ref="C3595"/>
    <hyperlink r:id="rId3595" ref="C3596"/>
    <hyperlink r:id="rId3596" ref="C3597"/>
    <hyperlink r:id="rId3597" ref="C3598"/>
    <hyperlink r:id="rId3598" ref="C3599"/>
    <hyperlink r:id="rId3599" ref="C3600"/>
    <hyperlink r:id="rId3600" ref="C3601"/>
    <hyperlink r:id="rId3601" ref="C3602"/>
    <hyperlink r:id="rId3602" ref="C3603"/>
    <hyperlink r:id="rId3603" ref="C3604"/>
    <hyperlink r:id="rId3604" ref="C3605"/>
    <hyperlink r:id="rId3605" ref="C3606"/>
    <hyperlink r:id="rId3606" ref="C3607"/>
    <hyperlink r:id="rId3607" ref="C3608"/>
    <hyperlink r:id="rId3608" ref="C3609"/>
    <hyperlink r:id="rId3609" ref="C3610"/>
    <hyperlink r:id="rId3610" ref="C3611"/>
    <hyperlink r:id="rId3611" ref="C3612"/>
    <hyperlink r:id="rId3612" ref="C3613"/>
    <hyperlink r:id="rId3613" ref="C3614"/>
    <hyperlink r:id="rId3614" ref="C3615"/>
    <hyperlink r:id="rId3615" ref="C3616"/>
    <hyperlink r:id="rId3616" ref="C3617"/>
    <hyperlink r:id="rId3617" ref="C3618"/>
    <hyperlink r:id="rId3618" ref="C3619"/>
    <hyperlink r:id="rId3619" ref="C3620"/>
    <hyperlink r:id="rId3620" ref="C3621"/>
    <hyperlink r:id="rId3621" ref="C3622"/>
    <hyperlink r:id="rId3622" ref="C3623"/>
    <hyperlink r:id="rId3623" ref="C3624"/>
    <hyperlink r:id="rId3624" ref="C3625"/>
    <hyperlink r:id="rId3625" ref="C3626"/>
    <hyperlink r:id="rId3626" ref="C3627"/>
    <hyperlink r:id="rId3627" ref="C3628"/>
    <hyperlink r:id="rId3628" ref="C3629"/>
    <hyperlink r:id="rId3629" ref="C3630"/>
    <hyperlink r:id="rId3630" ref="C3631"/>
    <hyperlink r:id="rId3631" ref="C3632"/>
    <hyperlink r:id="rId3632" ref="C3633"/>
    <hyperlink r:id="rId3633" ref="C3634"/>
    <hyperlink r:id="rId3634" ref="C3635"/>
    <hyperlink r:id="rId3635" ref="C3636"/>
    <hyperlink r:id="rId3636" ref="C3637"/>
    <hyperlink r:id="rId3637" ref="C3638"/>
    <hyperlink r:id="rId3638" ref="C3639"/>
    <hyperlink r:id="rId3639" ref="C3640"/>
    <hyperlink r:id="rId3640" ref="C3641"/>
    <hyperlink r:id="rId3641" ref="C3642"/>
    <hyperlink r:id="rId3642" ref="C3643"/>
    <hyperlink r:id="rId3643" ref="C3644"/>
    <hyperlink r:id="rId3644" ref="C3645"/>
    <hyperlink r:id="rId3645" ref="C3646"/>
    <hyperlink r:id="rId3646" ref="C3647"/>
    <hyperlink r:id="rId3647" ref="C3648"/>
    <hyperlink r:id="rId3648" ref="C3649"/>
    <hyperlink r:id="rId3649" ref="C3650"/>
    <hyperlink r:id="rId3650" ref="C3651"/>
    <hyperlink r:id="rId3651" ref="C3652"/>
    <hyperlink r:id="rId3652" ref="C3653"/>
    <hyperlink r:id="rId3653" ref="C3654"/>
    <hyperlink r:id="rId3654" ref="C3655"/>
    <hyperlink r:id="rId3655" ref="C3656"/>
    <hyperlink r:id="rId3656" ref="C3657"/>
    <hyperlink r:id="rId3657" ref="C3658"/>
    <hyperlink r:id="rId3658" ref="C3659"/>
    <hyperlink r:id="rId3659" ref="C3660"/>
    <hyperlink r:id="rId3660" ref="C3661"/>
    <hyperlink r:id="rId3661" ref="C3662"/>
    <hyperlink r:id="rId3662" ref="C3663"/>
    <hyperlink r:id="rId3663" ref="C3664"/>
    <hyperlink r:id="rId3664" ref="C3665"/>
    <hyperlink r:id="rId3665" ref="C3666"/>
    <hyperlink r:id="rId3666" ref="C3667"/>
    <hyperlink r:id="rId3667" ref="C3668"/>
    <hyperlink r:id="rId3668" ref="C3669"/>
    <hyperlink r:id="rId3669" ref="C3670"/>
    <hyperlink r:id="rId3670" ref="C3671"/>
    <hyperlink r:id="rId3671" ref="C3672"/>
    <hyperlink r:id="rId3672" ref="C3673"/>
    <hyperlink r:id="rId3673" ref="C3674"/>
    <hyperlink r:id="rId3674" ref="C3675"/>
    <hyperlink r:id="rId3675" ref="C3676"/>
    <hyperlink r:id="rId3676" ref="C3677"/>
    <hyperlink r:id="rId3677" ref="C3678"/>
    <hyperlink r:id="rId3678" ref="C3679"/>
    <hyperlink r:id="rId3679" ref="C3680"/>
    <hyperlink r:id="rId3680" ref="C3681"/>
    <hyperlink r:id="rId3681" ref="C3682"/>
    <hyperlink r:id="rId3682" ref="C3683"/>
    <hyperlink r:id="rId3683" ref="C3684"/>
    <hyperlink r:id="rId3684" ref="C3685"/>
    <hyperlink r:id="rId3685" ref="C3686"/>
    <hyperlink r:id="rId3686" ref="C3687"/>
    <hyperlink r:id="rId3687" ref="C3688"/>
    <hyperlink r:id="rId3688" ref="C3689"/>
    <hyperlink r:id="rId3689" ref="C3690"/>
    <hyperlink r:id="rId3690" ref="C3691"/>
    <hyperlink r:id="rId3691" ref="C3692"/>
    <hyperlink r:id="rId3692" ref="C3693"/>
    <hyperlink r:id="rId3693" ref="C3694"/>
    <hyperlink r:id="rId3694" ref="C3695"/>
    <hyperlink r:id="rId3695" ref="C3696"/>
    <hyperlink r:id="rId3696" ref="C3697"/>
    <hyperlink r:id="rId3697" ref="C3698"/>
    <hyperlink r:id="rId3698" ref="C3699"/>
    <hyperlink r:id="rId3699" ref="C3700"/>
    <hyperlink r:id="rId3700" ref="C3701"/>
    <hyperlink r:id="rId3701" ref="C3702"/>
    <hyperlink r:id="rId3702" ref="C3703"/>
    <hyperlink r:id="rId3703" ref="C3704"/>
    <hyperlink r:id="rId3704" ref="C3705"/>
    <hyperlink r:id="rId3705" ref="C3706"/>
    <hyperlink r:id="rId3706" ref="C3707"/>
    <hyperlink r:id="rId3707" ref="C3708"/>
    <hyperlink r:id="rId3708" ref="C3709"/>
    <hyperlink r:id="rId3709" ref="C3710"/>
    <hyperlink r:id="rId3710" ref="C3711"/>
    <hyperlink r:id="rId3711" ref="C3712"/>
    <hyperlink r:id="rId3712" ref="C3713"/>
    <hyperlink r:id="rId3713" ref="C3714"/>
    <hyperlink r:id="rId3714" ref="C3715"/>
    <hyperlink r:id="rId3715" ref="C3716"/>
    <hyperlink r:id="rId3716" ref="C3717"/>
    <hyperlink r:id="rId3717" ref="C3718"/>
    <hyperlink r:id="rId3718" ref="C3719"/>
    <hyperlink r:id="rId3719" ref="C3720"/>
    <hyperlink r:id="rId3720" ref="C3721"/>
    <hyperlink r:id="rId3721" ref="C3722"/>
    <hyperlink r:id="rId3722" ref="C3723"/>
    <hyperlink r:id="rId3723" ref="C3724"/>
    <hyperlink r:id="rId3724" ref="C3725"/>
    <hyperlink r:id="rId3725" ref="C3726"/>
    <hyperlink r:id="rId3726" ref="C3727"/>
    <hyperlink r:id="rId3727" ref="C3728"/>
    <hyperlink r:id="rId3728" ref="C3729"/>
    <hyperlink r:id="rId3729" ref="C3730"/>
    <hyperlink r:id="rId3730" ref="C3731"/>
    <hyperlink r:id="rId3731" ref="C3732"/>
    <hyperlink r:id="rId3732" ref="C3733"/>
    <hyperlink r:id="rId3733" ref="C3734"/>
    <hyperlink r:id="rId3734" ref="C3735"/>
    <hyperlink r:id="rId3735" ref="C3736"/>
    <hyperlink r:id="rId3736" ref="C3737"/>
    <hyperlink r:id="rId3737" ref="C3738"/>
    <hyperlink r:id="rId3738" ref="C3739"/>
    <hyperlink r:id="rId3739" ref="C3740"/>
    <hyperlink r:id="rId3740" ref="C3741"/>
    <hyperlink r:id="rId3741" ref="C3742"/>
    <hyperlink r:id="rId3742" ref="C3743"/>
    <hyperlink r:id="rId3743" ref="C3744"/>
    <hyperlink r:id="rId3744" ref="C3745"/>
    <hyperlink r:id="rId3745" ref="C3746"/>
    <hyperlink r:id="rId3746" ref="C3747"/>
    <hyperlink r:id="rId3747" ref="C3748"/>
    <hyperlink r:id="rId3748" ref="C3749"/>
    <hyperlink r:id="rId3749" ref="C3750"/>
    <hyperlink r:id="rId3750" ref="C3751"/>
    <hyperlink r:id="rId3751" ref="C3752"/>
    <hyperlink r:id="rId3752" ref="C3753"/>
    <hyperlink r:id="rId3753" ref="C3754"/>
    <hyperlink r:id="rId3754" ref="C3755"/>
    <hyperlink r:id="rId3755" ref="C3756"/>
    <hyperlink r:id="rId3756" ref="C3757"/>
    <hyperlink r:id="rId3757" ref="C3758"/>
    <hyperlink r:id="rId3758" ref="C3759"/>
    <hyperlink r:id="rId3759" ref="C3760"/>
    <hyperlink r:id="rId3760" ref="C3761"/>
    <hyperlink r:id="rId3761" ref="C3762"/>
    <hyperlink r:id="rId3762" ref="C3763"/>
    <hyperlink r:id="rId3763" ref="C3764"/>
    <hyperlink r:id="rId3764" ref="C3765"/>
    <hyperlink r:id="rId3765" ref="C3766"/>
    <hyperlink r:id="rId3766" ref="C3767"/>
    <hyperlink r:id="rId3767" ref="C3768"/>
    <hyperlink r:id="rId3768" ref="C3769"/>
    <hyperlink r:id="rId3769" ref="C3770"/>
    <hyperlink r:id="rId3770" ref="C3771"/>
    <hyperlink r:id="rId3771" ref="C3772"/>
    <hyperlink r:id="rId3772" ref="C3773"/>
    <hyperlink r:id="rId3773" ref="C3774"/>
    <hyperlink r:id="rId3774" ref="C3775"/>
    <hyperlink r:id="rId3775" ref="C3776"/>
    <hyperlink r:id="rId3776" ref="C3777"/>
    <hyperlink r:id="rId3777" ref="C3778"/>
    <hyperlink r:id="rId3778" ref="C3779"/>
    <hyperlink r:id="rId3779" ref="C3780"/>
    <hyperlink r:id="rId3780" ref="C3781"/>
    <hyperlink r:id="rId3781" ref="C3782"/>
    <hyperlink r:id="rId3782" ref="C3783"/>
    <hyperlink r:id="rId3783" ref="C3784"/>
    <hyperlink r:id="rId3784" ref="C3785"/>
    <hyperlink r:id="rId3785" ref="C3786"/>
    <hyperlink r:id="rId3786" ref="C3787"/>
    <hyperlink r:id="rId3787" ref="C3788"/>
    <hyperlink r:id="rId3788" ref="C3789"/>
    <hyperlink r:id="rId3789" ref="C3790"/>
    <hyperlink r:id="rId3790" ref="C3791"/>
    <hyperlink r:id="rId3791" ref="C3792"/>
    <hyperlink r:id="rId3792" ref="C3793"/>
    <hyperlink r:id="rId3793" ref="C3794"/>
    <hyperlink r:id="rId3794" ref="C3795"/>
    <hyperlink r:id="rId3795" ref="C3796"/>
    <hyperlink r:id="rId3796" ref="C3797"/>
    <hyperlink r:id="rId3797" ref="C3798"/>
    <hyperlink r:id="rId3798" ref="C3799"/>
    <hyperlink r:id="rId3799" ref="C3800"/>
    <hyperlink r:id="rId3800" ref="C3801"/>
    <hyperlink r:id="rId3801" ref="C3802"/>
    <hyperlink r:id="rId3802" ref="C3803"/>
    <hyperlink r:id="rId3803" ref="C3804"/>
    <hyperlink r:id="rId3804" ref="C3805"/>
    <hyperlink r:id="rId3805" ref="C3806"/>
    <hyperlink r:id="rId3806" ref="C3807"/>
    <hyperlink r:id="rId3807" ref="C3808"/>
    <hyperlink r:id="rId3808" ref="C3809"/>
    <hyperlink r:id="rId3809" ref="C3810"/>
    <hyperlink r:id="rId3810" ref="C3811"/>
    <hyperlink r:id="rId3811" ref="C3812"/>
    <hyperlink r:id="rId3812" ref="C3813"/>
    <hyperlink r:id="rId3813" ref="C3814"/>
    <hyperlink r:id="rId3814" ref="C3815"/>
    <hyperlink r:id="rId3815" ref="C3816"/>
    <hyperlink r:id="rId3816" ref="C3817"/>
    <hyperlink r:id="rId3817" ref="C3818"/>
    <hyperlink r:id="rId3818" ref="C3819"/>
    <hyperlink r:id="rId3819" ref="C3820"/>
    <hyperlink r:id="rId3820" ref="C3821"/>
    <hyperlink r:id="rId3821" ref="C3822"/>
    <hyperlink r:id="rId3822" ref="C3823"/>
    <hyperlink r:id="rId3823" ref="C3824"/>
    <hyperlink r:id="rId3824" ref="C3825"/>
    <hyperlink r:id="rId3825" ref="C3826"/>
    <hyperlink r:id="rId3826" ref="C3827"/>
    <hyperlink r:id="rId3827" ref="C3828"/>
    <hyperlink r:id="rId3828" ref="C3829"/>
    <hyperlink r:id="rId3829" ref="C3830"/>
    <hyperlink r:id="rId3830" ref="C3831"/>
    <hyperlink r:id="rId3831" ref="C3832"/>
    <hyperlink r:id="rId3832" ref="C3833"/>
    <hyperlink r:id="rId3833" ref="C3834"/>
    <hyperlink r:id="rId3834" ref="C3835"/>
    <hyperlink r:id="rId3835" ref="C3836"/>
    <hyperlink r:id="rId3836" ref="C3837"/>
    <hyperlink r:id="rId3837" ref="C3838"/>
    <hyperlink r:id="rId3838" ref="C3839"/>
    <hyperlink r:id="rId3839" ref="C3840"/>
    <hyperlink r:id="rId3840" ref="C3841"/>
    <hyperlink r:id="rId3841" ref="C3842"/>
    <hyperlink r:id="rId3842" ref="C3843"/>
    <hyperlink r:id="rId3843" ref="C3844"/>
    <hyperlink r:id="rId3844" ref="C3845"/>
    <hyperlink r:id="rId3845" ref="C3846"/>
    <hyperlink r:id="rId3846" ref="C3847"/>
    <hyperlink r:id="rId3847" ref="C3848"/>
    <hyperlink r:id="rId3848" ref="C3849"/>
    <hyperlink r:id="rId3849" ref="C3850"/>
    <hyperlink r:id="rId3850" ref="C3851"/>
    <hyperlink r:id="rId3851" ref="C3852"/>
    <hyperlink r:id="rId3852" ref="C3853"/>
    <hyperlink r:id="rId3853" ref="C3854"/>
    <hyperlink r:id="rId3854" ref="C3855"/>
    <hyperlink r:id="rId3855" ref="C3856"/>
    <hyperlink r:id="rId3856" ref="C3857"/>
    <hyperlink r:id="rId3857" ref="C3858"/>
    <hyperlink r:id="rId3858" ref="C3859"/>
    <hyperlink r:id="rId3859" ref="C3860"/>
    <hyperlink r:id="rId3860" ref="C3861"/>
    <hyperlink r:id="rId3861" ref="C3862"/>
    <hyperlink r:id="rId3862" ref="C3863"/>
    <hyperlink r:id="rId3863" ref="C3864"/>
    <hyperlink r:id="rId3864" ref="C3865"/>
    <hyperlink r:id="rId3865" ref="C3866"/>
    <hyperlink r:id="rId3866" ref="C3867"/>
    <hyperlink r:id="rId3867" ref="C3868"/>
    <hyperlink r:id="rId3868" ref="C3869"/>
    <hyperlink r:id="rId3869" ref="C3870"/>
    <hyperlink r:id="rId3870" ref="C3871"/>
    <hyperlink r:id="rId3871" ref="C3872"/>
    <hyperlink r:id="rId3872" ref="C3873"/>
    <hyperlink r:id="rId3873" ref="C3874"/>
    <hyperlink r:id="rId3874" ref="C3875"/>
    <hyperlink r:id="rId3875" ref="C3876"/>
    <hyperlink r:id="rId3876" ref="C3877"/>
    <hyperlink r:id="rId3877" ref="C3878"/>
    <hyperlink r:id="rId3878" ref="C3879"/>
    <hyperlink r:id="rId3879" ref="C3880"/>
    <hyperlink r:id="rId3880" ref="C3881"/>
    <hyperlink r:id="rId3881" ref="C3882"/>
    <hyperlink r:id="rId3882" ref="C3883"/>
    <hyperlink r:id="rId3883" ref="C3884"/>
    <hyperlink r:id="rId3884" ref="C3885"/>
    <hyperlink r:id="rId3885" ref="C3886"/>
    <hyperlink r:id="rId3886" ref="C3887"/>
    <hyperlink r:id="rId3887" ref="C3888"/>
    <hyperlink r:id="rId3888" ref="C3889"/>
    <hyperlink r:id="rId3889" ref="C3890"/>
    <hyperlink r:id="rId3890" ref="C3891"/>
    <hyperlink r:id="rId3891" ref="C3892"/>
    <hyperlink r:id="rId3892" ref="C3893"/>
    <hyperlink r:id="rId3893" ref="C3894"/>
    <hyperlink r:id="rId3894" ref="C3895"/>
    <hyperlink r:id="rId3895" ref="C3896"/>
    <hyperlink r:id="rId3896" ref="C3897"/>
    <hyperlink r:id="rId3897" ref="C3898"/>
    <hyperlink r:id="rId3898" ref="C3899"/>
    <hyperlink r:id="rId3899" ref="C3900"/>
    <hyperlink r:id="rId3900" ref="C3901"/>
    <hyperlink r:id="rId3901" ref="C3902"/>
    <hyperlink r:id="rId3902" ref="C3903"/>
    <hyperlink r:id="rId3903" ref="C3904"/>
    <hyperlink r:id="rId3904" ref="C3905"/>
    <hyperlink r:id="rId3905" ref="C3906"/>
    <hyperlink r:id="rId3906" ref="C3907"/>
    <hyperlink r:id="rId3907" ref="C3908"/>
    <hyperlink r:id="rId3908" ref="C3909"/>
    <hyperlink r:id="rId3909" ref="C3910"/>
    <hyperlink r:id="rId3910" ref="C3911"/>
    <hyperlink r:id="rId3911" ref="C3912"/>
    <hyperlink r:id="rId3912" ref="C3913"/>
    <hyperlink r:id="rId3913" ref="C3914"/>
    <hyperlink r:id="rId3914" ref="C3915"/>
    <hyperlink r:id="rId3915" ref="C3916"/>
    <hyperlink r:id="rId3916" ref="C3917"/>
    <hyperlink r:id="rId3917" ref="C3918"/>
    <hyperlink r:id="rId3918" ref="C3919"/>
    <hyperlink r:id="rId3919" ref="C3920"/>
    <hyperlink r:id="rId3920" ref="C3921"/>
    <hyperlink r:id="rId3921" ref="C3922"/>
    <hyperlink r:id="rId3922" ref="C3923"/>
    <hyperlink r:id="rId3923" ref="C3924"/>
    <hyperlink r:id="rId3924" ref="C3925"/>
    <hyperlink r:id="rId3925" ref="C3926"/>
    <hyperlink r:id="rId3926" ref="C3927"/>
    <hyperlink r:id="rId3927" ref="C3928"/>
    <hyperlink r:id="rId3928" ref="C3929"/>
    <hyperlink r:id="rId3929" ref="C3930"/>
    <hyperlink r:id="rId3930" ref="C3931"/>
    <hyperlink r:id="rId3931" ref="C3932"/>
    <hyperlink r:id="rId3932" ref="C3933"/>
    <hyperlink r:id="rId3933" ref="C3934"/>
    <hyperlink r:id="rId3934" ref="C3935"/>
    <hyperlink r:id="rId3935" ref="C3936"/>
    <hyperlink r:id="rId3936" ref="C3937"/>
    <hyperlink r:id="rId3937" ref="C3938"/>
    <hyperlink r:id="rId3938" ref="C3939"/>
    <hyperlink r:id="rId3939" ref="C3940"/>
    <hyperlink r:id="rId3940" ref="C3941"/>
    <hyperlink r:id="rId3941" ref="C3942"/>
    <hyperlink r:id="rId3942" ref="C3943"/>
    <hyperlink r:id="rId3943" ref="C3944"/>
    <hyperlink r:id="rId3944" ref="C3945"/>
    <hyperlink r:id="rId3945" ref="C3946"/>
    <hyperlink r:id="rId3946" ref="C3947"/>
    <hyperlink r:id="rId3947" ref="C3948"/>
    <hyperlink r:id="rId3948" ref="C3949"/>
    <hyperlink r:id="rId3949" ref="C3950"/>
    <hyperlink r:id="rId3950" ref="C3951"/>
    <hyperlink r:id="rId3951" ref="C3952"/>
    <hyperlink r:id="rId3952" ref="C3953"/>
    <hyperlink r:id="rId3953" ref="C3954"/>
    <hyperlink r:id="rId3954" ref="C3955"/>
    <hyperlink r:id="rId3955" ref="C3956"/>
    <hyperlink r:id="rId3956" ref="C3957"/>
    <hyperlink r:id="rId3957" ref="C3958"/>
    <hyperlink r:id="rId3958" ref="C3959"/>
    <hyperlink r:id="rId3959" ref="C3960"/>
    <hyperlink r:id="rId3960" ref="C3961"/>
    <hyperlink r:id="rId3961" ref="C3962"/>
    <hyperlink r:id="rId3962" ref="C3963"/>
    <hyperlink r:id="rId3963" ref="C3964"/>
    <hyperlink r:id="rId3964" ref="C3965"/>
    <hyperlink r:id="rId3965" ref="C3966"/>
    <hyperlink r:id="rId3966" ref="C3967"/>
    <hyperlink r:id="rId3967" ref="C3968"/>
    <hyperlink r:id="rId3968" ref="C3969"/>
    <hyperlink r:id="rId3969" ref="C3970"/>
    <hyperlink r:id="rId3970" ref="C3971"/>
    <hyperlink r:id="rId3971" ref="C3972"/>
    <hyperlink r:id="rId3972" ref="C3973"/>
    <hyperlink r:id="rId3973" ref="C3974"/>
    <hyperlink r:id="rId3974" ref="C3975"/>
    <hyperlink r:id="rId3975" ref="C3976"/>
    <hyperlink r:id="rId3976" ref="C3977"/>
    <hyperlink r:id="rId3977" ref="C3978"/>
    <hyperlink r:id="rId3978" ref="C3979"/>
    <hyperlink r:id="rId3979" ref="C3980"/>
    <hyperlink r:id="rId3980" ref="C3981"/>
    <hyperlink r:id="rId3981" ref="C3982"/>
    <hyperlink r:id="rId3982" ref="C3983"/>
    <hyperlink r:id="rId3983" ref="C3984"/>
    <hyperlink r:id="rId3984" ref="C3985"/>
    <hyperlink r:id="rId3985" ref="C3986"/>
    <hyperlink r:id="rId3986" ref="C3987"/>
    <hyperlink r:id="rId3987" ref="C3988"/>
    <hyperlink r:id="rId3988" ref="C3989"/>
    <hyperlink r:id="rId3989" ref="C3990"/>
    <hyperlink r:id="rId3990" ref="C3991"/>
    <hyperlink r:id="rId3991" ref="C3992"/>
    <hyperlink r:id="rId3992" ref="C3993"/>
    <hyperlink r:id="rId3993" ref="C3994"/>
    <hyperlink r:id="rId3994" ref="C3995"/>
    <hyperlink r:id="rId3995" ref="C3996"/>
    <hyperlink r:id="rId3996" ref="C3997"/>
    <hyperlink r:id="rId3997" ref="C3998"/>
    <hyperlink r:id="rId3998" ref="C3999"/>
    <hyperlink r:id="rId3999" ref="C4000"/>
    <hyperlink r:id="rId4000" ref="C4001"/>
    <hyperlink r:id="rId4001" ref="C4002"/>
    <hyperlink r:id="rId4002" ref="C4003"/>
    <hyperlink r:id="rId4003" ref="C4004"/>
    <hyperlink r:id="rId4004" ref="C4005"/>
    <hyperlink r:id="rId4005" ref="C4006"/>
    <hyperlink r:id="rId4006" ref="C4007"/>
    <hyperlink r:id="rId4007" ref="C4008"/>
    <hyperlink r:id="rId4008" ref="C4009"/>
    <hyperlink r:id="rId4009" ref="C4010"/>
    <hyperlink r:id="rId4010" ref="C4011"/>
    <hyperlink r:id="rId4011" ref="C4012"/>
    <hyperlink r:id="rId4012" ref="C4013"/>
    <hyperlink r:id="rId4013" ref="C4014"/>
    <hyperlink r:id="rId4014" ref="C4015"/>
    <hyperlink r:id="rId4015" ref="C4016"/>
    <hyperlink r:id="rId4016" ref="C4017"/>
    <hyperlink r:id="rId4017" ref="C4018"/>
    <hyperlink r:id="rId4018" ref="C4019"/>
    <hyperlink r:id="rId4019" ref="C4020"/>
    <hyperlink r:id="rId4020" ref="C4021"/>
    <hyperlink r:id="rId4021" ref="C4022"/>
    <hyperlink r:id="rId4022" ref="C4023"/>
    <hyperlink r:id="rId4023" ref="C4024"/>
    <hyperlink r:id="rId4024" ref="C4025"/>
    <hyperlink r:id="rId4025" ref="C4026"/>
    <hyperlink r:id="rId4026" ref="C4027"/>
    <hyperlink r:id="rId4027" ref="C4028"/>
    <hyperlink r:id="rId4028" ref="C4029"/>
    <hyperlink r:id="rId4029" ref="C4030"/>
    <hyperlink r:id="rId4030" ref="C4031"/>
    <hyperlink r:id="rId4031" ref="C4032"/>
    <hyperlink r:id="rId4032" ref="C4033"/>
    <hyperlink r:id="rId4033" ref="C4034"/>
    <hyperlink r:id="rId4034" ref="C4035"/>
    <hyperlink r:id="rId4035" ref="C4036"/>
    <hyperlink r:id="rId4036" ref="C4037"/>
    <hyperlink r:id="rId4037" ref="C4038"/>
    <hyperlink r:id="rId4038" ref="C4039"/>
    <hyperlink r:id="rId4039" ref="C4040"/>
    <hyperlink r:id="rId4040" ref="C4041"/>
    <hyperlink r:id="rId4041" ref="C4042"/>
    <hyperlink r:id="rId4042" ref="C4043"/>
    <hyperlink r:id="rId4043" ref="C4044"/>
    <hyperlink r:id="rId4044" ref="C4045"/>
    <hyperlink r:id="rId4045" ref="C4046"/>
    <hyperlink r:id="rId4046" ref="C4047"/>
    <hyperlink r:id="rId4047" ref="C4048"/>
    <hyperlink r:id="rId4048" ref="C4049"/>
    <hyperlink r:id="rId4049" ref="C4050"/>
    <hyperlink r:id="rId4050" ref="C4051"/>
    <hyperlink r:id="rId4051" ref="C4052"/>
    <hyperlink r:id="rId4052" ref="C4053"/>
    <hyperlink r:id="rId4053" ref="C4054"/>
    <hyperlink r:id="rId4054" ref="C4055"/>
    <hyperlink r:id="rId4055" ref="C4056"/>
    <hyperlink r:id="rId4056" ref="C4057"/>
    <hyperlink r:id="rId4057" ref="C4058"/>
    <hyperlink r:id="rId4058" ref="C4059"/>
    <hyperlink r:id="rId4059" ref="C4060"/>
    <hyperlink r:id="rId4060" ref="C4061"/>
    <hyperlink r:id="rId4061" ref="C4062"/>
    <hyperlink r:id="rId4062" ref="C4063"/>
    <hyperlink r:id="rId4063" ref="C4064"/>
    <hyperlink r:id="rId4064" ref="C4065"/>
    <hyperlink r:id="rId4065" ref="C4066"/>
    <hyperlink r:id="rId4066" ref="C4067"/>
    <hyperlink r:id="rId4067" ref="C4068"/>
    <hyperlink r:id="rId4068" ref="C4069"/>
  </hyperlinks>
  <drawing r:id="rId406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29"/>
    <col customWidth="1" min="2" max="3" width="14.43"/>
    <col customWidth="1" min="4" max="4" width="66.0"/>
    <col customWidth="1" min="5" max="5" width="44.0"/>
    <col customWidth="1" min="6" max="6" width="14.43"/>
    <col customWidth="1" min="9" max="9" width="32.14"/>
  </cols>
  <sheetData>
    <row r="1" ht="15.75" customHeight="1">
      <c r="A1" s="1" t="s">
        <v>0</v>
      </c>
      <c r="B1" s="3" t="s">
        <v>5402</v>
      </c>
      <c r="C1" s="2" t="s">
        <v>1</v>
      </c>
      <c r="D1" s="3" t="s">
        <v>2</v>
      </c>
      <c r="E1" s="3" t="s">
        <v>5403</v>
      </c>
      <c r="F1" s="16"/>
      <c r="G1" s="16"/>
      <c r="J1" s="16"/>
      <c r="K1" s="16"/>
      <c r="L1" s="16"/>
      <c r="M1" s="16"/>
      <c r="N1" s="16"/>
      <c r="O1" s="16"/>
      <c r="P1" s="16"/>
    </row>
    <row r="2" ht="15.75" customHeight="1">
      <c r="A2" s="18" t="str">
        <f>Descargas!A2</f>
        <v>1@gmail.com</v>
      </c>
      <c r="B2" s="19" t="str">
        <f>IFERROR(__xludf.DUMMYFUNCTION("IF(OR(regexmatch(A2,"".*@simon.es$""),REGEXMATCH(A2,"".*@simon.pt$""),REGEXMATCH(A2,"".*@simonelectrica.com$""),REGEXMATCH(A2,"".*@hiberus.com$""),REGEXMATCH(A2,"".*@simonbrico.es$""),regexmatch(A2,"".*@simonelectric.com$"")),""null"",A2)"),"1@gmail.com")</f>
        <v>1@gmail.com</v>
      </c>
      <c r="C2" s="5">
        <f>IF(B2="null","null",Descargas!B2)</f>
        <v>44012</v>
      </c>
      <c r="D2" s="6" t="str">
        <f>Descargas!E2</f>
        <v>https://resources.simonelectric.com/simon-ebook-vehiculo-electrico</v>
      </c>
      <c r="E2" s="20" t="str">
        <f t="shared" ref="E2:E4069" si="1">IF(B2="null","",A2)</f>
        <v>1@gmail.com</v>
      </c>
      <c r="F2" s="21"/>
      <c r="G2" s="21"/>
      <c r="J2" s="21"/>
      <c r="K2" s="21"/>
      <c r="L2" s="21"/>
      <c r="M2" s="21"/>
      <c r="N2" s="21"/>
      <c r="O2" s="21"/>
      <c r="P2" s="21"/>
    </row>
    <row r="3" ht="15.75" customHeight="1">
      <c r="A3" s="18" t="str">
        <f>Descargas!A3</f>
        <v>2@yahoo.es</v>
      </c>
      <c r="B3" s="19" t="str">
        <f>IFERROR(__xludf.DUMMYFUNCTION("IF(OR(regexmatch(A3,"".*@simon.es$""),REGEXMATCH(A3,"".*@simon.pt$""),REGEXMATCH(A3,"".*@simonelectrica.com$""),REGEXMATCH(A3,"".*@hiberus.com$""),REGEXMATCH(A3,"".*@simonbrico.es$""),regexmatch(A3,"".*@simonelectric.com$"")),""null"",A3)"),"2@yahoo.es")</f>
        <v>2@yahoo.es</v>
      </c>
      <c r="C3" s="5">
        <f>IF(B3="null","null",Descargas!B3)</f>
        <v>44012</v>
      </c>
      <c r="D3" s="6" t="str">
        <f>Descargas!E3</f>
        <v>https://resources.simonelectric.com/simon-ebook-vehiculo-electrico</v>
      </c>
      <c r="E3" s="20" t="str">
        <f t="shared" si="1"/>
        <v>2@yahoo.es</v>
      </c>
      <c r="F3" s="21"/>
      <c r="G3" s="21"/>
      <c r="J3" s="21"/>
      <c r="K3" s="21"/>
      <c r="L3" s="21"/>
      <c r="M3" s="21"/>
      <c r="N3" s="21"/>
      <c r="O3" s="21"/>
      <c r="P3" s="21"/>
    </row>
    <row r="4" ht="15.75" customHeight="1">
      <c r="A4" s="18" t="str">
        <f>Descargas!A4</f>
        <v>3@gmail.com</v>
      </c>
      <c r="B4" s="19" t="str">
        <f>IFERROR(__xludf.DUMMYFUNCTION("IF(OR(regexmatch(A4,"".*@simon.es$""),REGEXMATCH(A4,"".*@simon.pt$""),REGEXMATCH(A4,"".*@simonelectrica.com$""),REGEXMATCH(A4,"".*@hiberus.com$""),REGEXMATCH(A4,"".*@simonbrico.es$""),regexmatch(A4,"".*@simonelectric.com$"")),""null"",A4)"),"3@gmail.com")</f>
        <v>3@gmail.com</v>
      </c>
      <c r="C4" s="5">
        <f>IF(B4="null","null",Descargas!B4)</f>
        <v>44012</v>
      </c>
      <c r="D4" s="6" t="str">
        <f>Descargas!E4</f>
        <v>https://resources.simonelectric.com/simon-catalogo-vehiculo-electrico</v>
      </c>
      <c r="E4" s="20" t="str">
        <f t="shared" si="1"/>
        <v>3@gmail.com</v>
      </c>
      <c r="F4" s="21"/>
      <c r="G4" s="21"/>
      <c r="J4" s="21"/>
      <c r="K4" s="21"/>
      <c r="L4" s="21"/>
      <c r="M4" s="21"/>
      <c r="N4" s="21"/>
      <c r="O4" s="21"/>
      <c r="P4" s="21"/>
    </row>
    <row r="5" ht="15.75" customHeight="1">
      <c r="A5" s="18" t="str">
        <f>Descargas!A5</f>
        <v>4@gmail.com</v>
      </c>
      <c r="B5" s="19" t="str">
        <f>IFERROR(__xludf.DUMMYFUNCTION("IF(OR(regexmatch(A5,"".*@simon.es$""),REGEXMATCH(A5,"".*@simon.pt$""),REGEXMATCH(A5,"".*@simonelectrica.com$""),REGEXMATCH(A5,"".*@hiberus.com$""),REGEXMATCH(A5,"".*@simonbrico.es$""),regexmatch(A5,"".*@simonelectric.com$"")),""null"",A5)"),"4@gmail.com")</f>
        <v>4@gmail.com</v>
      </c>
      <c r="C5" s="5">
        <f>IF(B5="null","null",Descargas!B5)</f>
        <v>44012</v>
      </c>
      <c r="D5" s="6" t="str">
        <f>Descargas!E5</f>
        <v>https://resources.simonelectric.com/simon-ebook-vehiculo-electrico</v>
      </c>
      <c r="E5" s="20" t="str">
        <f t="shared" si="1"/>
        <v>4@gmail.com</v>
      </c>
      <c r="F5" s="21"/>
      <c r="G5" s="21"/>
      <c r="J5" s="21"/>
      <c r="K5" s="21"/>
      <c r="L5" s="21"/>
      <c r="M5" s="21"/>
      <c r="N5" s="21"/>
      <c r="O5" s="21"/>
      <c r="P5" s="21"/>
    </row>
    <row r="6" ht="15.75" customHeight="1">
      <c r="A6" s="18" t="str">
        <f>Descargas!A6</f>
        <v>5@infortel.es</v>
      </c>
      <c r="B6" s="19" t="str">
        <f>IFERROR(__xludf.DUMMYFUNCTION("IF(OR(regexmatch(A6,"".*@simon.es$""),REGEXMATCH(A6,"".*@simon.pt$""),REGEXMATCH(A6,"".*@simonelectrica.com$""),REGEXMATCH(A6,"".*@hiberus.com$""),REGEXMATCH(A6,"".*@simonbrico.es$""),regexmatch(A6,"".*@simonelectric.com$"")),""null"",A6)"),"5@infortel.es")</f>
        <v>5@infortel.es</v>
      </c>
      <c r="C6" s="5">
        <f>IF(B6="null","null",Descargas!B6)</f>
        <v>44012</v>
      </c>
      <c r="D6" s="6" t="str">
        <f>Descargas!E6</f>
        <v>https://resources.simonelectric.com/simon-material-formativo-vehiculo-electrico</v>
      </c>
      <c r="E6" s="20" t="str">
        <f t="shared" si="1"/>
        <v>5@infortel.es</v>
      </c>
      <c r="F6" s="21"/>
      <c r="G6" s="21"/>
      <c r="J6" s="21"/>
      <c r="K6" s="21"/>
      <c r="L6" s="21"/>
      <c r="M6" s="21"/>
      <c r="N6" s="21"/>
      <c r="O6" s="21"/>
      <c r="P6" s="21"/>
    </row>
    <row r="7" ht="15.75" customHeight="1">
      <c r="A7" s="18" t="str">
        <f>Descargas!A7</f>
        <v>6@yahoo.es</v>
      </c>
      <c r="B7" s="19" t="str">
        <f>IFERROR(__xludf.DUMMYFUNCTION("IF(OR(regexmatch(A7,"".*@simon.es$""),REGEXMATCH(A7,"".*@simon.pt$""),REGEXMATCH(A7,"".*@simonelectrica.com$""),REGEXMATCH(A7,"".*@hiberus.com$""),REGEXMATCH(A7,"".*@simonbrico.es$""),regexmatch(A7,"".*@simonelectric.com$"")),""null"",A7)"),"6@yahoo.es")</f>
        <v>6@yahoo.es</v>
      </c>
      <c r="C7" s="5">
        <f>IF(B7="null","null",Descargas!B7)</f>
        <v>44012</v>
      </c>
      <c r="D7" s="6" t="str">
        <f>Descargas!E7</f>
        <v>https://resources.simonelectric.com/simon-catalogo-vehiculo-electrico</v>
      </c>
      <c r="E7" s="20" t="str">
        <f t="shared" si="1"/>
        <v>6@yahoo.es</v>
      </c>
      <c r="F7" s="21"/>
      <c r="G7" s="21"/>
      <c r="J7" s="21"/>
      <c r="K7" s="21"/>
      <c r="L7" s="21"/>
      <c r="M7" s="21"/>
      <c r="N7" s="21"/>
      <c r="O7" s="21"/>
      <c r="P7" s="21"/>
    </row>
    <row r="8" ht="15.75" customHeight="1">
      <c r="A8" s="18" t="str">
        <f>Descargas!A8</f>
        <v>7@unizar.es</v>
      </c>
      <c r="B8" s="19" t="str">
        <f>IFERROR(__xludf.DUMMYFUNCTION("IF(OR(regexmatch(A8,"".*@simon.es$""),REGEXMATCH(A8,"".*@simon.pt$""),REGEXMATCH(A8,"".*@simonelectrica.com$""),REGEXMATCH(A8,"".*@hiberus.com$""),REGEXMATCH(A8,"".*@simonbrico.es$""),regexmatch(A8,"".*@simonelectric.com$"")),""null"",A8)"),"7@unizar.es")</f>
        <v>7@unizar.es</v>
      </c>
      <c r="C8" s="5">
        <f>IF(B8="null","null",Descargas!B8)</f>
        <v>44012</v>
      </c>
      <c r="D8" s="6" t="str">
        <f>Descargas!E8</f>
        <v>https://resources.simonelectric.com/simon-catalogo-vehiculo-electrico</v>
      </c>
      <c r="E8" s="20" t="str">
        <f t="shared" si="1"/>
        <v>7@unizar.es</v>
      </c>
      <c r="F8" s="21"/>
      <c r="G8" s="21"/>
      <c r="J8" s="21"/>
      <c r="K8" s="21"/>
      <c r="L8" s="21"/>
      <c r="M8" s="21"/>
      <c r="N8" s="21"/>
      <c r="O8" s="21"/>
      <c r="P8" s="21"/>
    </row>
    <row r="9" ht="15.75" customHeight="1">
      <c r="A9" s="18" t="str">
        <f>Descargas!A9</f>
        <v>8@gomezmoreno.com</v>
      </c>
      <c r="B9" s="19" t="str">
        <f>IFERROR(__xludf.DUMMYFUNCTION("IF(OR(regexmatch(A9,"".*@simon.es$""),REGEXMATCH(A9,"".*@simon.pt$""),REGEXMATCH(A9,"".*@simonelectrica.com$""),REGEXMATCH(A9,"".*@hiberus.com$""),REGEXMATCH(A9,"".*@simonbrico.es$""),regexmatch(A9,"".*@simonelectric.com$"")),""null"",A9)"),"8@gomezmoreno.com")</f>
        <v>8@gomezmoreno.com</v>
      </c>
      <c r="C9" s="5">
        <f>IF(B9="null","null",Descargas!B9)</f>
        <v>44012</v>
      </c>
      <c r="D9" s="6" t="str">
        <f>Descargas!E9</f>
        <v>https://resources.simonelectric.com/simon-catalogo-vehiculo-electrico</v>
      </c>
      <c r="E9" s="20" t="str">
        <f t="shared" si="1"/>
        <v>8@gomezmoreno.com</v>
      </c>
      <c r="F9" s="21"/>
      <c r="G9" s="21"/>
      <c r="J9" s="21"/>
      <c r="K9" s="21"/>
      <c r="L9" s="21"/>
      <c r="M9" s="21"/>
      <c r="N9" s="21"/>
      <c r="O9" s="21"/>
      <c r="P9" s="21"/>
    </row>
    <row r="10" ht="15.75" customHeight="1">
      <c r="A10" s="18" t="str">
        <f>Descargas!A10</f>
        <v>9@chacontch.com</v>
      </c>
      <c r="B10" s="19" t="str">
        <f>IFERROR(__xludf.DUMMYFUNCTION("IF(OR(regexmatch(A10,"".*@simon.es$""),REGEXMATCH(A10,"".*@simon.pt$""),REGEXMATCH(A10,"".*@simonelectrica.com$""),REGEXMATCH(A10,"".*@hiberus.com$""),REGEXMATCH(A10,"".*@simonbrico.es$""),regexmatch(A10,"".*@simonelectric.com$"")),""null"",A10)"),"9@chacontch.com")</f>
        <v>9@chacontch.com</v>
      </c>
      <c r="C10" s="5">
        <f>IF(B10="null","null",Descargas!B10)</f>
        <v>44012</v>
      </c>
      <c r="D10" s="6" t="str">
        <f>Descargas!E10</f>
        <v>https://resources.simonelectric.com/simon-ebook-vehiculo-electrico</v>
      </c>
      <c r="E10" s="20" t="str">
        <f t="shared" si="1"/>
        <v>9@chacontch.com</v>
      </c>
      <c r="F10" s="21"/>
      <c r="G10" s="21"/>
      <c r="J10" s="21"/>
      <c r="K10" s="21"/>
      <c r="L10" s="21"/>
      <c r="M10" s="21"/>
      <c r="N10" s="21"/>
      <c r="O10" s="21"/>
      <c r="P10" s="21"/>
    </row>
    <row r="11" ht="15.75" customHeight="1">
      <c r="A11" s="18" t="str">
        <f>Descargas!A11</f>
        <v>10@hotmail.com</v>
      </c>
      <c r="B11" s="19" t="str">
        <f>IFERROR(__xludf.DUMMYFUNCTION("IF(OR(regexmatch(A11,"".*@simon.es$""),REGEXMATCH(A11,"".*@simon.pt$""),REGEXMATCH(A11,"".*@simonelectrica.com$""),REGEXMATCH(A11,"".*@hiberus.com$""),REGEXMATCH(A11,"".*@simonbrico.es$""),regexmatch(A11,"".*@simonelectric.com$"")),""null"",A11)"),"10@hotmail.com")</f>
        <v>10@hotmail.com</v>
      </c>
      <c r="C11" s="5">
        <f>IF(B11="null","null",Descargas!B11)</f>
        <v>44012</v>
      </c>
      <c r="D11" s="6" t="str">
        <f>Descargas!E11</f>
        <v>https://resources.simonelectric.com/simon-catalogo-vehiculo-electrico</v>
      </c>
      <c r="E11" s="20" t="str">
        <f t="shared" si="1"/>
        <v>10@hotmail.com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</row>
    <row r="12" ht="15.75" customHeight="1">
      <c r="A12" s="18" t="str">
        <f>Descargas!A12</f>
        <v>10@hotmail.com</v>
      </c>
      <c r="B12" s="19" t="str">
        <f>IFERROR(__xludf.DUMMYFUNCTION("IF(OR(regexmatch(A12,"".*@simon.es$""),REGEXMATCH(A12,"".*@simon.pt$""),REGEXMATCH(A12,"".*@simonelectrica.com$""),REGEXMATCH(A12,"".*@hiberus.com$""),REGEXMATCH(A12,"".*@simonbrico.es$""),regexmatch(A12,"".*@simonelectric.com$"")),""null"",A12)"),"10@hotmail.com")</f>
        <v>10@hotmail.com</v>
      </c>
      <c r="C12" s="5">
        <f>IF(B12="null","null",Descargas!B12)</f>
        <v>44012</v>
      </c>
      <c r="D12" s="6" t="str">
        <f>Descargas!E12</f>
        <v>https://resources.simonelectric.com/simon-ebook-vehiculo-electrico</v>
      </c>
      <c r="E12" s="20" t="str">
        <f t="shared" si="1"/>
        <v>10@hotmail.com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</row>
    <row r="13" ht="15.75" customHeight="1">
      <c r="A13" s="18" t="str">
        <f>Descargas!A13</f>
        <v>11@gmail.com</v>
      </c>
      <c r="B13" s="19" t="str">
        <f>IFERROR(__xludf.DUMMYFUNCTION("IF(OR(regexmatch(A13,"".*@simon.es$""),REGEXMATCH(A13,"".*@simon.pt$""),REGEXMATCH(A13,"".*@simonelectrica.com$""),REGEXMATCH(A13,"".*@hiberus.com$""),REGEXMATCH(A13,"".*@simonbrico.es$""),regexmatch(A13,"".*@simonelectric.com$"")),""null"",A13)"),"11@gmail.com")</f>
        <v>11@gmail.com</v>
      </c>
      <c r="C13" s="5">
        <f>IF(B13="null","null",Descargas!B13)</f>
        <v>44012</v>
      </c>
      <c r="D13" s="6" t="str">
        <f>Descargas!E13</f>
        <v>https://resources.simonelectric.com/simon-catalogo-vehiculo-electrico</v>
      </c>
      <c r="E13" s="20" t="str">
        <f t="shared" si="1"/>
        <v>11@gmail.com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</row>
    <row r="14" ht="15.75" customHeight="1">
      <c r="A14" s="18" t="str">
        <f>Descargas!A14</f>
        <v>12@gmail.com</v>
      </c>
      <c r="B14" s="19" t="str">
        <f>IFERROR(__xludf.DUMMYFUNCTION("IF(OR(regexmatch(A14,"".*@simon.es$""),REGEXMATCH(A14,"".*@simon.pt$""),REGEXMATCH(A14,"".*@simonelectrica.com$""),REGEXMATCH(A14,"".*@hiberus.com$""),REGEXMATCH(A14,"".*@simonbrico.es$""),regexmatch(A14,"".*@simonelectric.com$"")),""null"",A14)"),"12@gmail.com")</f>
        <v>12@gmail.com</v>
      </c>
      <c r="C14" s="5">
        <f>IF(B14="null","null",Descargas!B14)</f>
        <v>44012</v>
      </c>
      <c r="D14" s="6" t="str">
        <f>Descargas!E14</f>
        <v>https://resources.simonelectric.com/simon-ebook-vehiculo-electrico</v>
      </c>
      <c r="E14" s="20" t="str">
        <f t="shared" si="1"/>
        <v>12@gmail.com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</row>
    <row r="15" ht="15.75" customHeight="1">
      <c r="A15" s="18" t="str">
        <f>Descargas!A15</f>
        <v>13@inel.es</v>
      </c>
      <c r="B15" s="19" t="str">
        <f>IFERROR(__xludf.DUMMYFUNCTION("IF(OR(regexmatch(A15,"".*@simon.es$""),REGEXMATCH(A15,"".*@simon.pt$""),REGEXMATCH(A15,"".*@simonelectrica.com$""),REGEXMATCH(A15,"".*@hiberus.com$""),REGEXMATCH(A15,"".*@simonbrico.es$""),regexmatch(A15,"".*@simonelectric.com$"")),""null"",A15)"),"13@inel.es")</f>
        <v>13@inel.es</v>
      </c>
      <c r="C15" s="5">
        <f>IF(B15="null","null",Descargas!B15)</f>
        <v>44011</v>
      </c>
      <c r="D15" s="6" t="str">
        <f>Descargas!E15</f>
        <v>https://resources.simonelectric.com/simon-catalogo-vehiculo-electrico</v>
      </c>
      <c r="E15" s="20" t="str">
        <f t="shared" si="1"/>
        <v>13@inel.es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</row>
    <row r="16" ht="15.75" customHeight="1">
      <c r="A16" s="18" t="str">
        <f>Descargas!A16</f>
        <v>14@enerparking.com</v>
      </c>
      <c r="B16" s="19" t="str">
        <f>IFERROR(__xludf.DUMMYFUNCTION("IF(OR(regexmatch(A16,"".*@simon.es$""),REGEXMATCH(A16,"".*@simon.pt$""),REGEXMATCH(A16,"".*@simonelectrica.com$""),REGEXMATCH(A16,"".*@hiberus.com$""),REGEXMATCH(A16,"".*@simonbrico.es$""),regexmatch(A16,"".*@simonelectric.com$"")),""null"",A16)"),"14@enerparking.com")</f>
        <v>14@enerparking.com</v>
      </c>
      <c r="C16" s="5">
        <f>IF(B16="null","null",Descargas!B16)</f>
        <v>44011</v>
      </c>
      <c r="D16" s="6" t="str">
        <f>Descargas!E16</f>
        <v>https://resources.simonelectric.com/simon-ebook-vehiculo-electrico</v>
      </c>
      <c r="E16" s="20" t="str">
        <f t="shared" si="1"/>
        <v>14@enerparking.com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</row>
    <row r="17" ht="15.75" customHeight="1">
      <c r="A17" s="18" t="str">
        <f>Descargas!A17</f>
        <v>15@apba.es</v>
      </c>
      <c r="B17" s="19" t="str">
        <f>IFERROR(__xludf.DUMMYFUNCTION("IF(OR(regexmatch(A17,"".*@simon.es$""),REGEXMATCH(A17,"".*@simon.pt$""),REGEXMATCH(A17,"".*@simonelectrica.com$""),REGEXMATCH(A17,"".*@hiberus.com$""),REGEXMATCH(A17,"".*@simonbrico.es$""),regexmatch(A17,"".*@simonelectric.com$"")),""null"",A17)"),"15@apba.es")</f>
        <v>15@apba.es</v>
      </c>
      <c r="C17" s="5">
        <f>IF(B17="null","null",Descargas!B17)</f>
        <v>44011</v>
      </c>
      <c r="D17" s="6" t="str">
        <f>Descargas!E17</f>
        <v>https://resources.simonelectric.com/simon-ebook-vehiculo-electrico</v>
      </c>
      <c r="E17" s="20" t="str">
        <f t="shared" si="1"/>
        <v>15@apba.es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</row>
    <row r="18" ht="15.75" customHeight="1">
      <c r="A18" s="18" t="str">
        <f>Descargas!A18</f>
        <v>16@cambrabcn.org</v>
      </c>
      <c r="B18" s="19" t="str">
        <f>IFERROR(__xludf.DUMMYFUNCTION("IF(OR(regexmatch(A18,"".*@simon.es$""),REGEXMATCH(A18,"".*@simon.pt$""),REGEXMATCH(A18,"".*@simonelectrica.com$""),REGEXMATCH(A18,"".*@hiberus.com$""),REGEXMATCH(A18,"".*@simonbrico.es$""),regexmatch(A18,"".*@simonelectric.com$"")),""null"",A18)"),"16@cambrabcn.org")</f>
        <v>16@cambrabcn.org</v>
      </c>
      <c r="C18" s="5">
        <f>IF(B18="null","null",Descargas!B18)</f>
        <v>44011</v>
      </c>
      <c r="D18" s="6" t="str">
        <f>Descargas!E18</f>
        <v>https://resources.simonelectric.com/simon-ebook-vehiculo-electrico</v>
      </c>
      <c r="E18" s="20" t="str">
        <f t="shared" si="1"/>
        <v>16@cambrabcn.org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</row>
    <row r="19" ht="15.75" customHeight="1">
      <c r="A19" s="18" t="str">
        <f>Descargas!A19</f>
        <v>17@gmail.com</v>
      </c>
      <c r="B19" s="19" t="str">
        <f>IFERROR(__xludf.DUMMYFUNCTION("IF(OR(regexmatch(A19,"".*@simon.es$""),REGEXMATCH(A19,"".*@simon.pt$""),REGEXMATCH(A19,"".*@simonelectrica.com$""),REGEXMATCH(A19,"".*@hiberus.com$""),REGEXMATCH(A19,"".*@simonbrico.es$""),regexmatch(A19,"".*@simonelectric.com$"")),""null"",A19)"),"17@gmail.com")</f>
        <v>17@gmail.com</v>
      </c>
      <c r="C19" s="5">
        <f>IF(B19="null","null",Descargas!B19)</f>
        <v>44011</v>
      </c>
      <c r="D19" s="6" t="str">
        <f>Descargas!E19</f>
        <v>https://resources.simonelectric.com/simon-ebook-vehiculo-electrico</v>
      </c>
      <c r="E19" s="20" t="str">
        <f t="shared" si="1"/>
        <v>17@gmail.com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</row>
    <row r="20" ht="15.75" customHeight="1">
      <c r="A20" s="18" t="str">
        <f>Descargas!A20</f>
        <v>18@urv.cat</v>
      </c>
      <c r="B20" s="19" t="str">
        <f>IFERROR(__xludf.DUMMYFUNCTION("IF(OR(regexmatch(A20,"".*@simon.es$""),REGEXMATCH(A20,"".*@simon.pt$""),REGEXMATCH(A20,"".*@simonelectrica.com$""),REGEXMATCH(A20,"".*@hiberus.com$""),REGEXMATCH(A20,"".*@simonbrico.es$""),regexmatch(A20,"".*@simonelectric.com$"")),""null"",A20)"),"18@urv.cat")</f>
        <v>18@urv.cat</v>
      </c>
      <c r="C20" s="5">
        <f>IF(B20="null","null",Descargas!B20)</f>
        <v>44011</v>
      </c>
      <c r="D20" s="6" t="str">
        <f>Descargas!E20</f>
        <v>https://resources.simonelectric.com/simon-ebook-vehiculo-electrico</v>
      </c>
      <c r="E20" s="20" t="str">
        <f t="shared" si="1"/>
        <v>18@urv.cat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</row>
    <row r="21" ht="15.75" customHeight="1">
      <c r="A21" s="18" t="str">
        <f>Descargas!A21</f>
        <v>19@grupoespacioindustrial.com</v>
      </c>
      <c r="B21" s="19" t="str">
        <f>IFERROR(__xludf.DUMMYFUNCTION("IF(OR(regexmatch(A21,"".*@simon.es$""),REGEXMATCH(A21,"".*@simon.pt$""),REGEXMATCH(A21,"".*@simonelectrica.com$""),REGEXMATCH(A21,"".*@hiberus.com$""),REGEXMATCH(A21,"".*@simonbrico.es$""),regexmatch(A21,"".*@simonelectric.com$"")),""null"",A21)"),"19@grupoespacioindustrial.com")</f>
        <v>19@grupoespacioindustrial.com</v>
      </c>
      <c r="C21" s="5">
        <f>IF(B21="null","null",Descargas!B21)</f>
        <v>44011</v>
      </c>
      <c r="D21" s="6" t="str">
        <f>Descargas!E21</f>
        <v>https://resources.simonelectric.com/simon-ebook-vehiculo-electrico</v>
      </c>
      <c r="E21" s="20" t="str">
        <f t="shared" si="1"/>
        <v>19@grupoespacioindustrial.com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</row>
    <row r="22" ht="15.75" customHeight="1">
      <c r="A22" s="18" t="str">
        <f>Descargas!A22</f>
        <v>20@gmail.com</v>
      </c>
      <c r="B22" s="19" t="str">
        <f>IFERROR(__xludf.DUMMYFUNCTION("IF(OR(regexmatch(A22,"".*@simon.es$""),REGEXMATCH(A22,"".*@simon.pt$""),REGEXMATCH(A22,"".*@simonelectrica.com$""),REGEXMATCH(A22,"".*@hiberus.com$""),REGEXMATCH(A22,"".*@simonbrico.es$""),regexmatch(A22,"".*@simonelectric.com$"")),""null"",A22)"),"20@gmail.com")</f>
        <v>20@gmail.com</v>
      </c>
      <c r="C22" s="5">
        <f>IF(B22="null","null",Descargas!B22)</f>
        <v>44011</v>
      </c>
      <c r="D22" s="6" t="str">
        <f>Descargas!E22</f>
        <v>https://resources.simonelectric.com/simon-ebook-vehiculo-electrico-ppc</v>
      </c>
      <c r="E22" s="20" t="str">
        <f t="shared" si="1"/>
        <v>20@gmail.com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</row>
    <row r="23" ht="15.75" customHeight="1">
      <c r="A23" s="18" t="str">
        <f>Descargas!A23</f>
        <v>21@iteser.com</v>
      </c>
      <c r="B23" s="19" t="str">
        <f>IFERROR(__xludf.DUMMYFUNCTION("IF(OR(regexmatch(A23,"".*@simon.es$""),REGEXMATCH(A23,"".*@simon.pt$""),REGEXMATCH(A23,"".*@simonelectrica.com$""),REGEXMATCH(A23,"".*@hiberus.com$""),REGEXMATCH(A23,"".*@simonbrico.es$""),regexmatch(A23,"".*@simonelectric.com$"")),""null"",A23)"),"21@iteser.com")</f>
        <v>21@iteser.com</v>
      </c>
      <c r="C23" s="5">
        <f>IF(B23="null","null",Descargas!B23)</f>
        <v>44011</v>
      </c>
      <c r="D23" s="6" t="str">
        <f>Descargas!E23</f>
        <v>https://resources.simonelectric.com/simon-ebook-vehiculo-electrico</v>
      </c>
      <c r="E23" s="20" t="str">
        <f t="shared" si="1"/>
        <v>21@iteser.com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</row>
    <row r="24" ht="15.75" customHeight="1">
      <c r="A24" s="18" t="str">
        <f>Descargas!A24</f>
        <v>22@gmail.com</v>
      </c>
      <c r="B24" s="19" t="str">
        <f>IFERROR(__xludf.DUMMYFUNCTION("IF(OR(regexmatch(A24,"".*@simon.es$""),REGEXMATCH(A24,"".*@simon.pt$""),REGEXMATCH(A24,"".*@simonelectrica.com$""),REGEXMATCH(A24,"".*@hiberus.com$""),REGEXMATCH(A24,"".*@simonbrico.es$""),regexmatch(A24,"".*@simonelectric.com$"")),""null"",A24)"),"22@gmail.com")</f>
        <v>22@gmail.com</v>
      </c>
      <c r="C24" s="5">
        <f>IF(B24="null","null",Descargas!B24)</f>
        <v>44010</v>
      </c>
      <c r="D24" s="6" t="str">
        <f>Descargas!E24</f>
        <v>https://resources.simonelectric.com/simon-catalogo-vehiculo-electrico</v>
      </c>
      <c r="E24" s="20" t="str">
        <f t="shared" si="1"/>
        <v>22@gmail.com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</row>
    <row r="25" ht="15.75" customHeight="1">
      <c r="A25" s="18" t="str">
        <f>Descargas!A25</f>
        <v>23@gmail.com</v>
      </c>
      <c r="B25" s="19" t="str">
        <f>IFERROR(__xludf.DUMMYFUNCTION("IF(OR(regexmatch(A25,"".*@simon.es$""),REGEXMATCH(A25,"".*@simon.pt$""),REGEXMATCH(A25,"".*@simonelectrica.com$""),REGEXMATCH(A25,"".*@hiberus.com$""),REGEXMATCH(A25,"".*@simonbrico.es$""),regexmatch(A25,"".*@simonelectric.com$"")),""null"",A25)"),"23@gmail.com")</f>
        <v>23@gmail.com</v>
      </c>
      <c r="C25" s="5">
        <f>IF(B25="null","null",Descargas!B25)</f>
        <v>44010</v>
      </c>
      <c r="D25" s="6" t="str">
        <f>Descargas!E25</f>
        <v>https://resources.simonelectric.com/simon-catalogo-vehiculo-electrico</v>
      </c>
      <c r="E25" s="20" t="str">
        <f t="shared" si="1"/>
        <v>23@gmail.com</v>
      </c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</row>
    <row r="26" ht="15.75" customHeight="1">
      <c r="A26" s="18" t="str">
        <f>Descargas!A26</f>
        <v>22@gmail.com</v>
      </c>
      <c r="B26" s="19" t="str">
        <f>IFERROR(__xludf.DUMMYFUNCTION("IF(OR(regexmatch(A26,"".*@simon.es$""),REGEXMATCH(A26,"".*@simon.pt$""),REGEXMATCH(A26,"".*@simonelectrica.com$""),REGEXMATCH(A26,"".*@hiberus.com$""),REGEXMATCH(A26,"".*@simonbrico.es$""),regexmatch(A26,"".*@simonelectric.com$"")),""null"",A26)"),"22@gmail.com")</f>
        <v>22@gmail.com</v>
      </c>
      <c r="C26" s="5">
        <f>IF(B26="null","null",Descargas!B26)</f>
        <v>44010</v>
      </c>
      <c r="D26" s="6" t="str">
        <f>Descargas!E26</f>
        <v>https://resources.simonelectric.com/simon-catalogo-vehiculo-electrico</v>
      </c>
      <c r="E26" s="20" t="str">
        <f t="shared" si="1"/>
        <v>22@gmail.com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</row>
    <row r="27" ht="15.75" customHeight="1">
      <c r="A27" s="18" t="str">
        <f>Descargas!A27</f>
        <v>24@gmail.com</v>
      </c>
      <c r="B27" s="19" t="str">
        <f>IFERROR(__xludf.DUMMYFUNCTION("IF(OR(regexmatch(A27,"".*@simon.es$""),REGEXMATCH(A27,"".*@simon.pt$""),REGEXMATCH(A27,"".*@simonelectrica.com$""),REGEXMATCH(A27,"".*@hiberus.com$""),REGEXMATCH(A27,"".*@simonbrico.es$""),regexmatch(A27,"".*@simonelectric.com$"")),""null"",A27)"),"24@gmail.com")</f>
        <v>24@gmail.com</v>
      </c>
      <c r="C27" s="5">
        <f>IF(B27="null","null",Descargas!B27)</f>
        <v>44010</v>
      </c>
      <c r="D27" s="6" t="str">
        <f>Descargas!E27</f>
        <v>https://resources.simonelectric.com/simon-catalogo-vehiculo-electrico</v>
      </c>
      <c r="E27" s="20" t="str">
        <f t="shared" si="1"/>
        <v>24@gmail.com</v>
      </c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</row>
    <row r="28" ht="15.75" customHeight="1">
      <c r="A28" s="18" t="str">
        <f>Descargas!A28</f>
        <v>25@gmail.com</v>
      </c>
      <c r="B28" s="19" t="str">
        <f>IFERROR(__xludf.DUMMYFUNCTION("IF(OR(regexmatch(A28,"".*@simon.es$""),REGEXMATCH(A28,"".*@simon.pt$""),REGEXMATCH(A28,"".*@simonelectrica.com$""),REGEXMATCH(A28,"".*@hiberus.com$""),REGEXMATCH(A28,"".*@simonbrico.es$""),regexmatch(A28,"".*@simonelectric.com$"")),""null"",A28)"),"25@gmail.com")</f>
        <v>25@gmail.com</v>
      </c>
      <c r="C28" s="5">
        <f>IF(B28="null","null",Descargas!B28)</f>
        <v>44010</v>
      </c>
      <c r="D28" s="6" t="str">
        <f>Descargas!E28</f>
        <v>https://resources.simonelectric.com/simon-ebook-vehiculo-electrico</v>
      </c>
      <c r="E28" s="20" t="str">
        <f t="shared" si="1"/>
        <v>25@gmail.com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</row>
    <row r="29" ht="15.75" customHeight="1">
      <c r="A29" s="18" t="str">
        <f>Descargas!A29</f>
        <v>26@mktg.com</v>
      </c>
      <c r="B29" s="19" t="str">
        <f>IFERROR(__xludf.DUMMYFUNCTION("IF(OR(regexmatch(A29,"".*@simon.es$""),REGEXMATCH(A29,"".*@simon.pt$""),REGEXMATCH(A29,"".*@simonelectrica.com$""),REGEXMATCH(A29,"".*@hiberus.com$""),REGEXMATCH(A29,"".*@simonbrico.es$""),regexmatch(A29,"".*@simonelectric.com$"")),""null"",A29)"),"26@mktg.com")</f>
        <v>26@mktg.com</v>
      </c>
      <c r="C29" s="5">
        <f>IF(B29="null","null",Descargas!B29)</f>
        <v>44010</v>
      </c>
      <c r="D29" s="6" t="str">
        <f>Descargas!E29</f>
        <v>https://resources.simonelectric.com/simon-ebook-vehiculo-electrico-ppc</v>
      </c>
      <c r="E29" s="20" t="str">
        <f t="shared" si="1"/>
        <v>26@mktg.com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</row>
    <row r="30" ht="15.75" customHeight="1">
      <c r="A30" s="18" t="str">
        <f>Descargas!A30</f>
        <v>27@hotmail.com</v>
      </c>
      <c r="B30" s="19" t="str">
        <f>IFERROR(__xludf.DUMMYFUNCTION("IF(OR(regexmatch(A30,"".*@simon.es$""),REGEXMATCH(A30,"".*@simon.pt$""),REGEXMATCH(A30,"".*@simonelectrica.com$""),REGEXMATCH(A30,"".*@hiberus.com$""),REGEXMATCH(A30,"".*@simonbrico.es$""),regexmatch(A30,"".*@simonelectric.com$"")),""null"",A30)"),"27@hotmail.com")</f>
        <v>27@hotmail.com</v>
      </c>
      <c r="C30" s="5">
        <f>IF(B30="null","null",Descargas!B30)</f>
        <v>44009</v>
      </c>
      <c r="D30" s="6" t="str">
        <f>Descargas!E30</f>
        <v>https://resources.simonelectric.com/simon-ebook-vehiculo-electrico-ppc</v>
      </c>
      <c r="E30" s="20" t="str">
        <f t="shared" si="1"/>
        <v>27@hotmail.com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</row>
    <row r="31" ht="15.75" customHeight="1">
      <c r="A31" s="18" t="str">
        <f>Descargas!A31</f>
        <v>28@gmail.com</v>
      </c>
      <c r="B31" s="19" t="str">
        <f>IFERROR(__xludf.DUMMYFUNCTION("IF(OR(regexmatch(A31,"".*@simon.es$""),REGEXMATCH(A31,"".*@simon.pt$""),REGEXMATCH(A31,"".*@simonelectrica.com$""),REGEXMATCH(A31,"".*@hiberus.com$""),REGEXMATCH(A31,"".*@simonbrico.es$""),regexmatch(A31,"".*@simonelectric.com$"")),""null"",A31)"),"28@gmail.com")</f>
        <v>28@gmail.com</v>
      </c>
      <c r="C31" s="5">
        <f>IF(B31="null","null",Descargas!B31)</f>
        <v>44009</v>
      </c>
      <c r="D31" s="6" t="str">
        <f>Descargas!E31</f>
        <v>https://resources.simonelectric.com/simon-ebook-vehiculo-electrico-ppc</v>
      </c>
      <c r="E31" s="20" t="str">
        <f t="shared" si="1"/>
        <v>28@gmail.com</v>
      </c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</row>
    <row r="32" ht="15.75" customHeight="1">
      <c r="A32" s="18" t="str">
        <f>Descargas!A32</f>
        <v>9@chacontch.com</v>
      </c>
      <c r="B32" s="19" t="str">
        <f>IFERROR(__xludf.DUMMYFUNCTION("IF(OR(regexmatch(A32,"".*@simon.es$""),REGEXMATCH(A32,"".*@simon.pt$""),REGEXMATCH(A32,"".*@simonelectrica.com$""),REGEXMATCH(A32,"".*@hiberus.com$""),REGEXMATCH(A32,"".*@simonbrico.es$""),regexmatch(A32,"".*@simonelectric.com$"")),""null"",A32)"),"9@chacontch.com")</f>
        <v>9@chacontch.com</v>
      </c>
      <c r="C32" s="5">
        <f>IF(B32="null","null",Descargas!B32)</f>
        <v>44009</v>
      </c>
      <c r="D32" s="6" t="str">
        <f>Descargas!E32</f>
        <v>https://resources.simonelectric.com/simon-material-formativo-vehiculo-electrico</v>
      </c>
      <c r="E32" s="20" t="str">
        <f t="shared" si="1"/>
        <v>9@chacontch.com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</row>
    <row r="33" ht="15.75" customHeight="1">
      <c r="A33" s="18" t="str">
        <f>Descargas!A33</f>
        <v>29@gmail.com</v>
      </c>
      <c r="B33" s="19" t="str">
        <f>IFERROR(__xludf.DUMMYFUNCTION("IF(OR(regexmatch(A33,"".*@simon.es$""),REGEXMATCH(A33,"".*@simon.pt$""),REGEXMATCH(A33,"".*@simonelectrica.com$""),REGEXMATCH(A33,"".*@hiberus.com$""),REGEXMATCH(A33,"".*@simonbrico.es$""),regexmatch(A33,"".*@simonelectric.com$"")),""null"",A33)"),"29@gmail.com")</f>
        <v>29@gmail.com</v>
      </c>
      <c r="C33" s="5">
        <f>IF(B33="null","null",Descargas!B33)</f>
        <v>44009</v>
      </c>
      <c r="D33" s="6" t="str">
        <f>Descargas!E33</f>
        <v>https://resources.simonelectric.com/simon-ebook-vehiculo-electrico-ppc</v>
      </c>
      <c r="E33" s="20" t="str">
        <f t="shared" si="1"/>
        <v>29@gmail.com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</row>
    <row r="34" ht="15.75" customHeight="1">
      <c r="A34" s="18" t="str">
        <f>Descargas!A34</f>
        <v>30@gmail.com</v>
      </c>
      <c r="B34" s="19" t="str">
        <f>IFERROR(__xludf.DUMMYFUNCTION("IF(OR(regexmatch(A34,"".*@simon.es$""),REGEXMATCH(A34,"".*@simon.pt$""),REGEXMATCH(A34,"".*@simonelectrica.com$""),REGEXMATCH(A34,"".*@hiberus.com$""),REGEXMATCH(A34,"".*@simonbrico.es$""),regexmatch(A34,"".*@simonelectric.com$"")),""null"",A34)"),"30@gmail.com")</f>
        <v>30@gmail.com</v>
      </c>
      <c r="C34" s="5">
        <f>IF(B34="null","null",Descargas!B34)</f>
        <v>44009</v>
      </c>
      <c r="D34" s="6" t="str">
        <f>Descargas!E34</f>
        <v>https://resources.simonelectric.com/simon-ebook-vehiculo-electrico-ppc</v>
      </c>
      <c r="E34" s="20" t="str">
        <f t="shared" si="1"/>
        <v>30@gmail.com</v>
      </c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5" ht="15.75" customHeight="1">
      <c r="A35" s="18" t="str">
        <f>Descargas!A35</f>
        <v>31@gmail.com</v>
      </c>
      <c r="B35" s="19" t="str">
        <f>IFERROR(__xludf.DUMMYFUNCTION("IF(OR(regexmatch(A35,"".*@simon.es$""),REGEXMATCH(A35,"".*@simon.pt$""),REGEXMATCH(A35,"".*@simonelectrica.com$""),REGEXMATCH(A35,"".*@hiberus.com$""),REGEXMATCH(A35,"".*@simonbrico.es$""),regexmatch(A35,"".*@simonelectric.com$"")),""null"",A35)"),"31@gmail.com")</f>
        <v>31@gmail.com</v>
      </c>
      <c r="C35" s="5">
        <f>IF(B35="null","null",Descargas!B35)</f>
        <v>44009</v>
      </c>
      <c r="D35" s="6" t="str">
        <f>Descargas!E35</f>
        <v>https://resources.simonelectric.com/simon-ebook-vehiculo-electrico-ppc</v>
      </c>
      <c r="E35" s="20" t="str">
        <f t="shared" si="1"/>
        <v>31@gmail.com</v>
      </c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</row>
    <row r="36" ht="15.75" customHeight="1">
      <c r="A36" s="18" t="str">
        <f>Descargas!A36</f>
        <v>32@gmail.com</v>
      </c>
      <c r="B36" s="19" t="str">
        <f>IFERROR(__xludf.DUMMYFUNCTION("IF(OR(regexmatch(A36,"".*@simon.es$""),REGEXMATCH(A36,"".*@simon.pt$""),REGEXMATCH(A36,"".*@simonelectrica.com$""),REGEXMATCH(A36,"".*@hiberus.com$""),REGEXMATCH(A36,"".*@simonbrico.es$""),regexmatch(A36,"".*@simonelectric.com$"")),""null"",A36)"),"32@gmail.com")</f>
        <v>32@gmail.com</v>
      </c>
      <c r="C36" s="5">
        <f>IF(B36="null","null",Descargas!B36)</f>
        <v>44008</v>
      </c>
      <c r="D36" s="6" t="str">
        <f>Descargas!E36</f>
        <v>https://resources.simonelectric.com/simon-catalogo-vehiculo-electrico</v>
      </c>
      <c r="E36" s="20" t="str">
        <f t="shared" si="1"/>
        <v>32@gmail.com</v>
      </c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</row>
    <row r="37" ht="15.75" customHeight="1">
      <c r="A37" s="18" t="str">
        <f>Descargas!A37</f>
        <v>33@gmail.com</v>
      </c>
      <c r="B37" s="19" t="str">
        <f>IFERROR(__xludf.DUMMYFUNCTION("IF(OR(regexmatch(A37,"".*@simon.es$""),REGEXMATCH(A37,"".*@simon.pt$""),REGEXMATCH(A37,"".*@simonelectrica.com$""),REGEXMATCH(A37,"".*@hiberus.com$""),REGEXMATCH(A37,"".*@simonbrico.es$""),regexmatch(A37,"".*@simonelectric.com$"")),""null"",A37)"),"33@gmail.com")</f>
        <v>33@gmail.com</v>
      </c>
      <c r="C37" s="5">
        <f>IF(B37="null","null",Descargas!B37)</f>
        <v>44008</v>
      </c>
      <c r="D37" s="6" t="str">
        <f>Descargas!E37</f>
        <v>https://resources.simonelectric.com/simon-ebook-vehiculo-electrico-ppc</v>
      </c>
      <c r="E37" s="20" t="str">
        <f t="shared" si="1"/>
        <v>33@gmail.com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</row>
    <row r="38" ht="15.75" customHeight="1">
      <c r="A38" s="18" t="str">
        <f>Descargas!A38</f>
        <v>34@gmail.com</v>
      </c>
      <c r="B38" s="19" t="str">
        <f>IFERROR(__xludf.DUMMYFUNCTION("IF(OR(regexmatch(A38,"".*@simon.es$""),REGEXMATCH(A38,"".*@simon.pt$""),REGEXMATCH(A38,"".*@simonelectrica.com$""),REGEXMATCH(A38,"".*@hiberus.com$""),REGEXMATCH(A38,"".*@simonbrico.es$""),regexmatch(A38,"".*@simonelectric.com$"")),""null"",A38)"),"34@gmail.com")</f>
        <v>34@gmail.com</v>
      </c>
      <c r="C38" s="5">
        <f>IF(B38="null","null",Descargas!B38)</f>
        <v>44008</v>
      </c>
      <c r="D38" s="6" t="str">
        <f>Descargas!E38</f>
        <v>https://resources.simonelectric.com/simon-catalogo-vehiculo-electrico</v>
      </c>
      <c r="E38" s="20" t="str">
        <f t="shared" si="1"/>
        <v>34@gmail.com</v>
      </c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</row>
    <row r="39" ht="15.75" customHeight="1">
      <c r="A39" s="18" t="str">
        <f>Descargas!A39</f>
        <v>35@gmail.com</v>
      </c>
      <c r="B39" s="19" t="str">
        <f>IFERROR(__xludf.DUMMYFUNCTION("IF(OR(regexmatch(A39,"".*@simon.es$""),REGEXMATCH(A39,"".*@simon.pt$""),REGEXMATCH(A39,"".*@simonelectrica.com$""),REGEXMATCH(A39,"".*@hiberus.com$""),REGEXMATCH(A39,"".*@simonbrico.es$""),regexmatch(A39,"".*@simonelectric.com$"")),""null"",A39)"),"35@gmail.com")</f>
        <v>35@gmail.com</v>
      </c>
      <c r="C39" s="5">
        <f>IF(B39="null","null",Descargas!B39)</f>
        <v>44008</v>
      </c>
      <c r="D39" s="6" t="str">
        <f>Descargas!E39</f>
        <v>https://resources.simonelectric.com/simon-catalogo-vehiculo-electrico</v>
      </c>
      <c r="E39" s="20" t="str">
        <f t="shared" si="1"/>
        <v>35@gmail.com</v>
      </c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</row>
    <row r="40" ht="15.75" customHeight="1">
      <c r="A40" s="18" t="str">
        <f>Descargas!A40</f>
        <v>36@visaonomada.pt</v>
      </c>
      <c r="B40" s="19" t="str">
        <f>IFERROR(__xludf.DUMMYFUNCTION("IF(OR(regexmatch(A40,"".*@simon.es$""),REGEXMATCH(A40,"".*@simon.pt$""),REGEXMATCH(A40,"".*@simonelectrica.com$""),REGEXMATCH(A40,"".*@hiberus.com$""),REGEXMATCH(A40,"".*@simonbrico.es$""),regexmatch(A40,"".*@simonelectric.com$"")),""null"",A40)"),"36@visaonomada.pt")</f>
        <v>36@visaonomada.pt</v>
      </c>
      <c r="C40" s="5">
        <f>IF(B40="null","null",Descargas!B40)</f>
        <v>44008</v>
      </c>
      <c r="D40" s="6" t="str">
        <f>Descargas!E40</f>
        <v>https://resources.simonelectric.com/simon-catalogo-vehiculo-electrico</v>
      </c>
      <c r="E40" s="20" t="str">
        <f t="shared" si="1"/>
        <v>36@visaonomada.pt</v>
      </c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</row>
    <row r="41" ht="15.75" customHeight="1">
      <c r="A41" s="18" t="str">
        <f>Descargas!A41</f>
        <v>37@intienergia.com</v>
      </c>
      <c r="B41" s="19" t="str">
        <f>IFERROR(__xludf.DUMMYFUNCTION("IF(OR(regexmatch(A41,"".*@simon.es$""),REGEXMATCH(A41,"".*@simon.pt$""),REGEXMATCH(A41,"".*@simonelectrica.com$""),REGEXMATCH(A41,"".*@hiberus.com$""),REGEXMATCH(A41,"".*@simonbrico.es$""),regexmatch(A41,"".*@simonelectric.com$"")),""null"",A41)"),"37@intienergia.com")</f>
        <v>37@intienergia.com</v>
      </c>
      <c r="C41" s="5">
        <f>IF(B41="null","null",Descargas!B41)</f>
        <v>44008</v>
      </c>
      <c r="D41" s="6" t="str">
        <f>Descargas!E41</f>
        <v>https://resources.simonelectric.com/simon-ebook-vehiculo-electrico</v>
      </c>
      <c r="E41" s="20" t="str">
        <f t="shared" si="1"/>
        <v>37@intienergia.com</v>
      </c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</row>
    <row r="42" ht="15.75" customHeight="1">
      <c r="A42" s="18" t="str">
        <f>Descargas!A42</f>
        <v>38@telefonica.net</v>
      </c>
      <c r="B42" s="19" t="str">
        <f>IFERROR(__xludf.DUMMYFUNCTION("IF(OR(regexmatch(A42,"".*@simon.es$""),REGEXMATCH(A42,"".*@simon.pt$""),REGEXMATCH(A42,"".*@simonelectrica.com$""),REGEXMATCH(A42,"".*@hiberus.com$""),REGEXMATCH(A42,"".*@simonbrico.es$""),regexmatch(A42,"".*@simonelectric.com$"")),""null"",A42)"),"38@telefonica.net")</f>
        <v>38@telefonica.net</v>
      </c>
      <c r="C42" s="5">
        <f>IF(B42="null","null",Descargas!B42)</f>
        <v>44008</v>
      </c>
      <c r="D42" s="6" t="str">
        <f>Descargas!E42</f>
        <v>https://resources.simonelectric.com/simon-catalogo-vehiculo-electrico</v>
      </c>
      <c r="E42" s="20" t="str">
        <f t="shared" si="1"/>
        <v>38@telefonica.net</v>
      </c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</row>
    <row r="43" ht="15.75" customHeight="1">
      <c r="A43" s="18" t="str">
        <f>Descargas!A43</f>
        <v>39@idom.com</v>
      </c>
      <c r="B43" s="19" t="str">
        <f>IFERROR(__xludf.DUMMYFUNCTION("IF(OR(regexmatch(A43,"".*@simon.es$""),REGEXMATCH(A43,"".*@simon.pt$""),REGEXMATCH(A43,"".*@simonelectrica.com$""),REGEXMATCH(A43,"".*@hiberus.com$""),REGEXMATCH(A43,"".*@simonbrico.es$""),regexmatch(A43,"".*@simonelectric.com$"")),""null"",A43)"),"39@idom.com")</f>
        <v>39@idom.com</v>
      </c>
      <c r="C43" s="5">
        <f>IF(B43="null","null",Descargas!B43)</f>
        <v>44008</v>
      </c>
      <c r="D43" s="6" t="str">
        <f>Descargas!E43</f>
        <v>https://resources.simonelectric.com/simon-ebook-vehiculo-electrico</v>
      </c>
      <c r="E43" s="20" t="str">
        <f t="shared" si="1"/>
        <v>39@idom.com</v>
      </c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</row>
    <row r="44" ht="15.75" customHeight="1">
      <c r="A44" s="18" t="str">
        <f>Descargas!A44</f>
        <v>40@hotmail.com</v>
      </c>
      <c r="B44" s="19" t="str">
        <f>IFERROR(__xludf.DUMMYFUNCTION("IF(OR(regexmatch(A44,"".*@simon.es$""),REGEXMATCH(A44,"".*@simon.pt$""),REGEXMATCH(A44,"".*@simonelectrica.com$""),REGEXMATCH(A44,"".*@hiberus.com$""),REGEXMATCH(A44,"".*@simonbrico.es$""),regexmatch(A44,"".*@simonelectric.com$"")),""null"",A44)"),"40@hotmail.com")</f>
        <v>40@hotmail.com</v>
      </c>
      <c r="C44" s="5">
        <f>IF(B44="null","null",Descargas!B44)</f>
        <v>44008</v>
      </c>
      <c r="D44" s="6" t="str">
        <f>Descargas!E44</f>
        <v>https://resources.simonelectric.com/simon-catalogo-vehiculo-electrico</v>
      </c>
      <c r="E44" s="20" t="str">
        <f t="shared" si="1"/>
        <v>40@hotmail.com</v>
      </c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</row>
    <row r="45" ht="15.75" customHeight="1">
      <c r="A45" s="18" t="str">
        <f>Descargas!A45</f>
        <v>41@gmail.com</v>
      </c>
      <c r="B45" s="19" t="str">
        <f>IFERROR(__xludf.DUMMYFUNCTION("IF(OR(regexmatch(A45,"".*@simon.es$""),REGEXMATCH(A45,"".*@simon.pt$""),REGEXMATCH(A45,"".*@simonelectrica.com$""),REGEXMATCH(A45,"".*@hiberus.com$""),REGEXMATCH(A45,"".*@simonbrico.es$""),regexmatch(A45,"".*@simonelectric.com$"")),""null"",A45)"),"41@gmail.com")</f>
        <v>41@gmail.com</v>
      </c>
      <c r="C45" s="5">
        <f>IF(B45="null","null",Descargas!B45)</f>
        <v>44007</v>
      </c>
      <c r="D45" s="6" t="str">
        <f>Descargas!E45</f>
        <v>https://resources.simonelectric.com/simon-ebook-vehiculo-electrico-ppc</v>
      </c>
      <c r="E45" s="20" t="str">
        <f t="shared" si="1"/>
        <v>41@gmail.com</v>
      </c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</row>
    <row r="46" ht="15.75" customHeight="1">
      <c r="A46" s="18" t="str">
        <f>Descargas!A46</f>
        <v>42@gmail.com</v>
      </c>
      <c r="B46" s="19" t="str">
        <f>IFERROR(__xludf.DUMMYFUNCTION("IF(OR(regexmatch(A46,"".*@simon.es$""),REGEXMATCH(A46,"".*@simon.pt$""),REGEXMATCH(A46,"".*@simonelectrica.com$""),REGEXMATCH(A46,"".*@hiberus.com$""),REGEXMATCH(A46,"".*@simonbrico.es$""),regexmatch(A46,"".*@simonelectric.com$"")),""null"",A46)"),"42@gmail.com")</f>
        <v>42@gmail.com</v>
      </c>
      <c r="C46" s="5">
        <f>IF(B46="null","null",Descargas!B46)</f>
        <v>44007</v>
      </c>
      <c r="D46" s="6" t="str">
        <f>Descargas!E46</f>
        <v>https://resources.simonelectric.com/simon-ebook-vehiculo-electrico</v>
      </c>
      <c r="E46" s="20" t="str">
        <f t="shared" si="1"/>
        <v>42@gmail.com</v>
      </c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</row>
    <row r="47" ht="15.75" customHeight="1">
      <c r="A47" s="18" t="str">
        <f>Descargas!A47</f>
        <v>43@electricidadjoselucas.com</v>
      </c>
      <c r="B47" s="19" t="str">
        <f>IFERROR(__xludf.DUMMYFUNCTION("IF(OR(regexmatch(A47,"".*@simon.es$""),REGEXMATCH(A47,"".*@simon.pt$""),REGEXMATCH(A47,"".*@simonelectrica.com$""),REGEXMATCH(A47,"".*@hiberus.com$""),REGEXMATCH(A47,"".*@simonbrico.es$""),regexmatch(A47,"".*@simonelectric.com$"")),""null"",A47)"),"43@electricidadjoselucas.com")</f>
        <v>43@electricidadjoselucas.com</v>
      </c>
      <c r="C47" s="5">
        <f>IF(B47="null","null",Descargas!B47)</f>
        <v>44007</v>
      </c>
      <c r="D47" s="6" t="str">
        <f>Descargas!E47</f>
        <v>https://resources.simonelectric.com/simon-ebook-vehiculo-electrico</v>
      </c>
      <c r="E47" s="20" t="str">
        <f t="shared" si="1"/>
        <v>43@electricidadjoselucas.com</v>
      </c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</row>
    <row r="48" ht="15.75" customHeight="1">
      <c r="A48" s="18" t="str">
        <f>Descargas!A48</f>
        <v>44@gmail.com</v>
      </c>
      <c r="B48" s="19" t="str">
        <f>IFERROR(__xludf.DUMMYFUNCTION("IF(OR(regexmatch(A48,"".*@simon.es$""),REGEXMATCH(A48,"".*@simon.pt$""),REGEXMATCH(A48,"".*@simonelectrica.com$""),REGEXMATCH(A48,"".*@hiberus.com$""),REGEXMATCH(A48,"".*@simonbrico.es$""),regexmatch(A48,"".*@simonelectric.com$"")),""null"",A48)"),"44@gmail.com")</f>
        <v>44@gmail.com</v>
      </c>
      <c r="C48" s="5">
        <f>IF(B48="null","null",Descargas!B48)</f>
        <v>44007</v>
      </c>
      <c r="D48" s="6" t="str">
        <f>Descargas!E48</f>
        <v>https://resources.simonelectric.com/simon-catalogo-vehiculo-electrico</v>
      </c>
      <c r="E48" s="20" t="str">
        <f t="shared" si="1"/>
        <v>44@gmail.com</v>
      </c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</row>
    <row r="49" ht="15.75" customHeight="1">
      <c r="A49" s="18" t="str">
        <f>Descargas!A49</f>
        <v>45@acotech.es</v>
      </c>
      <c r="B49" s="19" t="str">
        <f>IFERROR(__xludf.DUMMYFUNCTION("IF(OR(regexmatch(A49,"".*@simon.es$""),REGEXMATCH(A49,"".*@simon.pt$""),REGEXMATCH(A49,"".*@simonelectrica.com$""),REGEXMATCH(A49,"".*@hiberus.com$""),REGEXMATCH(A49,"".*@simonbrico.es$""),regexmatch(A49,"".*@simonelectric.com$"")),""null"",A49)"),"45@acotech.es")</f>
        <v>45@acotech.es</v>
      </c>
      <c r="C49" s="5">
        <f>IF(B49="null","null",Descargas!B49)</f>
        <v>44007</v>
      </c>
      <c r="D49" s="6" t="str">
        <f>Descargas!E49</f>
        <v>https://resources.simonelectric.com/simon-ebook-vehiculo-electrico</v>
      </c>
      <c r="E49" s="20" t="str">
        <f t="shared" si="1"/>
        <v>45@acotech.es</v>
      </c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</row>
    <row r="50" ht="15.75" customHeight="1">
      <c r="A50" s="18" t="str">
        <f>Descargas!A50</f>
        <v>46@hotmail.com</v>
      </c>
      <c r="B50" s="19" t="str">
        <f>IFERROR(__xludf.DUMMYFUNCTION("IF(OR(regexmatch(A50,"".*@simon.es$""),REGEXMATCH(A50,"".*@simon.pt$""),REGEXMATCH(A50,"".*@simonelectrica.com$""),REGEXMATCH(A50,"".*@hiberus.com$""),REGEXMATCH(A50,"".*@simonbrico.es$""),regexmatch(A50,"".*@simonelectric.com$"")),""null"",A50)"),"46@hotmail.com")</f>
        <v>46@hotmail.com</v>
      </c>
      <c r="C50" s="5">
        <f>IF(B50="null","null",Descargas!B50)</f>
        <v>44007</v>
      </c>
      <c r="D50" s="6" t="str">
        <f>Descargas!E50</f>
        <v>https://resources.simonelectric.com/simon-ebook-vehiculo-electrico</v>
      </c>
      <c r="E50" s="20" t="str">
        <f t="shared" si="1"/>
        <v>46@hotmail.com</v>
      </c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</row>
    <row r="51" ht="15.75" customHeight="1">
      <c r="A51" s="18" t="str">
        <f>Descargas!A51</f>
        <v>47@marpemac.com</v>
      </c>
      <c r="B51" s="19" t="str">
        <f>IFERROR(__xludf.DUMMYFUNCTION("IF(OR(regexmatch(A51,"".*@simon.es$""),REGEXMATCH(A51,"".*@simon.pt$""),REGEXMATCH(A51,"".*@simonelectrica.com$""),REGEXMATCH(A51,"".*@hiberus.com$""),REGEXMATCH(A51,"".*@simonbrico.es$""),regexmatch(A51,"".*@simonelectric.com$"")),""null"",A51)"),"47@marpemac.com")</f>
        <v>47@marpemac.com</v>
      </c>
      <c r="C51" s="5">
        <f>IF(B51="null","null",Descargas!B51)</f>
        <v>44007</v>
      </c>
      <c r="D51" s="6" t="str">
        <f>Descargas!E51</f>
        <v>https://resources.simonelectric.com/simon-ebook-vehiculo-electrico</v>
      </c>
      <c r="E51" s="20" t="str">
        <f t="shared" si="1"/>
        <v>47@marpemac.com</v>
      </c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</row>
    <row r="52" ht="15.75" customHeight="1">
      <c r="A52" s="18" t="str">
        <f>Descargas!A52</f>
        <v>48@legebiltzarra.eus</v>
      </c>
      <c r="B52" s="19" t="str">
        <f>IFERROR(__xludf.DUMMYFUNCTION("IF(OR(regexmatch(A52,"".*@simon.es$""),REGEXMATCH(A52,"".*@simon.pt$""),REGEXMATCH(A52,"".*@simonelectrica.com$""),REGEXMATCH(A52,"".*@hiberus.com$""),REGEXMATCH(A52,"".*@simonbrico.es$""),regexmatch(A52,"".*@simonelectric.com$"")),""null"",A52)"),"48@legebiltzarra.eus")</f>
        <v>48@legebiltzarra.eus</v>
      </c>
      <c r="C52" s="5">
        <f>IF(B52="null","null",Descargas!B52)</f>
        <v>44007</v>
      </c>
      <c r="D52" s="6" t="str">
        <f>Descargas!E52</f>
        <v>https://resources.simonelectric.com/simon-ebook-vehiculo-electrico</v>
      </c>
      <c r="E52" s="20" t="str">
        <f t="shared" si="1"/>
        <v>48@legebiltzarra.eus</v>
      </c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</row>
    <row r="53" ht="15.75" customHeight="1">
      <c r="A53" s="18" t="str">
        <f>Descargas!A53</f>
        <v>49@grupocaeiro.es</v>
      </c>
      <c r="B53" s="19" t="str">
        <f>IFERROR(__xludf.DUMMYFUNCTION("IF(OR(regexmatch(A53,"".*@simon.es$""),REGEXMATCH(A53,"".*@simon.pt$""),REGEXMATCH(A53,"".*@simonelectrica.com$""),REGEXMATCH(A53,"".*@hiberus.com$""),REGEXMATCH(A53,"".*@simonbrico.es$""),regexmatch(A53,"".*@simonelectric.com$"")),""null"",A53)"),"49@grupocaeiro.es")</f>
        <v>49@grupocaeiro.es</v>
      </c>
      <c r="C53" s="5">
        <f>IF(B53="null","null",Descargas!B53)</f>
        <v>44007</v>
      </c>
      <c r="D53" s="6" t="str">
        <f>Descargas!E53</f>
        <v>https://resources.simonelectric.com/simon-ebook-vehiculo-electrico-ppc</v>
      </c>
      <c r="E53" s="20" t="str">
        <f t="shared" si="1"/>
        <v>49@grupocaeiro.es</v>
      </c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</row>
    <row r="54" ht="15.75" customHeight="1">
      <c r="A54" s="18" t="str">
        <f>Descargas!A54</f>
        <v>50@gmail.com</v>
      </c>
      <c r="B54" s="19" t="str">
        <f>IFERROR(__xludf.DUMMYFUNCTION("IF(OR(regexmatch(A54,"".*@simon.es$""),REGEXMATCH(A54,"".*@simon.pt$""),REGEXMATCH(A54,"".*@simonelectrica.com$""),REGEXMATCH(A54,"".*@hiberus.com$""),REGEXMATCH(A54,"".*@simonbrico.es$""),regexmatch(A54,"".*@simonelectric.com$"")),""null"",A54)"),"50@gmail.com")</f>
        <v>50@gmail.com</v>
      </c>
      <c r="C54" s="5">
        <f>IF(B54="null","null",Descargas!B54)</f>
        <v>44007</v>
      </c>
      <c r="D54" s="6" t="str">
        <f>Descargas!E54</f>
        <v>https://resources.simonelectric.com/simon-ebook-vehiculo-electrico</v>
      </c>
      <c r="E54" s="20" t="str">
        <f t="shared" si="1"/>
        <v>50@gmail.com</v>
      </c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</row>
    <row r="55" ht="15.75" customHeight="1">
      <c r="A55" s="18" t="str">
        <f>Descargas!A55</f>
        <v>51@yahoo.es</v>
      </c>
      <c r="B55" s="19" t="str">
        <f>IFERROR(__xludf.DUMMYFUNCTION("IF(OR(regexmatch(A55,"".*@simon.es$""),REGEXMATCH(A55,"".*@simon.pt$""),REGEXMATCH(A55,"".*@simonelectrica.com$""),REGEXMATCH(A55,"".*@hiberus.com$""),REGEXMATCH(A55,"".*@simonbrico.es$""),regexmatch(A55,"".*@simonelectric.com$"")),""null"",A55)"),"51@yahoo.es")</f>
        <v>51@yahoo.es</v>
      </c>
      <c r="C55" s="5">
        <f>IF(B55="null","null",Descargas!B55)</f>
        <v>44006</v>
      </c>
      <c r="D55" s="6" t="str">
        <f>Descargas!E55</f>
        <v>https://resources.simonelectric.com/simon-ebook-vehiculo-electrico</v>
      </c>
      <c r="E55" s="20" t="str">
        <f t="shared" si="1"/>
        <v>51@yahoo.es</v>
      </c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</row>
    <row r="56" ht="15.75" customHeight="1">
      <c r="A56" s="18" t="str">
        <f>Descargas!A56</f>
        <v>52@tdi-sistemas.com</v>
      </c>
      <c r="B56" s="19" t="str">
        <f>IFERROR(__xludf.DUMMYFUNCTION("IF(OR(regexmatch(A56,"".*@simon.es$""),REGEXMATCH(A56,"".*@simon.pt$""),REGEXMATCH(A56,"".*@simonelectrica.com$""),REGEXMATCH(A56,"".*@hiberus.com$""),REGEXMATCH(A56,"".*@simonbrico.es$""),regexmatch(A56,"".*@simonelectric.com$"")),""null"",A56)"),"52@tdi-sistemas.com")</f>
        <v>52@tdi-sistemas.com</v>
      </c>
      <c r="C56" s="5">
        <f>IF(B56="null","null",Descargas!B56)</f>
        <v>44006</v>
      </c>
      <c r="D56" s="6" t="str">
        <f>Descargas!E56</f>
        <v>https://resources.simonelectric.com/simon-material-formativo-vehiculo-electrico</v>
      </c>
      <c r="E56" s="20" t="str">
        <f t="shared" si="1"/>
        <v>52@tdi-sistemas.com</v>
      </c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</row>
    <row r="57" ht="15.75" customHeight="1">
      <c r="A57" s="18" t="str">
        <f>Descargas!A57</f>
        <v>39@idom.com</v>
      </c>
      <c r="B57" s="19" t="str">
        <f>IFERROR(__xludf.DUMMYFUNCTION("IF(OR(regexmatch(A57,"".*@simon.es$""),REGEXMATCH(A57,"".*@simon.pt$""),REGEXMATCH(A57,"".*@simonelectrica.com$""),REGEXMATCH(A57,"".*@hiberus.com$""),REGEXMATCH(A57,"".*@simonbrico.es$""),regexmatch(A57,"".*@simonelectric.com$"")),""null"",A57)"),"39@idom.com")</f>
        <v>39@idom.com</v>
      </c>
      <c r="C57" s="5">
        <f>IF(B57="null","null",Descargas!B57)</f>
        <v>44006</v>
      </c>
      <c r="D57" s="6" t="str">
        <f>Descargas!E57</f>
        <v>https://resources.simonelectric.com/simon-material-formativo-vehiculo-electrico</v>
      </c>
      <c r="E57" s="20" t="str">
        <f t="shared" si="1"/>
        <v>39@idom.com</v>
      </c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</row>
    <row r="58" ht="15.75" customHeight="1">
      <c r="A58" s="18" t="str">
        <f>Descargas!A58</f>
        <v>53@dicara.es</v>
      </c>
      <c r="B58" s="19" t="str">
        <f>IFERROR(__xludf.DUMMYFUNCTION("IF(OR(regexmatch(A58,"".*@simon.es$""),REGEXMATCH(A58,"".*@simon.pt$""),REGEXMATCH(A58,"".*@simonelectrica.com$""),REGEXMATCH(A58,"".*@hiberus.com$""),REGEXMATCH(A58,"".*@simonbrico.es$""),regexmatch(A58,"".*@simonelectric.com$"")),""null"",A58)"),"53@dicara.es")</f>
        <v>53@dicara.es</v>
      </c>
      <c r="C58" s="5">
        <f>IF(B58="null","null",Descargas!B58)</f>
        <v>44005</v>
      </c>
      <c r="D58" s="6" t="str">
        <f>Descargas!E58</f>
        <v>https://resources.simonelectric.com/simon-material-formativo-vehiculo-electrico</v>
      </c>
      <c r="E58" s="20" t="str">
        <f t="shared" si="1"/>
        <v>53@dicara.es</v>
      </c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</row>
    <row r="59" ht="15.75" customHeight="1">
      <c r="A59" s="18" t="str">
        <f>Descargas!A59</f>
        <v>54@abengoa.com</v>
      </c>
      <c r="B59" s="19" t="str">
        <f>IFERROR(__xludf.DUMMYFUNCTION("IF(OR(regexmatch(A59,"".*@simon.es$""),REGEXMATCH(A59,"".*@simon.pt$""),REGEXMATCH(A59,"".*@simonelectrica.com$""),REGEXMATCH(A59,"".*@hiberus.com$""),REGEXMATCH(A59,"".*@simonbrico.es$""),regexmatch(A59,"".*@simonelectric.com$"")),""null"",A59)"),"54@abengoa.com")</f>
        <v>54@abengoa.com</v>
      </c>
      <c r="C59" s="5">
        <f>IF(B59="null","null",Descargas!B59)</f>
        <v>44005</v>
      </c>
      <c r="D59" s="6" t="str">
        <f>Descargas!E59</f>
        <v>https://resources.simonelectric.com/simon-ebook-vehiculo-electrico</v>
      </c>
      <c r="E59" s="20" t="str">
        <f t="shared" si="1"/>
        <v>54@abengoa.com</v>
      </c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</row>
    <row r="60" ht="15.75" customHeight="1">
      <c r="A60" s="18" t="str">
        <f>Descargas!A60</f>
        <v>55@hotmail.com</v>
      </c>
      <c r="B60" s="19" t="str">
        <f>IFERROR(__xludf.DUMMYFUNCTION("IF(OR(regexmatch(A60,"".*@simon.es$""),REGEXMATCH(A60,"".*@simon.pt$""),REGEXMATCH(A60,"".*@simonelectrica.com$""),REGEXMATCH(A60,"".*@hiberus.com$""),REGEXMATCH(A60,"".*@simonbrico.es$""),regexmatch(A60,"".*@simonelectric.com$"")),""null"",A60)"),"55@hotmail.com")</f>
        <v>55@hotmail.com</v>
      </c>
      <c r="C60" s="5">
        <f>IF(B60="null","null",Descargas!B60)</f>
        <v>44005</v>
      </c>
      <c r="D60" s="6" t="str">
        <f>Descargas!E60</f>
        <v>https://resources.simonelectric.com/simon-catalogo-vehiculo-electrico</v>
      </c>
      <c r="E60" s="20" t="str">
        <f t="shared" si="1"/>
        <v>55@hotmail.com</v>
      </c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</row>
    <row r="61" ht="15.75" customHeight="1">
      <c r="A61" s="18" t="str">
        <f>Descargas!A61</f>
        <v>56@iesmurgi.org</v>
      </c>
      <c r="B61" s="19" t="str">
        <f>IFERROR(__xludf.DUMMYFUNCTION("IF(OR(regexmatch(A61,"".*@simon.es$""),REGEXMATCH(A61,"".*@simon.pt$""),REGEXMATCH(A61,"".*@simonelectrica.com$""),REGEXMATCH(A61,"".*@hiberus.com$""),REGEXMATCH(A61,"".*@simonbrico.es$""),regexmatch(A61,"".*@simonelectric.com$"")),""null"",A61)"),"56@iesmurgi.org")</f>
        <v>56@iesmurgi.org</v>
      </c>
      <c r="C61" s="5">
        <f>IF(B61="null","null",Descargas!B61)</f>
        <v>44005</v>
      </c>
      <c r="D61" s="6" t="str">
        <f>Descargas!E61</f>
        <v>https://resources.simonelectric.com/simon-ebook-vehiculo-electrico</v>
      </c>
      <c r="E61" s="20" t="str">
        <f t="shared" si="1"/>
        <v>56@iesmurgi.org</v>
      </c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</row>
    <row r="62" ht="15.75" customHeight="1">
      <c r="A62" s="18" t="str">
        <f>Descargas!A62</f>
        <v>57@gmail.com</v>
      </c>
      <c r="B62" s="19" t="str">
        <f>IFERROR(__xludf.DUMMYFUNCTION("IF(OR(regexmatch(A62,"".*@simon.es$""),REGEXMATCH(A62,"".*@simon.pt$""),REGEXMATCH(A62,"".*@simonelectrica.com$""),REGEXMATCH(A62,"".*@hiberus.com$""),REGEXMATCH(A62,"".*@simonbrico.es$""),regexmatch(A62,"".*@simonelectric.com$"")),""null"",A62)"),"57@gmail.com")</f>
        <v>57@gmail.com</v>
      </c>
      <c r="C62" s="5">
        <f>IF(B62="null","null",Descargas!B62)</f>
        <v>44005</v>
      </c>
      <c r="D62" s="6" t="str">
        <f>Descargas!E62</f>
        <v>https://resources.simonelectric.com/simon-ebook-vehiculo-electrico-ppc</v>
      </c>
      <c r="E62" s="20" t="str">
        <f t="shared" si="1"/>
        <v>57@gmail.com</v>
      </c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</row>
    <row r="63" ht="15.75" customHeight="1">
      <c r="A63" s="18" t="str">
        <f>Descargas!A63</f>
        <v>58@gabyl.com</v>
      </c>
      <c r="B63" s="19" t="str">
        <f>IFERROR(__xludf.DUMMYFUNCTION("IF(OR(regexmatch(A63,"".*@simon.es$""),REGEXMATCH(A63,"".*@simon.pt$""),REGEXMATCH(A63,"".*@simonelectrica.com$""),REGEXMATCH(A63,"".*@hiberus.com$""),REGEXMATCH(A63,"".*@simonbrico.es$""),regexmatch(A63,"".*@simonelectric.com$"")),""null"",A63)"),"58@gabyl.com")</f>
        <v>58@gabyl.com</v>
      </c>
      <c r="C63" s="5">
        <f>IF(B63="null","null",Descargas!B63)</f>
        <v>44005</v>
      </c>
      <c r="D63" s="6" t="str">
        <f>Descargas!E63</f>
        <v>https://resources.simonelectric.com/simon-catalogo-vehiculo-electrico</v>
      </c>
      <c r="E63" s="20" t="str">
        <f t="shared" si="1"/>
        <v>58@gabyl.com</v>
      </c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</row>
    <row r="64" ht="15.75" customHeight="1">
      <c r="A64" s="18" t="str">
        <f>Descargas!A64</f>
        <v>59@gmail.com</v>
      </c>
      <c r="B64" s="19" t="str">
        <f>IFERROR(__xludf.DUMMYFUNCTION("IF(OR(regexmatch(A64,"".*@simon.es$""),REGEXMATCH(A64,"".*@simon.pt$""),REGEXMATCH(A64,"".*@simonelectrica.com$""),REGEXMATCH(A64,"".*@hiberus.com$""),REGEXMATCH(A64,"".*@simonbrico.es$""),regexmatch(A64,"".*@simonelectric.com$"")),""null"",A64)"),"59@gmail.com")</f>
        <v>59@gmail.com</v>
      </c>
      <c r="C64" s="5">
        <f>IF(B64="null","null",Descargas!B64)</f>
        <v>44005</v>
      </c>
      <c r="D64" s="6" t="str">
        <f>Descargas!E64</f>
        <v>https://resources.simonelectric.com/simon-catalogo-vehiculo-electrico</v>
      </c>
      <c r="E64" s="20" t="str">
        <f t="shared" si="1"/>
        <v>59@gmail.com</v>
      </c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</row>
    <row r="65" ht="15.75" customHeight="1">
      <c r="A65" s="18" t="str">
        <f>Descargas!A65</f>
        <v>60@rocketmail.com</v>
      </c>
      <c r="B65" s="19" t="str">
        <f>IFERROR(__xludf.DUMMYFUNCTION("IF(OR(regexmatch(A65,"".*@simon.es$""),REGEXMATCH(A65,"".*@simon.pt$""),REGEXMATCH(A65,"".*@simonelectrica.com$""),REGEXMATCH(A65,"".*@hiberus.com$""),REGEXMATCH(A65,"".*@simonbrico.es$""),regexmatch(A65,"".*@simonelectric.com$"")),""null"",A65)"),"60@rocketmail.com")</f>
        <v>60@rocketmail.com</v>
      </c>
      <c r="C65" s="5">
        <f>IF(B65="null","null",Descargas!B65)</f>
        <v>44005</v>
      </c>
      <c r="D65" s="6" t="str">
        <f>Descargas!E65</f>
        <v>https://resources.simonelectric.com/simon-ebook-vehiculo-electrico-ppc</v>
      </c>
      <c r="E65" s="20" t="str">
        <f t="shared" si="1"/>
        <v>60@rocketmail.com</v>
      </c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</row>
    <row r="66" ht="15.75" customHeight="1">
      <c r="A66" s="18" t="str">
        <f>Descargas!A66</f>
        <v>61@elektra-sa.es</v>
      </c>
      <c r="B66" s="19" t="str">
        <f>IFERROR(__xludf.DUMMYFUNCTION("IF(OR(regexmatch(A66,"".*@simon.es$""),REGEXMATCH(A66,"".*@simon.pt$""),REGEXMATCH(A66,"".*@simonelectrica.com$""),REGEXMATCH(A66,"".*@hiberus.com$""),REGEXMATCH(A66,"".*@simonbrico.es$""),regexmatch(A66,"".*@simonelectric.com$"")),""null"",A66)"),"61@elektra-sa.es")</f>
        <v>61@elektra-sa.es</v>
      </c>
      <c r="C66" s="5">
        <f>IF(B66="null","null",Descargas!B66)</f>
        <v>44005</v>
      </c>
      <c r="D66" s="6" t="str">
        <f>Descargas!E66</f>
        <v>https://resources.simonelectric.com/simon-ebook-vehiculo-electrico</v>
      </c>
      <c r="E66" s="20" t="str">
        <f t="shared" si="1"/>
        <v>61@elektra-sa.es</v>
      </c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</row>
    <row r="67" ht="15.75" customHeight="1">
      <c r="A67" s="18" t="str">
        <f>Descargas!A67</f>
        <v>62@hotmail.com</v>
      </c>
      <c r="B67" s="19" t="str">
        <f>IFERROR(__xludf.DUMMYFUNCTION("IF(OR(regexmatch(A67,"".*@simon.es$""),REGEXMATCH(A67,"".*@simon.pt$""),REGEXMATCH(A67,"".*@simonelectrica.com$""),REGEXMATCH(A67,"".*@hiberus.com$""),REGEXMATCH(A67,"".*@simonbrico.es$""),regexmatch(A67,"".*@simonelectric.com$"")),""null"",A67)"),"62@hotmail.com")</f>
        <v>62@hotmail.com</v>
      </c>
      <c r="C67" s="5">
        <f>IF(B67="null","null",Descargas!B67)</f>
        <v>44005</v>
      </c>
      <c r="D67" s="6" t="str">
        <f>Descargas!E67</f>
        <v>https://resources.simonelectric.com/simon-ebook-vehiculo-electrico</v>
      </c>
      <c r="E67" s="20" t="str">
        <f t="shared" si="1"/>
        <v>62@hotmail.com</v>
      </c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</row>
    <row r="68" ht="15.75" customHeight="1">
      <c r="A68" s="18" t="str">
        <f>Descargas!A68</f>
        <v>63@semael.com</v>
      </c>
      <c r="B68" s="19" t="str">
        <f>IFERROR(__xludf.DUMMYFUNCTION("IF(OR(regexmatch(A68,"".*@simon.es$""),REGEXMATCH(A68,"".*@simon.pt$""),REGEXMATCH(A68,"".*@simonelectrica.com$""),REGEXMATCH(A68,"".*@hiberus.com$""),REGEXMATCH(A68,"".*@simonbrico.es$""),regexmatch(A68,"".*@simonelectric.com$"")),""null"",A68)"),"63@semael.com")</f>
        <v>63@semael.com</v>
      </c>
      <c r="C68" s="5">
        <f>IF(B68="null","null",Descargas!B68)</f>
        <v>44005</v>
      </c>
      <c r="D68" s="6" t="str">
        <f>Descargas!E68</f>
        <v>https://resources.simonelectric.com/simon-ebook-vehiculo-electrico</v>
      </c>
      <c r="E68" s="20" t="str">
        <f t="shared" si="1"/>
        <v>63@semael.com</v>
      </c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</row>
    <row r="69" ht="15.75" customHeight="1">
      <c r="A69" s="18" t="str">
        <f>Descargas!A69</f>
        <v>64@gmail.com</v>
      </c>
      <c r="B69" s="19" t="str">
        <f>IFERROR(__xludf.DUMMYFUNCTION("IF(OR(regexmatch(A69,"".*@simon.es$""),REGEXMATCH(A69,"".*@simon.pt$""),REGEXMATCH(A69,"".*@simonelectrica.com$""),REGEXMATCH(A69,"".*@hiberus.com$""),REGEXMATCH(A69,"".*@simonbrico.es$""),regexmatch(A69,"".*@simonelectric.com$"")),""null"",A69)"),"64@gmail.com")</f>
        <v>64@gmail.com</v>
      </c>
      <c r="C69" s="5">
        <f>IF(B69="null","null",Descargas!B69)</f>
        <v>44005</v>
      </c>
      <c r="D69" s="6" t="str">
        <f>Descargas!E69</f>
        <v>https://resources.simonelectric.com/simon-ebook-vehiculo-electrico</v>
      </c>
      <c r="E69" s="20" t="str">
        <f t="shared" si="1"/>
        <v>64@gmail.com</v>
      </c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</row>
    <row r="70" ht="15.75" customHeight="1">
      <c r="A70" s="18" t="str">
        <f>Descargas!A70</f>
        <v>65@copitima.com</v>
      </c>
      <c r="B70" s="19" t="str">
        <f>IFERROR(__xludf.DUMMYFUNCTION("IF(OR(regexmatch(A70,"".*@simon.es$""),REGEXMATCH(A70,"".*@simon.pt$""),REGEXMATCH(A70,"".*@simonelectrica.com$""),REGEXMATCH(A70,"".*@hiberus.com$""),REGEXMATCH(A70,"".*@simonbrico.es$""),regexmatch(A70,"".*@simonelectric.com$"")),""null"",A70)"),"65@copitima.com")</f>
        <v>65@copitima.com</v>
      </c>
      <c r="C70" s="5">
        <f>IF(B70="null","null",Descargas!B70)</f>
        <v>44005</v>
      </c>
      <c r="D70" s="6" t="str">
        <f>Descargas!E70</f>
        <v>https://resources.simonelectric.com/simon-ebook-vehiculo-electrico</v>
      </c>
      <c r="E70" s="20" t="str">
        <f t="shared" si="1"/>
        <v>65@copitima.com</v>
      </c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</row>
    <row r="71" ht="15.75" customHeight="1">
      <c r="A71" s="18" t="str">
        <f>Descargas!A71</f>
        <v>66@dgingenieros.es</v>
      </c>
      <c r="B71" s="19" t="str">
        <f>IFERROR(__xludf.DUMMYFUNCTION("IF(OR(regexmatch(A71,"".*@simon.es$""),REGEXMATCH(A71,"".*@simon.pt$""),REGEXMATCH(A71,"".*@simonelectrica.com$""),REGEXMATCH(A71,"".*@hiberus.com$""),REGEXMATCH(A71,"".*@simonbrico.es$""),regexmatch(A71,"".*@simonelectric.com$"")),""null"",A71)"),"66@dgingenieros.es")</f>
        <v>66@dgingenieros.es</v>
      </c>
      <c r="C71" s="5">
        <f>IF(B71="null","null",Descargas!B71)</f>
        <v>44005</v>
      </c>
      <c r="D71" s="6" t="str">
        <f>Descargas!E71</f>
        <v>https://resources.simonelectric.com/simon-ebook-vehiculo-electrico</v>
      </c>
      <c r="E71" s="20" t="str">
        <f t="shared" si="1"/>
        <v>66@dgingenieros.es</v>
      </c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</row>
    <row r="72" ht="15.75" customHeight="1">
      <c r="A72" s="18" t="str">
        <f>Descargas!A72</f>
        <v>67@becibiza.es</v>
      </c>
      <c r="B72" s="19" t="str">
        <f>IFERROR(__xludf.DUMMYFUNCTION("IF(OR(regexmatch(A72,"".*@simon.es$""),REGEXMATCH(A72,"".*@simon.pt$""),REGEXMATCH(A72,"".*@simonelectrica.com$""),REGEXMATCH(A72,"".*@hiberus.com$""),REGEXMATCH(A72,"".*@simonbrico.es$""),regexmatch(A72,"".*@simonelectric.com$"")),""null"",A72)"),"67@becibiza.es")</f>
        <v>67@becibiza.es</v>
      </c>
      <c r="C72" s="5">
        <f>IF(B72="null","null",Descargas!B72)</f>
        <v>44005</v>
      </c>
      <c r="D72" s="6" t="str">
        <f>Descargas!E72</f>
        <v>https://resources.simonelectric.com/simon-ebook-vehiculo-electrico</v>
      </c>
      <c r="E72" s="20" t="str">
        <f t="shared" si="1"/>
        <v>67@becibiza.es</v>
      </c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</row>
    <row r="73" ht="15.75" customHeight="1">
      <c r="A73" s="18" t="str">
        <f>Descargas!A73</f>
        <v>68@ingeosolar.com</v>
      </c>
      <c r="B73" s="19" t="str">
        <f>IFERROR(__xludf.DUMMYFUNCTION("IF(OR(regexmatch(A73,"".*@simon.es$""),REGEXMATCH(A73,"".*@simon.pt$""),REGEXMATCH(A73,"".*@simonelectrica.com$""),REGEXMATCH(A73,"".*@hiberus.com$""),REGEXMATCH(A73,"".*@simonbrico.es$""),regexmatch(A73,"".*@simonelectric.com$"")),""null"",A73)"),"68@ingeosolar.com")</f>
        <v>68@ingeosolar.com</v>
      </c>
      <c r="C73" s="5">
        <f>IF(B73="null","null",Descargas!B73)</f>
        <v>44005</v>
      </c>
      <c r="D73" s="6" t="str">
        <f>Descargas!E73</f>
        <v>https://resources.simonelectric.com/simon-ebook-vehiculo-electrico-ppc</v>
      </c>
      <c r="E73" s="20" t="str">
        <f t="shared" si="1"/>
        <v>68@ingeosolar.com</v>
      </c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</row>
    <row r="74" ht="15.75" customHeight="1">
      <c r="A74" s="18" t="str">
        <f>Descargas!A74</f>
        <v>69@gmail.com</v>
      </c>
      <c r="B74" s="19" t="str">
        <f>IFERROR(__xludf.DUMMYFUNCTION("IF(OR(regexmatch(A74,"".*@simon.es$""),REGEXMATCH(A74,"".*@simon.pt$""),REGEXMATCH(A74,"".*@simonelectrica.com$""),REGEXMATCH(A74,"".*@hiberus.com$""),REGEXMATCH(A74,"".*@simonbrico.es$""),regexmatch(A74,"".*@simonelectric.com$"")),""null"",A74)"),"69@gmail.com")</f>
        <v>69@gmail.com</v>
      </c>
      <c r="C74" s="5">
        <f>IF(B74="null","null",Descargas!B74)</f>
        <v>44005</v>
      </c>
      <c r="D74" s="6" t="str">
        <f>Descargas!E74</f>
        <v>https://resources.simonelectric.com/simon-ebook-vehiculo-electrico</v>
      </c>
      <c r="E74" s="20" t="str">
        <f t="shared" si="1"/>
        <v>69@gmail.com</v>
      </c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</row>
    <row r="75" ht="15.75" customHeight="1">
      <c r="A75" s="18" t="str">
        <f>Descargas!A75</f>
        <v>70@gmail.com</v>
      </c>
      <c r="B75" s="19" t="str">
        <f>IFERROR(__xludf.DUMMYFUNCTION("IF(OR(regexmatch(A75,"".*@simon.es$""),REGEXMATCH(A75,"".*@simon.pt$""),REGEXMATCH(A75,"".*@simonelectrica.com$""),REGEXMATCH(A75,"".*@hiberus.com$""),REGEXMATCH(A75,"".*@simonbrico.es$""),regexmatch(A75,"".*@simonelectric.com$"")),""null"",A75)"),"70@gmail.com")</f>
        <v>70@gmail.com</v>
      </c>
      <c r="C75" s="5">
        <f>IF(B75="null","null",Descargas!B75)</f>
        <v>44005</v>
      </c>
      <c r="D75" s="6" t="str">
        <f>Descargas!E75</f>
        <v>https://resources.simonelectric.com/simon-ebook-vehiculo-electrico</v>
      </c>
      <c r="E75" s="20" t="str">
        <f t="shared" si="1"/>
        <v>70@gmail.com</v>
      </c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</row>
    <row r="76" ht="15.75" customHeight="1">
      <c r="A76" s="18" t="str">
        <f>Descargas!A76</f>
        <v>71@hotmail.com</v>
      </c>
      <c r="B76" s="19" t="str">
        <f>IFERROR(__xludf.DUMMYFUNCTION("IF(OR(regexmatch(A76,"".*@simon.es$""),REGEXMATCH(A76,"".*@simon.pt$""),REGEXMATCH(A76,"".*@simonelectrica.com$""),REGEXMATCH(A76,"".*@hiberus.com$""),REGEXMATCH(A76,"".*@simonbrico.es$""),regexmatch(A76,"".*@simonelectric.com$"")),""null"",A76)"),"71@hotmail.com")</f>
        <v>71@hotmail.com</v>
      </c>
      <c r="C76" s="5">
        <f>IF(B76="null","null",Descargas!B76)</f>
        <v>44004</v>
      </c>
      <c r="D76" s="6" t="str">
        <f>Descargas!E76</f>
        <v>https://resources.simonelectric.com/simon-material-formativo-vehiculo-electrico</v>
      </c>
      <c r="E76" s="20" t="str">
        <f t="shared" si="1"/>
        <v>71@hotmail.com</v>
      </c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</row>
    <row r="77" ht="15.75" customHeight="1">
      <c r="A77" s="18" t="str">
        <f>Descargas!A77</f>
        <v>72@grupoelectrostocks.com</v>
      </c>
      <c r="B77" s="19" t="str">
        <f>IFERROR(__xludf.DUMMYFUNCTION("IF(OR(regexmatch(A77,"".*@simon.es$""),REGEXMATCH(A77,"".*@simon.pt$""),REGEXMATCH(A77,"".*@simonelectrica.com$""),REGEXMATCH(A77,"".*@hiberus.com$""),REGEXMATCH(A77,"".*@simonbrico.es$""),regexmatch(A77,"".*@simonelectric.com$"")),""null"",A77)"),"72@grupoelectrostocks.com")</f>
        <v>72@grupoelectrostocks.com</v>
      </c>
      <c r="C77" s="5">
        <f>IF(B77="null","null",Descargas!B77)</f>
        <v>44004</v>
      </c>
      <c r="D77" s="6" t="str">
        <f>Descargas!E77</f>
        <v>https://resources.simonelectric.com/simon-catalogo-vehiculo-electrico</v>
      </c>
      <c r="E77" s="20" t="str">
        <f t="shared" si="1"/>
        <v>72@grupoelectrostocks.com</v>
      </c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</row>
    <row r="78" ht="15.75" customHeight="1">
      <c r="A78" s="18" t="str">
        <f>Descargas!A78</f>
        <v>73@hotmail.com</v>
      </c>
      <c r="B78" s="19" t="str">
        <f>IFERROR(__xludf.DUMMYFUNCTION("IF(OR(regexmatch(A78,"".*@simon.es$""),REGEXMATCH(A78,"".*@simon.pt$""),REGEXMATCH(A78,"".*@simonelectrica.com$""),REGEXMATCH(A78,"".*@hiberus.com$""),REGEXMATCH(A78,"".*@simonbrico.es$""),regexmatch(A78,"".*@simonelectric.com$"")),""null"",A78)"),"73@hotmail.com")</f>
        <v>73@hotmail.com</v>
      </c>
      <c r="C78" s="5">
        <f>IF(B78="null","null",Descargas!B78)</f>
        <v>44004</v>
      </c>
      <c r="D78" s="6" t="str">
        <f>Descargas!E78</f>
        <v>https://resources.simonelectric.com/simon-ebook-vehiculo-electrico</v>
      </c>
      <c r="E78" s="20" t="str">
        <f t="shared" si="1"/>
        <v>73@hotmail.com</v>
      </c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</row>
    <row r="79" ht="15.75" customHeight="1">
      <c r="A79" s="18" t="str">
        <f>Descargas!A79</f>
        <v>74@electricidadguerra.com</v>
      </c>
      <c r="B79" s="19" t="str">
        <f>IFERROR(__xludf.DUMMYFUNCTION("IF(OR(regexmatch(A79,"".*@simon.es$""),REGEXMATCH(A79,"".*@simon.pt$""),REGEXMATCH(A79,"".*@simonelectrica.com$""),REGEXMATCH(A79,"".*@hiberus.com$""),REGEXMATCH(A79,"".*@simonbrico.es$""),regexmatch(A79,"".*@simonelectric.com$"")),""null"",A79)"),"74@electricidadguerra.com")</f>
        <v>74@electricidadguerra.com</v>
      </c>
      <c r="C79" s="5">
        <f>IF(B79="null","null",Descargas!B79)</f>
        <v>44004</v>
      </c>
      <c r="D79" s="6" t="str">
        <f>Descargas!E79</f>
        <v>https://resources.simonelectric.com/simon-catalogo-vehiculo-electrico</v>
      </c>
      <c r="E79" s="20" t="str">
        <f t="shared" si="1"/>
        <v>74@electricidadguerra.com</v>
      </c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</row>
    <row r="80" ht="15.75" customHeight="1">
      <c r="A80" s="18" t="str">
        <f>Descargas!A80</f>
        <v>75@telefonica.net</v>
      </c>
      <c r="B80" s="19" t="str">
        <f>IFERROR(__xludf.DUMMYFUNCTION("IF(OR(regexmatch(A80,"".*@simon.es$""),REGEXMATCH(A80,"".*@simon.pt$""),REGEXMATCH(A80,"".*@simonelectrica.com$""),REGEXMATCH(A80,"".*@hiberus.com$""),REGEXMATCH(A80,"".*@simonbrico.es$""),regexmatch(A80,"".*@simonelectric.com$"")),""null"",A80)"),"75@telefonica.net")</f>
        <v>75@telefonica.net</v>
      </c>
      <c r="C80" s="5">
        <f>IF(B80="null","null",Descargas!B80)</f>
        <v>44004</v>
      </c>
      <c r="D80" s="6" t="str">
        <f>Descargas!E80</f>
        <v>https://resources.simonelectric.com/simon-ebook-vehiculo-electrico</v>
      </c>
      <c r="E80" s="20" t="str">
        <f t="shared" si="1"/>
        <v>75@telefonica.net</v>
      </c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</row>
    <row r="81" ht="15.75" customHeight="1">
      <c r="A81" s="18" t="str">
        <f>Descargas!A81</f>
        <v>76@gmail.com</v>
      </c>
      <c r="B81" s="19" t="str">
        <f>IFERROR(__xludf.DUMMYFUNCTION("IF(OR(regexmatch(A81,"".*@simon.es$""),REGEXMATCH(A81,"".*@simon.pt$""),REGEXMATCH(A81,"".*@simonelectrica.com$""),REGEXMATCH(A81,"".*@hiberus.com$""),REGEXMATCH(A81,"".*@simonbrico.es$""),regexmatch(A81,"".*@simonelectric.com$"")),""null"",A81)"),"76@gmail.com")</f>
        <v>76@gmail.com</v>
      </c>
      <c r="C81" s="5">
        <f>IF(B81="null","null",Descargas!B81)</f>
        <v>44004</v>
      </c>
      <c r="D81" s="6" t="str">
        <f>Descargas!E81</f>
        <v>https://resources.simonelectric.com/simon-ebook-vehiculo-electrico</v>
      </c>
      <c r="E81" s="20" t="str">
        <f t="shared" si="1"/>
        <v>76@gmail.com</v>
      </c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</row>
    <row r="82" ht="15.75" customHeight="1">
      <c r="A82" s="18" t="str">
        <f>Descargas!A82</f>
        <v>77@comsa.com</v>
      </c>
      <c r="B82" s="19" t="str">
        <f>IFERROR(__xludf.DUMMYFUNCTION("IF(OR(regexmatch(A82,"".*@simon.es$""),REGEXMATCH(A82,"".*@simon.pt$""),REGEXMATCH(A82,"".*@simonelectrica.com$""),REGEXMATCH(A82,"".*@hiberus.com$""),REGEXMATCH(A82,"".*@simonbrico.es$""),regexmatch(A82,"".*@simonelectric.com$"")),""null"",A82)"),"77@comsa.com")</f>
        <v>77@comsa.com</v>
      </c>
      <c r="C82" s="5">
        <f>IF(B82="null","null",Descargas!B82)</f>
        <v>44004</v>
      </c>
      <c r="D82" s="6" t="str">
        <f>Descargas!E82</f>
        <v>https://resources.simonelectric.com/simon-ebook-vehiculo-electrico</v>
      </c>
      <c r="E82" s="20" t="str">
        <f t="shared" si="1"/>
        <v>77@comsa.com</v>
      </c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</row>
    <row r="83" ht="15.75" customHeight="1">
      <c r="A83" s="18" t="str">
        <f>Descargas!A83</f>
        <v>48@legebiltzarra.eus</v>
      </c>
      <c r="B83" s="19" t="str">
        <f>IFERROR(__xludf.DUMMYFUNCTION("IF(OR(regexmatch(A83,"".*@simon.es$""),REGEXMATCH(A83,"".*@simon.pt$""),REGEXMATCH(A83,"".*@simonelectrica.com$""),REGEXMATCH(A83,"".*@hiberus.com$""),REGEXMATCH(A83,"".*@simonbrico.es$""),regexmatch(A83,"".*@simonelectric.com$"")),""null"",A83)"),"48@legebiltzarra.eus")</f>
        <v>48@legebiltzarra.eus</v>
      </c>
      <c r="C83" s="5">
        <f>IF(B83="null","null",Descargas!B83)</f>
        <v>44004</v>
      </c>
      <c r="D83" s="6" t="str">
        <f>Descargas!E83</f>
        <v>https://resources.simonelectric.com/simon-material-formativo-vehiculo-electrico</v>
      </c>
      <c r="E83" s="20" t="str">
        <f t="shared" si="1"/>
        <v>48@legebiltzarra.eus</v>
      </c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</row>
    <row r="84" ht="15.75" customHeight="1">
      <c r="A84" s="18" t="str">
        <f>Descargas!A84</f>
        <v>78@gmail.com</v>
      </c>
      <c r="B84" s="19" t="str">
        <f>IFERROR(__xludf.DUMMYFUNCTION("IF(OR(regexmatch(A84,"".*@simon.es$""),REGEXMATCH(A84,"".*@simon.pt$""),REGEXMATCH(A84,"".*@simonelectrica.com$""),REGEXMATCH(A84,"".*@hiberus.com$""),REGEXMATCH(A84,"".*@simonbrico.es$""),regexmatch(A84,"".*@simonelectric.com$"")),""null"",A84)"),"78@gmail.com")</f>
        <v>78@gmail.com</v>
      </c>
      <c r="C84" s="5">
        <f>IF(B84="null","null",Descargas!B84)</f>
        <v>44004</v>
      </c>
      <c r="D84" s="6" t="str">
        <f>Descargas!E84</f>
        <v>https://resources.simonelectric.com/simon-ebook-vehiculo-electrico-ppc</v>
      </c>
      <c r="E84" s="20" t="str">
        <f t="shared" si="1"/>
        <v>78@gmail.com</v>
      </c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</row>
    <row r="85" ht="15.75" customHeight="1">
      <c r="A85" s="18" t="str">
        <f>Descargas!A85</f>
        <v>79@sonepar.es</v>
      </c>
      <c r="B85" s="19" t="str">
        <f>IFERROR(__xludf.DUMMYFUNCTION("IF(OR(regexmatch(A85,"".*@simon.es$""),REGEXMATCH(A85,"".*@simon.pt$""),REGEXMATCH(A85,"".*@simonelectrica.com$""),REGEXMATCH(A85,"".*@hiberus.com$""),REGEXMATCH(A85,"".*@simonbrico.es$""),regexmatch(A85,"".*@simonelectric.com$"")),""null"",A85)"),"79@sonepar.es")</f>
        <v>79@sonepar.es</v>
      </c>
      <c r="C85" s="5">
        <f>IF(B85="null","null",Descargas!B85)</f>
        <v>44004</v>
      </c>
      <c r="D85" s="6" t="str">
        <f>Descargas!E85</f>
        <v>https://resources.simonelectric.com/simon-catalogo-vehiculo-electrico</v>
      </c>
      <c r="E85" s="20" t="str">
        <f t="shared" si="1"/>
        <v>79@sonepar.es</v>
      </c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</row>
    <row r="86" ht="15.75" customHeight="1">
      <c r="A86" s="18" t="str">
        <f>Descargas!A86</f>
        <v>80@enginyerstarragona.cat</v>
      </c>
      <c r="B86" s="19" t="str">
        <f>IFERROR(__xludf.DUMMYFUNCTION("IF(OR(regexmatch(A86,"".*@simon.es$""),REGEXMATCH(A86,"".*@simon.pt$""),REGEXMATCH(A86,"".*@simonelectrica.com$""),REGEXMATCH(A86,"".*@hiberus.com$""),REGEXMATCH(A86,"".*@simonbrico.es$""),regexmatch(A86,"".*@simonelectric.com$"")),""null"",A86)"),"80@enginyerstarragona.cat")</f>
        <v>80@enginyerstarragona.cat</v>
      </c>
      <c r="C86" s="5">
        <f>IF(B86="null","null",Descargas!B86)</f>
        <v>44004</v>
      </c>
      <c r="D86" s="6" t="str">
        <f>Descargas!E86</f>
        <v>https://resources.simonelectric.com/simon-ebook-vehiculo-electrico</v>
      </c>
      <c r="E86" s="20" t="str">
        <f t="shared" si="1"/>
        <v>80@enginyerstarragona.cat</v>
      </c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</row>
    <row r="87" ht="15.75" customHeight="1">
      <c r="A87" s="18" t="str">
        <f>Descargas!A87</f>
        <v>81@gmail.com</v>
      </c>
      <c r="B87" s="19" t="str">
        <f>IFERROR(__xludf.DUMMYFUNCTION("IF(OR(regexmatch(A87,"".*@simon.es$""),REGEXMATCH(A87,"".*@simon.pt$""),REGEXMATCH(A87,"".*@simonelectrica.com$""),REGEXMATCH(A87,"".*@hiberus.com$""),REGEXMATCH(A87,"".*@simonbrico.es$""),regexmatch(A87,"".*@simonelectric.com$"")),""null"",A87)"),"81@gmail.com")</f>
        <v>81@gmail.com</v>
      </c>
      <c r="C87" s="5">
        <f>IF(B87="null","null",Descargas!B87)</f>
        <v>44004</v>
      </c>
      <c r="D87" s="6" t="str">
        <f>Descargas!E87</f>
        <v>https://resources.simonelectric.com/simon-ebook-vehiculo-electrico</v>
      </c>
      <c r="E87" s="20" t="str">
        <f t="shared" si="1"/>
        <v>81@gmail.com</v>
      </c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</row>
    <row r="88" ht="15.75" customHeight="1">
      <c r="A88" s="18" t="str">
        <f>Descargas!A88</f>
        <v>82@sedes.es</v>
      </c>
      <c r="B88" s="19" t="str">
        <f>IFERROR(__xludf.DUMMYFUNCTION("IF(OR(regexmatch(A88,"".*@simon.es$""),REGEXMATCH(A88,"".*@simon.pt$""),REGEXMATCH(A88,"".*@simonelectrica.com$""),REGEXMATCH(A88,"".*@hiberus.com$""),REGEXMATCH(A88,"".*@simonbrico.es$""),regexmatch(A88,"".*@simonelectric.com$"")),""null"",A88)"),"82@sedes.es")</f>
        <v>82@sedes.es</v>
      </c>
      <c r="C88" s="5">
        <f>IF(B88="null","null",Descargas!B88)</f>
        <v>44004</v>
      </c>
      <c r="D88" s="6" t="str">
        <f>Descargas!E88</f>
        <v>https://resources.simonelectric.com/simon-ebook-vehiculo-electrico</v>
      </c>
      <c r="E88" s="20" t="str">
        <f t="shared" si="1"/>
        <v>82@sedes.es</v>
      </c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</row>
    <row r="89" ht="15.75" customHeight="1">
      <c r="A89" s="18" t="str">
        <f>Descargas!A89</f>
        <v>83@eduardoaleman.es</v>
      </c>
      <c r="B89" s="19" t="str">
        <f>IFERROR(__xludf.DUMMYFUNCTION("IF(OR(regexmatch(A89,"".*@simon.es$""),REGEXMATCH(A89,"".*@simon.pt$""),REGEXMATCH(A89,"".*@simonelectrica.com$""),REGEXMATCH(A89,"".*@hiberus.com$""),REGEXMATCH(A89,"".*@simonbrico.es$""),regexmatch(A89,"".*@simonelectric.com$"")),""null"",A89)"),"83@eduardoaleman.es")</f>
        <v>83@eduardoaleman.es</v>
      </c>
      <c r="C89" s="5">
        <f>IF(B89="null","null",Descargas!B89)</f>
        <v>44004</v>
      </c>
      <c r="D89" s="6" t="str">
        <f>Descargas!E89</f>
        <v>https://resources.simonelectric.com/simon-catalogo-vehiculo-electrico</v>
      </c>
      <c r="E89" s="20" t="str">
        <f t="shared" si="1"/>
        <v>83@eduardoaleman.es</v>
      </c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</row>
    <row r="90" ht="15.75" customHeight="1">
      <c r="A90" s="18" t="str">
        <f>Descargas!A90</f>
        <v>84@electromontajesroldan.com</v>
      </c>
      <c r="B90" s="19" t="str">
        <f>IFERROR(__xludf.DUMMYFUNCTION("IF(OR(regexmatch(A90,"".*@simon.es$""),REGEXMATCH(A90,"".*@simon.pt$""),REGEXMATCH(A90,"".*@simonelectrica.com$""),REGEXMATCH(A90,"".*@hiberus.com$""),REGEXMATCH(A90,"".*@simonbrico.es$""),regexmatch(A90,"".*@simonelectric.com$"")),""null"",A90)"),"84@electromontajesroldan.com")</f>
        <v>84@electromontajesroldan.com</v>
      </c>
      <c r="C90" s="5">
        <f>IF(B90="null","null",Descargas!B90)</f>
        <v>44004</v>
      </c>
      <c r="D90" s="6" t="str">
        <f>Descargas!E90</f>
        <v>https://resources.simonelectric.com/simon-catalogo-vehiculo-electrico</v>
      </c>
      <c r="E90" s="20" t="str">
        <f t="shared" si="1"/>
        <v>84@electromontajesroldan.com</v>
      </c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</row>
    <row r="91" ht="15.75" customHeight="1">
      <c r="A91" s="18" t="str">
        <f>Descargas!A91</f>
        <v>85@gmail.com</v>
      </c>
      <c r="B91" s="19" t="str">
        <f>IFERROR(__xludf.DUMMYFUNCTION("IF(OR(regexmatch(A91,"".*@simon.es$""),REGEXMATCH(A91,"".*@simon.pt$""),REGEXMATCH(A91,"".*@simonelectrica.com$""),REGEXMATCH(A91,"".*@hiberus.com$""),REGEXMATCH(A91,"".*@simonbrico.es$""),regexmatch(A91,"".*@simonelectric.com$"")),""null"",A91)"),"85@gmail.com")</f>
        <v>85@gmail.com</v>
      </c>
      <c r="C91" s="5">
        <f>IF(B91="null","null",Descargas!B91)</f>
        <v>44004</v>
      </c>
      <c r="D91" s="6" t="str">
        <f>Descargas!E91</f>
        <v>https://resources.simonelectric.com/simon-ebook-vehiculo-electrico</v>
      </c>
      <c r="E91" s="20" t="str">
        <f t="shared" si="1"/>
        <v>85@gmail.com</v>
      </c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</row>
    <row r="92" ht="15.75" customHeight="1">
      <c r="A92" s="18" t="str">
        <f>Descargas!A92</f>
        <v>86@ingbuero-group.de</v>
      </c>
      <c r="B92" s="19" t="str">
        <f>IFERROR(__xludf.DUMMYFUNCTION("IF(OR(regexmatch(A92,"".*@simon.es$""),REGEXMATCH(A92,"".*@simon.pt$""),REGEXMATCH(A92,"".*@simonelectrica.com$""),REGEXMATCH(A92,"".*@hiberus.com$""),REGEXMATCH(A92,"".*@simonbrico.es$""),regexmatch(A92,"".*@simonelectric.com$"")),""null"",A92)"),"86@ingbuero-group.de")</f>
        <v>86@ingbuero-group.de</v>
      </c>
      <c r="C92" s="5">
        <f>IF(B92="null","null",Descargas!B92)</f>
        <v>44004</v>
      </c>
      <c r="D92" s="6" t="str">
        <f>Descargas!E92</f>
        <v>https://resources.simonelectric.com/simon-ebook-vehiculo-electrico</v>
      </c>
      <c r="E92" s="20" t="str">
        <f t="shared" si="1"/>
        <v>86@ingbuero-group.de</v>
      </c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</row>
    <row r="93" ht="15.75" customHeight="1">
      <c r="A93" s="18" t="str">
        <f>Descargas!A93</f>
        <v>87@comsa.com</v>
      </c>
      <c r="B93" s="19" t="str">
        <f>IFERROR(__xludf.DUMMYFUNCTION("IF(OR(regexmatch(A93,"".*@simon.es$""),REGEXMATCH(A93,"".*@simon.pt$""),REGEXMATCH(A93,"".*@simonelectrica.com$""),REGEXMATCH(A93,"".*@hiberus.com$""),REGEXMATCH(A93,"".*@simonbrico.es$""),regexmatch(A93,"".*@simonelectric.com$"")),""null"",A93)"),"87@comsa.com")</f>
        <v>87@comsa.com</v>
      </c>
      <c r="C93" s="5">
        <f>IF(B93="null","null",Descargas!B93)</f>
        <v>44004</v>
      </c>
      <c r="D93" s="6" t="str">
        <f>Descargas!E93</f>
        <v>https://resources.simonelectric.com/simon-ebook-vehiculo-electrico</v>
      </c>
      <c r="E93" s="20" t="str">
        <f t="shared" si="1"/>
        <v>87@comsa.com</v>
      </c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</row>
    <row r="94" ht="15.75" customHeight="1">
      <c r="A94" s="18" t="str">
        <f>Descargas!A94</f>
        <v>88@ingenierosvigo.com</v>
      </c>
      <c r="B94" s="19" t="str">
        <f>IFERROR(__xludf.DUMMYFUNCTION("IF(OR(regexmatch(A94,"".*@simon.es$""),REGEXMATCH(A94,"".*@simon.pt$""),REGEXMATCH(A94,"".*@simonelectrica.com$""),REGEXMATCH(A94,"".*@hiberus.com$""),REGEXMATCH(A94,"".*@simonbrico.es$""),regexmatch(A94,"".*@simonelectric.com$"")),""null"",A94)"),"88@ingenierosvigo.com")</f>
        <v>88@ingenierosvigo.com</v>
      </c>
      <c r="C94" s="5">
        <f>IF(B94="null","null",Descargas!B94)</f>
        <v>44004</v>
      </c>
      <c r="D94" s="6" t="str">
        <f>Descargas!E94</f>
        <v>https://resources.simonelectric.com/simon-ebook-vehiculo-electrico</v>
      </c>
      <c r="E94" s="20" t="str">
        <f t="shared" si="1"/>
        <v>88@ingenierosvigo.com</v>
      </c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</row>
    <row r="95" ht="15.75" customHeight="1">
      <c r="A95" s="18" t="str">
        <f>Descargas!A95</f>
        <v>89@ipsumindustrial.com</v>
      </c>
      <c r="B95" s="19" t="str">
        <f>IFERROR(__xludf.DUMMYFUNCTION("IF(OR(regexmatch(A95,"".*@simon.es$""),REGEXMATCH(A95,"".*@simon.pt$""),REGEXMATCH(A95,"".*@simonelectrica.com$""),REGEXMATCH(A95,"".*@hiberus.com$""),REGEXMATCH(A95,"".*@simonbrico.es$""),regexmatch(A95,"".*@simonelectric.com$"")),""null"",A95)"),"89@ipsumindustrial.com")</f>
        <v>89@ipsumindustrial.com</v>
      </c>
      <c r="C95" s="5">
        <f>IF(B95="null","null",Descargas!B95)</f>
        <v>44004</v>
      </c>
      <c r="D95" s="6" t="str">
        <f>Descargas!E95</f>
        <v>https://resources.simonelectric.com/simon-material-formativo-vehiculo-electrico</v>
      </c>
      <c r="E95" s="20" t="str">
        <f t="shared" si="1"/>
        <v>89@ipsumindustrial.com</v>
      </c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</row>
    <row r="96" ht="15.75" customHeight="1">
      <c r="A96" s="18" t="str">
        <f>Descargas!A96</f>
        <v>90@telefonica.net</v>
      </c>
      <c r="B96" s="19" t="str">
        <f>IFERROR(__xludf.DUMMYFUNCTION("IF(OR(regexmatch(A96,"".*@simon.es$""),REGEXMATCH(A96,"".*@simon.pt$""),REGEXMATCH(A96,"".*@simonelectrica.com$""),REGEXMATCH(A96,"".*@hiberus.com$""),REGEXMATCH(A96,"".*@simonbrico.es$""),regexmatch(A96,"".*@simonelectric.com$"")),""null"",A96)"),"90@telefonica.net")</f>
        <v>90@telefonica.net</v>
      </c>
      <c r="C96" s="5">
        <f>IF(B96="null","null",Descargas!B96)</f>
        <v>44004</v>
      </c>
      <c r="D96" s="6" t="str">
        <f>Descargas!E96</f>
        <v>https://resources.simonelectric.com/simon-ebook-vehiculo-electrico</v>
      </c>
      <c r="E96" s="20" t="str">
        <f t="shared" si="1"/>
        <v>90@telefonica.net</v>
      </c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</row>
    <row r="97" ht="15.75" customHeight="1">
      <c r="A97" s="18" t="str">
        <f>Descargas!A97</f>
        <v>91@valmet.com</v>
      </c>
      <c r="B97" s="19" t="str">
        <f>IFERROR(__xludf.DUMMYFUNCTION("IF(OR(regexmatch(A97,"".*@simon.es$""),REGEXMATCH(A97,"".*@simon.pt$""),REGEXMATCH(A97,"".*@simonelectrica.com$""),REGEXMATCH(A97,"".*@hiberus.com$""),REGEXMATCH(A97,"".*@simonbrico.es$""),regexmatch(A97,"".*@simonelectric.com$"")),""null"",A97)"),"91@valmet.com")</f>
        <v>91@valmet.com</v>
      </c>
      <c r="C97" s="5">
        <f>IF(B97="null","null",Descargas!B97)</f>
        <v>44004</v>
      </c>
      <c r="D97" s="6" t="str">
        <f>Descargas!E97</f>
        <v>https://resources.simonelectric.com/simon-ebook-vehiculo-electrico</v>
      </c>
      <c r="E97" s="20" t="str">
        <f t="shared" si="1"/>
        <v>91@valmet.com</v>
      </c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</row>
    <row r="98" ht="15.75" customHeight="1">
      <c r="A98" s="18" t="str">
        <f>Descargas!A98</f>
        <v>92@gmail.com</v>
      </c>
      <c r="B98" s="19" t="str">
        <f>IFERROR(__xludf.DUMMYFUNCTION("IF(OR(regexmatch(A98,"".*@simon.es$""),REGEXMATCH(A98,"".*@simon.pt$""),REGEXMATCH(A98,"".*@simonelectrica.com$""),REGEXMATCH(A98,"".*@hiberus.com$""),REGEXMATCH(A98,"".*@simonbrico.es$""),regexmatch(A98,"".*@simonelectric.com$"")),""null"",A98)"),"92@gmail.com")</f>
        <v>92@gmail.com</v>
      </c>
      <c r="C98" s="5">
        <f>IF(B98="null","null",Descargas!B98)</f>
        <v>44004</v>
      </c>
      <c r="D98" s="6" t="str">
        <f>Descargas!E98</f>
        <v>https://resources.simonelectric.com/simon-ebook-vehiculo-electrico</v>
      </c>
      <c r="E98" s="20" t="str">
        <f t="shared" si="1"/>
        <v>92@gmail.com</v>
      </c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</row>
    <row r="99" ht="15.75" customHeight="1">
      <c r="A99" s="18" t="str">
        <f>Descargas!A99</f>
        <v>93@gmail.com</v>
      </c>
      <c r="B99" s="19" t="str">
        <f>IFERROR(__xludf.DUMMYFUNCTION("IF(OR(regexmatch(A99,"".*@simon.es$""),REGEXMATCH(A99,"".*@simon.pt$""),REGEXMATCH(A99,"".*@simonelectrica.com$""),REGEXMATCH(A99,"".*@hiberus.com$""),REGEXMATCH(A99,"".*@simonbrico.es$""),regexmatch(A99,"".*@simonelectric.com$"")),""null"",A99)"),"93@gmail.com")</f>
        <v>93@gmail.com</v>
      </c>
      <c r="C99" s="5">
        <f>IF(B99="null","null",Descargas!B99)</f>
        <v>44004</v>
      </c>
      <c r="D99" s="6" t="str">
        <f>Descargas!E99</f>
        <v>https://resources.simonelectric.com/simon-ebook-vehiculo-electrico</v>
      </c>
      <c r="E99" s="20" t="str">
        <f t="shared" si="1"/>
        <v>93@gmail.com</v>
      </c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</row>
    <row r="100" ht="15.75" customHeight="1">
      <c r="A100" s="18" t="str">
        <f>Descargas!A100</f>
        <v>94@grupocobra.com</v>
      </c>
      <c r="B100" s="19" t="str">
        <f>IFERROR(__xludf.DUMMYFUNCTION("IF(OR(regexmatch(A100,"".*@simon.es$""),REGEXMATCH(A100,"".*@simon.pt$""),REGEXMATCH(A100,"".*@simonelectrica.com$""),REGEXMATCH(A100,"".*@hiberus.com$""),REGEXMATCH(A100,"".*@simonbrico.es$""),regexmatch(A100,"".*@simonelectric.com$"")),""null"",A100)"),"94@grupocobra.com")</f>
        <v>94@grupocobra.com</v>
      </c>
      <c r="C100" s="5">
        <f>IF(B100="null","null",Descargas!B100)</f>
        <v>44004</v>
      </c>
      <c r="D100" s="6" t="str">
        <f>Descargas!E100</f>
        <v>https://resources.simonelectric.com/simon-ebook-vehiculo-electrico</v>
      </c>
      <c r="E100" s="20" t="str">
        <f t="shared" si="1"/>
        <v>94@grupocobra.com</v>
      </c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</row>
    <row r="101" ht="15.75" customHeight="1">
      <c r="A101" s="18" t="str">
        <f>Descargas!A101</f>
        <v>95@gmail.com</v>
      </c>
      <c r="B101" s="19" t="str">
        <f>IFERROR(__xludf.DUMMYFUNCTION("IF(OR(regexmatch(A101,"".*@simon.es$""),REGEXMATCH(A101,"".*@simon.pt$""),REGEXMATCH(A101,"".*@simonelectrica.com$""),REGEXMATCH(A101,"".*@hiberus.com$""),REGEXMATCH(A101,"".*@simonbrico.es$""),regexmatch(A101,"".*@simonelectric.com$"")),""null"",A101)"),"95@gmail.com")</f>
        <v>95@gmail.com</v>
      </c>
      <c r="C101" s="5">
        <f>IF(B101="null","null",Descargas!B101)</f>
        <v>44004</v>
      </c>
      <c r="D101" s="6" t="str">
        <f>Descargas!E101</f>
        <v>https://resources.simonelectric.com/simon-ebook-vehiculo-electrico</v>
      </c>
      <c r="E101" s="20" t="str">
        <f t="shared" si="1"/>
        <v>95@gmail.com</v>
      </c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</row>
    <row r="102" ht="15.75" customHeight="1">
      <c r="A102" s="18" t="str">
        <f>Descargas!A102</f>
        <v>96@hotmail.com</v>
      </c>
      <c r="B102" s="19" t="str">
        <f>IFERROR(__xludf.DUMMYFUNCTION("IF(OR(regexmatch(A102,"".*@simon.es$""),REGEXMATCH(A102,"".*@simon.pt$""),REGEXMATCH(A102,"".*@simonelectrica.com$""),REGEXMATCH(A102,"".*@hiberus.com$""),REGEXMATCH(A102,"".*@simonbrico.es$""),regexmatch(A102,"".*@simonelectric.com$"")),""null"",A102)"),"96@hotmail.com")</f>
        <v>96@hotmail.com</v>
      </c>
      <c r="C102" s="5">
        <f>IF(B102="null","null",Descargas!B102)</f>
        <v>44004</v>
      </c>
      <c r="D102" s="6" t="str">
        <f>Descargas!E102</f>
        <v>https://resources.simonelectric.com/simon-ebook-vehiculo-electrico</v>
      </c>
      <c r="E102" s="20" t="str">
        <f t="shared" si="1"/>
        <v>96@hotmail.com</v>
      </c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</row>
    <row r="103" ht="15.75" customHeight="1">
      <c r="A103" s="18" t="str">
        <f>Descargas!A103</f>
        <v>97@igpingenieria.com</v>
      </c>
      <c r="B103" s="19" t="str">
        <f>IFERROR(__xludf.DUMMYFUNCTION("IF(OR(regexmatch(A103,"".*@simon.es$""),REGEXMATCH(A103,"".*@simon.pt$""),REGEXMATCH(A103,"".*@simonelectrica.com$""),REGEXMATCH(A103,"".*@hiberus.com$""),REGEXMATCH(A103,"".*@simonbrico.es$""),regexmatch(A103,"".*@simonelectric.com$"")),""null"",A103)"),"97@igpingenieria.com")</f>
        <v>97@igpingenieria.com</v>
      </c>
      <c r="C103" s="5">
        <f>IF(B103="null","null",Descargas!B103)</f>
        <v>44004</v>
      </c>
      <c r="D103" s="6" t="str">
        <f>Descargas!E103</f>
        <v>https://resources.simonelectric.com/simon-ebook-vehiculo-electrico</v>
      </c>
      <c r="E103" s="20" t="str">
        <f t="shared" si="1"/>
        <v>97@igpingenieria.com</v>
      </c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</row>
    <row r="104" ht="15.75" customHeight="1">
      <c r="A104" s="18" t="str">
        <f>Descargas!A104</f>
        <v>98@davidjdiaz.es</v>
      </c>
      <c r="B104" s="19" t="str">
        <f>IFERROR(__xludf.DUMMYFUNCTION("IF(OR(regexmatch(A104,"".*@simon.es$""),REGEXMATCH(A104,"".*@simon.pt$""),REGEXMATCH(A104,"".*@simonelectrica.com$""),REGEXMATCH(A104,"".*@hiberus.com$""),REGEXMATCH(A104,"".*@simonbrico.es$""),regexmatch(A104,"".*@simonelectric.com$"")),""null"",A104)"),"98@davidjdiaz.es")</f>
        <v>98@davidjdiaz.es</v>
      </c>
      <c r="C104" s="5">
        <f>IF(B104="null","null",Descargas!B104)</f>
        <v>44004</v>
      </c>
      <c r="D104" s="6" t="str">
        <f>Descargas!E104</f>
        <v>https://resources.simonelectric.com/simon-ebook-vehiculo-electrico</v>
      </c>
      <c r="E104" s="20" t="str">
        <f t="shared" si="1"/>
        <v>98@davidjdiaz.es</v>
      </c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</row>
    <row r="105" ht="15.75" customHeight="1">
      <c r="A105" s="18" t="str">
        <f>Descargas!A105</f>
        <v>99@coitir.com</v>
      </c>
      <c r="B105" s="19" t="str">
        <f>IFERROR(__xludf.DUMMYFUNCTION("IF(OR(regexmatch(A105,"".*@simon.es$""),REGEXMATCH(A105,"".*@simon.pt$""),REGEXMATCH(A105,"".*@simonelectrica.com$""),REGEXMATCH(A105,"".*@hiberus.com$""),REGEXMATCH(A105,"".*@simonbrico.es$""),regexmatch(A105,"".*@simonelectric.com$"")),""null"",A105)"),"99@coitir.com")</f>
        <v>99@coitir.com</v>
      </c>
      <c r="C105" s="5">
        <f>IF(B105="null","null",Descargas!B105)</f>
        <v>44004</v>
      </c>
      <c r="D105" s="6" t="str">
        <f>Descargas!E105</f>
        <v>https://resources.simonelectric.com/simon-ebook-vehiculo-electrico</v>
      </c>
      <c r="E105" s="20" t="str">
        <f t="shared" si="1"/>
        <v>99@coitir.com</v>
      </c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</row>
    <row r="106" ht="15.75" customHeight="1">
      <c r="A106" s="18" t="str">
        <f>Descargas!A106</f>
        <v>100@hotmail.com</v>
      </c>
      <c r="B106" s="19" t="str">
        <f>IFERROR(__xludf.DUMMYFUNCTION("IF(OR(regexmatch(A106,"".*@simon.es$""),REGEXMATCH(A106,"".*@simon.pt$""),REGEXMATCH(A106,"".*@simonelectrica.com$""),REGEXMATCH(A106,"".*@hiberus.com$""),REGEXMATCH(A106,"".*@simonbrico.es$""),regexmatch(A106,"".*@simonelectric.com$"")),""null"",A106)"),"100@hotmail.com")</f>
        <v>100@hotmail.com</v>
      </c>
      <c r="C106" s="5">
        <f>IF(B106="null","null",Descargas!B106)</f>
        <v>44004</v>
      </c>
      <c r="D106" s="6" t="str">
        <f>Descargas!E106</f>
        <v>https://resources.simonelectric.com/simon-ebook-vehiculo-electrico</v>
      </c>
      <c r="E106" s="20" t="str">
        <f t="shared" si="1"/>
        <v>100@hotmail.com</v>
      </c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</row>
    <row r="107" ht="15.75" customHeight="1">
      <c r="A107" s="18" t="str">
        <f>Descargas!A107</f>
        <v>18@urv.cat</v>
      </c>
      <c r="B107" s="19" t="str">
        <f>IFERROR(__xludf.DUMMYFUNCTION("IF(OR(regexmatch(A107,"".*@simon.es$""),REGEXMATCH(A107,"".*@simon.pt$""),REGEXMATCH(A107,"".*@simonelectrica.com$""),REGEXMATCH(A107,"".*@hiberus.com$""),REGEXMATCH(A107,"".*@simonbrico.es$""),regexmatch(A107,"".*@simonelectric.com$"")),""null"",A107)"),"18@urv.cat")</f>
        <v>18@urv.cat</v>
      </c>
      <c r="C107" s="5">
        <f>IF(B107="null","null",Descargas!B107)</f>
        <v>44004</v>
      </c>
      <c r="D107" s="6" t="str">
        <f>Descargas!E107</f>
        <v>https://resources.simonelectric.com/simon-ebook-vehiculo-electrico</v>
      </c>
      <c r="E107" s="20" t="str">
        <f t="shared" si="1"/>
        <v>18@urv.cat</v>
      </c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</row>
    <row r="108" ht="15.75" customHeight="1">
      <c r="A108" s="18" t="str">
        <f>Descargas!A108</f>
        <v>101@coiirm.es</v>
      </c>
      <c r="B108" s="19" t="str">
        <f>IFERROR(__xludf.DUMMYFUNCTION("IF(OR(regexmatch(A108,"".*@simon.es$""),REGEXMATCH(A108,"".*@simon.pt$""),REGEXMATCH(A108,"".*@simonelectrica.com$""),REGEXMATCH(A108,"".*@hiberus.com$""),REGEXMATCH(A108,"".*@simonbrico.es$""),regexmatch(A108,"".*@simonelectric.com$"")),""null"",A108)"),"101@coiirm.es")</f>
        <v>101@coiirm.es</v>
      </c>
      <c r="C108" s="5">
        <f>IF(B108="null","null",Descargas!B108)</f>
        <v>44004</v>
      </c>
      <c r="D108" s="6" t="str">
        <f>Descargas!E108</f>
        <v>https://resources.simonelectric.com/simon-ebook-vehiculo-electrico</v>
      </c>
      <c r="E108" s="20" t="str">
        <f t="shared" si="1"/>
        <v>101@coiirm.es</v>
      </c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</row>
    <row r="109" ht="15.75" customHeight="1">
      <c r="A109" s="18" t="str">
        <f>Descargas!A109</f>
        <v>102@telefonica.net</v>
      </c>
      <c r="B109" s="19" t="str">
        <f>IFERROR(__xludf.DUMMYFUNCTION("IF(OR(regexmatch(A109,"".*@simon.es$""),REGEXMATCH(A109,"".*@simon.pt$""),REGEXMATCH(A109,"".*@simonelectrica.com$""),REGEXMATCH(A109,"".*@hiberus.com$""),REGEXMATCH(A109,"".*@simonbrico.es$""),regexmatch(A109,"".*@simonelectric.com$"")),""null"",A109)"),"102@telefonica.net")</f>
        <v>102@telefonica.net</v>
      </c>
      <c r="C109" s="5">
        <f>IF(B109="null","null",Descargas!B109)</f>
        <v>44004</v>
      </c>
      <c r="D109" s="6" t="str">
        <f>Descargas!E109</f>
        <v>https://resources.simonelectric.com/simon-ebook-vehiculo-electrico</v>
      </c>
      <c r="E109" s="20" t="str">
        <f t="shared" si="1"/>
        <v>102@telefonica.net</v>
      </c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</row>
    <row r="110" ht="15.75" customHeight="1">
      <c r="A110" s="18" t="str">
        <f>Descargas!A110</f>
        <v>103@ciccp.es</v>
      </c>
      <c r="B110" s="19" t="str">
        <f>IFERROR(__xludf.DUMMYFUNCTION("IF(OR(regexmatch(A110,"".*@simon.es$""),REGEXMATCH(A110,"".*@simon.pt$""),REGEXMATCH(A110,"".*@simonelectrica.com$""),REGEXMATCH(A110,"".*@hiberus.com$""),REGEXMATCH(A110,"".*@simonbrico.es$""),regexmatch(A110,"".*@simonelectric.com$"")),""null"",A110)"),"103@ciccp.es")</f>
        <v>103@ciccp.es</v>
      </c>
      <c r="C110" s="5">
        <f>IF(B110="null","null",Descargas!B110)</f>
        <v>44004</v>
      </c>
      <c r="D110" s="6" t="str">
        <f>Descargas!E110</f>
        <v>https://resources.simonelectric.com/simon-ebook-vehiculo-electrico</v>
      </c>
      <c r="E110" s="20" t="str">
        <f t="shared" si="1"/>
        <v>103@ciccp.es</v>
      </c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</row>
    <row r="111" ht="15.75" customHeight="1">
      <c r="A111" s="18" t="str">
        <f>Descargas!A111</f>
        <v>104@spiningenieros.com</v>
      </c>
      <c r="B111" s="19" t="str">
        <f>IFERROR(__xludf.DUMMYFUNCTION("IF(OR(regexmatch(A111,"".*@simon.es$""),REGEXMATCH(A111,"".*@simon.pt$""),REGEXMATCH(A111,"".*@simonelectrica.com$""),REGEXMATCH(A111,"".*@hiberus.com$""),REGEXMATCH(A111,"".*@simonbrico.es$""),regexmatch(A111,"".*@simonelectric.com$"")),""null"",A111)"),"104@spiningenieros.com")</f>
        <v>104@spiningenieros.com</v>
      </c>
      <c r="C111" s="5">
        <f>IF(B111="null","null",Descargas!B111)</f>
        <v>44004</v>
      </c>
      <c r="D111" s="6" t="str">
        <f>Descargas!E111</f>
        <v>https://resources.simonelectric.com/simon-ebook-vehiculo-electrico</v>
      </c>
      <c r="E111" s="20" t="str">
        <f t="shared" si="1"/>
        <v>104@spiningenieros.com</v>
      </c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</row>
    <row r="112" ht="15.75" customHeight="1">
      <c r="A112" s="18" t="str">
        <f>Descargas!A112</f>
        <v>105@gmail.com</v>
      </c>
      <c r="B112" s="19" t="str">
        <f>IFERROR(__xludf.DUMMYFUNCTION("IF(OR(regexmatch(A112,"".*@simon.es$""),REGEXMATCH(A112,"".*@simon.pt$""),REGEXMATCH(A112,"".*@simonelectrica.com$""),REGEXMATCH(A112,"".*@hiberus.com$""),REGEXMATCH(A112,"".*@simonbrico.es$""),regexmatch(A112,"".*@simonelectric.com$"")),""null"",A112)"),"105@gmail.com")</f>
        <v>105@gmail.com</v>
      </c>
      <c r="C112" s="5">
        <f>IF(B112="null","null",Descargas!B112)</f>
        <v>44004</v>
      </c>
      <c r="D112" s="6" t="str">
        <f>Descargas!E112</f>
        <v>https://resources.simonelectric.com/simon-ebook-vehiculo-electrico</v>
      </c>
      <c r="E112" s="20" t="str">
        <f t="shared" si="1"/>
        <v>105@gmail.com</v>
      </c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</row>
    <row r="113" ht="15.75" customHeight="1">
      <c r="A113" s="18" t="str">
        <f>Descargas!A113</f>
        <v>106@ucm.es</v>
      </c>
      <c r="B113" s="19" t="str">
        <f>IFERROR(__xludf.DUMMYFUNCTION("IF(OR(regexmatch(A113,"".*@simon.es$""),REGEXMATCH(A113,"".*@simon.pt$""),REGEXMATCH(A113,"".*@simonelectrica.com$""),REGEXMATCH(A113,"".*@hiberus.com$""),REGEXMATCH(A113,"".*@simonbrico.es$""),regexmatch(A113,"".*@simonelectric.com$"")),""null"",A113)"),"106@ucm.es")</f>
        <v>106@ucm.es</v>
      </c>
      <c r="C113" s="5">
        <f>IF(B113="null","null",Descargas!B113)</f>
        <v>44004</v>
      </c>
      <c r="D113" s="6" t="str">
        <f>Descargas!E113</f>
        <v>https://resources.simonelectric.com/simon-ebook-vehiculo-electrico</v>
      </c>
      <c r="E113" s="20" t="str">
        <f t="shared" si="1"/>
        <v>106@ucm.es</v>
      </c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</row>
    <row r="114" ht="15.75" customHeight="1">
      <c r="A114" s="18" t="str">
        <f>Descargas!A114</f>
        <v>107@dipucr.es</v>
      </c>
      <c r="B114" s="19" t="str">
        <f>IFERROR(__xludf.DUMMYFUNCTION("IF(OR(regexmatch(A114,"".*@simon.es$""),REGEXMATCH(A114,"".*@simon.pt$""),REGEXMATCH(A114,"".*@simonelectrica.com$""),REGEXMATCH(A114,"".*@hiberus.com$""),REGEXMATCH(A114,"".*@simonbrico.es$""),regexmatch(A114,"".*@simonelectric.com$"")),""null"",A114)"),"107@dipucr.es")</f>
        <v>107@dipucr.es</v>
      </c>
      <c r="C114" s="5">
        <f>IF(B114="null","null",Descargas!B114)</f>
        <v>44004</v>
      </c>
      <c r="D114" s="6" t="str">
        <f>Descargas!E114</f>
        <v>https://resources.simonelectric.com/simon-ebook-vehiculo-electrico</v>
      </c>
      <c r="E114" s="20" t="str">
        <f t="shared" si="1"/>
        <v>107@dipucr.es</v>
      </c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</row>
    <row r="115" ht="15.75" customHeight="1">
      <c r="A115" s="18" t="str">
        <f>Descargas!A115</f>
        <v>108@salesianos.edu</v>
      </c>
      <c r="B115" s="19" t="str">
        <f>IFERROR(__xludf.DUMMYFUNCTION("IF(OR(regexmatch(A115,"".*@simon.es$""),REGEXMATCH(A115,"".*@simon.pt$""),REGEXMATCH(A115,"".*@simonelectrica.com$""),REGEXMATCH(A115,"".*@hiberus.com$""),REGEXMATCH(A115,"".*@simonbrico.es$""),regexmatch(A115,"".*@simonelectric.com$"")),""null"",A115)"),"108@salesianos.edu")</f>
        <v>108@salesianos.edu</v>
      </c>
      <c r="C115" s="5">
        <f>IF(B115="null","null",Descargas!B115)</f>
        <v>44004</v>
      </c>
      <c r="D115" s="6" t="str">
        <f>Descargas!E115</f>
        <v>https://resources.simonelectric.com/simon-ebook-vehiculo-electrico</v>
      </c>
      <c r="E115" s="20" t="str">
        <f t="shared" si="1"/>
        <v>108@salesianos.edu</v>
      </c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</row>
    <row r="116" ht="15.75" customHeight="1">
      <c r="A116" s="18" t="str">
        <f>Descargas!A116</f>
        <v>109@gmail.com</v>
      </c>
      <c r="B116" s="19" t="str">
        <f>IFERROR(__xludf.DUMMYFUNCTION("IF(OR(regexmatch(A116,"".*@simon.es$""),REGEXMATCH(A116,"".*@simon.pt$""),REGEXMATCH(A116,"".*@simonelectrica.com$""),REGEXMATCH(A116,"".*@hiberus.com$""),REGEXMATCH(A116,"".*@simonbrico.es$""),regexmatch(A116,"".*@simonelectric.com$"")),""null"",A116)"),"109@gmail.com")</f>
        <v>109@gmail.com</v>
      </c>
      <c r="C116" s="5">
        <f>IF(B116="null","null",Descargas!B116)</f>
        <v>44004</v>
      </c>
      <c r="D116" s="6" t="str">
        <f>Descargas!E116</f>
        <v>https://resources.simonelectric.com/simon-ebook-vehiculo-electrico</v>
      </c>
      <c r="E116" s="20" t="str">
        <f t="shared" si="1"/>
        <v>109@gmail.com</v>
      </c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</row>
    <row r="117" ht="15.75" customHeight="1">
      <c r="A117" s="18" t="str">
        <f>Descargas!A117</f>
        <v>110@3epsilonsolutions.com</v>
      </c>
      <c r="B117" s="19" t="str">
        <f>IFERROR(__xludf.DUMMYFUNCTION("IF(OR(regexmatch(A117,"".*@simon.es$""),REGEXMATCH(A117,"".*@simon.pt$""),REGEXMATCH(A117,"".*@simonelectrica.com$""),REGEXMATCH(A117,"".*@hiberus.com$""),REGEXMATCH(A117,"".*@simonbrico.es$""),regexmatch(A117,"".*@simonelectric.com$"")),""null"",A117)"),"110@3epsilonsolutions.com")</f>
        <v>110@3epsilonsolutions.com</v>
      </c>
      <c r="C117" s="5">
        <f>IF(B117="null","null",Descargas!B117)</f>
        <v>44004</v>
      </c>
      <c r="D117" s="6" t="str">
        <f>Descargas!E117</f>
        <v>https://resources.simonelectric.com/simon-ebook-vehiculo-electrico</v>
      </c>
      <c r="E117" s="20" t="str">
        <f t="shared" si="1"/>
        <v>110@3epsilonsolutions.com</v>
      </c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</row>
    <row r="118" ht="15.75" customHeight="1">
      <c r="A118" s="18" t="str">
        <f>Descargas!A118</f>
        <v>111@murciaeduca.es</v>
      </c>
      <c r="B118" s="19" t="str">
        <f>IFERROR(__xludf.DUMMYFUNCTION("IF(OR(regexmatch(A118,"".*@simon.es$""),REGEXMATCH(A118,"".*@simon.pt$""),REGEXMATCH(A118,"".*@simonelectrica.com$""),REGEXMATCH(A118,"".*@hiberus.com$""),REGEXMATCH(A118,"".*@simonbrico.es$""),regexmatch(A118,"".*@simonelectric.com$"")),""null"",A118)"),"111@murciaeduca.es")</f>
        <v>111@murciaeduca.es</v>
      </c>
      <c r="C118" s="5">
        <f>IF(B118="null","null",Descargas!B118)</f>
        <v>44004</v>
      </c>
      <c r="D118" s="6" t="str">
        <f>Descargas!E118</f>
        <v>https://resources.simonelectric.com/simon-ebook-vehiculo-electrico</v>
      </c>
      <c r="E118" s="20" t="str">
        <f t="shared" si="1"/>
        <v>111@murciaeduca.es</v>
      </c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</row>
    <row r="119" ht="15.75" customHeight="1">
      <c r="A119" s="18" t="str">
        <f>Descargas!A119</f>
        <v>112@gmail.com</v>
      </c>
      <c r="B119" s="19" t="str">
        <f>IFERROR(__xludf.DUMMYFUNCTION("IF(OR(regexmatch(A119,"".*@simon.es$""),REGEXMATCH(A119,"".*@simon.pt$""),REGEXMATCH(A119,"".*@simonelectrica.com$""),REGEXMATCH(A119,"".*@hiberus.com$""),REGEXMATCH(A119,"".*@simonbrico.es$""),regexmatch(A119,"".*@simonelectric.com$"")),""null"",A119)"),"112@gmail.com")</f>
        <v>112@gmail.com</v>
      </c>
      <c r="C119" s="5">
        <f>IF(B119="null","null",Descargas!B119)</f>
        <v>44004</v>
      </c>
      <c r="D119" s="6" t="str">
        <f>Descargas!E119</f>
        <v>https://resources.simonelectric.com/simon-ebook-vehiculo-electrico</v>
      </c>
      <c r="E119" s="20" t="str">
        <f t="shared" si="1"/>
        <v>112@gmail.com</v>
      </c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</row>
    <row r="120" ht="15.75" customHeight="1">
      <c r="A120" s="18" t="str">
        <f>Descargas!A120</f>
        <v>113@gmail.com</v>
      </c>
      <c r="B120" s="19" t="str">
        <f>IFERROR(__xludf.DUMMYFUNCTION("IF(OR(regexmatch(A120,"".*@simon.es$""),REGEXMATCH(A120,"".*@simon.pt$""),REGEXMATCH(A120,"".*@simonelectrica.com$""),REGEXMATCH(A120,"".*@hiberus.com$""),REGEXMATCH(A120,"".*@simonbrico.es$""),regexmatch(A120,"".*@simonelectric.com$"")),""null"",A120)"),"113@gmail.com")</f>
        <v>113@gmail.com</v>
      </c>
      <c r="C120" s="5">
        <f>IF(B120="null","null",Descargas!B120)</f>
        <v>44004</v>
      </c>
      <c r="D120" s="6" t="str">
        <f>Descargas!E120</f>
        <v>https://resources.simonelectric.com/simon-ebook-vehiculo-electrico</v>
      </c>
      <c r="E120" s="20" t="str">
        <f t="shared" si="1"/>
        <v>113@gmail.com</v>
      </c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</row>
    <row r="121" ht="15.75" customHeight="1">
      <c r="A121" s="18" t="str">
        <f>Descargas!A121</f>
        <v>114@hotmail.com</v>
      </c>
      <c r="B121" s="19" t="str">
        <f>IFERROR(__xludf.DUMMYFUNCTION("IF(OR(regexmatch(A121,"".*@simon.es$""),REGEXMATCH(A121,"".*@simon.pt$""),REGEXMATCH(A121,"".*@simonelectrica.com$""),REGEXMATCH(A121,"".*@hiberus.com$""),REGEXMATCH(A121,"".*@simonbrico.es$""),regexmatch(A121,"".*@simonelectric.com$"")),""null"",A121)"),"114@hotmail.com")</f>
        <v>114@hotmail.com</v>
      </c>
      <c r="C121" s="5">
        <f>IF(B121="null","null",Descargas!B121)</f>
        <v>44004</v>
      </c>
      <c r="D121" s="6" t="str">
        <f>Descargas!E121</f>
        <v>https://resources.simonelectric.com/simon-ebook-vehiculo-electrico</v>
      </c>
      <c r="E121" s="20" t="str">
        <f t="shared" si="1"/>
        <v>114@hotmail.com</v>
      </c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</row>
    <row r="122" ht="15.75" customHeight="1">
      <c r="A122" s="18" t="str">
        <f>Descargas!A122</f>
        <v>115@yahoo.es</v>
      </c>
      <c r="B122" s="19" t="str">
        <f>IFERROR(__xludf.DUMMYFUNCTION("IF(OR(regexmatch(A122,"".*@simon.es$""),REGEXMATCH(A122,"".*@simon.pt$""),REGEXMATCH(A122,"".*@simonelectrica.com$""),REGEXMATCH(A122,"".*@hiberus.com$""),REGEXMATCH(A122,"".*@simonbrico.es$""),regexmatch(A122,"".*@simonelectric.com$"")),""null"",A122)"),"115@yahoo.es")</f>
        <v>115@yahoo.es</v>
      </c>
      <c r="C122" s="5">
        <f>IF(B122="null","null",Descargas!B122)</f>
        <v>44004</v>
      </c>
      <c r="D122" s="6" t="str">
        <f>Descargas!E122</f>
        <v>https://resources.simonelectric.com/simon-ebook-vehiculo-electrico</v>
      </c>
      <c r="E122" s="20" t="str">
        <f t="shared" si="1"/>
        <v>115@yahoo.es</v>
      </c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</row>
    <row r="123" ht="15.75" customHeight="1">
      <c r="A123" s="18" t="str">
        <f>Descargas!A123</f>
        <v>116@sgs.com</v>
      </c>
      <c r="B123" s="19" t="str">
        <f>IFERROR(__xludf.DUMMYFUNCTION("IF(OR(regexmatch(A123,"".*@simon.es$""),REGEXMATCH(A123,"".*@simon.pt$""),REGEXMATCH(A123,"".*@simonelectrica.com$""),REGEXMATCH(A123,"".*@hiberus.com$""),REGEXMATCH(A123,"".*@simonbrico.es$""),regexmatch(A123,"".*@simonelectric.com$"")),""null"",A123)"),"116@sgs.com")</f>
        <v>116@sgs.com</v>
      </c>
      <c r="C123" s="5">
        <f>IF(B123="null","null",Descargas!B123)</f>
        <v>44004</v>
      </c>
      <c r="D123" s="6" t="str">
        <f>Descargas!E123</f>
        <v>https://resources.simonelectric.com/simon-ebook-vehiculo-electrico</v>
      </c>
      <c r="E123" s="20" t="str">
        <f t="shared" si="1"/>
        <v>116@sgs.com</v>
      </c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</row>
    <row r="124" ht="15.75" customHeight="1">
      <c r="A124" s="18" t="str">
        <f>Descargas!A124</f>
        <v>117@telefonica.net</v>
      </c>
      <c r="B124" s="19" t="str">
        <f>IFERROR(__xludf.DUMMYFUNCTION("IF(OR(regexmatch(A124,"".*@simon.es$""),REGEXMATCH(A124,"".*@simon.pt$""),REGEXMATCH(A124,"".*@simonelectrica.com$""),REGEXMATCH(A124,"".*@hiberus.com$""),REGEXMATCH(A124,"".*@simonbrico.es$""),regexmatch(A124,"".*@simonelectric.com$"")),""null"",A124)"),"117@telefonica.net")</f>
        <v>117@telefonica.net</v>
      </c>
      <c r="C124" s="5">
        <f>IF(B124="null","null",Descargas!B124)</f>
        <v>44004</v>
      </c>
      <c r="D124" s="6" t="str">
        <f>Descargas!E124</f>
        <v>https://resources.simonelectric.com/simon-ebook-vehiculo-electrico</v>
      </c>
      <c r="E124" s="20" t="str">
        <f t="shared" si="1"/>
        <v>117@telefonica.net</v>
      </c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</row>
    <row r="125" ht="15.75" customHeight="1">
      <c r="A125" s="18" t="str">
        <f>Descargas!A125</f>
        <v>118@legebiltzarra.eus</v>
      </c>
      <c r="B125" s="19" t="str">
        <f>IFERROR(__xludf.DUMMYFUNCTION("IF(OR(regexmatch(A125,"".*@simon.es$""),REGEXMATCH(A125,"".*@simon.pt$""),REGEXMATCH(A125,"".*@simonelectrica.com$""),REGEXMATCH(A125,"".*@hiberus.com$""),REGEXMATCH(A125,"".*@simonbrico.es$""),regexmatch(A125,"".*@simonelectric.com$"")),""null"",A125)"),"118@legebiltzarra.eus")</f>
        <v>118@legebiltzarra.eus</v>
      </c>
      <c r="C125" s="5">
        <f>IF(B125="null","null",Descargas!B125)</f>
        <v>44004</v>
      </c>
      <c r="D125" s="6" t="str">
        <f>Descargas!E125</f>
        <v>https://resources.simonelectric.com/simon-ebook-vehiculo-electrico</v>
      </c>
      <c r="E125" s="20" t="str">
        <f t="shared" si="1"/>
        <v>118@legebiltzarra.eus</v>
      </c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</row>
    <row r="126" ht="15.75" customHeight="1">
      <c r="A126" s="18" t="str">
        <f>Descargas!A126</f>
        <v>119@ideaingenieria.es</v>
      </c>
      <c r="B126" s="19" t="str">
        <f>IFERROR(__xludf.DUMMYFUNCTION("IF(OR(regexmatch(A126,"".*@simon.es$""),REGEXMATCH(A126,"".*@simon.pt$""),REGEXMATCH(A126,"".*@simonelectrica.com$""),REGEXMATCH(A126,"".*@hiberus.com$""),REGEXMATCH(A126,"".*@simonbrico.es$""),regexmatch(A126,"".*@simonelectric.com$"")),""null"",A126)"),"119@ideaingenieria.es")</f>
        <v>119@ideaingenieria.es</v>
      </c>
      <c r="C126" s="5">
        <f>IF(B126="null","null",Descargas!B126)</f>
        <v>44004</v>
      </c>
      <c r="D126" s="6" t="str">
        <f>Descargas!E126</f>
        <v>https://resources.simonelectric.com/simon-ebook-vehiculo-electrico</v>
      </c>
      <c r="E126" s="20" t="str">
        <f t="shared" si="1"/>
        <v>119@ideaingenieria.es</v>
      </c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</row>
    <row r="127" ht="15.75" customHeight="1">
      <c r="A127" s="18" t="str">
        <f>Descargas!A127</f>
        <v>120@yahoo.com</v>
      </c>
      <c r="B127" s="19" t="str">
        <f>IFERROR(__xludf.DUMMYFUNCTION("IF(OR(regexmatch(A127,"".*@simon.es$""),REGEXMATCH(A127,"".*@simon.pt$""),REGEXMATCH(A127,"".*@simonelectrica.com$""),REGEXMATCH(A127,"".*@hiberus.com$""),REGEXMATCH(A127,"".*@simonbrico.es$""),regexmatch(A127,"".*@simonelectric.com$"")),""null"",A127)"),"120@yahoo.com")</f>
        <v>120@yahoo.com</v>
      </c>
      <c r="C127" s="5">
        <f>IF(B127="null","null",Descargas!B127)</f>
        <v>44004</v>
      </c>
      <c r="D127" s="6" t="str">
        <f>Descargas!E127</f>
        <v>https://resources.simonelectric.com/simon-ebook-vehiculo-electrico</v>
      </c>
      <c r="E127" s="20" t="str">
        <f t="shared" si="1"/>
        <v>120@yahoo.com</v>
      </c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</row>
    <row r="128" ht="15.75" customHeight="1">
      <c r="A128" s="18" t="str">
        <f>Descargas!A128</f>
        <v>121@gmail.com</v>
      </c>
      <c r="B128" s="19" t="str">
        <f>IFERROR(__xludf.DUMMYFUNCTION("IF(OR(regexmatch(A128,"".*@simon.es$""),REGEXMATCH(A128,"".*@simon.pt$""),REGEXMATCH(A128,"".*@simonelectrica.com$""),REGEXMATCH(A128,"".*@hiberus.com$""),REGEXMATCH(A128,"".*@simonbrico.es$""),regexmatch(A128,"".*@simonelectric.com$"")),""null"",A128)"),"121@gmail.com")</f>
        <v>121@gmail.com</v>
      </c>
      <c r="C128" s="5">
        <f>IF(B128="null","null",Descargas!B128)</f>
        <v>44004</v>
      </c>
      <c r="D128" s="6" t="str">
        <f>Descargas!E128</f>
        <v>https://resources.simonelectric.com/simon-ebook-vehiculo-electrico</v>
      </c>
      <c r="E128" s="20" t="str">
        <f t="shared" si="1"/>
        <v>121@gmail.com</v>
      </c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</row>
    <row r="129" ht="15.75" customHeight="1">
      <c r="A129" s="18" t="str">
        <f>Descargas!A129</f>
        <v>122@tecnimed.net</v>
      </c>
      <c r="B129" s="19" t="str">
        <f>IFERROR(__xludf.DUMMYFUNCTION("IF(OR(regexmatch(A129,"".*@simon.es$""),REGEXMATCH(A129,"".*@simon.pt$""),REGEXMATCH(A129,"".*@simonelectrica.com$""),REGEXMATCH(A129,"".*@hiberus.com$""),REGEXMATCH(A129,"".*@simonbrico.es$""),regexmatch(A129,"".*@simonelectric.com$"")),""null"",A129)"),"122@tecnimed.net")</f>
        <v>122@tecnimed.net</v>
      </c>
      <c r="C129" s="5">
        <f>IF(B129="null","null",Descargas!B129)</f>
        <v>44004</v>
      </c>
      <c r="D129" s="6" t="str">
        <f>Descargas!E129</f>
        <v>https://resources.simonelectric.com/simon-catalogo-vehiculo-electrico</v>
      </c>
      <c r="E129" s="20" t="str">
        <f t="shared" si="1"/>
        <v>122@tecnimed.net</v>
      </c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</row>
    <row r="130" ht="15.75" customHeight="1">
      <c r="A130" s="18" t="str">
        <f>Descargas!A130</f>
        <v>123@grupocuerva.com</v>
      </c>
      <c r="B130" s="19" t="str">
        <f>IFERROR(__xludf.DUMMYFUNCTION("IF(OR(regexmatch(A130,"".*@simon.es$""),REGEXMATCH(A130,"".*@simon.pt$""),REGEXMATCH(A130,"".*@simonelectrica.com$""),REGEXMATCH(A130,"".*@hiberus.com$""),REGEXMATCH(A130,"".*@simonbrico.es$""),regexmatch(A130,"".*@simonelectric.com$"")),""null"",A130)"),"123@grupocuerva.com")</f>
        <v>123@grupocuerva.com</v>
      </c>
      <c r="C130" s="5">
        <f>IF(B130="null","null",Descargas!B130)</f>
        <v>44004</v>
      </c>
      <c r="D130" s="6" t="str">
        <f>Descargas!E130</f>
        <v>https://resources.simonelectric.com/simon-ebook-vehiculo-electrico</v>
      </c>
      <c r="E130" s="20" t="str">
        <f t="shared" si="1"/>
        <v>123@grupocuerva.com</v>
      </c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</row>
    <row r="131" ht="15.75" customHeight="1">
      <c r="A131" s="18" t="str">
        <f>Descargas!A131</f>
        <v>124@betenergia.es</v>
      </c>
      <c r="B131" s="19" t="str">
        <f>IFERROR(__xludf.DUMMYFUNCTION("IF(OR(regexmatch(A131,"".*@simon.es$""),REGEXMATCH(A131,"".*@simon.pt$""),REGEXMATCH(A131,"".*@simonelectrica.com$""),REGEXMATCH(A131,"".*@hiberus.com$""),REGEXMATCH(A131,"".*@simonbrico.es$""),regexmatch(A131,"".*@simonelectric.com$"")),""null"",A131)"),"124@betenergia.es")</f>
        <v>124@betenergia.es</v>
      </c>
      <c r="C131" s="5">
        <f>IF(B131="null","null",Descargas!B131)</f>
        <v>44004</v>
      </c>
      <c r="D131" s="6" t="str">
        <f>Descargas!E131</f>
        <v>https://resources.simonelectric.com/simon-ebook-vehiculo-electrico</v>
      </c>
      <c r="E131" s="20" t="str">
        <f t="shared" si="1"/>
        <v>124@betenergia.es</v>
      </c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</row>
    <row r="132" ht="15.75" customHeight="1">
      <c r="A132" s="18" t="str">
        <f>Descargas!A132</f>
        <v>125@gmail.com</v>
      </c>
      <c r="B132" s="19" t="str">
        <f>IFERROR(__xludf.DUMMYFUNCTION("IF(OR(regexmatch(A132,"".*@simon.es$""),REGEXMATCH(A132,"".*@simon.pt$""),REGEXMATCH(A132,"".*@simonelectrica.com$""),REGEXMATCH(A132,"".*@hiberus.com$""),REGEXMATCH(A132,"".*@simonbrico.es$""),regexmatch(A132,"".*@simonelectric.com$"")),""null"",A132)"),"125@gmail.com")</f>
        <v>125@gmail.com</v>
      </c>
      <c r="C132" s="5">
        <f>IF(B132="null","null",Descargas!B132)</f>
        <v>44003</v>
      </c>
      <c r="D132" s="6" t="str">
        <f>Descargas!E132</f>
        <v>https://resources.simonelectric.com/simon-ebook-vehiculo-electrico-0</v>
      </c>
      <c r="E132" s="20" t="str">
        <f t="shared" si="1"/>
        <v>125@gmail.com</v>
      </c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</row>
    <row r="133" ht="15.75" customHeight="1">
      <c r="A133" s="18" t="str">
        <f>Descargas!A133</f>
        <v>126@gmail.com</v>
      </c>
      <c r="B133" s="19" t="str">
        <f>IFERROR(__xludf.DUMMYFUNCTION("IF(OR(regexmatch(A133,"".*@simon.es$""),REGEXMATCH(A133,"".*@simon.pt$""),REGEXMATCH(A133,"".*@simonelectrica.com$""),REGEXMATCH(A133,"".*@hiberus.com$""),REGEXMATCH(A133,"".*@simonbrico.es$""),regexmatch(A133,"".*@simonelectric.com$"")),""null"",A133)"),"126@gmail.com")</f>
        <v>126@gmail.com</v>
      </c>
      <c r="C133" s="5">
        <f>IF(B133="null","null",Descargas!B133)</f>
        <v>44003</v>
      </c>
      <c r="D133" s="6" t="str">
        <f>Descargas!E133</f>
        <v>https://resources.simonelectric.com/simon-ebook-vehiculo-electrico</v>
      </c>
      <c r="E133" s="20" t="str">
        <f t="shared" si="1"/>
        <v>126@gmail.com</v>
      </c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</row>
    <row r="134" ht="15.75" customHeight="1">
      <c r="A134" s="18" t="str">
        <f>Descargas!A134</f>
        <v>127@prevae.com</v>
      </c>
      <c r="B134" s="19" t="str">
        <f>IFERROR(__xludf.DUMMYFUNCTION("IF(OR(regexmatch(A134,"".*@simon.es$""),REGEXMATCH(A134,"".*@simon.pt$""),REGEXMATCH(A134,"".*@simonelectrica.com$""),REGEXMATCH(A134,"".*@hiberus.com$""),REGEXMATCH(A134,"".*@simonbrico.es$""),regexmatch(A134,"".*@simonelectric.com$"")),""null"",A134)"),"127@prevae.com")</f>
        <v>127@prevae.com</v>
      </c>
      <c r="C134" s="5">
        <f>IF(B134="null","null",Descargas!B134)</f>
        <v>44003</v>
      </c>
      <c r="D134" s="6" t="str">
        <f>Descargas!E134</f>
        <v>https://resources.simonelectric.com/simon-material-formativo-vehiculo-electrico</v>
      </c>
      <c r="E134" s="20" t="str">
        <f t="shared" si="1"/>
        <v>127@prevae.com</v>
      </c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</row>
    <row r="135" ht="15.75" customHeight="1">
      <c r="A135" s="18" t="str">
        <f>Descargas!A135</f>
        <v>127@prevae.com</v>
      </c>
      <c r="B135" s="19" t="str">
        <f>IFERROR(__xludf.DUMMYFUNCTION("IF(OR(regexmatch(A135,"".*@simon.es$""),REGEXMATCH(A135,"".*@simon.pt$""),REGEXMATCH(A135,"".*@simonelectrica.com$""),REGEXMATCH(A135,"".*@hiberus.com$""),REGEXMATCH(A135,"".*@simonbrico.es$""),regexmatch(A135,"".*@simonelectric.com$"")),""null"",A135)"),"127@prevae.com")</f>
        <v>127@prevae.com</v>
      </c>
      <c r="C135" s="5">
        <f>IF(B135="null","null",Descargas!B135)</f>
        <v>44003</v>
      </c>
      <c r="D135" s="6" t="str">
        <f>Descargas!E135</f>
        <v>https://resources.simonelectric.com/simon-material-formativo-vehiculo-electrico</v>
      </c>
      <c r="E135" s="20" t="str">
        <f t="shared" si="1"/>
        <v>127@prevae.com</v>
      </c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</row>
    <row r="136" ht="15.75" customHeight="1">
      <c r="A136" s="18" t="str">
        <f>Descargas!A136</f>
        <v>128@gmail.com</v>
      </c>
      <c r="B136" s="19" t="str">
        <f>IFERROR(__xludf.DUMMYFUNCTION("IF(OR(regexmatch(A136,"".*@simon.es$""),REGEXMATCH(A136,"".*@simon.pt$""),REGEXMATCH(A136,"".*@simonelectrica.com$""),REGEXMATCH(A136,"".*@hiberus.com$""),REGEXMATCH(A136,"".*@simonbrico.es$""),regexmatch(A136,"".*@simonelectric.com$"")),""null"",A136)"),"128@gmail.com")</f>
        <v>128@gmail.com</v>
      </c>
      <c r="C136" s="5">
        <f>IF(B136="null","null",Descargas!B136)</f>
        <v>44003</v>
      </c>
      <c r="D136" s="6" t="str">
        <f>Descargas!E136</f>
        <v>https://resources.simonelectric.com/simon-material-formativo-vehiculo-electrico</v>
      </c>
      <c r="E136" s="20" t="str">
        <f t="shared" si="1"/>
        <v>128@gmail.com</v>
      </c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</row>
    <row r="137" ht="15.75" customHeight="1">
      <c r="A137" s="18" t="str">
        <f>Descargas!A137</f>
        <v>129@inypro.com</v>
      </c>
      <c r="B137" s="19" t="str">
        <f>IFERROR(__xludf.DUMMYFUNCTION("IF(OR(regexmatch(A137,"".*@simon.es$""),REGEXMATCH(A137,"".*@simon.pt$""),REGEXMATCH(A137,"".*@simonelectrica.com$""),REGEXMATCH(A137,"".*@hiberus.com$""),REGEXMATCH(A137,"".*@simonbrico.es$""),regexmatch(A137,"".*@simonelectric.com$"")),""null"",A137)"),"129@inypro.com")</f>
        <v>129@inypro.com</v>
      </c>
      <c r="C137" s="5">
        <f>IF(B137="null","null",Descargas!B137)</f>
        <v>44003</v>
      </c>
      <c r="D137" s="6" t="str">
        <f>Descargas!E137</f>
        <v>https://resources.simonelectric.com/simon-ebook-vehiculo-electrico</v>
      </c>
      <c r="E137" s="20" t="str">
        <f t="shared" si="1"/>
        <v>129@inypro.com</v>
      </c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</row>
    <row r="138" ht="15.75" customHeight="1">
      <c r="A138" s="18" t="str">
        <f>Descargas!A138</f>
        <v>130@gmail.com</v>
      </c>
      <c r="B138" s="19" t="str">
        <f>IFERROR(__xludf.DUMMYFUNCTION("IF(OR(regexmatch(A138,"".*@simon.es$""),REGEXMATCH(A138,"".*@simon.pt$""),REGEXMATCH(A138,"".*@simonelectrica.com$""),REGEXMATCH(A138,"".*@hiberus.com$""),REGEXMATCH(A138,"".*@simonbrico.es$""),regexmatch(A138,"".*@simonelectric.com$"")),""null"",A138)"),"130@gmail.com")</f>
        <v>130@gmail.com</v>
      </c>
      <c r="C138" s="5">
        <f>IF(B138="null","null",Descargas!B138)</f>
        <v>44003</v>
      </c>
      <c r="D138" s="6" t="str">
        <f>Descargas!E138</f>
        <v>https://resources.simonelectric.com/simon-ebook-vehiculo-electrico</v>
      </c>
      <c r="E138" s="20" t="str">
        <f t="shared" si="1"/>
        <v>130@gmail.com</v>
      </c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</row>
    <row r="139" ht="15.75" customHeight="1">
      <c r="A139" s="18" t="str">
        <f>Descargas!A139</f>
        <v>131@hotmail.com</v>
      </c>
      <c r="B139" s="19" t="str">
        <f>IFERROR(__xludf.DUMMYFUNCTION("IF(OR(regexmatch(A139,"".*@simon.es$""),REGEXMATCH(A139,"".*@simon.pt$""),REGEXMATCH(A139,"".*@simonelectrica.com$""),REGEXMATCH(A139,"".*@hiberus.com$""),REGEXMATCH(A139,"".*@simonbrico.es$""),regexmatch(A139,"".*@simonelectric.com$"")),""null"",A139)"),"131@hotmail.com")</f>
        <v>131@hotmail.com</v>
      </c>
      <c r="C139" s="5">
        <f>IF(B139="null","null",Descargas!B139)</f>
        <v>44003</v>
      </c>
      <c r="D139" s="6" t="str">
        <f>Descargas!E139</f>
        <v>https://resources.simonelectric.com/simon-material-formativo-vehiculo-electrico</v>
      </c>
      <c r="E139" s="20" t="str">
        <f t="shared" si="1"/>
        <v>131@hotmail.com</v>
      </c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</row>
    <row r="140" ht="15.75" customHeight="1">
      <c r="A140" s="18" t="str">
        <f>Descargas!A140</f>
        <v>37@intienergia.com</v>
      </c>
      <c r="B140" s="19" t="str">
        <f>IFERROR(__xludf.DUMMYFUNCTION("IF(OR(regexmatch(A140,"".*@simon.es$""),REGEXMATCH(A140,"".*@simon.pt$""),REGEXMATCH(A140,"".*@simonelectrica.com$""),REGEXMATCH(A140,"".*@hiberus.com$""),REGEXMATCH(A140,"".*@simonbrico.es$""),regexmatch(A140,"".*@simonelectric.com$"")),""null"",A140)"),"37@intienergia.com")</f>
        <v>37@intienergia.com</v>
      </c>
      <c r="C140" s="5">
        <f>IF(B140="null","null",Descargas!B140)</f>
        <v>44003</v>
      </c>
      <c r="D140" s="6" t="str">
        <f>Descargas!E140</f>
        <v>https://resources.simonelectric.com/simon-material-formativo-vehiculo-electrico</v>
      </c>
      <c r="E140" s="20" t="str">
        <f t="shared" si="1"/>
        <v>37@intienergia.com</v>
      </c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</row>
    <row r="141" ht="15.75" customHeight="1">
      <c r="A141" s="18" t="str">
        <f>Descargas!A141</f>
        <v>132@gmail.com</v>
      </c>
      <c r="B141" s="19" t="str">
        <f>IFERROR(__xludf.DUMMYFUNCTION("IF(OR(regexmatch(A141,"".*@simon.es$""),REGEXMATCH(A141,"".*@simon.pt$""),REGEXMATCH(A141,"".*@simonelectrica.com$""),REGEXMATCH(A141,"".*@hiberus.com$""),REGEXMATCH(A141,"".*@simonbrico.es$""),regexmatch(A141,"".*@simonelectric.com$"")),""null"",A141)"),"132@gmail.com")</f>
        <v>132@gmail.com</v>
      </c>
      <c r="C141" s="5">
        <f>IF(B141="null","null",Descargas!B141)</f>
        <v>44003</v>
      </c>
      <c r="D141" s="6" t="str">
        <f>Descargas!E141</f>
        <v>https://resources.simonelectric.com/simon-ebook-vehiculo-electrico</v>
      </c>
      <c r="E141" s="20" t="str">
        <f t="shared" si="1"/>
        <v>132@gmail.com</v>
      </c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</row>
    <row r="142" ht="15.75" customHeight="1">
      <c r="A142" s="18" t="str">
        <f>Descargas!A142</f>
        <v>133@fasfas.com</v>
      </c>
      <c r="B142" s="19" t="str">
        <f>IFERROR(__xludf.DUMMYFUNCTION("IF(OR(regexmatch(A142,"".*@simon.es$""),REGEXMATCH(A142,"".*@simon.pt$""),REGEXMATCH(A142,"".*@simonelectrica.com$""),REGEXMATCH(A142,"".*@hiberus.com$""),REGEXMATCH(A142,"".*@simonbrico.es$""),regexmatch(A142,"".*@simonelectric.com$"")),""null"",A142)"),"133@fasfas.com")</f>
        <v>133@fasfas.com</v>
      </c>
      <c r="C142" s="5">
        <f>IF(B142="null","null",Descargas!B142)</f>
        <v>44002</v>
      </c>
      <c r="D142" s="6" t="str">
        <f>Descargas!E142</f>
        <v>https://resources.simonelectric.com/simon-catalogo-vehiculo-electrico</v>
      </c>
      <c r="E142" s="20" t="str">
        <f t="shared" si="1"/>
        <v>133@fasfas.com</v>
      </c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</row>
    <row r="143" ht="15.75" customHeight="1">
      <c r="A143" s="18" t="str">
        <f>Descargas!A143</f>
        <v>134@gmail.com</v>
      </c>
      <c r="B143" s="19" t="str">
        <f>IFERROR(__xludf.DUMMYFUNCTION("IF(OR(regexmatch(A143,"".*@simon.es$""),REGEXMATCH(A143,"".*@simon.pt$""),REGEXMATCH(A143,"".*@simonelectrica.com$""),REGEXMATCH(A143,"".*@hiberus.com$""),REGEXMATCH(A143,"".*@simonbrico.es$""),regexmatch(A143,"".*@simonelectric.com$"")),""null"",A143)"),"134@gmail.com")</f>
        <v>134@gmail.com</v>
      </c>
      <c r="C143" s="5">
        <f>IF(B143="null","null",Descargas!B143)</f>
        <v>44002</v>
      </c>
      <c r="D143" s="6" t="str">
        <f>Descargas!E143</f>
        <v>https://resources.simonelectric.com/simon-ebook-vehiculo-electrico-0</v>
      </c>
      <c r="E143" s="20" t="str">
        <f t="shared" si="1"/>
        <v>134@gmail.com</v>
      </c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</row>
    <row r="144" ht="15.75" customHeight="1">
      <c r="A144" s="18" t="str">
        <f>Descargas!A144</f>
        <v>135@telefonica.net</v>
      </c>
      <c r="B144" s="19" t="str">
        <f>IFERROR(__xludf.DUMMYFUNCTION("IF(OR(regexmatch(A144,"".*@simon.es$""),REGEXMATCH(A144,"".*@simon.pt$""),REGEXMATCH(A144,"".*@simonelectrica.com$""),REGEXMATCH(A144,"".*@hiberus.com$""),REGEXMATCH(A144,"".*@simonbrico.es$""),regexmatch(A144,"".*@simonelectric.com$"")),""null"",A144)"),"135@telefonica.net")</f>
        <v>135@telefonica.net</v>
      </c>
      <c r="C144" s="5">
        <f>IF(B144="null","null",Descargas!B144)</f>
        <v>44002</v>
      </c>
      <c r="D144" s="6" t="str">
        <f>Descargas!E144</f>
        <v>https://resources.simonelectric.com/simon-material-formativo-vehiculo-electrico</v>
      </c>
      <c r="E144" s="20" t="str">
        <f t="shared" si="1"/>
        <v>135@telefonica.net</v>
      </c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</row>
    <row r="145" ht="15.75" customHeight="1">
      <c r="A145" s="18" t="str">
        <f>Descargas!A145</f>
        <v>136@gmail.com</v>
      </c>
      <c r="B145" s="19" t="str">
        <f>IFERROR(__xludf.DUMMYFUNCTION("IF(OR(regexmatch(A145,"".*@simon.es$""),REGEXMATCH(A145,"".*@simon.pt$""),REGEXMATCH(A145,"".*@simonelectrica.com$""),REGEXMATCH(A145,"".*@hiberus.com$""),REGEXMATCH(A145,"".*@simonbrico.es$""),regexmatch(A145,"".*@simonelectric.com$"")),""null"",A145)"),"136@gmail.com")</f>
        <v>136@gmail.com</v>
      </c>
      <c r="C145" s="5">
        <f>IF(B145="null","null",Descargas!B145)</f>
        <v>44002</v>
      </c>
      <c r="D145" s="6" t="str">
        <f>Descargas!E145</f>
        <v>https://resources.simonelectric.com/simon-material-formativo-vehiculo-electrico</v>
      </c>
      <c r="E145" s="20" t="str">
        <f t="shared" si="1"/>
        <v>136@gmail.com</v>
      </c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</row>
    <row r="146" ht="15.75" customHeight="1">
      <c r="A146" s="18" t="str">
        <f>Descargas!A146</f>
        <v>137@alcar2000.com</v>
      </c>
      <c r="B146" s="19" t="str">
        <f>IFERROR(__xludf.DUMMYFUNCTION("IF(OR(regexmatch(A146,"".*@simon.es$""),REGEXMATCH(A146,"".*@simon.pt$""),REGEXMATCH(A146,"".*@simonelectrica.com$""),REGEXMATCH(A146,"".*@hiberus.com$""),REGEXMATCH(A146,"".*@simonbrico.es$""),regexmatch(A146,"".*@simonelectric.com$"")),""null"",A146)"),"137@alcar2000.com")</f>
        <v>137@alcar2000.com</v>
      </c>
      <c r="C146" s="5">
        <f>IF(B146="null","null",Descargas!B146)</f>
        <v>44002</v>
      </c>
      <c r="D146" s="6" t="str">
        <f>Descargas!E146</f>
        <v>https://resources.simonelectric.com/simon-catalogo-vehiculo-electrico</v>
      </c>
      <c r="E146" s="20" t="str">
        <f t="shared" si="1"/>
        <v>137@alcar2000.com</v>
      </c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</row>
    <row r="147" ht="15.75" customHeight="1">
      <c r="A147" s="18" t="str">
        <f>Descargas!A147</f>
        <v>138@grupocobra.com</v>
      </c>
      <c r="B147" s="19" t="str">
        <f>IFERROR(__xludf.DUMMYFUNCTION("IF(OR(regexmatch(A147,"".*@simon.es$""),REGEXMATCH(A147,"".*@simon.pt$""),REGEXMATCH(A147,"".*@simonelectrica.com$""),REGEXMATCH(A147,"".*@hiberus.com$""),REGEXMATCH(A147,"".*@simonbrico.es$""),regexmatch(A147,"".*@simonelectric.com$"")),""null"",A147)"),"138@grupocobra.com")</f>
        <v>138@grupocobra.com</v>
      </c>
      <c r="C147" s="5">
        <f>IF(B147="null","null",Descargas!B147)</f>
        <v>44002</v>
      </c>
      <c r="D147" s="6" t="str">
        <f>Descargas!E147</f>
        <v>https://resources.simonelectric.com/simon-ebook-vehiculo-electrico</v>
      </c>
      <c r="E147" s="20" t="str">
        <f t="shared" si="1"/>
        <v>138@grupocobra.com</v>
      </c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</row>
    <row r="148" ht="15.75" customHeight="1">
      <c r="A148" s="18" t="str">
        <f>Descargas!A148</f>
        <v>138@grupocobra.com</v>
      </c>
      <c r="B148" s="19" t="str">
        <f>IFERROR(__xludf.DUMMYFUNCTION("IF(OR(regexmatch(A148,"".*@simon.es$""),REGEXMATCH(A148,"".*@simon.pt$""),REGEXMATCH(A148,"".*@simonelectrica.com$""),REGEXMATCH(A148,"".*@hiberus.com$""),REGEXMATCH(A148,"".*@simonbrico.es$""),regexmatch(A148,"".*@simonelectric.com$"")),""null"",A148)"),"138@grupocobra.com")</f>
        <v>138@grupocobra.com</v>
      </c>
      <c r="C148" s="5">
        <f>IF(B148="null","null",Descargas!B148)</f>
        <v>44002</v>
      </c>
      <c r="D148" s="6" t="str">
        <f>Descargas!E148</f>
        <v>https://resources.simonelectric.com/simon-catalogo-vehiculo-electrico</v>
      </c>
      <c r="E148" s="20" t="str">
        <f t="shared" si="1"/>
        <v>138@grupocobra.com</v>
      </c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</row>
    <row r="149" ht="15.75" customHeight="1">
      <c r="A149" s="18" t="str">
        <f>Descargas!A149</f>
        <v>50@gmail.com</v>
      </c>
      <c r="B149" s="19" t="str">
        <f>IFERROR(__xludf.DUMMYFUNCTION("IF(OR(regexmatch(A149,"".*@simon.es$""),REGEXMATCH(A149,"".*@simon.pt$""),REGEXMATCH(A149,"".*@simonelectrica.com$""),REGEXMATCH(A149,"".*@hiberus.com$""),REGEXMATCH(A149,"".*@simonbrico.es$""),regexmatch(A149,"".*@simonelectric.com$"")),""null"",A149)"),"50@gmail.com")</f>
        <v>50@gmail.com</v>
      </c>
      <c r="C149" s="5">
        <f>IF(B149="null","null",Descargas!B149)</f>
        <v>44002</v>
      </c>
      <c r="D149" s="6" t="str">
        <f>Descargas!E149</f>
        <v>https://resources.simonelectric.com/simon-material-formativo-vehiculo-electrico</v>
      </c>
      <c r="E149" s="20" t="str">
        <f t="shared" si="1"/>
        <v>50@gmail.com</v>
      </c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</row>
    <row r="150" ht="15.75" customHeight="1">
      <c r="A150" s="18" t="str">
        <f>Descargas!A150</f>
        <v>139@yahoo.es</v>
      </c>
      <c r="B150" s="19" t="str">
        <f>IFERROR(__xludf.DUMMYFUNCTION("IF(OR(regexmatch(A150,"".*@simon.es$""),REGEXMATCH(A150,"".*@simon.pt$""),REGEXMATCH(A150,"".*@simonelectrica.com$""),REGEXMATCH(A150,"".*@hiberus.com$""),REGEXMATCH(A150,"".*@simonbrico.es$""),regexmatch(A150,"".*@simonelectric.com$"")),""null"",A150)"),"139@yahoo.es")</f>
        <v>139@yahoo.es</v>
      </c>
      <c r="C150" s="5">
        <f>IF(B150="null","null",Descargas!B150)</f>
        <v>44002</v>
      </c>
      <c r="D150" s="6" t="str">
        <f>Descargas!E150</f>
        <v>https://resources.simonelectric.com/simon-material-formativo-vehiculo-electrico</v>
      </c>
      <c r="E150" s="20" t="str">
        <f t="shared" si="1"/>
        <v>139@yahoo.es</v>
      </c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</row>
    <row r="151" ht="15.75" customHeight="1">
      <c r="A151" s="18" t="str">
        <f>Descargas!A151</f>
        <v>56@iesmurgi.org</v>
      </c>
      <c r="B151" s="19" t="str">
        <f>IFERROR(__xludf.DUMMYFUNCTION("IF(OR(regexmatch(A151,"".*@simon.es$""),REGEXMATCH(A151,"".*@simon.pt$""),REGEXMATCH(A151,"".*@simonelectrica.com$""),REGEXMATCH(A151,"".*@hiberus.com$""),REGEXMATCH(A151,"".*@simonbrico.es$""),regexmatch(A151,"".*@simonelectric.com$"")),""null"",A151)"),"56@iesmurgi.org")</f>
        <v>56@iesmurgi.org</v>
      </c>
      <c r="C151" s="5">
        <f>IF(B151="null","null",Descargas!B151)</f>
        <v>44002</v>
      </c>
      <c r="D151" s="6" t="str">
        <f>Descargas!E151</f>
        <v>https://resources.simonelectric.com/simon-material-formativo-vehiculo-electrico</v>
      </c>
      <c r="E151" s="20" t="str">
        <f t="shared" si="1"/>
        <v>56@iesmurgi.org</v>
      </c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</row>
    <row r="152" ht="15.75" customHeight="1">
      <c r="A152" s="18" t="str">
        <f>Descargas!A152</f>
        <v>140@yahoo.es</v>
      </c>
      <c r="B152" s="19" t="str">
        <f>IFERROR(__xludf.DUMMYFUNCTION("IF(OR(regexmatch(A152,"".*@simon.es$""),REGEXMATCH(A152,"".*@simon.pt$""),REGEXMATCH(A152,"".*@simonelectrica.com$""),REGEXMATCH(A152,"".*@hiberus.com$""),REGEXMATCH(A152,"".*@simonbrico.es$""),regexmatch(A152,"".*@simonelectric.com$"")),""null"",A152)"),"140@yahoo.es")</f>
        <v>140@yahoo.es</v>
      </c>
      <c r="C152" s="5">
        <f>IF(B152="null","null",Descargas!B152)</f>
        <v>44001</v>
      </c>
      <c r="D152" s="6" t="str">
        <f>Descargas!E152</f>
        <v>https://resources.simonelectric.com/simon-ebook-vehiculo-electrico</v>
      </c>
      <c r="E152" s="20" t="str">
        <f t="shared" si="1"/>
        <v>140@yahoo.es</v>
      </c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</row>
    <row r="153" ht="15.75" customHeight="1">
      <c r="A153" s="18" t="str">
        <f>Descargas!A153</f>
        <v>141@gmail.com</v>
      </c>
      <c r="B153" s="19" t="str">
        <f>IFERROR(__xludf.DUMMYFUNCTION("IF(OR(regexmatch(A153,"".*@simon.es$""),REGEXMATCH(A153,"".*@simon.pt$""),REGEXMATCH(A153,"".*@simonelectrica.com$""),REGEXMATCH(A153,"".*@hiberus.com$""),REGEXMATCH(A153,"".*@simonbrico.es$""),regexmatch(A153,"".*@simonelectric.com$"")),""null"",A153)"),"141@gmail.com")</f>
        <v>141@gmail.com</v>
      </c>
      <c r="C153" s="5">
        <f>IF(B153="null","null",Descargas!B153)</f>
        <v>44001</v>
      </c>
      <c r="D153" s="6" t="str">
        <f>Descargas!E153</f>
        <v>https://resources.simonelectric.com/simon-ebook-vehiculo-electrico-0</v>
      </c>
      <c r="E153" s="20" t="str">
        <f t="shared" si="1"/>
        <v>141@gmail.com</v>
      </c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</row>
    <row r="154" ht="15.75" customHeight="1">
      <c r="A154" s="18" t="str">
        <f>Descargas!A154</f>
        <v>142@gmail.com</v>
      </c>
      <c r="B154" s="19" t="str">
        <f>IFERROR(__xludf.DUMMYFUNCTION("IF(OR(regexmatch(A154,"".*@simon.es$""),REGEXMATCH(A154,"".*@simon.pt$""),REGEXMATCH(A154,"".*@simonelectrica.com$""),REGEXMATCH(A154,"".*@hiberus.com$""),REGEXMATCH(A154,"".*@simonbrico.es$""),regexmatch(A154,"".*@simonelectric.com$"")),""null"",A154)"),"142@gmail.com")</f>
        <v>142@gmail.com</v>
      </c>
      <c r="C154" s="5">
        <f>IF(B154="null","null",Descargas!B154)</f>
        <v>44001</v>
      </c>
      <c r="D154" s="6" t="str">
        <f>Descargas!E154</f>
        <v>https://resources.simonelectric.com/simon-ebook-vehiculo-electrico-ppc</v>
      </c>
      <c r="E154" s="20" t="str">
        <f t="shared" si="1"/>
        <v>142@gmail.com</v>
      </c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</row>
    <row r="155" ht="15.75" customHeight="1">
      <c r="A155" s="18" t="str">
        <f>Descargas!A155</f>
        <v>70@gmail.com</v>
      </c>
      <c r="B155" s="19" t="str">
        <f>IFERROR(__xludf.DUMMYFUNCTION("IF(OR(regexmatch(A155,"".*@simon.es$""),REGEXMATCH(A155,"".*@simon.pt$""),REGEXMATCH(A155,"".*@simonelectrica.com$""),REGEXMATCH(A155,"".*@hiberus.com$""),REGEXMATCH(A155,"".*@simonbrico.es$""),regexmatch(A155,"".*@simonelectric.com$"")),""null"",A155)"),"70@gmail.com")</f>
        <v>70@gmail.com</v>
      </c>
      <c r="C155" s="5">
        <f>IF(B155="null","null",Descargas!B155)</f>
        <v>44001</v>
      </c>
      <c r="D155" s="6" t="str">
        <f>Descargas!E155</f>
        <v>https://resources.simonelectric.com/simon-material-formativo-vehiculo-electrico</v>
      </c>
      <c r="E155" s="20" t="str">
        <f t="shared" si="1"/>
        <v>70@gmail.com</v>
      </c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</row>
    <row r="156" ht="15.75" customHeight="1">
      <c r="A156" s="18" t="str">
        <f>Descargas!A156</f>
        <v>143@gmail.com</v>
      </c>
      <c r="B156" s="19" t="str">
        <f>IFERROR(__xludf.DUMMYFUNCTION("IF(OR(regexmatch(A156,"".*@simon.es$""),REGEXMATCH(A156,"".*@simon.pt$""),REGEXMATCH(A156,"".*@simonelectrica.com$""),REGEXMATCH(A156,"".*@hiberus.com$""),REGEXMATCH(A156,"".*@simonbrico.es$""),regexmatch(A156,"".*@simonelectric.com$"")),""null"",A156)"),"143@gmail.com")</f>
        <v>143@gmail.com</v>
      </c>
      <c r="C156" s="5">
        <f>IF(B156="null","null",Descargas!B156)</f>
        <v>44001</v>
      </c>
      <c r="D156" s="6" t="str">
        <f>Descargas!E156</f>
        <v>https://resources.simonelectric.com/simon-catalogo-vehiculo-electrico</v>
      </c>
      <c r="E156" s="20" t="str">
        <f t="shared" si="1"/>
        <v>143@gmail.com</v>
      </c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</row>
    <row r="157" ht="15.75" customHeight="1">
      <c r="A157" s="18" t="str">
        <f>Descargas!A157</f>
        <v>144@gmail.com</v>
      </c>
      <c r="B157" s="19" t="str">
        <f>IFERROR(__xludf.DUMMYFUNCTION("IF(OR(regexmatch(A157,"".*@simon.es$""),REGEXMATCH(A157,"".*@simon.pt$""),REGEXMATCH(A157,"".*@simonelectrica.com$""),REGEXMATCH(A157,"".*@hiberus.com$""),REGEXMATCH(A157,"".*@simonbrico.es$""),regexmatch(A157,"".*@simonelectric.com$"")),""null"",A157)"),"144@gmail.com")</f>
        <v>144@gmail.com</v>
      </c>
      <c r="C157" s="5">
        <f>IF(B157="null","null",Descargas!B157)</f>
        <v>44001</v>
      </c>
      <c r="D157" s="6" t="str">
        <f>Descargas!E157</f>
        <v>https://resources.simonelectric.com/simon-ebook-vehiculo-electrico</v>
      </c>
      <c r="E157" s="20" t="str">
        <f t="shared" si="1"/>
        <v>144@gmail.com</v>
      </c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</row>
    <row r="158" ht="15.75" customHeight="1">
      <c r="A158" s="18" t="str">
        <f>Descargas!A158</f>
        <v>145@coitihuelva.com</v>
      </c>
      <c r="B158" s="19" t="str">
        <f>IFERROR(__xludf.DUMMYFUNCTION("IF(OR(regexmatch(A158,"".*@simon.es$""),REGEXMATCH(A158,"".*@simon.pt$""),REGEXMATCH(A158,"".*@simonelectrica.com$""),REGEXMATCH(A158,"".*@hiberus.com$""),REGEXMATCH(A158,"".*@simonbrico.es$""),regexmatch(A158,"".*@simonelectric.com$"")),""null"",A158)"),"145@coitihuelva.com")</f>
        <v>145@coitihuelva.com</v>
      </c>
      <c r="C158" s="5">
        <f>IF(B158="null","null",Descargas!B158)</f>
        <v>44001</v>
      </c>
      <c r="D158" s="6" t="str">
        <f>Descargas!E158</f>
        <v>https://resources.simonelectric.com/simon-ebook-vehiculo-electrico</v>
      </c>
      <c r="E158" s="20" t="str">
        <f t="shared" si="1"/>
        <v>145@coitihuelva.com</v>
      </c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</row>
    <row r="159" ht="15.75" customHeight="1">
      <c r="A159" s="18" t="str">
        <f>Descargas!A159</f>
        <v>146@instalacionsigualada.com</v>
      </c>
      <c r="B159" s="19" t="str">
        <f>IFERROR(__xludf.DUMMYFUNCTION("IF(OR(regexmatch(A159,"".*@simon.es$""),REGEXMATCH(A159,"".*@simon.pt$""),REGEXMATCH(A159,"".*@simonelectrica.com$""),REGEXMATCH(A159,"".*@hiberus.com$""),REGEXMATCH(A159,"".*@simonbrico.es$""),regexmatch(A159,"".*@simonelectric.com$"")),""null"",A159)"),"146@instalacionsigualada.com")</f>
        <v>146@instalacionsigualada.com</v>
      </c>
      <c r="C159" s="5">
        <f>IF(B159="null","null",Descargas!B159)</f>
        <v>44001</v>
      </c>
      <c r="D159" s="6" t="str">
        <f>Descargas!E159</f>
        <v>https://resources.simonelectric.com/simon-ebook-vehiculo-electrico</v>
      </c>
      <c r="E159" s="20" t="str">
        <f t="shared" si="1"/>
        <v>146@instalacionsigualada.com</v>
      </c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</row>
    <row r="160" ht="15.75" customHeight="1">
      <c r="A160" s="18" t="str">
        <f>Descargas!A160</f>
        <v>147@hotmail.es</v>
      </c>
      <c r="B160" s="19" t="str">
        <f>IFERROR(__xludf.DUMMYFUNCTION("IF(OR(regexmatch(A160,"".*@simon.es$""),REGEXMATCH(A160,"".*@simon.pt$""),REGEXMATCH(A160,"".*@simonelectrica.com$""),REGEXMATCH(A160,"".*@hiberus.com$""),REGEXMATCH(A160,"".*@simonbrico.es$""),regexmatch(A160,"".*@simonelectric.com$"")),""null"",A160)"),"147@hotmail.es")</f>
        <v>147@hotmail.es</v>
      </c>
      <c r="C160" s="5">
        <f>IF(B160="null","null",Descargas!B160)</f>
        <v>44001</v>
      </c>
      <c r="D160" s="6" t="str">
        <f>Descargas!E160</f>
        <v>https://resources.simonelectric.com/simon-material-formativo-vehiculo-electrico</v>
      </c>
      <c r="E160" s="20" t="str">
        <f t="shared" si="1"/>
        <v>147@hotmail.es</v>
      </c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</row>
    <row r="161" ht="15.75" customHeight="1">
      <c r="A161" s="18" t="str">
        <f>Descargas!A161</f>
        <v>148@gmail.com</v>
      </c>
      <c r="B161" s="19" t="str">
        <f>IFERROR(__xludf.DUMMYFUNCTION("IF(OR(regexmatch(A161,"".*@simon.es$""),REGEXMATCH(A161,"".*@simon.pt$""),REGEXMATCH(A161,"".*@simonelectrica.com$""),REGEXMATCH(A161,"".*@hiberus.com$""),REGEXMATCH(A161,"".*@simonbrico.es$""),regexmatch(A161,"".*@simonelectric.com$"")),""null"",A161)"),"148@gmail.com")</f>
        <v>148@gmail.com</v>
      </c>
      <c r="C161" s="5">
        <f>IF(B161="null","null",Descargas!B161)</f>
        <v>44001</v>
      </c>
      <c r="D161" s="6" t="str">
        <f>Descargas!E161</f>
        <v>https://resources.simonelectric.com/simon-material-formativo-vehiculo-electrico</v>
      </c>
      <c r="E161" s="20" t="str">
        <f t="shared" si="1"/>
        <v>148@gmail.com</v>
      </c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</row>
    <row r="162" ht="15.75" customHeight="1">
      <c r="A162" s="18" t="str">
        <f>Descargas!A162</f>
        <v>95@gmail.com</v>
      </c>
      <c r="B162" s="19" t="str">
        <f>IFERROR(__xludf.DUMMYFUNCTION("IF(OR(regexmatch(A162,"".*@simon.es$""),REGEXMATCH(A162,"".*@simon.pt$""),REGEXMATCH(A162,"".*@simonelectrica.com$""),REGEXMATCH(A162,"".*@hiberus.com$""),REGEXMATCH(A162,"".*@simonbrico.es$""),regexmatch(A162,"".*@simonelectric.com$"")),""null"",A162)"),"95@gmail.com")</f>
        <v>95@gmail.com</v>
      </c>
      <c r="C162" s="5">
        <f>IF(B162="null","null",Descargas!B162)</f>
        <v>44001</v>
      </c>
      <c r="D162" s="6" t="str">
        <f>Descargas!E162</f>
        <v>https://resources.simonelectric.com/simon-material-formativo-vehiculo-electrico</v>
      </c>
      <c r="E162" s="20" t="str">
        <f t="shared" si="1"/>
        <v>95@gmail.com</v>
      </c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</row>
    <row r="163" ht="15.75" customHeight="1">
      <c r="A163" s="18" t="str">
        <f>Descargas!A163</f>
        <v>149@gmail.com</v>
      </c>
      <c r="B163" s="19" t="str">
        <f>IFERROR(__xludf.DUMMYFUNCTION("IF(OR(regexmatch(A163,"".*@simon.es$""),REGEXMATCH(A163,"".*@simon.pt$""),REGEXMATCH(A163,"".*@simonelectrica.com$""),REGEXMATCH(A163,"".*@hiberus.com$""),REGEXMATCH(A163,"".*@simonbrico.es$""),regexmatch(A163,"".*@simonelectric.com$"")),""null"",A163)"),"149@gmail.com")</f>
        <v>149@gmail.com</v>
      </c>
      <c r="C163" s="5">
        <f>IF(B163="null","null",Descargas!B163)</f>
        <v>44001</v>
      </c>
      <c r="D163" s="6" t="str">
        <f>Descargas!E163</f>
        <v>https://resources.simonelectric.com/simon-catalogo-vehiculo-electrico</v>
      </c>
      <c r="E163" s="20" t="str">
        <f t="shared" si="1"/>
        <v>149@gmail.com</v>
      </c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</row>
    <row r="164" ht="15.75" customHeight="1">
      <c r="A164" s="18" t="str">
        <f>Descargas!A164</f>
        <v>150@atla.es</v>
      </c>
      <c r="B164" s="19" t="str">
        <f>IFERROR(__xludf.DUMMYFUNCTION("IF(OR(regexmatch(A164,"".*@simon.es$""),REGEXMATCH(A164,"".*@simon.pt$""),REGEXMATCH(A164,"".*@simonelectrica.com$""),REGEXMATCH(A164,"".*@hiberus.com$""),REGEXMATCH(A164,"".*@simonbrico.es$""),regexmatch(A164,"".*@simonelectric.com$"")),""null"",A164)"),"150@atla.es")</f>
        <v>150@atla.es</v>
      </c>
      <c r="C164" s="5">
        <f>IF(B164="null","null",Descargas!B164)</f>
        <v>44001</v>
      </c>
      <c r="D164" s="6" t="str">
        <f>Descargas!E164</f>
        <v>https://resources.simonelectric.com/simon-material-formativo-vehiculo-electrico</v>
      </c>
      <c r="E164" s="20" t="str">
        <f t="shared" si="1"/>
        <v>150@atla.es</v>
      </c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</row>
    <row r="165" ht="15.75" customHeight="1">
      <c r="A165" s="18" t="str">
        <f>Descargas!A165</f>
        <v>151@gmail.com</v>
      </c>
      <c r="B165" s="19" t="str">
        <f>IFERROR(__xludf.DUMMYFUNCTION("IF(OR(regexmatch(A165,"".*@simon.es$""),REGEXMATCH(A165,"".*@simon.pt$""),REGEXMATCH(A165,"".*@simonelectrica.com$""),REGEXMATCH(A165,"".*@hiberus.com$""),REGEXMATCH(A165,"".*@simonbrico.es$""),regexmatch(A165,"".*@simonelectric.com$"")),""null"",A165)"),"151@gmail.com")</f>
        <v>151@gmail.com</v>
      </c>
      <c r="C165" s="5">
        <f>IF(B165="null","null",Descargas!B165)</f>
        <v>44001</v>
      </c>
      <c r="D165" s="6" t="str">
        <f>Descargas!E165</f>
        <v>https://resources.simonelectric.com/simon-ebook-vehiculo-electrico-ppc</v>
      </c>
      <c r="E165" s="20" t="str">
        <f t="shared" si="1"/>
        <v>151@gmail.com</v>
      </c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</row>
    <row r="166" ht="15.75" customHeight="1">
      <c r="A166" s="18" t="str">
        <f>Descargas!A166</f>
        <v>152@gmail.com</v>
      </c>
      <c r="B166" s="19" t="str">
        <f>IFERROR(__xludf.DUMMYFUNCTION("IF(OR(regexmatch(A166,"".*@simon.es$""),REGEXMATCH(A166,"".*@simon.pt$""),REGEXMATCH(A166,"".*@simonelectrica.com$""),REGEXMATCH(A166,"".*@hiberus.com$""),REGEXMATCH(A166,"".*@simonbrico.es$""),regexmatch(A166,"".*@simonelectric.com$"")),""null"",A166)"),"152@gmail.com")</f>
        <v>152@gmail.com</v>
      </c>
      <c r="C166" s="5">
        <f>IF(B166="null","null",Descargas!B166)</f>
        <v>44001</v>
      </c>
      <c r="D166" s="6" t="str">
        <f>Descargas!E166</f>
        <v>https://resources.simonelectric.com/simon-catalogo-vehiculo-electrico</v>
      </c>
      <c r="E166" s="20" t="str">
        <f t="shared" si="1"/>
        <v>152@gmail.com</v>
      </c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</row>
    <row r="167" ht="15.75" customHeight="1">
      <c r="A167" s="18" t="str">
        <f>Descargas!A167</f>
        <v>153@telefonica.net</v>
      </c>
      <c r="B167" s="19" t="str">
        <f>IFERROR(__xludf.DUMMYFUNCTION("IF(OR(regexmatch(A167,"".*@simon.es$""),REGEXMATCH(A167,"".*@simon.pt$""),REGEXMATCH(A167,"".*@simonelectrica.com$""),REGEXMATCH(A167,"".*@hiberus.com$""),REGEXMATCH(A167,"".*@simonbrico.es$""),regexmatch(A167,"".*@simonelectric.com$"")),""null"",A167)"),"153@telefonica.net")</f>
        <v>153@telefonica.net</v>
      </c>
      <c r="C167" s="5">
        <f>IF(B167="null","null",Descargas!B167)</f>
        <v>44001</v>
      </c>
      <c r="D167" s="6" t="str">
        <f>Descargas!E167</f>
        <v>https://resources.simonelectric.com/simon-catalogo-vehiculo-electrico</v>
      </c>
      <c r="E167" s="20" t="str">
        <f t="shared" si="1"/>
        <v>153@telefonica.net</v>
      </c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</row>
    <row r="168" ht="15.75" customHeight="1">
      <c r="A168" s="18" t="str">
        <f>Descargas!A168</f>
        <v>154@jorditamayo.com</v>
      </c>
      <c r="B168" s="19" t="str">
        <f>IFERROR(__xludf.DUMMYFUNCTION("IF(OR(regexmatch(A168,"".*@simon.es$""),REGEXMATCH(A168,"".*@simon.pt$""),REGEXMATCH(A168,"".*@simonelectrica.com$""),REGEXMATCH(A168,"".*@hiberus.com$""),REGEXMATCH(A168,"".*@simonbrico.es$""),regexmatch(A168,"".*@simonelectric.com$"")),""null"",A168)"),"154@jorditamayo.com")</f>
        <v>154@jorditamayo.com</v>
      </c>
      <c r="C168" s="5">
        <f>IF(B168="null","null",Descargas!B168)</f>
        <v>44001</v>
      </c>
      <c r="D168" s="6" t="str">
        <f>Descargas!E168</f>
        <v>https://resources.simonelectric.com/simon-catalogo-vehiculo-electrico</v>
      </c>
      <c r="E168" s="20" t="str">
        <f t="shared" si="1"/>
        <v>154@jorditamayo.com</v>
      </c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</row>
    <row r="169" ht="15.75" customHeight="1">
      <c r="A169" s="18" t="str">
        <f>Descargas!A169</f>
        <v>155@arcbcn.cat</v>
      </c>
      <c r="B169" s="19" t="str">
        <f>IFERROR(__xludf.DUMMYFUNCTION("IF(OR(regexmatch(A169,"".*@simon.es$""),REGEXMATCH(A169,"".*@simon.pt$""),REGEXMATCH(A169,"".*@simonelectrica.com$""),REGEXMATCH(A169,"".*@hiberus.com$""),REGEXMATCH(A169,"".*@simonbrico.es$""),regexmatch(A169,"".*@simonelectric.com$"")),""null"",A169)"),"155@arcbcn.cat")</f>
        <v>155@arcbcn.cat</v>
      </c>
      <c r="C169" s="5">
        <f>IF(B169="null","null",Descargas!B169)</f>
        <v>44001</v>
      </c>
      <c r="D169" s="6" t="str">
        <f>Descargas!E169</f>
        <v>https://resources.simonelectric.com/simon-material-formativo-vehiculo-electrico</v>
      </c>
      <c r="E169" s="20" t="str">
        <f t="shared" si="1"/>
        <v>155@arcbcn.cat</v>
      </c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</row>
    <row r="170" ht="15.75" customHeight="1">
      <c r="A170" s="18" t="str">
        <f>Descargas!A170</f>
        <v>156@riosrenovables.com</v>
      </c>
      <c r="B170" s="19" t="str">
        <f>IFERROR(__xludf.DUMMYFUNCTION("IF(OR(regexmatch(A170,"".*@simon.es$""),REGEXMATCH(A170,"".*@simon.pt$""),REGEXMATCH(A170,"".*@simonelectrica.com$""),REGEXMATCH(A170,"".*@hiberus.com$""),REGEXMATCH(A170,"".*@simonbrico.es$""),regexmatch(A170,"".*@simonelectric.com$"")),""null"",A170)"),"156@riosrenovables.com")</f>
        <v>156@riosrenovables.com</v>
      </c>
      <c r="C170" s="5">
        <f>IF(B170="null","null",Descargas!B170)</f>
        <v>44001</v>
      </c>
      <c r="D170" s="6" t="str">
        <f>Descargas!E170</f>
        <v>https://resources.simonelectric.com/simon-catalogo-vehiculo-electrico</v>
      </c>
      <c r="E170" s="20" t="str">
        <f t="shared" si="1"/>
        <v>156@riosrenovables.com</v>
      </c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</row>
    <row r="171" ht="15.75" customHeight="1">
      <c r="A171" s="18" t="str">
        <f>Descargas!A171</f>
        <v>156@riosrenovables.com</v>
      </c>
      <c r="B171" s="19" t="str">
        <f>IFERROR(__xludf.DUMMYFUNCTION("IF(OR(regexmatch(A171,"".*@simon.es$""),REGEXMATCH(A171,"".*@simon.pt$""),REGEXMATCH(A171,"".*@simonelectrica.com$""),REGEXMATCH(A171,"".*@hiberus.com$""),REGEXMATCH(A171,"".*@simonbrico.es$""),regexmatch(A171,"".*@simonelectric.com$"")),""null"",A171)"),"156@riosrenovables.com")</f>
        <v>156@riosrenovables.com</v>
      </c>
      <c r="C171" s="5">
        <f>IF(B171="null","null",Descargas!B171)</f>
        <v>44001</v>
      </c>
      <c r="D171" s="6" t="str">
        <f>Descargas!E171</f>
        <v>https://resources.simonelectric.com/simon-ebook-vehiculo-electrico</v>
      </c>
      <c r="E171" s="20" t="str">
        <f t="shared" si="1"/>
        <v>156@riosrenovables.com</v>
      </c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</row>
    <row r="172" ht="15.75" customHeight="1">
      <c r="A172" s="18" t="str">
        <f>Descargas!A172</f>
        <v>157@hotmail.com</v>
      </c>
      <c r="B172" s="19" t="str">
        <f>IFERROR(__xludf.DUMMYFUNCTION("IF(OR(regexmatch(A172,"".*@simon.es$""),REGEXMATCH(A172,"".*@simon.pt$""),REGEXMATCH(A172,"".*@simonelectrica.com$""),REGEXMATCH(A172,"".*@hiberus.com$""),REGEXMATCH(A172,"".*@simonbrico.es$""),regexmatch(A172,"".*@simonelectric.com$"")),""null"",A172)"),"157@hotmail.com")</f>
        <v>157@hotmail.com</v>
      </c>
      <c r="C172" s="5">
        <f>IF(B172="null","null",Descargas!B172)</f>
        <v>44001</v>
      </c>
      <c r="D172" s="6" t="str">
        <f>Descargas!E172</f>
        <v>https://resources.simonelectric.com/simon-material-formativo-vehiculo-electrico</v>
      </c>
      <c r="E172" s="20" t="str">
        <f t="shared" si="1"/>
        <v>157@hotmail.com</v>
      </c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</row>
    <row r="173" ht="15.75" customHeight="1">
      <c r="A173" s="18" t="str">
        <f>Descargas!A173</f>
        <v>158@acollconsulting.es</v>
      </c>
      <c r="B173" s="19" t="str">
        <f>IFERROR(__xludf.DUMMYFUNCTION("IF(OR(regexmatch(A173,"".*@simon.es$""),REGEXMATCH(A173,"".*@simon.pt$""),REGEXMATCH(A173,"".*@simonelectrica.com$""),REGEXMATCH(A173,"".*@hiberus.com$""),REGEXMATCH(A173,"".*@simonbrico.es$""),regexmatch(A173,"".*@simonelectric.com$"")),""null"",A173)"),"158@acollconsulting.es")</f>
        <v>158@acollconsulting.es</v>
      </c>
      <c r="C173" s="5">
        <f>IF(B173="null","null",Descargas!B173)</f>
        <v>44001</v>
      </c>
      <c r="D173" s="6" t="str">
        <f>Descargas!E173</f>
        <v>https://resources.simonelectric.com/simon-material-formativo-vehiculo-electrico</v>
      </c>
      <c r="E173" s="20" t="str">
        <f t="shared" si="1"/>
        <v>158@acollconsulting.es</v>
      </c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</row>
    <row r="174" ht="15.75" customHeight="1">
      <c r="A174" s="18" t="str">
        <f>Descargas!A174</f>
        <v>159@gmail.com</v>
      </c>
      <c r="B174" s="19" t="str">
        <f>IFERROR(__xludf.DUMMYFUNCTION("IF(OR(regexmatch(A174,"".*@simon.es$""),REGEXMATCH(A174,"".*@simon.pt$""),REGEXMATCH(A174,"".*@simonelectrica.com$""),REGEXMATCH(A174,"".*@hiberus.com$""),REGEXMATCH(A174,"".*@simonbrico.es$""),regexmatch(A174,"".*@simonelectric.com$"")),""null"",A174)"),"159@gmail.com")</f>
        <v>159@gmail.com</v>
      </c>
      <c r="C174" s="5">
        <f>IF(B174="null","null",Descargas!B174)</f>
        <v>44001</v>
      </c>
      <c r="D174" s="6" t="str">
        <f>Descargas!E174</f>
        <v>https://resources.simonelectric.com/simon-material-formativo-vehiculo-electrico</v>
      </c>
      <c r="E174" s="20" t="str">
        <f t="shared" si="1"/>
        <v>159@gmail.com</v>
      </c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</row>
    <row r="175" ht="15.75" customHeight="1">
      <c r="A175" s="18" t="str">
        <f>Descargas!A175</f>
        <v>160@hotmail.com</v>
      </c>
      <c r="B175" s="19" t="str">
        <f>IFERROR(__xludf.DUMMYFUNCTION("IF(OR(regexmatch(A175,"".*@simon.es$""),REGEXMATCH(A175,"".*@simon.pt$""),REGEXMATCH(A175,"".*@simonelectrica.com$""),REGEXMATCH(A175,"".*@hiberus.com$""),REGEXMATCH(A175,"".*@simonbrico.es$""),regexmatch(A175,"".*@simonelectric.com$"")),""null"",A175)"),"160@hotmail.com")</f>
        <v>160@hotmail.com</v>
      </c>
      <c r="C175" s="5">
        <f>IF(B175="null","null",Descargas!B175)</f>
        <v>44001</v>
      </c>
      <c r="D175" s="6" t="str">
        <f>Descargas!E175</f>
        <v>https://resources.simonelectric.com/simon-catalogo-vehiculo-electrico</v>
      </c>
      <c r="E175" s="20" t="str">
        <f t="shared" si="1"/>
        <v>160@hotmail.com</v>
      </c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</row>
    <row r="176" ht="15.75" customHeight="1">
      <c r="A176" s="18" t="str">
        <f>Descargas!A176</f>
        <v>113@gmail.com</v>
      </c>
      <c r="B176" s="19" t="str">
        <f>IFERROR(__xludf.DUMMYFUNCTION("IF(OR(regexmatch(A176,"".*@simon.es$""),REGEXMATCH(A176,"".*@simon.pt$""),REGEXMATCH(A176,"".*@simonelectrica.com$""),REGEXMATCH(A176,"".*@hiberus.com$""),REGEXMATCH(A176,"".*@simonbrico.es$""),regexmatch(A176,"".*@simonelectric.com$"")),""null"",A176)"),"113@gmail.com")</f>
        <v>113@gmail.com</v>
      </c>
      <c r="C176" s="5">
        <f>IF(B176="null","null",Descargas!B176)</f>
        <v>44001</v>
      </c>
      <c r="D176" s="6" t="str">
        <f>Descargas!E176</f>
        <v>https://resources.simonelectric.com/simon-material-formativo-vehiculo-electrico</v>
      </c>
      <c r="E176" s="20" t="str">
        <f t="shared" si="1"/>
        <v>113@gmail.com</v>
      </c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</row>
    <row r="177" ht="15.75" customHeight="1">
      <c r="A177" s="18" t="str">
        <f>Descargas!A177</f>
        <v>161@gmail.com</v>
      </c>
      <c r="B177" s="19" t="str">
        <f>IFERROR(__xludf.DUMMYFUNCTION("IF(OR(regexmatch(A177,"".*@simon.es$""),REGEXMATCH(A177,"".*@simon.pt$""),REGEXMATCH(A177,"".*@simonelectrica.com$""),REGEXMATCH(A177,"".*@hiberus.com$""),REGEXMATCH(A177,"".*@simonbrico.es$""),regexmatch(A177,"".*@simonelectric.com$"")),""null"",A177)"),"161@gmail.com")</f>
        <v>161@gmail.com</v>
      </c>
      <c r="C177" s="5">
        <f>IF(B177="null","null",Descargas!B177)</f>
        <v>44001</v>
      </c>
      <c r="D177" s="6" t="str">
        <f>Descargas!E177</f>
        <v>https://resources.simonelectric.com/simon-ebook-vehiculo-electrico</v>
      </c>
      <c r="E177" s="20" t="str">
        <f t="shared" si="1"/>
        <v>161@gmail.com</v>
      </c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</row>
    <row r="178" ht="15.75" customHeight="1">
      <c r="A178" s="18" t="str">
        <f>Descargas!A178</f>
        <v>162@gmail.com</v>
      </c>
      <c r="B178" s="19" t="str">
        <f>IFERROR(__xludf.DUMMYFUNCTION("IF(OR(regexmatch(A178,"".*@simon.es$""),REGEXMATCH(A178,"".*@simon.pt$""),REGEXMATCH(A178,"".*@simonelectrica.com$""),REGEXMATCH(A178,"".*@hiberus.com$""),REGEXMATCH(A178,"".*@simonbrico.es$""),regexmatch(A178,"".*@simonelectric.com$"")),""null"",A178)"),"162@gmail.com")</f>
        <v>162@gmail.com</v>
      </c>
      <c r="C178" s="5">
        <f>IF(B178="null","null",Descargas!B178)</f>
        <v>44001</v>
      </c>
      <c r="D178" s="6" t="str">
        <f>Descargas!E178</f>
        <v>https://resources.simonelectric.com/simon-material-formativo-vehiculo-electrico</v>
      </c>
      <c r="E178" s="20" t="str">
        <f t="shared" si="1"/>
        <v>162@gmail.com</v>
      </c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</row>
    <row r="179" ht="15.75" customHeight="1">
      <c r="A179" s="18" t="str">
        <f>Descargas!A179</f>
        <v>42@gmail.com</v>
      </c>
      <c r="B179" s="19" t="str">
        <f>IFERROR(__xludf.DUMMYFUNCTION("IF(OR(regexmatch(A179,"".*@simon.es$""),REGEXMATCH(A179,"".*@simon.pt$""),REGEXMATCH(A179,"".*@simonelectrica.com$""),REGEXMATCH(A179,"".*@hiberus.com$""),REGEXMATCH(A179,"".*@simonbrico.es$""),regexmatch(A179,"".*@simonelectric.com$"")),""null"",A179)"),"42@gmail.com")</f>
        <v>42@gmail.com</v>
      </c>
      <c r="C179" s="5">
        <f>IF(B179="null","null",Descargas!B179)</f>
        <v>44001</v>
      </c>
      <c r="D179" s="6" t="str">
        <f>Descargas!E179</f>
        <v>https://resources.simonelectric.com/simon-material-formativo-vehiculo-electrico</v>
      </c>
      <c r="E179" s="20" t="str">
        <f t="shared" si="1"/>
        <v>42@gmail.com</v>
      </c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</row>
    <row r="180" ht="15.75" customHeight="1">
      <c r="A180" s="18" t="str">
        <f>Descargas!A180</f>
        <v>161@gmail.com</v>
      </c>
      <c r="B180" s="19" t="str">
        <f>IFERROR(__xludf.DUMMYFUNCTION("IF(OR(regexmatch(A180,"".*@simon.es$""),REGEXMATCH(A180,"".*@simon.pt$""),REGEXMATCH(A180,"".*@simonelectrica.com$""),REGEXMATCH(A180,"".*@hiberus.com$""),REGEXMATCH(A180,"".*@simonbrico.es$""),regexmatch(A180,"".*@simonelectric.com$"")),""null"",A180)"),"161@gmail.com")</f>
        <v>161@gmail.com</v>
      </c>
      <c r="C180" s="5">
        <f>IF(B180="null","null",Descargas!B180)</f>
        <v>44001</v>
      </c>
      <c r="D180" s="6" t="str">
        <f>Descargas!E180</f>
        <v>https://resources.simonelectric.com/simon-material-formativo-vehiculo-electrico</v>
      </c>
      <c r="E180" s="20" t="str">
        <f t="shared" si="1"/>
        <v>161@gmail.com</v>
      </c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</row>
    <row r="181" ht="15.75" customHeight="1">
      <c r="A181" s="18" t="str">
        <f>Descargas!A181</f>
        <v>163@gmail.com</v>
      </c>
      <c r="B181" s="19" t="str">
        <f>IFERROR(__xludf.DUMMYFUNCTION("IF(OR(regexmatch(A181,"".*@simon.es$""),REGEXMATCH(A181,"".*@simon.pt$""),REGEXMATCH(A181,"".*@simonelectrica.com$""),REGEXMATCH(A181,"".*@hiberus.com$""),REGEXMATCH(A181,"".*@simonbrico.es$""),regexmatch(A181,"".*@simonelectric.com$"")),""null"",A181)"),"163@gmail.com")</f>
        <v>163@gmail.com</v>
      </c>
      <c r="C181" s="5">
        <f>IF(B181="null","null",Descargas!B181)</f>
        <v>44001</v>
      </c>
      <c r="D181" s="6" t="str">
        <f>Descargas!E181</f>
        <v>https://resources.simonelectric.com/simon-material-formativo-vehiculo-electrico</v>
      </c>
      <c r="E181" s="20" t="str">
        <f t="shared" si="1"/>
        <v>163@gmail.com</v>
      </c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</row>
    <row r="182" ht="15.75" customHeight="1">
      <c r="A182" s="18" t="str">
        <f>Descargas!A182</f>
        <v>164@telefonica.net</v>
      </c>
      <c r="B182" s="19" t="str">
        <f>IFERROR(__xludf.DUMMYFUNCTION("IF(OR(regexmatch(A182,"".*@simon.es$""),REGEXMATCH(A182,"".*@simon.pt$""),REGEXMATCH(A182,"".*@simonelectrica.com$""),REGEXMATCH(A182,"".*@hiberus.com$""),REGEXMATCH(A182,"".*@simonbrico.es$""),regexmatch(A182,"".*@simonelectric.com$"")),""null"",A182)"),"164@telefonica.net")</f>
        <v>164@telefonica.net</v>
      </c>
      <c r="C182" s="5">
        <f>IF(B182="null","null",Descargas!B182)</f>
        <v>44001</v>
      </c>
      <c r="D182" s="6" t="str">
        <f>Descargas!E182</f>
        <v>https://resources.simonelectric.com/simon-catalogo-vehiculo-electrico</v>
      </c>
      <c r="E182" s="20" t="str">
        <f t="shared" si="1"/>
        <v>164@telefonica.net</v>
      </c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</row>
    <row r="183" ht="15.75" customHeight="1">
      <c r="A183" s="18" t="str">
        <f>Descargas!A183</f>
        <v>165@dobontech.com</v>
      </c>
      <c r="B183" s="19" t="str">
        <f>IFERROR(__xludf.DUMMYFUNCTION("IF(OR(regexmatch(A183,"".*@simon.es$""),REGEXMATCH(A183,"".*@simon.pt$""),REGEXMATCH(A183,"".*@simonelectrica.com$""),REGEXMATCH(A183,"".*@hiberus.com$""),REGEXMATCH(A183,"".*@simonbrico.es$""),regexmatch(A183,"".*@simonelectric.com$"")),""null"",A183)"),"165@dobontech.com")</f>
        <v>165@dobontech.com</v>
      </c>
      <c r="C183" s="5">
        <f>IF(B183="null","null",Descargas!B183)</f>
        <v>44001</v>
      </c>
      <c r="D183" s="6" t="str">
        <f>Descargas!E183</f>
        <v>https://resources.simonelectric.com/simon-material-formativo-vehiculo-electrico</v>
      </c>
      <c r="E183" s="20" t="str">
        <f t="shared" si="1"/>
        <v>165@dobontech.com</v>
      </c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</row>
    <row r="184" ht="15.75" customHeight="1">
      <c r="A184" s="18" t="str">
        <f>Descargas!A184</f>
        <v>166@napols.net</v>
      </c>
      <c r="B184" s="19" t="str">
        <f>IFERROR(__xludf.DUMMYFUNCTION("IF(OR(regexmatch(A184,"".*@simon.es$""),REGEXMATCH(A184,"".*@simon.pt$""),REGEXMATCH(A184,"".*@simonelectrica.com$""),REGEXMATCH(A184,"".*@hiberus.com$""),REGEXMATCH(A184,"".*@simonbrico.es$""),regexmatch(A184,"".*@simonelectric.com$"")),""null"",A184)"),"166@napols.net")</f>
        <v>166@napols.net</v>
      </c>
      <c r="C184" s="5">
        <f>IF(B184="null","null",Descargas!B184)</f>
        <v>44001</v>
      </c>
      <c r="D184" s="6" t="str">
        <f>Descargas!E184</f>
        <v>https://resources.simonelectric.com/simon-material-formativo-vehiculo-electrico</v>
      </c>
      <c r="E184" s="20" t="str">
        <f t="shared" si="1"/>
        <v>166@napols.net</v>
      </c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</row>
    <row r="185" ht="15.75" customHeight="1">
      <c r="A185" s="18" t="str">
        <f>Descargas!A185</f>
        <v>167@me.com</v>
      </c>
      <c r="B185" s="19" t="str">
        <f>IFERROR(__xludf.DUMMYFUNCTION("IF(OR(regexmatch(A185,"".*@simon.es$""),REGEXMATCH(A185,"".*@simon.pt$""),REGEXMATCH(A185,"".*@simonelectrica.com$""),REGEXMATCH(A185,"".*@hiberus.com$""),REGEXMATCH(A185,"".*@simonbrico.es$""),regexmatch(A185,"".*@simonelectric.com$"")),""null"",A185)"),"167@me.com")</f>
        <v>167@me.com</v>
      </c>
      <c r="C185" s="5">
        <f>IF(B185="null","null",Descargas!B185)</f>
        <v>44001</v>
      </c>
      <c r="D185" s="6" t="str">
        <f>Descargas!E185</f>
        <v>https://resources.simonelectric.com/simon-ebook-vehiculo-electrico-ppc</v>
      </c>
      <c r="E185" s="20" t="str">
        <f t="shared" si="1"/>
        <v>167@me.com</v>
      </c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</row>
    <row r="186" ht="15.75" customHeight="1">
      <c r="A186" s="18" t="str">
        <f>Descargas!A186</f>
        <v>168@hc-ingenieros.com</v>
      </c>
      <c r="B186" s="19" t="str">
        <f>IFERROR(__xludf.DUMMYFUNCTION("IF(OR(regexmatch(A186,"".*@simon.es$""),REGEXMATCH(A186,"".*@simon.pt$""),REGEXMATCH(A186,"".*@simonelectrica.com$""),REGEXMATCH(A186,"".*@hiberus.com$""),REGEXMATCH(A186,"".*@simonbrico.es$""),regexmatch(A186,"".*@simonelectric.com$"")),""null"",A186)"),"168@hc-ingenieros.com")</f>
        <v>168@hc-ingenieros.com</v>
      </c>
      <c r="C186" s="5">
        <f>IF(B186="null","null",Descargas!B186)</f>
        <v>44001</v>
      </c>
      <c r="D186" s="6" t="str">
        <f>Descargas!E186</f>
        <v>https://resources.simonelectric.com/simon-material-formativo-vehiculo-electrico</v>
      </c>
      <c r="E186" s="20" t="str">
        <f t="shared" si="1"/>
        <v>168@hc-ingenieros.com</v>
      </c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</row>
    <row r="187" ht="15.75" customHeight="1">
      <c r="A187" s="18" t="str">
        <f>Descargas!A187</f>
        <v>66@dgingenieros.es</v>
      </c>
      <c r="B187" s="19" t="str">
        <f>IFERROR(__xludf.DUMMYFUNCTION("IF(OR(regexmatch(A187,"".*@simon.es$""),REGEXMATCH(A187,"".*@simon.pt$""),REGEXMATCH(A187,"".*@simonelectrica.com$""),REGEXMATCH(A187,"".*@hiberus.com$""),REGEXMATCH(A187,"".*@simonbrico.es$""),regexmatch(A187,"".*@simonelectric.com$"")),""null"",A187)"),"66@dgingenieros.es")</f>
        <v>66@dgingenieros.es</v>
      </c>
      <c r="C187" s="5">
        <f>IF(B187="null","null",Descargas!B187)</f>
        <v>44001</v>
      </c>
      <c r="D187" s="6" t="str">
        <f>Descargas!E187</f>
        <v>https://resources.simonelectric.com/simon-material-formativo-vehiculo-electrico</v>
      </c>
      <c r="E187" s="20" t="str">
        <f t="shared" si="1"/>
        <v>66@dgingenieros.es</v>
      </c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</row>
    <row r="188" ht="15.75" customHeight="1">
      <c r="A188" s="18" t="str">
        <f>Descargas!A188</f>
        <v>88@ingenierosvigo.com</v>
      </c>
      <c r="B188" s="19" t="str">
        <f>IFERROR(__xludf.DUMMYFUNCTION("IF(OR(regexmatch(A188,"".*@simon.es$""),REGEXMATCH(A188,"".*@simon.pt$""),REGEXMATCH(A188,"".*@simonelectrica.com$""),REGEXMATCH(A188,"".*@hiberus.com$""),REGEXMATCH(A188,"".*@simonbrico.es$""),regexmatch(A188,"".*@simonelectric.com$"")),""null"",A188)"),"88@ingenierosvigo.com")</f>
        <v>88@ingenierosvigo.com</v>
      </c>
      <c r="C188" s="5">
        <f>IF(B188="null","null",Descargas!B188)</f>
        <v>44001</v>
      </c>
      <c r="D188" s="6" t="str">
        <f>Descargas!E188</f>
        <v>https://resources.simonelectric.com/simon-material-formativo-vehiculo-electrico</v>
      </c>
      <c r="E188" s="20" t="str">
        <f t="shared" si="1"/>
        <v>88@ingenierosvigo.com</v>
      </c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</row>
    <row r="189" ht="15.75" customHeight="1">
      <c r="A189" s="18" t="str">
        <f>Descargas!A189</f>
        <v>85@gmail.com</v>
      </c>
      <c r="B189" s="19" t="str">
        <f>IFERROR(__xludf.DUMMYFUNCTION("IF(OR(regexmatch(A189,"".*@simon.es$""),REGEXMATCH(A189,"".*@simon.pt$""),REGEXMATCH(A189,"".*@simonelectrica.com$""),REGEXMATCH(A189,"".*@hiberus.com$""),REGEXMATCH(A189,"".*@simonbrico.es$""),regexmatch(A189,"".*@simonelectric.com$"")),""null"",A189)"),"85@gmail.com")</f>
        <v>85@gmail.com</v>
      </c>
      <c r="C189" s="5">
        <f>IF(B189="null","null",Descargas!B189)</f>
        <v>44001</v>
      </c>
      <c r="D189" s="6" t="str">
        <f>Descargas!E189</f>
        <v>https://resources.simonelectric.com/simon-material-formativo-vehiculo-electrico</v>
      </c>
      <c r="E189" s="20" t="str">
        <f t="shared" si="1"/>
        <v>85@gmail.com</v>
      </c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</row>
    <row r="190" ht="15.75" customHeight="1">
      <c r="A190" s="18" t="str">
        <f>Descargas!A190</f>
        <v>169@gmail.com</v>
      </c>
      <c r="B190" s="19" t="str">
        <f>IFERROR(__xludf.DUMMYFUNCTION("IF(OR(regexmatch(A190,"".*@simon.es$""),REGEXMATCH(A190,"".*@simon.pt$""),REGEXMATCH(A190,"".*@simonelectrica.com$""),REGEXMATCH(A190,"".*@hiberus.com$""),REGEXMATCH(A190,"".*@simonbrico.es$""),regexmatch(A190,"".*@simonelectric.com$"")),""null"",A190)"),"169@gmail.com")</f>
        <v>169@gmail.com</v>
      </c>
      <c r="C190" s="5">
        <f>IF(B190="null","null",Descargas!B190)</f>
        <v>44001</v>
      </c>
      <c r="D190" s="6" t="str">
        <f>Descargas!E190</f>
        <v>https://resources.simonelectric.com/simon-material-formativo-vehiculo-electrico</v>
      </c>
      <c r="E190" s="20" t="str">
        <f t="shared" si="1"/>
        <v>169@gmail.com</v>
      </c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</row>
    <row r="191" ht="15.75" customHeight="1">
      <c r="A191" s="18" t="str">
        <f>Descargas!A191</f>
        <v>170@ciudaddelosmuchachos.com</v>
      </c>
      <c r="B191" s="19" t="str">
        <f>IFERROR(__xludf.DUMMYFUNCTION("IF(OR(regexmatch(A191,"".*@simon.es$""),REGEXMATCH(A191,"".*@simon.pt$""),REGEXMATCH(A191,"".*@simonelectrica.com$""),REGEXMATCH(A191,"".*@hiberus.com$""),REGEXMATCH(A191,"".*@simonbrico.es$""),regexmatch(A191,"".*@simonelectric.com$"")),""null"",A191)"),"170@ciudaddelosmuchachos.com")</f>
        <v>170@ciudaddelosmuchachos.com</v>
      </c>
      <c r="C191" s="5">
        <f>IF(B191="null","null",Descargas!B191)</f>
        <v>44001</v>
      </c>
      <c r="D191" s="6" t="str">
        <f>Descargas!E191</f>
        <v>https://resources.simonelectric.com/simon-material-formativo-vehiculo-electrico</v>
      </c>
      <c r="E191" s="20" t="str">
        <f t="shared" si="1"/>
        <v>170@ciudaddelosmuchachos.com</v>
      </c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</row>
    <row r="192" ht="15.75" customHeight="1">
      <c r="A192" s="18" t="str">
        <f>Descargas!A192</f>
        <v>171@gmail.com</v>
      </c>
      <c r="B192" s="19" t="str">
        <f>IFERROR(__xludf.DUMMYFUNCTION("IF(OR(regexmatch(A192,"".*@simon.es$""),REGEXMATCH(A192,"".*@simon.pt$""),REGEXMATCH(A192,"".*@simonelectrica.com$""),REGEXMATCH(A192,"".*@hiberus.com$""),REGEXMATCH(A192,"".*@simonbrico.es$""),regexmatch(A192,"".*@simonelectric.com$"")),""null"",A192)"),"171@gmail.com")</f>
        <v>171@gmail.com</v>
      </c>
      <c r="C192" s="5">
        <f>IF(B192="null","null",Descargas!B192)</f>
        <v>44001</v>
      </c>
      <c r="D192" s="6" t="str">
        <f>Descargas!E192</f>
        <v>https://resources.simonelectric.com/simon-catalogo-vehiculo-electrico</v>
      </c>
      <c r="E192" s="20" t="str">
        <f t="shared" si="1"/>
        <v>171@gmail.com</v>
      </c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</row>
    <row r="193" ht="15.75" customHeight="1">
      <c r="A193" s="18" t="str">
        <f>Descargas!A193</f>
        <v>111@murciaeduca.es</v>
      </c>
      <c r="B193" s="19" t="str">
        <f>IFERROR(__xludf.DUMMYFUNCTION("IF(OR(regexmatch(A193,"".*@simon.es$""),REGEXMATCH(A193,"".*@simon.pt$""),REGEXMATCH(A193,"".*@simonelectrica.com$""),REGEXMATCH(A193,"".*@hiberus.com$""),REGEXMATCH(A193,"".*@simonbrico.es$""),regexmatch(A193,"".*@simonelectric.com$"")),""null"",A193)"),"111@murciaeduca.es")</f>
        <v>111@murciaeduca.es</v>
      </c>
      <c r="C193" s="5">
        <f>IF(B193="null","null",Descargas!B193)</f>
        <v>44001</v>
      </c>
      <c r="D193" s="6" t="str">
        <f>Descargas!E193</f>
        <v>https://resources.simonelectric.com/simon-material-formativo-vehiculo-electrico</v>
      </c>
      <c r="E193" s="20" t="str">
        <f t="shared" si="1"/>
        <v>111@murciaeduca.es</v>
      </c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</row>
    <row r="194" ht="15.75" customHeight="1">
      <c r="A194" s="18" t="str">
        <f>Descargas!A194</f>
        <v>102@telefonica.net</v>
      </c>
      <c r="B194" s="19" t="str">
        <f>IFERROR(__xludf.DUMMYFUNCTION("IF(OR(regexmatch(A194,"".*@simon.es$""),REGEXMATCH(A194,"".*@simon.pt$""),REGEXMATCH(A194,"".*@simonelectrica.com$""),REGEXMATCH(A194,"".*@hiberus.com$""),REGEXMATCH(A194,"".*@simonbrico.es$""),regexmatch(A194,"".*@simonelectric.com$"")),""null"",A194)"),"102@telefonica.net")</f>
        <v>102@telefonica.net</v>
      </c>
      <c r="C194" s="5">
        <f>IF(B194="null","null",Descargas!B194)</f>
        <v>44001</v>
      </c>
      <c r="D194" s="6" t="str">
        <f>Descargas!E194</f>
        <v>https://resources.simonelectric.com/simon-material-formativo-vehiculo-electrico</v>
      </c>
      <c r="E194" s="20" t="str">
        <f t="shared" si="1"/>
        <v>102@telefonica.net</v>
      </c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</row>
    <row r="195" ht="15.75" customHeight="1">
      <c r="A195" s="18" t="str">
        <f>Descargas!A195</f>
        <v>172@ardisenginyeria.com</v>
      </c>
      <c r="B195" s="19" t="str">
        <f>IFERROR(__xludf.DUMMYFUNCTION("IF(OR(regexmatch(A195,"".*@simon.es$""),REGEXMATCH(A195,"".*@simon.pt$""),REGEXMATCH(A195,"".*@simonelectrica.com$""),REGEXMATCH(A195,"".*@hiberus.com$""),REGEXMATCH(A195,"".*@simonbrico.es$""),regexmatch(A195,"".*@simonelectric.com$"")),""null"",A195)"),"172@ardisenginyeria.com")</f>
        <v>172@ardisenginyeria.com</v>
      </c>
      <c r="C195" s="5">
        <f>IF(B195="null","null",Descargas!B195)</f>
        <v>44001</v>
      </c>
      <c r="D195" s="6" t="str">
        <f>Descargas!E195</f>
        <v>https://resources.simonelectric.com/simon-material-formativo-vehiculo-electrico</v>
      </c>
      <c r="E195" s="20" t="str">
        <f t="shared" si="1"/>
        <v>172@ardisenginyeria.com</v>
      </c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</row>
    <row r="196" ht="15.75" customHeight="1">
      <c r="A196" s="18" t="str">
        <f>Descargas!A196</f>
        <v>46@hotmail.com</v>
      </c>
      <c r="B196" s="19" t="str">
        <f>IFERROR(__xludf.DUMMYFUNCTION("IF(OR(regexmatch(A196,"".*@simon.es$""),REGEXMATCH(A196,"".*@simon.pt$""),REGEXMATCH(A196,"".*@simonelectrica.com$""),REGEXMATCH(A196,"".*@hiberus.com$""),REGEXMATCH(A196,"".*@simonbrico.es$""),regexmatch(A196,"".*@simonelectric.com$"")),""null"",A196)"),"46@hotmail.com")</f>
        <v>46@hotmail.com</v>
      </c>
      <c r="C196" s="5">
        <f>IF(B196="null","null",Descargas!B196)</f>
        <v>44001</v>
      </c>
      <c r="D196" s="6" t="str">
        <f>Descargas!E196</f>
        <v>https://resources.simonelectric.com/simon-material-formativo-vehiculo-electrico</v>
      </c>
      <c r="E196" s="20" t="str">
        <f t="shared" si="1"/>
        <v>46@hotmail.com</v>
      </c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</row>
    <row r="197" ht="15.75" customHeight="1">
      <c r="A197" s="18" t="str">
        <f>Descargas!A197</f>
        <v>167@me.com</v>
      </c>
      <c r="B197" s="19" t="str">
        <f>IFERROR(__xludf.DUMMYFUNCTION("IF(OR(regexmatch(A197,"".*@simon.es$""),REGEXMATCH(A197,"".*@simon.pt$""),REGEXMATCH(A197,"".*@simonelectrica.com$""),REGEXMATCH(A197,"".*@hiberus.com$""),REGEXMATCH(A197,"".*@simonbrico.es$""),regexmatch(A197,"".*@simonelectric.com$"")),""null"",A197)"),"167@me.com")</f>
        <v>167@me.com</v>
      </c>
      <c r="C197" s="5">
        <f>IF(B197="null","null",Descargas!B197)</f>
        <v>44001</v>
      </c>
      <c r="D197" s="6" t="str">
        <f>Descargas!E197</f>
        <v>https://resources.simonelectric.com/simon-ebook-vehiculo-electrico-ppc</v>
      </c>
      <c r="E197" s="20" t="str">
        <f t="shared" si="1"/>
        <v>167@me.com</v>
      </c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</row>
    <row r="198" ht="15.75" customHeight="1">
      <c r="A198" s="18" t="str">
        <f>Descargas!A198</f>
        <v>173@gmail.com</v>
      </c>
      <c r="B198" s="19" t="str">
        <f>IFERROR(__xludf.DUMMYFUNCTION("IF(OR(regexmatch(A198,"".*@simon.es$""),REGEXMATCH(A198,"".*@simon.pt$""),REGEXMATCH(A198,"".*@simonelectrica.com$""),REGEXMATCH(A198,"".*@hiberus.com$""),REGEXMATCH(A198,"".*@simonbrico.es$""),regexmatch(A198,"".*@simonelectric.com$"")),""null"",A198)"),"173@gmail.com")</f>
        <v>173@gmail.com</v>
      </c>
      <c r="C198" s="5">
        <f>IF(B198="null","null",Descargas!B198)</f>
        <v>44001</v>
      </c>
      <c r="D198" s="6" t="str">
        <f>Descargas!E198</f>
        <v>https://resources.simonelectric.com/simon-material-formativo-vehiculo-electrico</v>
      </c>
      <c r="E198" s="20" t="str">
        <f t="shared" si="1"/>
        <v>173@gmail.com</v>
      </c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</row>
    <row r="199" ht="15.75" customHeight="1">
      <c r="A199" s="18" t="str">
        <f>Descargas!A199</f>
        <v>110@3epsilonsolutions.com</v>
      </c>
      <c r="B199" s="19" t="str">
        <f>IFERROR(__xludf.DUMMYFUNCTION("IF(OR(regexmatch(A199,"".*@simon.es$""),REGEXMATCH(A199,"".*@simon.pt$""),REGEXMATCH(A199,"".*@simonelectrica.com$""),REGEXMATCH(A199,"".*@hiberus.com$""),REGEXMATCH(A199,"".*@simonbrico.es$""),regexmatch(A199,"".*@simonelectric.com$"")),""null"",A199)"),"110@3epsilonsolutions.com")</f>
        <v>110@3epsilonsolutions.com</v>
      </c>
      <c r="C199" s="5">
        <f>IF(B199="null","null",Descargas!B199)</f>
        <v>44001</v>
      </c>
      <c r="D199" s="6" t="str">
        <f>Descargas!E199</f>
        <v>https://resources.simonelectric.com/simon-material-formativo-vehiculo-electrico</v>
      </c>
      <c r="E199" s="20" t="str">
        <f t="shared" si="1"/>
        <v>110@3epsilonsolutions.com</v>
      </c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</row>
    <row r="200" ht="15.75" customHeight="1">
      <c r="A200" s="18" t="str">
        <f>Descargas!A200</f>
        <v>47@marpemac.com</v>
      </c>
      <c r="B200" s="19" t="str">
        <f>IFERROR(__xludf.DUMMYFUNCTION("IF(OR(regexmatch(A200,"".*@simon.es$""),REGEXMATCH(A200,"".*@simon.pt$""),REGEXMATCH(A200,"".*@simonelectrica.com$""),REGEXMATCH(A200,"".*@hiberus.com$""),REGEXMATCH(A200,"".*@simonbrico.es$""),regexmatch(A200,"".*@simonelectric.com$"")),""null"",A200)"),"47@marpemac.com")</f>
        <v>47@marpemac.com</v>
      </c>
      <c r="C200" s="5">
        <f>IF(B200="null","null",Descargas!B200)</f>
        <v>44001</v>
      </c>
      <c r="D200" s="6" t="str">
        <f>Descargas!E200</f>
        <v>https://resources.simonelectric.com/simon-material-formativo-vehiculo-electrico</v>
      </c>
      <c r="E200" s="20" t="str">
        <f t="shared" si="1"/>
        <v>47@marpemac.com</v>
      </c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</row>
    <row r="201" ht="15.75" customHeight="1">
      <c r="A201" s="18" t="str">
        <f>Descargas!A201</f>
        <v>81@gmail.com</v>
      </c>
      <c r="B201" s="19" t="str">
        <f>IFERROR(__xludf.DUMMYFUNCTION("IF(OR(regexmatch(A201,"".*@simon.es$""),REGEXMATCH(A201,"".*@simon.pt$""),REGEXMATCH(A201,"".*@simonelectrica.com$""),REGEXMATCH(A201,"".*@hiberus.com$""),REGEXMATCH(A201,"".*@simonbrico.es$""),regexmatch(A201,"".*@simonelectric.com$"")),""null"",A201)"),"81@gmail.com")</f>
        <v>81@gmail.com</v>
      </c>
      <c r="C201" s="5">
        <f>IF(B201="null","null",Descargas!B201)</f>
        <v>44001</v>
      </c>
      <c r="D201" s="6" t="str">
        <f>Descargas!E201</f>
        <v>https://resources.simonelectric.com/simon-material-formativo-vehiculo-electrico</v>
      </c>
      <c r="E201" s="20" t="str">
        <f t="shared" si="1"/>
        <v>81@gmail.com</v>
      </c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</row>
    <row r="202" ht="15.75" customHeight="1">
      <c r="A202" s="18" t="str">
        <f>Descargas!A202</f>
        <v>77@comsa.com</v>
      </c>
      <c r="B202" s="19" t="str">
        <f>IFERROR(__xludf.DUMMYFUNCTION("IF(OR(regexmatch(A202,"".*@simon.es$""),REGEXMATCH(A202,"".*@simon.pt$""),REGEXMATCH(A202,"".*@simonelectrica.com$""),REGEXMATCH(A202,"".*@hiberus.com$""),REGEXMATCH(A202,"".*@simonbrico.es$""),regexmatch(A202,"".*@simonelectric.com$"")),""null"",A202)"),"77@comsa.com")</f>
        <v>77@comsa.com</v>
      </c>
      <c r="C202" s="5">
        <f>IF(B202="null","null",Descargas!B202)</f>
        <v>44001</v>
      </c>
      <c r="D202" s="6" t="str">
        <f>Descargas!E202</f>
        <v>https://resources.simonelectric.com/simon-material-formativo-vehiculo-electrico</v>
      </c>
      <c r="E202" s="20" t="str">
        <f t="shared" si="1"/>
        <v>77@comsa.com</v>
      </c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</row>
    <row r="203" ht="15.75" customHeight="1">
      <c r="A203" s="18" t="str">
        <f>Descargas!A203</f>
        <v>174@hotmail.com</v>
      </c>
      <c r="B203" s="19" t="str">
        <f>IFERROR(__xludf.DUMMYFUNCTION("IF(OR(regexmatch(A203,"".*@simon.es$""),REGEXMATCH(A203,"".*@simon.pt$""),REGEXMATCH(A203,"".*@simonelectrica.com$""),REGEXMATCH(A203,"".*@hiberus.com$""),REGEXMATCH(A203,"".*@simonbrico.es$""),regexmatch(A203,"".*@simonelectric.com$"")),""null"",A203)"),"174@hotmail.com")</f>
        <v>174@hotmail.com</v>
      </c>
      <c r="C203" s="5">
        <f>IF(B203="null","null",Descargas!B203)</f>
        <v>44001</v>
      </c>
      <c r="D203" s="6" t="str">
        <f>Descargas!E203</f>
        <v>https://resources.simonelectric.com/simon-material-formativo-vehiculo-electrico</v>
      </c>
      <c r="E203" s="20" t="str">
        <f t="shared" si="1"/>
        <v>174@hotmail.com</v>
      </c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</row>
    <row r="204" ht="15.75" customHeight="1">
      <c r="A204" s="18" t="str">
        <f>Descargas!A204</f>
        <v>175@gobesa.com</v>
      </c>
      <c r="B204" s="19" t="str">
        <f>IFERROR(__xludf.DUMMYFUNCTION("IF(OR(regexmatch(A204,"".*@simon.es$""),REGEXMATCH(A204,"".*@simon.pt$""),REGEXMATCH(A204,"".*@simonelectrica.com$""),REGEXMATCH(A204,"".*@hiberus.com$""),REGEXMATCH(A204,"".*@simonbrico.es$""),regexmatch(A204,"".*@simonelectric.com$"")),""null"",A204)"),"175@gobesa.com")</f>
        <v>175@gobesa.com</v>
      </c>
      <c r="C204" s="5">
        <f>IF(B204="null","null",Descargas!B204)</f>
        <v>44001</v>
      </c>
      <c r="D204" s="6" t="str">
        <f>Descargas!E204</f>
        <v>https://resources.simonelectric.com/simon-catalogo-vehiculo-electrico</v>
      </c>
      <c r="E204" s="20" t="str">
        <f t="shared" si="1"/>
        <v>175@gobesa.com</v>
      </c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</row>
    <row r="205" ht="15.75" customHeight="1">
      <c r="A205" s="18" t="str">
        <f>Descargas!A205</f>
        <v>176@aia.cat</v>
      </c>
      <c r="B205" s="19" t="str">
        <f>IFERROR(__xludf.DUMMYFUNCTION("IF(OR(regexmatch(A205,"".*@simon.es$""),REGEXMATCH(A205,"".*@simon.pt$""),REGEXMATCH(A205,"".*@simonelectrica.com$""),REGEXMATCH(A205,"".*@hiberus.com$""),REGEXMATCH(A205,"".*@simonbrico.es$""),regexmatch(A205,"".*@simonelectric.com$"")),""null"",A205)"),"176@aia.cat")</f>
        <v>176@aia.cat</v>
      </c>
      <c r="C205" s="5">
        <f>IF(B205="null","null",Descargas!B205)</f>
        <v>44001</v>
      </c>
      <c r="D205" s="6" t="str">
        <f>Descargas!E205</f>
        <v>https://resources.simonelectric.com/simon-catalogo-vehiculo-electrico</v>
      </c>
      <c r="E205" s="20" t="str">
        <f t="shared" si="1"/>
        <v>176@aia.cat</v>
      </c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</row>
    <row r="206" ht="15.75" customHeight="1">
      <c r="A206" s="18" t="str">
        <f>Descargas!A206</f>
        <v>177@mobcn.org</v>
      </c>
      <c r="B206" s="19" t="str">
        <f>IFERROR(__xludf.DUMMYFUNCTION("IF(OR(regexmatch(A206,"".*@simon.es$""),REGEXMATCH(A206,"".*@simon.pt$""),REGEXMATCH(A206,"".*@simonelectrica.com$""),REGEXMATCH(A206,"".*@hiberus.com$""),REGEXMATCH(A206,"".*@simonbrico.es$""),regexmatch(A206,"".*@simonelectric.com$"")),""null"",A206)"),"177@mobcn.org")</f>
        <v>177@mobcn.org</v>
      </c>
      <c r="C206" s="5">
        <f>IF(B206="null","null",Descargas!B206)</f>
        <v>44001</v>
      </c>
      <c r="D206" s="6" t="str">
        <f>Descargas!E206</f>
        <v>https://resources.simonelectric.com/simon-catalogo-vehiculo-electrico</v>
      </c>
      <c r="E206" s="20" t="str">
        <f t="shared" si="1"/>
        <v>177@mobcn.org</v>
      </c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</row>
    <row r="207" ht="15.75" customHeight="1">
      <c r="A207" s="18" t="str">
        <f>Descargas!A207</f>
        <v>107@dipucr.es</v>
      </c>
      <c r="B207" s="19" t="str">
        <f>IFERROR(__xludf.DUMMYFUNCTION("IF(OR(regexmatch(A207,"".*@simon.es$""),REGEXMATCH(A207,"".*@simon.pt$""),REGEXMATCH(A207,"".*@simonelectrica.com$""),REGEXMATCH(A207,"".*@hiberus.com$""),REGEXMATCH(A207,"".*@simonbrico.es$""),regexmatch(A207,"".*@simonelectric.com$"")),""null"",A207)"),"107@dipucr.es")</f>
        <v>107@dipucr.es</v>
      </c>
      <c r="C207" s="5">
        <f>IF(B207="null","null",Descargas!B207)</f>
        <v>44001</v>
      </c>
      <c r="D207" s="6" t="str">
        <f>Descargas!E207</f>
        <v>https://resources.simonelectric.com/simon-material-formativo-vehiculo-electrico</v>
      </c>
      <c r="E207" s="20" t="str">
        <f t="shared" si="1"/>
        <v>107@dipucr.es</v>
      </c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</row>
    <row r="208" ht="15.75" customHeight="1">
      <c r="A208" s="18" t="str">
        <f>Descargas!A208</f>
        <v>178@tec-engineering.es</v>
      </c>
      <c r="B208" s="19" t="str">
        <f>IFERROR(__xludf.DUMMYFUNCTION("IF(OR(regexmatch(A208,"".*@simon.es$""),REGEXMATCH(A208,"".*@simon.pt$""),REGEXMATCH(A208,"".*@simonelectrica.com$""),REGEXMATCH(A208,"".*@hiberus.com$""),REGEXMATCH(A208,"".*@simonbrico.es$""),regexmatch(A208,"".*@simonelectric.com$"")),""null"",A208)"),"178@tec-engineering.es")</f>
        <v>178@tec-engineering.es</v>
      </c>
      <c r="C208" s="5">
        <f>IF(B208="null","null",Descargas!B208)</f>
        <v>44001</v>
      </c>
      <c r="D208" s="6" t="str">
        <f>Descargas!E208</f>
        <v>https://resources.simonelectric.com/simon-catalogo-vehiculo-electrico</v>
      </c>
      <c r="E208" s="20" t="str">
        <f t="shared" si="1"/>
        <v>178@tec-engineering.es</v>
      </c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</row>
    <row r="209" ht="15.75" customHeight="1">
      <c r="A209" s="18" t="str">
        <f>Descargas!A209</f>
        <v>179@mundo-r.com</v>
      </c>
      <c r="B209" s="19" t="str">
        <f>IFERROR(__xludf.DUMMYFUNCTION("IF(OR(regexmatch(A209,"".*@simon.es$""),REGEXMATCH(A209,"".*@simon.pt$""),REGEXMATCH(A209,"".*@simonelectrica.com$""),REGEXMATCH(A209,"".*@hiberus.com$""),REGEXMATCH(A209,"".*@simonbrico.es$""),regexmatch(A209,"".*@simonelectric.com$"")),""null"",A209)"),"179@mundo-r.com")</f>
        <v>179@mundo-r.com</v>
      </c>
      <c r="C209" s="5">
        <f>IF(B209="null","null",Descargas!B209)</f>
        <v>44001</v>
      </c>
      <c r="D209" s="6" t="str">
        <f>Descargas!E209</f>
        <v>https://resources.simonelectric.com/simon-catalogo-vehiculo-electrico</v>
      </c>
      <c r="E209" s="20" t="str">
        <f t="shared" si="1"/>
        <v>179@mundo-r.com</v>
      </c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</row>
    <row r="210" ht="15.75" customHeight="1">
      <c r="A210" s="18" t="str">
        <f>Descargas!A210</f>
        <v>180@aquambiente.es</v>
      </c>
      <c r="B210" s="19" t="str">
        <f>IFERROR(__xludf.DUMMYFUNCTION("IF(OR(regexmatch(A210,"".*@simon.es$""),REGEXMATCH(A210,"".*@simon.pt$""),REGEXMATCH(A210,"".*@simonelectrica.com$""),REGEXMATCH(A210,"".*@hiberus.com$""),REGEXMATCH(A210,"".*@simonbrico.es$""),regexmatch(A210,"".*@simonelectric.com$"")),""null"",A210)"),"180@aquambiente.es")</f>
        <v>180@aquambiente.es</v>
      </c>
      <c r="C210" s="5">
        <f>IF(B210="null","null",Descargas!B210)</f>
        <v>44001</v>
      </c>
      <c r="D210" s="6" t="str">
        <f>Descargas!E210</f>
        <v>https://resources.simonelectric.com/simon-catalogo-vehiculo-electrico</v>
      </c>
      <c r="E210" s="20" t="str">
        <f t="shared" si="1"/>
        <v>180@aquambiente.es</v>
      </c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</row>
    <row r="211" ht="15.75" customHeight="1">
      <c r="A211" s="18" t="str">
        <f>Descargas!A211</f>
        <v>181@juntaex.es</v>
      </c>
      <c r="B211" s="19" t="str">
        <f>IFERROR(__xludf.DUMMYFUNCTION("IF(OR(regexmatch(A211,"".*@simon.es$""),REGEXMATCH(A211,"".*@simon.pt$""),REGEXMATCH(A211,"".*@simonelectrica.com$""),REGEXMATCH(A211,"".*@hiberus.com$""),REGEXMATCH(A211,"".*@simonbrico.es$""),regexmatch(A211,"".*@simonelectric.com$"")),""null"",A211)"),"181@juntaex.es")</f>
        <v>181@juntaex.es</v>
      </c>
      <c r="C211" s="5">
        <f>IF(B211="null","null",Descargas!B211)</f>
        <v>44001</v>
      </c>
      <c r="D211" s="6" t="str">
        <f>Descargas!E211</f>
        <v>https://resources.simonelectric.com/simon-material-formativo-vehiculo-electrico</v>
      </c>
      <c r="E211" s="20" t="str">
        <f t="shared" si="1"/>
        <v>181@juntaex.es</v>
      </c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</row>
    <row r="212" ht="15.75" customHeight="1">
      <c r="A212" s="18" t="str">
        <f>Descargas!A212</f>
        <v>97@igpingenieria.com</v>
      </c>
      <c r="B212" s="19" t="str">
        <f>IFERROR(__xludf.DUMMYFUNCTION("IF(OR(regexmatch(A212,"".*@simon.es$""),REGEXMATCH(A212,"".*@simon.pt$""),REGEXMATCH(A212,"".*@simonelectrica.com$""),REGEXMATCH(A212,"".*@hiberus.com$""),REGEXMATCH(A212,"".*@simonbrico.es$""),regexmatch(A212,"".*@simonelectric.com$"")),""null"",A212)"),"97@igpingenieria.com")</f>
        <v>97@igpingenieria.com</v>
      </c>
      <c r="C212" s="5">
        <f>IF(B212="null","null",Descargas!B212)</f>
        <v>44001</v>
      </c>
      <c r="D212" s="6" t="str">
        <f>Descargas!E212</f>
        <v>https://resources.simonelectric.com/simon-material-formativo-vehiculo-electrico</v>
      </c>
      <c r="E212" s="20" t="str">
        <f t="shared" si="1"/>
        <v>97@igpingenieria.com</v>
      </c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</row>
    <row r="213" ht="15.75" customHeight="1">
      <c r="A213" s="18" t="str">
        <f>Descargas!A213</f>
        <v>118@legebiltzarra.eus</v>
      </c>
      <c r="B213" s="19" t="str">
        <f>IFERROR(__xludf.DUMMYFUNCTION("IF(OR(regexmatch(A213,"".*@simon.es$""),REGEXMATCH(A213,"".*@simon.pt$""),REGEXMATCH(A213,"".*@simonelectrica.com$""),REGEXMATCH(A213,"".*@hiberus.com$""),REGEXMATCH(A213,"".*@simonbrico.es$""),regexmatch(A213,"".*@simonelectric.com$"")),""null"",A213)"),"118@legebiltzarra.eus")</f>
        <v>118@legebiltzarra.eus</v>
      </c>
      <c r="C213" s="5">
        <f>IF(B213="null","null",Descargas!B213)</f>
        <v>44001</v>
      </c>
      <c r="D213" s="6" t="str">
        <f>Descargas!E213</f>
        <v>https://resources.simonelectric.com/simon-material-formativo-vehiculo-electrico</v>
      </c>
      <c r="E213" s="20" t="str">
        <f t="shared" si="1"/>
        <v>118@legebiltzarra.eus</v>
      </c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</row>
    <row r="214" ht="15.75" customHeight="1">
      <c r="A214" s="18" t="str">
        <f>Descargas!A214</f>
        <v>123@grupocuerva.com</v>
      </c>
      <c r="B214" s="19" t="str">
        <f>IFERROR(__xludf.DUMMYFUNCTION("IF(OR(regexmatch(A214,"".*@simon.es$""),REGEXMATCH(A214,"".*@simon.pt$""),REGEXMATCH(A214,"".*@simonelectrica.com$""),REGEXMATCH(A214,"".*@hiberus.com$""),REGEXMATCH(A214,"".*@simonbrico.es$""),regexmatch(A214,"".*@simonelectric.com$"")),""null"",A214)"),"123@grupocuerva.com")</f>
        <v>123@grupocuerva.com</v>
      </c>
      <c r="C214" s="5">
        <f>IF(B214="null","null",Descargas!B214)</f>
        <v>44001</v>
      </c>
      <c r="D214" s="6" t="str">
        <f>Descargas!E214</f>
        <v>https://resources.simonelectric.com/simon-material-formativo-vehiculo-electrico</v>
      </c>
      <c r="E214" s="20" t="str">
        <f t="shared" si="1"/>
        <v>123@grupocuerva.com</v>
      </c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</row>
    <row r="215" ht="15.75" customHeight="1">
      <c r="A215" s="18" t="str">
        <f>Descargas!A215</f>
        <v>182@usal.es</v>
      </c>
      <c r="B215" s="19" t="str">
        <f>IFERROR(__xludf.DUMMYFUNCTION("IF(OR(regexmatch(A215,"".*@simon.es$""),REGEXMATCH(A215,"".*@simon.pt$""),REGEXMATCH(A215,"".*@simonelectrica.com$""),REGEXMATCH(A215,"".*@hiberus.com$""),REGEXMATCH(A215,"".*@simonbrico.es$""),regexmatch(A215,"".*@simonelectric.com$"")),""null"",A215)"),"182@usal.es")</f>
        <v>182@usal.es</v>
      </c>
      <c r="C215" s="5">
        <f>IF(B215="null","null",Descargas!B215)</f>
        <v>44000</v>
      </c>
      <c r="D215" s="6" t="str">
        <f>Descargas!E215</f>
        <v>https://resources.simonelectric.com/simon-material-formativo-vehiculo-electrico</v>
      </c>
      <c r="E215" s="20" t="str">
        <f t="shared" si="1"/>
        <v>182@usal.es</v>
      </c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</row>
    <row r="216" ht="15.75" customHeight="1">
      <c r="A216" s="18" t="str">
        <f>Descargas!A216</f>
        <v>105@gmail.com</v>
      </c>
      <c r="B216" s="19" t="str">
        <f>IFERROR(__xludf.DUMMYFUNCTION("IF(OR(regexmatch(A216,"".*@simon.es$""),REGEXMATCH(A216,"".*@simon.pt$""),REGEXMATCH(A216,"".*@simonelectrica.com$""),REGEXMATCH(A216,"".*@hiberus.com$""),REGEXMATCH(A216,"".*@simonbrico.es$""),regexmatch(A216,"".*@simonelectric.com$"")),""null"",A216)"),"105@gmail.com")</f>
        <v>105@gmail.com</v>
      </c>
      <c r="C216" s="5">
        <f>IF(B216="null","null",Descargas!B216)</f>
        <v>44000</v>
      </c>
      <c r="D216" s="6" t="str">
        <f>Descargas!E216</f>
        <v>https://resources.simonelectric.com/simon-material-formativo-vehiculo-electrico</v>
      </c>
      <c r="E216" s="20" t="str">
        <f t="shared" si="1"/>
        <v>105@gmail.com</v>
      </c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</row>
    <row r="217" ht="15.75" customHeight="1">
      <c r="A217" s="18" t="str">
        <f>Descargas!A217</f>
        <v>162@gmail.com</v>
      </c>
      <c r="B217" s="19" t="str">
        <f>IFERROR(__xludf.DUMMYFUNCTION("IF(OR(regexmatch(A217,"".*@simon.es$""),REGEXMATCH(A217,"".*@simon.pt$""),REGEXMATCH(A217,"".*@simonelectrica.com$""),REGEXMATCH(A217,"".*@hiberus.com$""),REGEXMATCH(A217,"".*@simonbrico.es$""),regexmatch(A217,"".*@simonelectric.com$"")),""null"",A217)"),"162@gmail.com")</f>
        <v>162@gmail.com</v>
      </c>
      <c r="C217" s="5">
        <f>IF(B217="null","null",Descargas!B217)</f>
        <v>44000</v>
      </c>
      <c r="D217" s="6" t="str">
        <f>Descargas!E217</f>
        <v>https://resources.simonelectric.com/simon-material-formativo-vehiculo-electrico</v>
      </c>
      <c r="E217" s="20" t="str">
        <f t="shared" si="1"/>
        <v>162@gmail.com</v>
      </c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</row>
    <row r="218" ht="15.75" customHeight="1">
      <c r="A218" s="18" t="str">
        <f>Descargas!A218</f>
        <v>96@hotmail.com</v>
      </c>
      <c r="B218" s="19" t="str">
        <f>IFERROR(__xludf.DUMMYFUNCTION("IF(OR(regexmatch(A218,"".*@simon.es$""),REGEXMATCH(A218,"".*@simon.pt$""),REGEXMATCH(A218,"".*@simonelectrica.com$""),REGEXMATCH(A218,"".*@hiberus.com$""),REGEXMATCH(A218,"".*@simonbrico.es$""),regexmatch(A218,"".*@simonelectric.com$"")),""null"",A218)"),"96@hotmail.com")</f>
        <v>96@hotmail.com</v>
      </c>
      <c r="C218" s="5">
        <f>IF(B218="null","null",Descargas!B218)</f>
        <v>44000</v>
      </c>
      <c r="D218" s="6" t="str">
        <f>Descargas!E218</f>
        <v>https://resources.simonelectric.com/simon-material-formativo-vehiculo-electrico</v>
      </c>
      <c r="E218" s="20" t="str">
        <f t="shared" si="1"/>
        <v>96@hotmail.com</v>
      </c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</row>
    <row r="219" ht="15.75" customHeight="1">
      <c r="A219" s="18" t="str">
        <f>Descargas!A219</f>
        <v>183@arquired.es</v>
      </c>
      <c r="B219" s="19" t="str">
        <f>IFERROR(__xludf.DUMMYFUNCTION("IF(OR(regexmatch(A219,"".*@simon.es$""),REGEXMATCH(A219,"".*@simon.pt$""),REGEXMATCH(A219,"".*@simonelectrica.com$""),REGEXMATCH(A219,"".*@hiberus.com$""),REGEXMATCH(A219,"".*@simonbrico.es$""),regexmatch(A219,"".*@simonelectric.com$"")),""null"",A219)"),"183@arquired.es")</f>
        <v>183@arquired.es</v>
      </c>
      <c r="C219" s="5">
        <f>IF(B219="null","null",Descargas!B219)</f>
        <v>44000</v>
      </c>
      <c r="D219" s="6" t="str">
        <f>Descargas!E219</f>
        <v>https://resources.simonelectric.com/simon-material-formativo-vehiculo-electrico</v>
      </c>
      <c r="E219" s="20" t="str">
        <f t="shared" si="1"/>
        <v>183@arquired.es</v>
      </c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</row>
    <row r="220" ht="15.75" customHeight="1">
      <c r="A220" s="18" t="str">
        <f>Descargas!A220</f>
        <v>184@telefonica.net</v>
      </c>
      <c r="B220" s="19" t="str">
        <f>IFERROR(__xludf.DUMMYFUNCTION("IF(OR(regexmatch(A220,"".*@simon.es$""),REGEXMATCH(A220,"".*@simon.pt$""),REGEXMATCH(A220,"".*@simonelectrica.com$""),REGEXMATCH(A220,"".*@hiberus.com$""),REGEXMATCH(A220,"".*@simonbrico.es$""),regexmatch(A220,"".*@simonelectric.com$"")),""null"",A220)"),"184@telefonica.net")</f>
        <v>184@telefonica.net</v>
      </c>
      <c r="C220" s="5">
        <f>IF(B220="null","null",Descargas!B220)</f>
        <v>44000</v>
      </c>
      <c r="D220" s="6" t="str">
        <f>Descargas!E220</f>
        <v>https://resources.simonelectric.com/simon-material-formativo-vehiculo-electrico</v>
      </c>
      <c r="E220" s="20" t="str">
        <f t="shared" si="1"/>
        <v>184@telefonica.net</v>
      </c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</row>
    <row r="221" ht="15.75" customHeight="1">
      <c r="A221" s="18" t="str">
        <f>Descargas!A221</f>
        <v>185@asintec.info</v>
      </c>
      <c r="B221" s="19" t="str">
        <f>IFERROR(__xludf.DUMMYFUNCTION("IF(OR(regexmatch(A221,"".*@simon.es$""),REGEXMATCH(A221,"".*@simon.pt$""),REGEXMATCH(A221,"".*@simonelectrica.com$""),REGEXMATCH(A221,"".*@hiberus.com$""),REGEXMATCH(A221,"".*@simonbrico.es$""),regexmatch(A221,"".*@simonelectric.com$"")),""null"",A221)"),"185@asintec.info")</f>
        <v>185@asintec.info</v>
      </c>
      <c r="C221" s="5">
        <f>IF(B221="null","null",Descargas!B221)</f>
        <v>44000</v>
      </c>
      <c r="D221" s="6" t="str">
        <f>Descargas!E221</f>
        <v>https://resources.simonelectric.com/simon-material-formativo-vehiculo-electrico</v>
      </c>
      <c r="E221" s="20" t="str">
        <f t="shared" si="1"/>
        <v>185@asintec.info</v>
      </c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</row>
    <row r="222" ht="15.75" customHeight="1">
      <c r="A222" s="18" t="str">
        <f>Descargas!A222</f>
        <v>90@telefonica.net</v>
      </c>
      <c r="B222" s="19" t="str">
        <f>IFERROR(__xludf.DUMMYFUNCTION("IF(OR(regexmatch(A222,"".*@simon.es$""),REGEXMATCH(A222,"".*@simon.pt$""),REGEXMATCH(A222,"".*@simonelectrica.com$""),REGEXMATCH(A222,"".*@hiberus.com$""),REGEXMATCH(A222,"".*@simonbrico.es$""),regexmatch(A222,"".*@simonelectric.com$"")),""null"",A222)"),"90@telefonica.net")</f>
        <v>90@telefonica.net</v>
      </c>
      <c r="C222" s="5">
        <f>IF(B222="null","null",Descargas!B222)</f>
        <v>44000</v>
      </c>
      <c r="D222" s="6" t="str">
        <f>Descargas!E222</f>
        <v>https://resources.simonelectric.com/simon-material-formativo-vehiculo-electrico</v>
      </c>
      <c r="E222" s="20" t="str">
        <f t="shared" si="1"/>
        <v>90@telefonica.net</v>
      </c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</row>
    <row r="223" ht="15.75" customHeight="1">
      <c r="A223" s="18" t="str">
        <f>Descargas!A223</f>
        <v>186@msn.com</v>
      </c>
      <c r="B223" s="19" t="str">
        <f>IFERROR(__xludf.DUMMYFUNCTION("IF(OR(regexmatch(A223,"".*@simon.es$""),REGEXMATCH(A223,"".*@simon.pt$""),REGEXMATCH(A223,"".*@simonelectrica.com$""),REGEXMATCH(A223,"".*@hiberus.com$""),REGEXMATCH(A223,"".*@simonbrico.es$""),regexmatch(A223,"".*@simonelectric.com$"")),""null"",A223)"),"186@msn.com")</f>
        <v>186@msn.com</v>
      </c>
      <c r="C223" s="5">
        <f>IF(B223="null","null",Descargas!B223)</f>
        <v>44000</v>
      </c>
      <c r="D223" s="6" t="str">
        <f>Descargas!E223</f>
        <v>https://resources.simonelectric.com/simon-material-formativo-vehiculo-electrico</v>
      </c>
      <c r="E223" s="20" t="str">
        <f t="shared" si="1"/>
        <v>186@msn.com</v>
      </c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</row>
    <row r="224" ht="15.75" customHeight="1">
      <c r="A224" s="18" t="str">
        <f>Descargas!A224</f>
        <v>187@castelyfernandez.es</v>
      </c>
      <c r="B224" s="19" t="str">
        <f>IFERROR(__xludf.DUMMYFUNCTION("IF(OR(regexmatch(A224,"".*@simon.es$""),REGEXMATCH(A224,"".*@simon.pt$""),REGEXMATCH(A224,"".*@simonelectrica.com$""),REGEXMATCH(A224,"".*@hiberus.com$""),REGEXMATCH(A224,"".*@simonbrico.es$""),regexmatch(A224,"".*@simonelectric.com$"")),""null"",A224)"),"187@castelyfernandez.es")</f>
        <v>187@castelyfernandez.es</v>
      </c>
      <c r="C224" s="5">
        <f>IF(B224="null","null",Descargas!B224)</f>
        <v>44000</v>
      </c>
      <c r="D224" s="6" t="str">
        <f>Descargas!E224</f>
        <v>https://resources.simonelectric.com/simon-material-formativo-vehiculo-electrico</v>
      </c>
      <c r="E224" s="20" t="str">
        <f t="shared" si="1"/>
        <v>187@castelyfernandez.es</v>
      </c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</row>
    <row r="225" ht="15.75" customHeight="1">
      <c r="A225" s="18" t="str">
        <f>Descargas!A225</f>
        <v>106@ucm.es</v>
      </c>
      <c r="B225" s="19" t="str">
        <f>IFERROR(__xludf.DUMMYFUNCTION("IF(OR(regexmatch(A225,"".*@simon.es$""),REGEXMATCH(A225,"".*@simon.pt$""),REGEXMATCH(A225,"".*@simonelectrica.com$""),REGEXMATCH(A225,"".*@hiberus.com$""),REGEXMATCH(A225,"".*@simonbrico.es$""),regexmatch(A225,"".*@simonelectric.com$"")),""null"",A225)"),"106@ucm.es")</f>
        <v>106@ucm.es</v>
      </c>
      <c r="C225" s="5">
        <f>IF(B225="null","null",Descargas!B225)</f>
        <v>44000</v>
      </c>
      <c r="D225" s="6" t="str">
        <f>Descargas!E225</f>
        <v>https://resources.simonelectric.com/simon-material-formativo-vehiculo-electrico</v>
      </c>
      <c r="E225" s="20" t="str">
        <f t="shared" si="1"/>
        <v>106@ucm.es</v>
      </c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</row>
    <row r="226" ht="15.75" customHeight="1">
      <c r="A226" s="18" t="str">
        <f>Descargas!A226</f>
        <v>93@gmail.com</v>
      </c>
      <c r="B226" s="19" t="str">
        <f>IFERROR(__xludf.DUMMYFUNCTION("IF(OR(regexmatch(A226,"".*@simon.es$""),REGEXMATCH(A226,"".*@simon.pt$""),REGEXMATCH(A226,"".*@simonelectrica.com$""),REGEXMATCH(A226,"".*@hiberus.com$""),REGEXMATCH(A226,"".*@simonbrico.es$""),regexmatch(A226,"".*@simonelectric.com$"")),""null"",A226)"),"93@gmail.com")</f>
        <v>93@gmail.com</v>
      </c>
      <c r="C226" s="5">
        <f>IF(B226="null","null",Descargas!B226)</f>
        <v>44000</v>
      </c>
      <c r="D226" s="6" t="str">
        <f>Descargas!E226</f>
        <v>https://resources.simonelectric.com/simon-material-formativo-vehiculo-electrico</v>
      </c>
      <c r="E226" s="20" t="str">
        <f t="shared" si="1"/>
        <v>93@gmail.com</v>
      </c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</row>
    <row r="227" ht="15.75" customHeight="1">
      <c r="A227" s="18" t="str">
        <f>Descargas!A227</f>
        <v>188@gmail.com</v>
      </c>
      <c r="B227" s="19" t="str">
        <f>IFERROR(__xludf.DUMMYFUNCTION("IF(OR(regexmatch(A227,"".*@simon.es$""),REGEXMATCH(A227,"".*@simon.pt$""),REGEXMATCH(A227,"".*@simonelectrica.com$""),REGEXMATCH(A227,"".*@hiberus.com$""),REGEXMATCH(A227,"".*@simonbrico.es$""),regexmatch(A227,"".*@simonelectric.com$"")),""null"",A227)"),"188@gmail.com")</f>
        <v>188@gmail.com</v>
      </c>
      <c r="C227" s="5">
        <f>IF(B227="null","null",Descargas!B227)</f>
        <v>44000</v>
      </c>
      <c r="D227" s="6" t="str">
        <f>Descargas!E227</f>
        <v>https://resources.simonelectric.com/simon-material-formativo-vehiculo-electrico</v>
      </c>
      <c r="E227" s="20" t="str">
        <f t="shared" si="1"/>
        <v>188@gmail.com</v>
      </c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</row>
    <row r="228" ht="15.75" customHeight="1">
      <c r="A228" s="18" t="str">
        <f>Descargas!A228</f>
        <v>188@gmail.com</v>
      </c>
      <c r="B228" s="19" t="str">
        <f>IFERROR(__xludf.DUMMYFUNCTION("IF(OR(regexmatch(A228,"".*@simon.es$""),REGEXMATCH(A228,"".*@simon.pt$""),REGEXMATCH(A228,"".*@simonelectrica.com$""),REGEXMATCH(A228,"".*@hiberus.com$""),REGEXMATCH(A228,"".*@simonbrico.es$""),regexmatch(A228,"".*@simonelectric.com$"")),""null"",A228)"),"188@gmail.com")</f>
        <v>188@gmail.com</v>
      </c>
      <c r="C228" s="5">
        <f>IF(B228="null","null",Descargas!B228)</f>
        <v>44000</v>
      </c>
      <c r="D228" s="6" t="str">
        <f>Descargas!E228</f>
        <v>https://resources.simonelectric.com/simon-material-formativo-vehiculo-electrico</v>
      </c>
      <c r="E228" s="20" t="str">
        <f t="shared" si="1"/>
        <v>188@gmail.com</v>
      </c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</row>
    <row r="229" ht="15.75" customHeight="1">
      <c r="A229" s="18" t="str">
        <f>Descargas!A229</f>
        <v>189@gmail.com</v>
      </c>
      <c r="B229" s="19" t="str">
        <f>IFERROR(__xludf.DUMMYFUNCTION("IF(OR(regexmatch(A229,"".*@simon.es$""),REGEXMATCH(A229,"".*@simon.pt$""),REGEXMATCH(A229,"".*@simonelectrica.com$""),REGEXMATCH(A229,"".*@hiberus.com$""),REGEXMATCH(A229,"".*@simonbrico.es$""),regexmatch(A229,"".*@simonelectric.com$"")),""null"",A229)"),"189@gmail.com")</f>
        <v>189@gmail.com</v>
      </c>
      <c r="C229" s="5">
        <f>IF(B229="null","null",Descargas!B229)</f>
        <v>44000</v>
      </c>
      <c r="D229" s="6" t="str">
        <f>Descargas!E229</f>
        <v>https://resources.simonelectric.com/simon-material-formativo-vehiculo-electrico</v>
      </c>
      <c r="E229" s="20" t="str">
        <f t="shared" si="1"/>
        <v>189@gmail.com</v>
      </c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</row>
    <row r="230" ht="15.75" customHeight="1">
      <c r="A230" s="18" t="str">
        <f>Descargas!A230</f>
        <v>190@idom.com</v>
      </c>
      <c r="B230" s="19" t="str">
        <f>IFERROR(__xludf.DUMMYFUNCTION("IF(OR(regexmatch(A230,"".*@simon.es$""),REGEXMATCH(A230,"".*@simon.pt$""),REGEXMATCH(A230,"".*@simonelectrica.com$""),REGEXMATCH(A230,"".*@hiberus.com$""),REGEXMATCH(A230,"".*@simonbrico.es$""),regexmatch(A230,"".*@simonelectric.com$"")),""null"",A230)"),"190@idom.com")</f>
        <v>190@idom.com</v>
      </c>
      <c r="C230" s="5">
        <f>IF(B230="null","null",Descargas!B230)</f>
        <v>44000</v>
      </c>
      <c r="D230" s="6" t="str">
        <f>Descargas!E230</f>
        <v>https://resources.simonelectric.com/simon-material-formativo-vehiculo-electrico</v>
      </c>
      <c r="E230" s="20" t="str">
        <f t="shared" si="1"/>
        <v>190@idom.com</v>
      </c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</row>
    <row r="231" ht="15.75" customHeight="1">
      <c r="A231" s="18" t="str">
        <f>Descargas!A231</f>
        <v>191@gruposinelec.com</v>
      </c>
      <c r="B231" s="19" t="str">
        <f>IFERROR(__xludf.DUMMYFUNCTION("IF(OR(regexmatch(A231,"".*@simon.es$""),REGEXMATCH(A231,"".*@simon.pt$""),REGEXMATCH(A231,"".*@simonelectrica.com$""),REGEXMATCH(A231,"".*@hiberus.com$""),REGEXMATCH(A231,"".*@simonbrico.es$""),regexmatch(A231,"".*@simonelectric.com$"")),""null"",A231)"),"191@gruposinelec.com")</f>
        <v>191@gruposinelec.com</v>
      </c>
      <c r="C231" s="5">
        <f>IF(B231="null","null",Descargas!B231)</f>
        <v>44000</v>
      </c>
      <c r="D231" s="6" t="str">
        <f>Descargas!E231</f>
        <v>https://resources.simonelectric.com/simon-catalogo-vehiculo-electrico</v>
      </c>
      <c r="E231" s="20" t="str">
        <f t="shared" si="1"/>
        <v>191@gruposinelec.com</v>
      </c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</row>
    <row r="232" ht="15.75" customHeight="1">
      <c r="A232" s="18" t="str">
        <f>Descargas!A232</f>
        <v>108@salesianos.edu</v>
      </c>
      <c r="B232" s="19" t="str">
        <f>IFERROR(__xludf.DUMMYFUNCTION("IF(OR(regexmatch(A232,"".*@simon.es$""),REGEXMATCH(A232,"".*@simon.pt$""),REGEXMATCH(A232,"".*@simonelectrica.com$""),REGEXMATCH(A232,"".*@hiberus.com$""),REGEXMATCH(A232,"".*@simonbrico.es$""),regexmatch(A232,"".*@simonelectric.com$"")),""null"",A232)"),"108@salesianos.edu")</f>
        <v>108@salesianos.edu</v>
      </c>
      <c r="C232" s="5">
        <f>IF(B232="null","null",Descargas!B232)</f>
        <v>44000</v>
      </c>
      <c r="D232" s="6" t="str">
        <f>Descargas!E232</f>
        <v>https://resources.simonelectric.com/simon-material-formativo-vehiculo-electrico</v>
      </c>
      <c r="E232" s="20" t="str">
        <f t="shared" si="1"/>
        <v>108@salesianos.edu</v>
      </c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</row>
    <row r="233" ht="15.75" customHeight="1">
      <c r="A233" s="18" t="str">
        <f>Descargas!A233</f>
        <v>192@gmail.com</v>
      </c>
      <c r="B233" s="19" t="str">
        <f>IFERROR(__xludf.DUMMYFUNCTION("IF(OR(regexmatch(A233,"".*@simon.es$""),REGEXMATCH(A233,"".*@simon.pt$""),REGEXMATCH(A233,"".*@simonelectrica.com$""),REGEXMATCH(A233,"".*@hiberus.com$""),REGEXMATCH(A233,"".*@simonbrico.es$""),regexmatch(A233,"".*@simonelectric.com$"")),""null"",A233)"),"192@gmail.com")</f>
        <v>192@gmail.com</v>
      </c>
      <c r="C233" s="5">
        <f>IF(B233="null","null",Descargas!B233)</f>
        <v>44000</v>
      </c>
      <c r="D233" s="6" t="str">
        <f>Descargas!E233</f>
        <v>https://resources.simonelectric.com/simon-material-formativo-vehiculo-electrico</v>
      </c>
      <c r="E233" s="20" t="str">
        <f t="shared" si="1"/>
        <v>192@gmail.com</v>
      </c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</row>
    <row r="234" ht="15.75" customHeight="1">
      <c r="A234" s="18" t="str">
        <f>Descargas!A234</f>
        <v>193@triangulo.com.es</v>
      </c>
      <c r="B234" s="19" t="str">
        <f>IFERROR(__xludf.DUMMYFUNCTION("IF(OR(regexmatch(A234,"".*@simon.es$""),REGEXMATCH(A234,"".*@simon.pt$""),REGEXMATCH(A234,"".*@simonelectrica.com$""),REGEXMATCH(A234,"".*@hiberus.com$""),REGEXMATCH(A234,"".*@simonbrico.es$""),regexmatch(A234,"".*@simonelectric.com$"")),""null"",A234)"),"193@triangulo.com.es")</f>
        <v>193@triangulo.com.es</v>
      </c>
      <c r="C234" s="5">
        <f>IF(B234="null","null",Descargas!B234)</f>
        <v>44000</v>
      </c>
      <c r="D234" s="6" t="str">
        <f>Descargas!E234</f>
        <v>https://resources.simonelectric.com/simon-material-formativo-vehiculo-electrico</v>
      </c>
      <c r="E234" s="20" t="str">
        <f t="shared" si="1"/>
        <v>193@triangulo.com.es</v>
      </c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</row>
    <row r="235" ht="15.75" customHeight="1">
      <c r="A235" s="18" t="str">
        <f>Descargas!A235</f>
        <v>194@hotmail.com</v>
      </c>
      <c r="B235" s="19" t="str">
        <f>IFERROR(__xludf.DUMMYFUNCTION("IF(OR(regexmatch(A235,"".*@simon.es$""),REGEXMATCH(A235,"".*@simon.pt$""),REGEXMATCH(A235,"".*@simonelectrica.com$""),REGEXMATCH(A235,"".*@hiberus.com$""),REGEXMATCH(A235,"".*@simonbrico.es$""),regexmatch(A235,"".*@simonelectric.com$"")),""null"",A235)"),"194@hotmail.com")</f>
        <v>194@hotmail.com</v>
      </c>
      <c r="C235" s="5">
        <f>IF(B235="null","null",Descargas!B235)</f>
        <v>44000</v>
      </c>
      <c r="D235" s="6" t="str">
        <f>Descargas!E235</f>
        <v>https://resources.simonelectric.com/simon-material-formativo-vehiculo-electrico</v>
      </c>
      <c r="E235" s="20" t="str">
        <f t="shared" si="1"/>
        <v>194@hotmail.com</v>
      </c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</row>
    <row r="236" ht="15.75" customHeight="1">
      <c r="A236" s="18" t="str">
        <f>Descargas!A236</f>
        <v>75@telefonica.net</v>
      </c>
      <c r="B236" s="19" t="str">
        <f>IFERROR(__xludf.DUMMYFUNCTION("IF(OR(regexmatch(A236,"".*@simon.es$""),REGEXMATCH(A236,"".*@simon.pt$""),REGEXMATCH(A236,"".*@simonelectrica.com$""),REGEXMATCH(A236,"".*@hiberus.com$""),REGEXMATCH(A236,"".*@simonbrico.es$""),regexmatch(A236,"".*@simonelectric.com$"")),""null"",A236)"),"75@telefonica.net")</f>
        <v>75@telefonica.net</v>
      </c>
      <c r="C236" s="5">
        <f>IF(B236="null","null",Descargas!B236)</f>
        <v>44000</v>
      </c>
      <c r="D236" s="6" t="str">
        <f>Descargas!E236</f>
        <v>https://resources.simonelectric.com/simon-material-formativo-vehiculo-electrico</v>
      </c>
      <c r="E236" s="20" t="str">
        <f t="shared" si="1"/>
        <v>75@telefonica.net</v>
      </c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</row>
    <row r="237" ht="15.75" customHeight="1">
      <c r="A237" s="18" t="str">
        <f>Descargas!A237</f>
        <v>195@electricidadmadruga.com</v>
      </c>
      <c r="B237" s="19" t="str">
        <f>IFERROR(__xludf.DUMMYFUNCTION("IF(OR(regexmatch(A237,"".*@simon.es$""),REGEXMATCH(A237,"".*@simon.pt$""),REGEXMATCH(A237,"".*@simonelectrica.com$""),REGEXMATCH(A237,"".*@hiberus.com$""),REGEXMATCH(A237,"".*@simonbrico.es$""),regexmatch(A237,"".*@simonelectric.com$"")),""null"",A237)"),"195@electricidadmadruga.com")</f>
        <v>195@electricidadmadruga.com</v>
      </c>
      <c r="C237" s="5">
        <f>IF(B237="null","null",Descargas!B237)</f>
        <v>44000</v>
      </c>
      <c r="D237" s="6" t="str">
        <f>Descargas!E237</f>
        <v>https://resources.simonelectric.com/simon-material-formativo-vehiculo-electrico</v>
      </c>
      <c r="E237" s="20" t="str">
        <f t="shared" si="1"/>
        <v>195@electricidadmadruga.com</v>
      </c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</row>
    <row r="238" ht="15.75" customHeight="1">
      <c r="A238" s="18" t="str">
        <f>Descargas!A238</f>
        <v>196@gmail.com</v>
      </c>
      <c r="B238" s="19" t="str">
        <f>IFERROR(__xludf.DUMMYFUNCTION("IF(OR(regexmatch(A238,"".*@simon.es$""),REGEXMATCH(A238,"".*@simon.pt$""),REGEXMATCH(A238,"".*@simonelectrica.com$""),REGEXMATCH(A238,"".*@hiberus.com$""),REGEXMATCH(A238,"".*@simonbrico.es$""),regexmatch(A238,"".*@simonelectric.com$"")),""null"",A238)"),"196@gmail.com")</f>
        <v>196@gmail.com</v>
      </c>
      <c r="C238" s="5">
        <f>IF(B238="null","null",Descargas!B238)</f>
        <v>44000</v>
      </c>
      <c r="D238" s="6" t="str">
        <f>Descargas!E238</f>
        <v>https://resources.simonelectric.com/simon-material-formativo-vehiculo-electrico</v>
      </c>
      <c r="E238" s="20" t="str">
        <f t="shared" si="1"/>
        <v>196@gmail.com</v>
      </c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</row>
    <row r="239" ht="15.75" customHeight="1">
      <c r="A239" s="18" t="str">
        <f>Descargas!A239</f>
        <v>197@enginyerstarragona.cat</v>
      </c>
      <c r="B239" s="19" t="str">
        <f>IFERROR(__xludf.DUMMYFUNCTION("IF(OR(regexmatch(A239,"".*@simon.es$""),REGEXMATCH(A239,"".*@simon.pt$""),REGEXMATCH(A239,"".*@simonelectrica.com$""),REGEXMATCH(A239,"".*@hiberus.com$""),REGEXMATCH(A239,"".*@simonbrico.es$""),regexmatch(A239,"".*@simonelectric.com$"")),""null"",A239)"),"197@enginyerstarragona.cat")</f>
        <v>197@enginyerstarragona.cat</v>
      </c>
      <c r="C239" s="5">
        <f>IF(B239="null","null",Descargas!B239)</f>
        <v>44000</v>
      </c>
      <c r="D239" s="6" t="str">
        <f>Descargas!E239</f>
        <v>https://resources.simonelectric.com/simon-material-formativo-vehiculo-electrico</v>
      </c>
      <c r="E239" s="20" t="str">
        <f t="shared" si="1"/>
        <v>197@enginyerstarragona.cat</v>
      </c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</row>
    <row r="240" ht="15.75" customHeight="1">
      <c r="A240" s="18" t="str">
        <f>Descargas!A240</f>
        <v>198@hotmail.es</v>
      </c>
      <c r="B240" s="19" t="str">
        <f>IFERROR(__xludf.DUMMYFUNCTION("IF(OR(regexmatch(A240,"".*@simon.es$""),REGEXMATCH(A240,"".*@simon.pt$""),REGEXMATCH(A240,"".*@simonelectrica.com$""),REGEXMATCH(A240,"".*@hiberus.com$""),REGEXMATCH(A240,"".*@simonbrico.es$""),regexmatch(A240,"".*@simonelectric.com$"")),""null"",A240)"),"198@hotmail.es")</f>
        <v>198@hotmail.es</v>
      </c>
      <c r="C240" s="5">
        <f>IF(B240="null","null",Descargas!B240)</f>
        <v>44000</v>
      </c>
      <c r="D240" s="6" t="str">
        <f>Descargas!E240</f>
        <v>https://resources.simonelectric.com/simon-material-formativo-vehiculo-electrico</v>
      </c>
      <c r="E240" s="20" t="str">
        <f t="shared" si="1"/>
        <v>198@hotmail.es</v>
      </c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</row>
    <row r="241" ht="15.75" customHeight="1">
      <c r="A241" s="18" t="str">
        <f>Descargas!A241</f>
        <v>199@elektra-sa.es</v>
      </c>
      <c r="B241" s="19" t="str">
        <f>IFERROR(__xludf.DUMMYFUNCTION("IF(OR(regexmatch(A241,"".*@simon.es$""),REGEXMATCH(A241,"".*@simon.pt$""),REGEXMATCH(A241,"".*@simonelectrica.com$""),REGEXMATCH(A241,"".*@hiberus.com$""),REGEXMATCH(A241,"".*@simonbrico.es$""),regexmatch(A241,"".*@simonelectric.com$"")),""null"",A241)"),"199@elektra-sa.es")</f>
        <v>199@elektra-sa.es</v>
      </c>
      <c r="C241" s="5">
        <f>IF(B241="null","null",Descargas!B241)</f>
        <v>44000</v>
      </c>
      <c r="D241" s="6" t="str">
        <f>Descargas!E241</f>
        <v>https://resources.simonelectric.com/simon-material-formativo-vehiculo-electrico</v>
      </c>
      <c r="E241" s="20" t="str">
        <f t="shared" si="1"/>
        <v>199@elektra-sa.es</v>
      </c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</row>
    <row r="242" ht="15.75" customHeight="1">
      <c r="A242" s="18" t="str">
        <f>Descargas!A242</f>
        <v>200@smassa.eu</v>
      </c>
      <c r="B242" s="19" t="str">
        <f>IFERROR(__xludf.DUMMYFUNCTION("IF(OR(regexmatch(A242,"".*@simon.es$""),REGEXMATCH(A242,"".*@simon.pt$""),REGEXMATCH(A242,"".*@simonelectrica.com$""),REGEXMATCH(A242,"".*@hiberus.com$""),REGEXMATCH(A242,"".*@simonbrico.es$""),regexmatch(A242,"".*@simonelectric.com$"")),""null"",A242)"),"200@smassa.eu")</f>
        <v>200@smassa.eu</v>
      </c>
      <c r="C242" s="5">
        <f>IF(B242="null","null",Descargas!B242)</f>
        <v>44000</v>
      </c>
      <c r="D242" s="6" t="str">
        <f>Descargas!E242</f>
        <v>https://resources.simonelectric.com/simon-material-formativo-vehiculo-electrico</v>
      </c>
      <c r="E242" s="20" t="str">
        <f t="shared" si="1"/>
        <v>200@smassa.eu</v>
      </c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</row>
    <row r="243" ht="15.75" customHeight="1">
      <c r="A243" s="18" t="str">
        <f>Descargas!A243</f>
        <v>18@urv.cat</v>
      </c>
      <c r="B243" s="19" t="str">
        <f>IFERROR(__xludf.DUMMYFUNCTION("IF(OR(regexmatch(A243,"".*@simon.es$""),REGEXMATCH(A243,"".*@simon.pt$""),REGEXMATCH(A243,"".*@simonelectrica.com$""),REGEXMATCH(A243,"".*@hiberus.com$""),REGEXMATCH(A243,"".*@simonbrico.es$""),regexmatch(A243,"".*@simonelectric.com$"")),""null"",A243)"),"18@urv.cat")</f>
        <v>18@urv.cat</v>
      </c>
      <c r="C243" s="5">
        <f>IF(B243="null","null",Descargas!B243)</f>
        <v>44000</v>
      </c>
      <c r="D243" s="6" t="str">
        <f>Descargas!E243</f>
        <v>https://resources.simonelectric.com/simon-material-formativo-vehiculo-electrico</v>
      </c>
      <c r="E243" s="20" t="str">
        <f t="shared" si="1"/>
        <v>18@urv.cat</v>
      </c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</row>
    <row r="244" ht="15.75" customHeight="1">
      <c r="A244" s="18" t="str">
        <f>Descargas!A244</f>
        <v>86@ingbuero-group.de</v>
      </c>
      <c r="B244" s="19" t="str">
        <f>IFERROR(__xludf.DUMMYFUNCTION("IF(OR(regexmatch(A244,"".*@simon.es$""),REGEXMATCH(A244,"".*@simon.pt$""),REGEXMATCH(A244,"".*@simonelectrica.com$""),REGEXMATCH(A244,"".*@hiberus.com$""),REGEXMATCH(A244,"".*@simonbrico.es$""),regexmatch(A244,"".*@simonelectric.com$"")),""null"",A244)"),"86@ingbuero-group.de")</f>
        <v>86@ingbuero-group.de</v>
      </c>
      <c r="C244" s="5">
        <f>IF(B244="null","null",Descargas!B244)</f>
        <v>44000</v>
      </c>
      <c r="D244" s="6" t="str">
        <f>Descargas!E244</f>
        <v>https://resources.simonelectric.com/simon-material-formativo-vehiculo-electrico</v>
      </c>
      <c r="E244" s="20" t="str">
        <f t="shared" si="1"/>
        <v>86@ingbuero-group.de</v>
      </c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</row>
    <row r="245" ht="15.75" customHeight="1">
      <c r="A245" s="18" t="str">
        <f>Descargas!A245</f>
        <v>201@gmail.com</v>
      </c>
      <c r="B245" s="19" t="str">
        <f>IFERROR(__xludf.DUMMYFUNCTION("IF(OR(regexmatch(A245,"".*@simon.es$""),REGEXMATCH(A245,"".*@simon.pt$""),REGEXMATCH(A245,"".*@simonelectrica.com$""),REGEXMATCH(A245,"".*@hiberus.com$""),REGEXMATCH(A245,"".*@simonbrico.es$""),regexmatch(A245,"".*@simonelectric.com$"")),""null"",A245)"),"201@gmail.com")</f>
        <v>201@gmail.com</v>
      </c>
      <c r="C245" s="5">
        <f>IF(B245="null","null",Descargas!B245)</f>
        <v>44000</v>
      </c>
      <c r="D245" s="6" t="str">
        <f>Descargas!E245</f>
        <v>https://resources.simonelectric.com/simon-material-formativo-vehiculo-electrico</v>
      </c>
      <c r="E245" s="20" t="str">
        <f t="shared" si="1"/>
        <v>201@gmail.com</v>
      </c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</row>
    <row r="246" ht="15.75" customHeight="1">
      <c r="A246" s="18" t="str">
        <f>Descargas!A246</f>
        <v>202@gmail.com</v>
      </c>
      <c r="B246" s="19" t="str">
        <f>IFERROR(__xludf.DUMMYFUNCTION("IF(OR(regexmatch(A246,"".*@simon.es$""),REGEXMATCH(A246,"".*@simon.pt$""),REGEXMATCH(A246,"".*@simonelectrica.com$""),REGEXMATCH(A246,"".*@hiberus.com$""),REGEXMATCH(A246,"".*@simonbrico.es$""),regexmatch(A246,"".*@simonelectric.com$"")),""null"",A246)"),"202@gmail.com")</f>
        <v>202@gmail.com</v>
      </c>
      <c r="C246" s="5">
        <f>IF(B246="null","null",Descargas!B246)</f>
        <v>44000</v>
      </c>
      <c r="D246" s="6" t="str">
        <f>Descargas!E246</f>
        <v>https://resources.simonelectric.com/simon-material-formativo-vehiculo-electrico</v>
      </c>
      <c r="E246" s="20" t="str">
        <f t="shared" si="1"/>
        <v>202@gmail.com</v>
      </c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</row>
    <row r="247" ht="15.75" customHeight="1">
      <c r="A247" s="18" t="str">
        <f>Descargas!A247</f>
        <v>103@ciccp.es</v>
      </c>
      <c r="B247" s="19" t="str">
        <f>IFERROR(__xludf.DUMMYFUNCTION("IF(OR(regexmatch(A247,"".*@simon.es$""),REGEXMATCH(A247,"".*@simon.pt$""),REGEXMATCH(A247,"".*@simonelectrica.com$""),REGEXMATCH(A247,"".*@hiberus.com$""),REGEXMATCH(A247,"".*@simonbrico.es$""),regexmatch(A247,"".*@simonelectric.com$"")),""null"",A247)"),"103@ciccp.es")</f>
        <v>103@ciccp.es</v>
      </c>
      <c r="C247" s="5">
        <f>IF(B247="null","null",Descargas!B247)</f>
        <v>44000</v>
      </c>
      <c r="D247" s="6" t="str">
        <f>Descargas!E247</f>
        <v>https://resources.simonelectric.com/simon-material-formativo-vehiculo-electrico</v>
      </c>
      <c r="E247" s="20" t="str">
        <f t="shared" si="1"/>
        <v>103@ciccp.es</v>
      </c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</row>
    <row r="248" ht="15.75" customHeight="1">
      <c r="A248" s="18" t="str">
        <f>Descargas!A248</f>
        <v>203@outlook.com</v>
      </c>
      <c r="B248" s="19" t="str">
        <f>IFERROR(__xludf.DUMMYFUNCTION("IF(OR(regexmatch(A248,"".*@simon.es$""),REGEXMATCH(A248,"".*@simon.pt$""),REGEXMATCH(A248,"".*@simonelectrica.com$""),REGEXMATCH(A248,"".*@hiberus.com$""),REGEXMATCH(A248,"".*@simonbrico.es$""),regexmatch(A248,"".*@simonelectric.com$"")),""null"",A248)"),"203@outlook.com")</f>
        <v>203@outlook.com</v>
      </c>
      <c r="C248" s="5">
        <f>IF(B248="null","null",Descargas!B248)</f>
        <v>44000</v>
      </c>
      <c r="D248" s="6" t="str">
        <f>Descargas!E248</f>
        <v>https://resources.simonelectric.com/simon-material-formativo-vehiculo-electrico</v>
      </c>
      <c r="E248" s="20" t="str">
        <f t="shared" si="1"/>
        <v>203@outlook.com</v>
      </c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</row>
    <row r="249" ht="15.75" customHeight="1">
      <c r="A249" s="18" t="str">
        <f>Descargas!A249</f>
        <v>204@ebcn.cat</v>
      </c>
      <c r="B249" s="19" t="str">
        <f>IFERROR(__xludf.DUMMYFUNCTION("IF(OR(regexmatch(A249,"".*@simon.es$""),REGEXMATCH(A249,"".*@simon.pt$""),REGEXMATCH(A249,"".*@simonelectrica.com$""),REGEXMATCH(A249,"".*@hiberus.com$""),REGEXMATCH(A249,"".*@simonbrico.es$""),regexmatch(A249,"".*@simonelectric.com$"")),""null"",A249)"),"204@ebcn.cat")</f>
        <v>204@ebcn.cat</v>
      </c>
      <c r="C249" s="5">
        <f>IF(B249="null","null",Descargas!B249)</f>
        <v>44000</v>
      </c>
      <c r="D249" s="6" t="str">
        <f>Descargas!E249</f>
        <v>https://resources.simonelectric.com/simon-material-formativo-vehiculo-electrico</v>
      </c>
      <c r="E249" s="20" t="str">
        <f t="shared" si="1"/>
        <v>204@ebcn.cat</v>
      </c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</row>
    <row r="250" ht="15.75" customHeight="1">
      <c r="A250" s="18" t="str">
        <f>Descargas!A250</f>
        <v>205@es.tuv.com</v>
      </c>
      <c r="B250" s="19" t="str">
        <f>IFERROR(__xludf.DUMMYFUNCTION("IF(OR(regexmatch(A250,"".*@simon.es$""),REGEXMATCH(A250,"".*@simon.pt$""),REGEXMATCH(A250,"".*@simonelectrica.com$""),REGEXMATCH(A250,"".*@hiberus.com$""),REGEXMATCH(A250,"".*@simonbrico.es$""),regexmatch(A250,"".*@simonelectric.com$"")),""null"",A250)"),"205@es.tuv.com")</f>
        <v>205@es.tuv.com</v>
      </c>
      <c r="C250" s="5">
        <f>IF(B250="null","null",Descargas!B250)</f>
        <v>44000</v>
      </c>
      <c r="D250" s="6" t="str">
        <f>Descargas!E250</f>
        <v>https://resources.simonelectric.com/simon-material-formativo-vehiculo-electrico</v>
      </c>
      <c r="E250" s="20" t="str">
        <f t="shared" si="1"/>
        <v>205@es.tuv.com</v>
      </c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</row>
    <row r="251" ht="15.75" customHeight="1">
      <c r="A251" s="18" t="str">
        <f>Descargas!A251</f>
        <v>206@jgingenieros.es</v>
      </c>
      <c r="B251" s="19" t="str">
        <f>IFERROR(__xludf.DUMMYFUNCTION("IF(OR(regexmatch(A251,"".*@simon.es$""),REGEXMATCH(A251,"".*@simon.pt$""),REGEXMATCH(A251,"".*@simonelectrica.com$""),REGEXMATCH(A251,"".*@hiberus.com$""),REGEXMATCH(A251,"".*@simonbrico.es$""),regexmatch(A251,"".*@simonelectric.com$"")),""null"",A251)"),"206@jgingenieros.es")</f>
        <v>206@jgingenieros.es</v>
      </c>
      <c r="C251" s="5">
        <f>IF(B251="null","null",Descargas!B251)</f>
        <v>44000</v>
      </c>
      <c r="D251" s="6" t="str">
        <f>Descargas!E251</f>
        <v>https://resources.simonelectric.com/simon-material-formativo-vehiculo-electrico</v>
      </c>
      <c r="E251" s="20" t="str">
        <f t="shared" si="1"/>
        <v>206@jgingenieros.es</v>
      </c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</row>
    <row r="252" ht="15.75" customHeight="1">
      <c r="A252" s="18" t="str">
        <f>Descargas!A252</f>
        <v>207@tecnicasyrecursos.com</v>
      </c>
      <c r="B252" s="19" t="str">
        <f>IFERROR(__xludf.DUMMYFUNCTION("IF(OR(regexmatch(A252,"".*@simon.es$""),REGEXMATCH(A252,"".*@simon.pt$""),REGEXMATCH(A252,"".*@simonelectrica.com$""),REGEXMATCH(A252,"".*@hiberus.com$""),REGEXMATCH(A252,"".*@simonbrico.es$""),regexmatch(A252,"".*@simonelectric.com$"")),""null"",A252)"),"207@tecnicasyrecursos.com")</f>
        <v>207@tecnicasyrecursos.com</v>
      </c>
      <c r="C252" s="5">
        <f>IF(B252="null","null",Descargas!B252)</f>
        <v>44000</v>
      </c>
      <c r="D252" s="6" t="str">
        <f>Descargas!E252</f>
        <v>https://resources.simonelectric.com/simon-material-formativo-vehiculo-electrico</v>
      </c>
      <c r="E252" s="20" t="str">
        <f t="shared" si="1"/>
        <v>207@tecnicasyrecursos.com</v>
      </c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</row>
    <row r="253" ht="15.75" customHeight="1">
      <c r="A253" s="18" t="str">
        <f>Descargas!A253</f>
        <v>208@acortaenergia.com</v>
      </c>
      <c r="B253" s="19" t="str">
        <f>IFERROR(__xludf.DUMMYFUNCTION("IF(OR(regexmatch(A253,"".*@simon.es$""),REGEXMATCH(A253,"".*@simon.pt$""),REGEXMATCH(A253,"".*@simonelectrica.com$""),REGEXMATCH(A253,"".*@hiberus.com$""),REGEXMATCH(A253,"".*@simonbrico.es$""),regexmatch(A253,"".*@simonelectric.com$"")),""null"",A253)"),"208@acortaenergia.com")</f>
        <v>208@acortaenergia.com</v>
      </c>
      <c r="C253" s="5">
        <f>IF(B253="null","null",Descargas!B253)</f>
        <v>44000</v>
      </c>
      <c r="D253" s="6" t="str">
        <f>Descargas!E253</f>
        <v>https://resources.simonelectric.com/simon-material-formativo-vehiculo-electrico</v>
      </c>
      <c r="E253" s="20" t="str">
        <f t="shared" si="1"/>
        <v>208@acortaenergia.com</v>
      </c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</row>
    <row r="254" ht="15.75" customHeight="1">
      <c r="A254" s="18" t="str">
        <f>Descargas!A254</f>
        <v>209@azingenieria.es</v>
      </c>
      <c r="B254" s="19" t="str">
        <f>IFERROR(__xludf.DUMMYFUNCTION("IF(OR(regexmatch(A254,"".*@simon.es$""),REGEXMATCH(A254,"".*@simon.pt$""),REGEXMATCH(A254,"".*@simonelectrica.com$""),REGEXMATCH(A254,"".*@hiberus.com$""),REGEXMATCH(A254,"".*@simonbrico.es$""),regexmatch(A254,"".*@simonelectric.com$"")),""null"",A254)"),"209@azingenieria.es")</f>
        <v>209@azingenieria.es</v>
      </c>
      <c r="C254" s="5">
        <f>IF(B254="null","null",Descargas!B254)</f>
        <v>44000</v>
      </c>
      <c r="D254" s="6" t="str">
        <f>Descargas!E254</f>
        <v>https://resources.simonelectric.com/simon-material-formativo-vehiculo-electrico</v>
      </c>
      <c r="E254" s="20" t="str">
        <f t="shared" si="1"/>
        <v>209@azingenieria.es</v>
      </c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</row>
    <row r="255" ht="15.75" customHeight="1">
      <c r="A255" s="18" t="str">
        <f>Descargas!A255</f>
        <v>210@simon.pt</v>
      </c>
      <c r="B255" s="19" t="str">
        <f>IFERROR(__xludf.DUMMYFUNCTION("IF(OR(regexmatch(A255,"".*@simon.es$""),REGEXMATCH(A255,"".*@simon.pt$""),REGEXMATCH(A255,"".*@simonelectrica.com$""),REGEXMATCH(A255,"".*@hiberus.com$""),REGEXMATCH(A255,"".*@simonbrico.es$""),regexmatch(A255,"".*@simonelectric.com$"")),""null"",A255)"),"null")</f>
        <v>null</v>
      </c>
      <c r="C255" s="5" t="str">
        <f>IF(B255="null","null",Descargas!B255)</f>
        <v>null</v>
      </c>
      <c r="D255" s="6" t="str">
        <f>Descargas!E255</f>
        <v>https://resources.simonelectric.com/simon-material-formativo-vehiculo-electrico</v>
      </c>
      <c r="E255" s="24" t="str">
        <f t="shared" si="1"/>
        <v/>
      </c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</row>
    <row r="256" ht="15.75" customHeight="1">
      <c r="A256" s="18" t="str">
        <f>Descargas!A256</f>
        <v>211@elgremi.cat</v>
      </c>
      <c r="B256" s="19" t="str">
        <f>IFERROR(__xludf.DUMMYFUNCTION("IF(OR(regexmatch(A256,"".*@simon.es$""),REGEXMATCH(A256,"".*@simon.pt$""),REGEXMATCH(A256,"".*@simonelectrica.com$""),REGEXMATCH(A256,"".*@hiberus.com$""),REGEXMATCH(A256,"".*@simonbrico.es$""),regexmatch(A256,"".*@simonelectric.com$"")),""null"",A256)"),"211@elgremi.cat")</f>
        <v>211@elgremi.cat</v>
      </c>
      <c r="C256" s="5">
        <f>IF(B256="null","null",Descargas!B256)</f>
        <v>44000</v>
      </c>
      <c r="D256" s="6" t="str">
        <f>Descargas!E256</f>
        <v>https://resources.simonelectric.com/simon-material-formativo-vehiculo-electrico</v>
      </c>
      <c r="E256" s="20" t="str">
        <f t="shared" si="1"/>
        <v>211@elgremi.cat</v>
      </c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</row>
    <row r="257" ht="15.75" customHeight="1">
      <c r="A257" s="18" t="str">
        <f>Descargas!A257</f>
        <v>212@gmail.com</v>
      </c>
      <c r="B257" s="19" t="str">
        <f>IFERROR(__xludf.DUMMYFUNCTION("IF(OR(regexmatch(A257,"".*@simon.es$""),REGEXMATCH(A257,"".*@simon.pt$""),REGEXMATCH(A257,"".*@simonelectrica.com$""),REGEXMATCH(A257,"".*@hiberus.com$""),REGEXMATCH(A257,"".*@simonbrico.es$""),regexmatch(A257,"".*@simonelectric.com$"")),""null"",A257)"),"212@gmail.com")</f>
        <v>212@gmail.com</v>
      </c>
      <c r="C257" s="5">
        <f>IF(B257="null","null",Descargas!B257)</f>
        <v>44000</v>
      </c>
      <c r="D257" s="6" t="str">
        <f>Descargas!E257</f>
        <v>https://resources.simonelectric.com/simon-ebook-vehiculo-electrico-ppc</v>
      </c>
      <c r="E257" s="20" t="str">
        <f t="shared" si="1"/>
        <v>212@gmail.com</v>
      </c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</row>
    <row r="258" ht="15.75" customHeight="1">
      <c r="A258" s="18" t="str">
        <f>Descargas!A258</f>
        <v>213@guidogroup.com</v>
      </c>
      <c r="B258" s="19" t="str">
        <f>IFERROR(__xludf.DUMMYFUNCTION("IF(OR(regexmatch(A258,"".*@simon.es$""),REGEXMATCH(A258,"".*@simon.pt$""),REGEXMATCH(A258,"".*@simonelectrica.com$""),REGEXMATCH(A258,"".*@hiberus.com$""),REGEXMATCH(A258,"".*@simonbrico.es$""),regexmatch(A258,"".*@simonelectric.com$"")),""null"",A258)"),"213@guidogroup.com")</f>
        <v>213@guidogroup.com</v>
      </c>
      <c r="C258" s="5">
        <f>IF(B258="null","null",Descargas!B258)</f>
        <v>44000</v>
      </c>
      <c r="D258" s="6" t="str">
        <f>Descargas!E258</f>
        <v>https://resources.simonelectric.com/simon-material-formativo-vehiculo-electrico</v>
      </c>
      <c r="E258" s="20" t="str">
        <f t="shared" si="1"/>
        <v>213@guidogroup.com</v>
      </c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</row>
    <row r="259" ht="15.75" customHeight="1">
      <c r="A259" s="18" t="str">
        <f>Descargas!A259</f>
        <v>214@gmail.com</v>
      </c>
      <c r="B259" s="19" t="str">
        <f>IFERROR(__xludf.DUMMYFUNCTION("IF(OR(regexmatch(A259,"".*@simon.es$""),REGEXMATCH(A259,"".*@simon.pt$""),REGEXMATCH(A259,"".*@simonelectrica.com$""),REGEXMATCH(A259,"".*@hiberus.com$""),REGEXMATCH(A259,"".*@simonbrico.es$""),regexmatch(A259,"".*@simonelectric.com$"")),""null"",A259)"),"214@gmail.com")</f>
        <v>214@gmail.com</v>
      </c>
      <c r="C259" s="5">
        <f>IF(B259="null","null",Descargas!B259)</f>
        <v>44000</v>
      </c>
      <c r="D259" s="6" t="str">
        <f>Descargas!E259</f>
        <v>https://resources.simonelectric.com/simon-material-formativo-vehiculo-electrico</v>
      </c>
      <c r="E259" s="20" t="str">
        <f t="shared" si="1"/>
        <v>214@gmail.com</v>
      </c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</row>
    <row r="260" ht="15.75" customHeight="1">
      <c r="A260" s="18" t="str">
        <f>Descargas!A260</f>
        <v>101@coiirm.es</v>
      </c>
      <c r="B260" s="19" t="str">
        <f>IFERROR(__xludf.DUMMYFUNCTION("IF(OR(regexmatch(A260,"".*@simon.es$""),REGEXMATCH(A260,"".*@simon.pt$""),REGEXMATCH(A260,"".*@simonelectrica.com$""),REGEXMATCH(A260,"".*@hiberus.com$""),REGEXMATCH(A260,"".*@simonbrico.es$""),regexmatch(A260,"".*@simonelectric.com$"")),""null"",A260)"),"101@coiirm.es")</f>
        <v>101@coiirm.es</v>
      </c>
      <c r="C260" s="5">
        <f>IF(B260="null","null",Descargas!B260)</f>
        <v>44000</v>
      </c>
      <c r="D260" s="6" t="str">
        <f>Descargas!E260</f>
        <v>https://resources.simonelectric.com/simon-material-formativo-vehiculo-electrico</v>
      </c>
      <c r="E260" s="20" t="str">
        <f t="shared" si="1"/>
        <v>101@coiirm.es</v>
      </c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</row>
    <row r="261" ht="15.75" customHeight="1">
      <c r="A261" s="18" t="str">
        <f>Descargas!A261</f>
        <v>215@enel.com</v>
      </c>
      <c r="B261" s="19" t="str">
        <f>IFERROR(__xludf.DUMMYFUNCTION("IF(OR(regexmatch(A261,"".*@simon.es$""),REGEXMATCH(A261,"".*@simon.pt$""),REGEXMATCH(A261,"".*@simonelectrica.com$""),REGEXMATCH(A261,"".*@hiberus.com$""),REGEXMATCH(A261,"".*@simonbrico.es$""),regexmatch(A261,"".*@simonelectric.com$"")),""null"",A261)"),"215@enel.com")</f>
        <v>215@enel.com</v>
      </c>
      <c r="C261" s="5">
        <f>IF(B261="null","null",Descargas!B261)</f>
        <v>44000</v>
      </c>
      <c r="D261" s="6" t="str">
        <f>Descargas!E261</f>
        <v>https://resources.simonelectric.com/simon-material-formativo-vehiculo-electrico</v>
      </c>
      <c r="E261" s="20" t="str">
        <f t="shared" si="1"/>
        <v>215@enel.com</v>
      </c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</row>
    <row r="262" ht="15.75" customHeight="1">
      <c r="A262" s="18" t="str">
        <f>Descargas!A262</f>
        <v>92@gmail.com</v>
      </c>
      <c r="B262" s="19" t="str">
        <f>IFERROR(__xludf.DUMMYFUNCTION("IF(OR(regexmatch(A262,"".*@simon.es$""),REGEXMATCH(A262,"".*@simon.pt$""),REGEXMATCH(A262,"".*@simonelectrica.com$""),REGEXMATCH(A262,"".*@hiberus.com$""),REGEXMATCH(A262,"".*@simonbrico.es$""),regexmatch(A262,"".*@simonelectric.com$"")),""null"",A262)"),"92@gmail.com")</f>
        <v>92@gmail.com</v>
      </c>
      <c r="C262" s="5">
        <f>IF(B262="null","null",Descargas!B262)</f>
        <v>44000</v>
      </c>
      <c r="D262" s="6" t="str">
        <f>Descargas!E262</f>
        <v>https://resources.simonelectric.com/simon-material-formativo-vehiculo-electrico</v>
      </c>
      <c r="E262" s="20" t="str">
        <f t="shared" si="1"/>
        <v>92@gmail.com</v>
      </c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</row>
    <row r="263" ht="15.75" customHeight="1">
      <c r="A263" s="18" t="str">
        <f>Descargas!A263</f>
        <v>216@gmail.com</v>
      </c>
      <c r="B263" s="19" t="str">
        <f>IFERROR(__xludf.DUMMYFUNCTION("IF(OR(regexmatch(A263,"".*@simon.es$""),REGEXMATCH(A263,"".*@simon.pt$""),REGEXMATCH(A263,"".*@simonelectrica.com$""),REGEXMATCH(A263,"".*@hiberus.com$""),REGEXMATCH(A263,"".*@simonbrico.es$""),regexmatch(A263,"".*@simonelectric.com$"")),""null"",A263)"),"216@gmail.com")</f>
        <v>216@gmail.com</v>
      </c>
      <c r="C263" s="5">
        <f>IF(B263="null","null",Descargas!B263)</f>
        <v>44000</v>
      </c>
      <c r="D263" s="6" t="str">
        <f>Descargas!E263</f>
        <v>https://resources.simonelectric.com/simon-material-formativo-vehiculo-electrico</v>
      </c>
      <c r="E263" s="20" t="str">
        <f t="shared" si="1"/>
        <v>216@gmail.com</v>
      </c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</row>
    <row r="264" ht="15.75" customHeight="1">
      <c r="A264" s="18" t="str">
        <f>Descargas!A264</f>
        <v>217@esypro.net</v>
      </c>
      <c r="B264" s="19" t="str">
        <f>IFERROR(__xludf.DUMMYFUNCTION("IF(OR(regexmatch(A264,"".*@simon.es$""),REGEXMATCH(A264,"".*@simon.pt$""),REGEXMATCH(A264,"".*@simonelectrica.com$""),REGEXMATCH(A264,"".*@hiberus.com$""),REGEXMATCH(A264,"".*@simonbrico.es$""),regexmatch(A264,"".*@simonelectric.com$"")),""null"",A264)"),"217@esypro.net")</f>
        <v>217@esypro.net</v>
      </c>
      <c r="C264" s="5">
        <f>IF(B264="null","null",Descargas!B264)</f>
        <v>44000</v>
      </c>
      <c r="D264" s="6" t="str">
        <f>Descargas!E264</f>
        <v>https://resources.simonelectric.com/simon-material-formativo-vehiculo-electrico</v>
      </c>
      <c r="E264" s="20" t="str">
        <f t="shared" si="1"/>
        <v>217@esypro.net</v>
      </c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</row>
    <row r="265" ht="15.75" customHeight="1">
      <c r="A265" s="18" t="str">
        <f>Descargas!A265</f>
        <v>218@erasmil.com</v>
      </c>
      <c r="B265" s="19" t="str">
        <f>IFERROR(__xludf.DUMMYFUNCTION("IF(OR(regexmatch(A265,"".*@simon.es$""),REGEXMATCH(A265,"".*@simon.pt$""),REGEXMATCH(A265,"".*@simonelectrica.com$""),REGEXMATCH(A265,"".*@hiberus.com$""),REGEXMATCH(A265,"".*@simonbrico.es$""),regexmatch(A265,"".*@simonelectric.com$"")),""null"",A265)"),"218@erasmil.com")</f>
        <v>218@erasmil.com</v>
      </c>
      <c r="C265" s="5">
        <f>IF(B265="null","null",Descargas!B265)</f>
        <v>44000</v>
      </c>
      <c r="D265" s="6" t="str">
        <f>Descargas!E265</f>
        <v>https://resources.simonelectric.com/simon-material-formativo-vehiculo-electrico</v>
      </c>
      <c r="E265" s="20" t="str">
        <f t="shared" si="1"/>
        <v>218@erasmil.com</v>
      </c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</row>
    <row r="266" ht="15.75" customHeight="1">
      <c r="A266" s="18" t="str">
        <f>Descargas!A266</f>
        <v>219@gmail.com</v>
      </c>
      <c r="B266" s="19" t="str">
        <f>IFERROR(__xludf.DUMMYFUNCTION("IF(OR(regexmatch(A266,"".*@simon.es$""),REGEXMATCH(A266,"".*@simon.pt$""),REGEXMATCH(A266,"".*@simonelectrica.com$""),REGEXMATCH(A266,"".*@hiberus.com$""),REGEXMATCH(A266,"".*@simonbrico.es$""),regexmatch(A266,"".*@simonelectric.com$"")),""null"",A266)"),"219@gmail.com")</f>
        <v>219@gmail.com</v>
      </c>
      <c r="C266" s="5">
        <f>IF(B266="null","null",Descargas!B266)</f>
        <v>44000</v>
      </c>
      <c r="D266" s="6" t="str">
        <f>Descargas!E266</f>
        <v>https://resources.simonelectric.com/simon-material-formativo-vehiculo-electrico</v>
      </c>
      <c r="E266" s="20" t="str">
        <f t="shared" si="1"/>
        <v>219@gmail.com</v>
      </c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</row>
    <row r="267" ht="15.75" customHeight="1">
      <c r="A267" s="18" t="str">
        <f>Descargas!A267</f>
        <v>117@telefonica.net</v>
      </c>
      <c r="B267" s="19" t="str">
        <f>IFERROR(__xludf.DUMMYFUNCTION("IF(OR(regexmatch(A267,"".*@simon.es$""),REGEXMATCH(A267,"".*@simon.pt$""),REGEXMATCH(A267,"".*@simonelectrica.com$""),REGEXMATCH(A267,"".*@hiberus.com$""),REGEXMATCH(A267,"".*@simonbrico.es$""),regexmatch(A267,"".*@simonelectric.com$"")),""null"",A267)"),"117@telefonica.net")</f>
        <v>117@telefonica.net</v>
      </c>
      <c r="C267" s="5">
        <f>IF(B267="null","null",Descargas!B267)</f>
        <v>44000</v>
      </c>
      <c r="D267" s="6" t="str">
        <f>Descargas!E267</f>
        <v>https://resources.simonelectric.com/simon-material-formativo-vehiculo-electrico</v>
      </c>
      <c r="E267" s="20" t="str">
        <f t="shared" si="1"/>
        <v>117@telefonica.net</v>
      </c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</row>
    <row r="268" ht="15.75" customHeight="1">
      <c r="A268" s="18" t="str">
        <f>Descargas!A268</f>
        <v>104@spiningenieros.com</v>
      </c>
      <c r="B268" s="19" t="str">
        <f>IFERROR(__xludf.DUMMYFUNCTION("IF(OR(regexmatch(A268,"".*@simon.es$""),REGEXMATCH(A268,"".*@simon.pt$""),REGEXMATCH(A268,"".*@simonelectrica.com$""),REGEXMATCH(A268,"".*@hiberus.com$""),REGEXMATCH(A268,"".*@simonbrico.es$""),regexmatch(A268,"".*@simonelectric.com$"")),""null"",A268)"),"104@spiningenieros.com")</f>
        <v>104@spiningenieros.com</v>
      </c>
      <c r="C268" s="5">
        <f>IF(B268="null","null",Descargas!B268)</f>
        <v>44000</v>
      </c>
      <c r="D268" s="6" t="str">
        <f>Descargas!E268</f>
        <v>https://resources.simonelectric.com/simon-material-formativo-vehiculo-electrico</v>
      </c>
      <c r="E268" s="20" t="str">
        <f t="shared" si="1"/>
        <v>104@spiningenieros.com</v>
      </c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</row>
    <row r="269" ht="15.75" customHeight="1">
      <c r="A269" s="18" t="str">
        <f>Descargas!A269</f>
        <v>21@iteser.com</v>
      </c>
      <c r="B269" s="19" t="str">
        <f>IFERROR(__xludf.DUMMYFUNCTION("IF(OR(regexmatch(A269,"".*@simon.es$""),REGEXMATCH(A269,"".*@simon.pt$""),REGEXMATCH(A269,"".*@simonelectrica.com$""),REGEXMATCH(A269,"".*@hiberus.com$""),REGEXMATCH(A269,"".*@simonbrico.es$""),regexmatch(A269,"".*@simonelectric.com$"")),""null"",A269)"),"21@iteser.com")</f>
        <v>21@iteser.com</v>
      </c>
      <c r="C269" s="5">
        <f>IF(B269="null","null",Descargas!B269)</f>
        <v>44000</v>
      </c>
      <c r="D269" s="6" t="str">
        <f>Descargas!E269</f>
        <v>https://resources.simonelectric.com/simon-material-formativo-vehiculo-electrico</v>
      </c>
      <c r="E269" s="20" t="str">
        <f t="shared" si="1"/>
        <v>21@iteser.com</v>
      </c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</row>
    <row r="270" ht="15.75" customHeight="1">
      <c r="A270" s="18" t="str">
        <f>Descargas!A270</f>
        <v>220@istem.es</v>
      </c>
      <c r="B270" s="19" t="str">
        <f>IFERROR(__xludf.DUMMYFUNCTION("IF(OR(regexmatch(A270,"".*@simon.es$""),REGEXMATCH(A270,"".*@simon.pt$""),REGEXMATCH(A270,"".*@simonelectrica.com$""),REGEXMATCH(A270,"".*@hiberus.com$""),REGEXMATCH(A270,"".*@simonbrico.es$""),regexmatch(A270,"".*@simonelectric.com$"")),""null"",A270)"),"220@istem.es")</f>
        <v>220@istem.es</v>
      </c>
      <c r="C270" s="5">
        <f>IF(B270="null","null",Descargas!B270)</f>
        <v>44000</v>
      </c>
      <c r="D270" s="6" t="str">
        <f>Descargas!E270</f>
        <v>https://resources.simonelectric.com/simon-material-formativo-vehiculo-electrico</v>
      </c>
      <c r="E270" s="20" t="str">
        <f t="shared" si="1"/>
        <v>220@istem.es</v>
      </c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</row>
    <row r="271" ht="15.75" customHeight="1">
      <c r="A271" s="18" t="str">
        <f>Descargas!A271</f>
        <v>221@maganrenovables.com</v>
      </c>
      <c r="B271" s="19" t="str">
        <f>IFERROR(__xludf.DUMMYFUNCTION("IF(OR(regexmatch(A271,"".*@simon.es$""),REGEXMATCH(A271,"".*@simon.pt$""),REGEXMATCH(A271,"".*@simonelectrica.com$""),REGEXMATCH(A271,"".*@hiberus.com$""),REGEXMATCH(A271,"".*@simonbrico.es$""),regexmatch(A271,"".*@simonelectric.com$"")),""null"",A271)"),"221@maganrenovables.com")</f>
        <v>221@maganrenovables.com</v>
      </c>
      <c r="C271" s="5">
        <f>IF(B271="null","null",Descargas!B271)</f>
        <v>44000</v>
      </c>
      <c r="D271" s="6" t="str">
        <f>Descargas!E271</f>
        <v>https://resources.simonelectric.com/simon-material-formativo-vehiculo-electrico</v>
      </c>
      <c r="E271" s="20" t="str">
        <f t="shared" si="1"/>
        <v>221@maganrenovables.com</v>
      </c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</row>
    <row r="272" ht="15.75" customHeight="1">
      <c r="A272" s="18" t="str">
        <f>Descargas!A272</f>
        <v>222@jcgracia.es</v>
      </c>
      <c r="B272" s="19" t="str">
        <f>IFERROR(__xludf.DUMMYFUNCTION("IF(OR(regexmatch(A272,"".*@simon.es$""),REGEXMATCH(A272,"".*@simon.pt$""),REGEXMATCH(A272,"".*@simonelectrica.com$""),REGEXMATCH(A272,"".*@hiberus.com$""),REGEXMATCH(A272,"".*@simonbrico.es$""),regexmatch(A272,"".*@simonelectric.com$"")),""null"",A272)"),"222@jcgracia.es")</f>
        <v>222@jcgracia.es</v>
      </c>
      <c r="C272" s="5">
        <f>IF(B272="null","null",Descargas!B272)</f>
        <v>44000</v>
      </c>
      <c r="D272" s="6" t="str">
        <f>Descargas!E272</f>
        <v>https://resources.simonelectric.com/simon-material-formativo-vehiculo-electrico</v>
      </c>
      <c r="E272" s="20" t="str">
        <f t="shared" si="1"/>
        <v>222@jcgracia.es</v>
      </c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</row>
    <row r="273" ht="15.75" customHeight="1">
      <c r="A273" s="18" t="str">
        <f>Descargas!A273</f>
        <v>223@gmail.com</v>
      </c>
      <c r="B273" s="19" t="str">
        <f>IFERROR(__xludf.DUMMYFUNCTION("IF(OR(regexmatch(A273,"".*@simon.es$""),REGEXMATCH(A273,"".*@simon.pt$""),REGEXMATCH(A273,"".*@simonelectrica.com$""),REGEXMATCH(A273,"".*@hiberus.com$""),REGEXMATCH(A273,"".*@simonbrico.es$""),regexmatch(A273,"".*@simonelectric.com$"")),""null"",A273)"),"223@gmail.com")</f>
        <v>223@gmail.com</v>
      </c>
      <c r="C273" s="5">
        <f>IF(B273="null","null",Descargas!B273)</f>
        <v>44000</v>
      </c>
      <c r="D273" s="6" t="str">
        <f>Descargas!E273</f>
        <v>https://resources.simonelectric.com/simon-material-formativo-vehiculo-electrico</v>
      </c>
      <c r="E273" s="20" t="str">
        <f t="shared" si="1"/>
        <v>223@gmail.com</v>
      </c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</row>
    <row r="274" ht="15.75" customHeight="1">
      <c r="A274" s="18" t="str">
        <f>Descargas!A274</f>
        <v>224@hotmail.com</v>
      </c>
      <c r="B274" s="19" t="str">
        <f>IFERROR(__xludf.DUMMYFUNCTION("IF(OR(regexmatch(A274,"".*@simon.es$""),REGEXMATCH(A274,"".*@simon.pt$""),REGEXMATCH(A274,"".*@simonelectrica.com$""),REGEXMATCH(A274,"".*@hiberus.com$""),REGEXMATCH(A274,"".*@simonbrico.es$""),regexmatch(A274,"".*@simonelectric.com$"")),""null"",A274)"),"224@hotmail.com")</f>
        <v>224@hotmail.com</v>
      </c>
      <c r="C274" s="5">
        <f>IF(B274="null","null",Descargas!B274)</f>
        <v>44000</v>
      </c>
      <c r="D274" s="6" t="str">
        <f>Descargas!E274</f>
        <v>https://resources.simonelectric.com/simon-material-formativo-vehiculo-electrico</v>
      </c>
      <c r="E274" s="20" t="str">
        <f t="shared" si="1"/>
        <v>224@hotmail.com</v>
      </c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</row>
    <row r="275" ht="15.75" customHeight="1">
      <c r="A275" s="18" t="str">
        <f>Descargas!A275</f>
        <v>225@gmail.com</v>
      </c>
      <c r="B275" s="19" t="str">
        <f>IFERROR(__xludf.DUMMYFUNCTION("IF(OR(regexmatch(A275,"".*@simon.es$""),REGEXMATCH(A275,"".*@simon.pt$""),REGEXMATCH(A275,"".*@simonelectrica.com$""),REGEXMATCH(A275,"".*@hiberus.com$""),REGEXMATCH(A275,"".*@simonbrico.es$""),regexmatch(A275,"".*@simonelectric.com$"")),""null"",A275)"),"225@gmail.com")</f>
        <v>225@gmail.com</v>
      </c>
      <c r="C275" s="5">
        <f>IF(B275="null","null",Descargas!B275)</f>
        <v>44000</v>
      </c>
      <c r="D275" s="6" t="str">
        <f>Descargas!E275</f>
        <v>https://resources.simonelectric.com/simon-material-formativo-vehiculo-electrico</v>
      </c>
      <c r="E275" s="20" t="str">
        <f t="shared" si="1"/>
        <v>225@gmail.com</v>
      </c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</row>
    <row r="276" ht="15.75" customHeight="1">
      <c r="A276" s="18" t="str">
        <f>Descargas!A276</f>
        <v>67@becibiza.es</v>
      </c>
      <c r="B276" s="19" t="str">
        <f>IFERROR(__xludf.DUMMYFUNCTION("IF(OR(regexmatch(A276,"".*@simon.es$""),REGEXMATCH(A276,"".*@simon.pt$""),REGEXMATCH(A276,"".*@simonelectrica.com$""),REGEXMATCH(A276,"".*@hiberus.com$""),REGEXMATCH(A276,"".*@simonbrico.es$""),regexmatch(A276,"".*@simonelectric.com$"")),""null"",A276)"),"67@becibiza.es")</f>
        <v>67@becibiza.es</v>
      </c>
      <c r="C276" s="5">
        <f>IF(B276="null","null",Descargas!B276)</f>
        <v>44000</v>
      </c>
      <c r="D276" s="6" t="str">
        <f>Descargas!E276</f>
        <v>https://resources.simonelectric.com/simon-material-formativo-vehiculo-electrico</v>
      </c>
      <c r="E276" s="20" t="str">
        <f t="shared" si="1"/>
        <v>67@becibiza.es</v>
      </c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</row>
    <row r="277" ht="15.75" customHeight="1">
      <c r="A277" s="18" t="str">
        <f>Descargas!A277</f>
        <v>226@hotmail.com</v>
      </c>
      <c r="B277" s="19" t="str">
        <f>IFERROR(__xludf.DUMMYFUNCTION("IF(OR(regexmatch(A277,"".*@simon.es$""),REGEXMATCH(A277,"".*@simon.pt$""),REGEXMATCH(A277,"".*@simonelectrica.com$""),REGEXMATCH(A277,"".*@hiberus.com$""),REGEXMATCH(A277,"".*@simonbrico.es$""),regexmatch(A277,"".*@simonelectric.com$"")),""null"",A277)"),"226@hotmail.com")</f>
        <v>226@hotmail.com</v>
      </c>
      <c r="C277" s="5">
        <f>IF(B277="null","null",Descargas!B277)</f>
        <v>44000</v>
      </c>
      <c r="D277" s="6" t="str">
        <f>Descargas!E277</f>
        <v>https://resources.simonelectric.com/simon-material-formativo-vehiculo-electrico</v>
      </c>
      <c r="E277" s="20" t="str">
        <f t="shared" si="1"/>
        <v>226@hotmail.com</v>
      </c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</row>
    <row r="278" ht="15.75" customHeight="1">
      <c r="A278" s="18" t="str">
        <f>Descargas!A278</f>
        <v>109@gmail.com</v>
      </c>
      <c r="B278" s="19" t="str">
        <f>IFERROR(__xludf.DUMMYFUNCTION("IF(OR(regexmatch(A278,"".*@simon.es$""),REGEXMATCH(A278,"".*@simon.pt$""),REGEXMATCH(A278,"".*@simonelectrica.com$""),REGEXMATCH(A278,"".*@hiberus.com$""),REGEXMATCH(A278,"".*@simonbrico.es$""),regexmatch(A278,"".*@simonelectric.com$"")),""null"",A278)"),"109@gmail.com")</f>
        <v>109@gmail.com</v>
      </c>
      <c r="C278" s="5">
        <f>IF(B278="null","null",Descargas!B278)</f>
        <v>44000</v>
      </c>
      <c r="D278" s="6" t="str">
        <f>Descargas!E278</f>
        <v>https://resources.simonelectric.com/simon-material-formativo-vehiculo-electrico</v>
      </c>
      <c r="E278" s="20" t="str">
        <f t="shared" si="1"/>
        <v>109@gmail.com</v>
      </c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</row>
    <row r="279" ht="15.75" customHeight="1">
      <c r="A279" s="18" t="str">
        <f>Descargas!A279</f>
        <v>227@gmail.com</v>
      </c>
      <c r="B279" s="19" t="str">
        <f>IFERROR(__xludf.DUMMYFUNCTION("IF(OR(regexmatch(A279,"".*@simon.es$""),REGEXMATCH(A279,"".*@simon.pt$""),REGEXMATCH(A279,"".*@simonelectrica.com$""),REGEXMATCH(A279,"".*@hiberus.com$""),REGEXMATCH(A279,"".*@simonbrico.es$""),regexmatch(A279,"".*@simonelectric.com$"")),""null"",A279)"),"227@gmail.com")</f>
        <v>227@gmail.com</v>
      </c>
      <c r="C279" s="5">
        <f>IF(B279="null","null",Descargas!B279)</f>
        <v>44000</v>
      </c>
      <c r="D279" s="6" t="str">
        <f>Descargas!E279</f>
        <v>https://resources.simonelectric.com/simon-material-formativo-vehiculo-electrico</v>
      </c>
      <c r="E279" s="20" t="str">
        <f t="shared" si="1"/>
        <v>227@gmail.com</v>
      </c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</row>
    <row r="280" ht="15.75" customHeight="1">
      <c r="A280" s="18" t="str">
        <f>Descargas!A280</f>
        <v>228@erasmil.com</v>
      </c>
      <c r="B280" s="19" t="str">
        <f>IFERROR(__xludf.DUMMYFUNCTION("IF(OR(regexmatch(A280,"".*@simon.es$""),REGEXMATCH(A280,"".*@simon.pt$""),REGEXMATCH(A280,"".*@simonelectrica.com$""),REGEXMATCH(A280,"".*@hiberus.com$""),REGEXMATCH(A280,"".*@simonbrico.es$""),regexmatch(A280,"".*@simonelectric.com$"")),""null"",A280)"),"228@erasmil.com")</f>
        <v>228@erasmil.com</v>
      </c>
      <c r="C280" s="5">
        <f>IF(B280="null","null",Descargas!B280)</f>
        <v>44000</v>
      </c>
      <c r="D280" s="6" t="str">
        <f>Descargas!E280</f>
        <v>https://resources.simonelectric.com/simon-material-formativo-vehiculo-electrico</v>
      </c>
      <c r="E280" s="20" t="str">
        <f t="shared" si="1"/>
        <v>228@erasmil.com</v>
      </c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</row>
    <row r="281" ht="15.75" customHeight="1">
      <c r="A281" s="18" t="str">
        <f>Descargas!A281</f>
        <v>229@gmail.com</v>
      </c>
      <c r="B281" s="19" t="str">
        <f>IFERROR(__xludf.DUMMYFUNCTION("IF(OR(regexmatch(A281,"".*@simon.es$""),REGEXMATCH(A281,"".*@simon.pt$""),REGEXMATCH(A281,"".*@simonelectrica.com$""),REGEXMATCH(A281,"".*@hiberus.com$""),REGEXMATCH(A281,"".*@simonbrico.es$""),regexmatch(A281,"".*@simonelectric.com$"")),""null"",A281)"),"229@gmail.com")</f>
        <v>229@gmail.com</v>
      </c>
      <c r="C281" s="5">
        <f>IF(B281="null","null",Descargas!B281)</f>
        <v>44000</v>
      </c>
      <c r="D281" s="6" t="str">
        <f>Descargas!E281</f>
        <v>https://resources.simonelectric.com/simon-material-formativo-vehiculo-electrico</v>
      </c>
      <c r="E281" s="20" t="str">
        <f t="shared" si="1"/>
        <v>229@gmail.com</v>
      </c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</row>
    <row r="282" ht="15.75" customHeight="1">
      <c r="A282" s="18" t="str">
        <f>Descargas!A282</f>
        <v>119@ideaingenieria.es</v>
      </c>
      <c r="B282" s="19" t="str">
        <f>IFERROR(__xludf.DUMMYFUNCTION("IF(OR(regexmatch(A282,"".*@simon.es$""),REGEXMATCH(A282,"".*@simon.pt$""),REGEXMATCH(A282,"".*@simonelectrica.com$""),REGEXMATCH(A282,"".*@hiberus.com$""),REGEXMATCH(A282,"".*@simonbrico.es$""),regexmatch(A282,"".*@simonelectric.com$"")),""null"",A282)"),"119@ideaingenieria.es")</f>
        <v>119@ideaingenieria.es</v>
      </c>
      <c r="C282" s="5">
        <f>IF(B282="null","null",Descargas!B282)</f>
        <v>44000</v>
      </c>
      <c r="D282" s="6" t="str">
        <f>Descargas!E282</f>
        <v>https://resources.simonelectric.com/simon-material-formativo-vehiculo-electrico</v>
      </c>
      <c r="E282" s="20" t="str">
        <f t="shared" si="1"/>
        <v>119@ideaingenieria.es</v>
      </c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</row>
    <row r="283" ht="15.75" customHeight="1">
      <c r="A283" s="18" t="str">
        <f>Descargas!A283</f>
        <v>230@solsureste.com</v>
      </c>
      <c r="B283" s="19" t="str">
        <f>IFERROR(__xludf.DUMMYFUNCTION("IF(OR(regexmatch(A283,"".*@simon.es$""),REGEXMATCH(A283,"".*@simon.pt$""),REGEXMATCH(A283,"".*@simonelectrica.com$""),REGEXMATCH(A283,"".*@hiberus.com$""),REGEXMATCH(A283,"".*@simonbrico.es$""),regexmatch(A283,"".*@simonelectric.com$"")),""null"",A283)"),"230@solsureste.com")</f>
        <v>230@solsureste.com</v>
      </c>
      <c r="C283" s="5">
        <f>IF(B283="null","null",Descargas!B283)</f>
        <v>44000</v>
      </c>
      <c r="D283" s="6" t="str">
        <f>Descargas!E283</f>
        <v>https://resources.simonelectric.com/simon-material-formativo-vehiculo-electrico</v>
      </c>
      <c r="E283" s="20" t="str">
        <f t="shared" si="1"/>
        <v>230@solsureste.com</v>
      </c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</row>
    <row r="284" ht="15.75" customHeight="1">
      <c r="A284" s="18" t="str">
        <f>Descargas!A284</f>
        <v>231@gmail.com</v>
      </c>
      <c r="B284" s="19" t="str">
        <f>IFERROR(__xludf.DUMMYFUNCTION("IF(OR(regexmatch(A284,"".*@simon.es$""),REGEXMATCH(A284,"".*@simon.pt$""),REGEXMATCH(A284,"".*@simonelectrica.com$""),REGEXMATCH(A284,"".*@hiberus.com$""),REGEXMATCH(A284,"".*@simonbrico.es$""),regexmatch(A284,"".*@simonelectric.com$"")),""null"",A284)"),"231@gmail.com")</f>
        <v>231@gmail.com</v>
      </c>
      <c r="C284" s="5">
        <f>IF(B284="null","null",Descargas!B284)</f>
        <v>44000</v>
      </c>
      <c r="D284" s="6" t="str">
        <f>Descargas!E284</f>
        <v>https://resources.simonelectric.com/simon-material-formativo-vehiculo-electrico</v>
      </c>
      <c r="E284" s="20" t="str">
        <f t="shared" si="1"/>
        <v>231@gmail.com</v>
      </c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</row>
    <row r="285" ht="15.75" customHeight="1">
      <c r="A285" s="18" t="str">
        <f>Descargas!A285</f>
        <v>232@mersa.es</v>
      </c>
      <c r="B285" s="19" t="str">
        <f>IFERROR(__xludf.DUMMYFUNCTION("IF(OR(regexmatch(A285,"".*@simon.es$""),REGEXMATCH(A285,"".*@simon.pt$""),REGEXMATCH(A285,"".*@simonelectrica.com$""),REGEXMATCH(A285,"".*@hiberus.com$""),REGEXMATCH(A285,"".*@simonbrico.es$""),regexmatch(A285,"".*@simonelectric.com$"")),""null"",A285)"),"232@mersa.es")</f>
        <v>232@mersa.es</v>
      </c>
      <c r="C285" s="5">
        <f>IF(B285="null","null",Descargas!B285)</f>
        <v>44000</v>
      </c>
      <c r="D285" s="6" t="str">
        <f>Descargas!E285</f>
        <v>https://resources.simonelectric.com/simon-material-formativo-vehiculo-electrico</v>
      </c>
      <c r="E285" s="20" t="str">
        <f t="shared" si="1"/>
        <v>232@mersa.es</v>
      </c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</row>
    <row r="286" ht="15.75" customHeight="1">
      <c r="A286" s="18" t="str">
        <f>Descargas!A286</f>
        <v>116@sgs.com</v>
      </c>
      <c r="B286" s="19" t="str">
        <f>IFERROR(__xludf.DUMMYFUNCTION("IF(OR(regexmatch(A286,"".*@simon.es$""),REGEXMATCH(A286,"".*@simon.pt$""),REGEXMATCH(A286,"".*@simonelectrica.com$""),REGEXMATCH(A286,"".*@hiberus.com$""),REGEXMATCH(A286,"".*@simonbrico.es$""),regexmatch(A286,"".*@simonelectric.com$"")),""null"",A286)"),"116@sgs.com")</f>
        <v>116@sgs.com</v>
      </c>
      <c r="C286" s="5">
        <f>IF(B286="null","null",Descargas!B286)</f>
        <v>44000</v>
      </c>
      <c r="D286" s="6" t="str">
        <f>Descargas!E286</f>
        <v>https://resources.simonelectric.com/simon-material-formativo-vehiculo-electrico</v>
      </c>
      <c r="E286" s="20" t="str">
        <f t="shared" si="1"/>
        <v>116@sgs.com</v>
      </c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</row>
    <row r="287" ht="15.75" customHeight="1">
      <c r="A287" s="18" t="str">
        <f>Descargas!A287</f>
        <v>99@coitir.com</v>
      </c>
      <c r="B287" s="19" t="str">
        <f>IFERROR(__xludf.DUMMYFUNCTION("IF(OR(regexmatch(A287,"".*@simon.es$""),REGEXMATCH(A287,"".*@simon.pt$""),REGEXMATCH(A287,"".*@simonelectrica.com$""),REGEXMATCH(A287,"".*@hiberus.com$""),REGEXMATCH(A287,"".*@simonbrico.es$""),regexmatch(A287,"".*@simonelectric.com$"")),""null"",A287)"),"99@coitir.com")</f>
        <v>99@coitir.com</v>
      </c>
      <c r="C287" s="5">
        <f>IF(B287="null","null",Descargas!B287)</f>
        <v>44000</v>
      </c>
      <c r="D287" s="6" t="str">
        <f>Descargas!E287</f>
        <v>https://resources.simonelectric.com/simon-material-formativo-vehiculo-electrico</v>
      </c>
      <c r="E287" s="20" t="str">
        <f t="shared" si="1"/>
        <v>99@coitir.com</v>
      </c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</row>
    <row r="288" ht="15.75" customHeight="1">
      <c r="A288" s="18" t="str">
        <f>Descargas!A288</f>
        <v>233@gmail.com</v>
      </c>
      <c r="B288" s="19" t="str">
        <f>IFERROR(__xludf.DUMMYFUNCTION("IF(OR(regexmatch(A288,"".*@simon.es$""),REGEXMATCH(A288,"".*@simon.pt$""),REGEXMATCH(A288,"".*@simonelectrica.com$""),REGEXMATCH(A288,"".*@hiberus.com$""),REGEXMATCH(A288,"".*@simonbrico.es$""),regexmatch(A288,"".*@simonelectric.com$"")),""null"",A288)"),"233@gmail.com")</f>
        <v>233@gmail.com</v>
      </c>
      <c r="C288" s="5">
        <f>IF(B288="null","null",Descargas!B288)</f>
        <v>44000</v>
      </c>
      <c r="D288" s="6" t="str">
        <f>Descargas!E288</f>
        <v>https://resources.simonelectric.com/simon-material-formativo-vehiculo-electrico</v>
      </c>
      <c r="E288" s="20" t="str">
        <f t="shared" si="1"/>
        <v>233@gmail.com</v>
      </c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</row>
    <row r="289" ht="15.75" customHeight="1">
      <c r="A289" s="18" t="str">
        <f>Descargas!A289</f>
        <v>121@gmail.com</v>
      </c>
      <c r="B289" s="19" t="str">
        <f>IFERROR(__xludf.DUMMYFUNCTION("IF(OR(regexmatch(A289,"".*@simon.es$""),REGEXMATCH(A289,"".*@simon.pt$""),REGEXMATCH(A289,"".*@simonelectrica.com$""),REGEXMATCH(A289,"".*@hiberus.com$""),REGEXMATCH(A289,"".*@simonbrico.es$""),regexmatch(A289,"".*@simonelectric.com$"")),""null"",A289)"),"121@gmail.com")</f>
        <v>121@gmail.com</v>
      </c>
      <c r="C289" s="5">
        <f>IF(B289="null","null",Descargas!B289)</f>
        <v>44000</v>
      </c>
      <c r="D289" s="6" t="str">
        <f>Descargas!E289</f>
        <v>https://resources.simonelectric.com/simon-material-formativo-vehiculo-electrico</v>
      </c>
      <c r="E289" s="20" t="str">
        <f t="shared" si="1"/>
        <v>121@gmail.com</v>
      </c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</row>
    <row r="290" ht="15.75" customHeight="1">
      <c r="A290" s="18" t="str">
        <f>Descargas!A290</f>
        <v>112@gmail.com</v>
      </c>
      <c r="B290" s="19" t="str">
        <f>IFERROR(__xludf.DUMMYFUNCTION("IF(OR(regexmatch(A290,"".*@simon.es$""),REGEXMATCH(A290,"".*@simon.pt$""),REGEXMATCH(A290,"".*@simonelectrica.com$""),REGEXMATCH(A290,"".*@hiberus.com$""),REGEXMATCH(A290,"".*@simonbrico.es$""),regexmatch(A290,"".*@simonelectric.com$"")),""null"",A290)"),"112@gmail.com")</f>
        <v>112@gmail.com</v>
      </c>
      <c r="C290" s="5">
        <f>IF(B290="null","null",Descargas!B290)</f>
        <v>44000</v>
      </c>
      <c r="D290" s="6" t="str">
        <f>Descargas!E290</f>
        <v>https://resources.simonelectric.com/simon-material-formativo-vehiculo-electrico</v>
      </c>
      <c r="E290" s="20" t="str">
        <f t="shared" si="1"/>
        <v>112@gmail.com</v>
      </c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</row>
    <row r="291" ht="15.75" customHeight="1">
      <c r="A291" s="18" t="str">
        <f>Descargas!A291</f>
        <v>94@grupocobra.com</v>
      </c>
      <c r="B291" s="19" t="str">
        <f>IFERROR(__xludf.DUMMYFUNCTION("IF(OR(regexmatch(A291,"".*@simon.es$""),REGEXMATCH(A291,"".*@simon.pt$""),REGEXMATCH(A291,"".*@simonelectrica.com$""),REGEXMATCH(A291,"".*@hiberus.com$""),REGEXMATCH(A291,"".*@simonbrico.es$""),regexmatch(A291,"".*@simonelectric.com$"")),""null"",A291)"),"94@grupocobra.com")</f>
        <v>94@grupocobra.com</v>
      </c>
      <c r="C291" s="5">
        <f>IF(B291="null","null",Descargas!B291)</f>
        <v>44000</v>
      </c>
      <c r="D291" s="6" t="str">
        <f>Descargas!E291</f>
        <v>https://resources.simonelectric.com/simon-material-formativo-vehiculo-electrico</v>
      </c>
      <c r="E291" s="20" t="str">
        <f t="shared" si="1"/>
        <v>94@grupocobra.com</v>
      </c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</row>
    <row r="292" ht="15.75" customHeight="1">
      <c r="A292" s="18" t="str">
        <f>Descargas!A292</f>
        <v>100@hotmail.com</v>
      </c>
      <c r="B292" s="19" t="str">
        <f>IFERROR(__xludf.DUMMYFUNCTION("IF(OR(regexmatch(A292,"".*@simon.es$""),REGEXMATCH(A292,"".*@simon.pt$""),REGEXMATCH(A292,"".*@simonelectrica.com$""),REGEXMATCH(A292,"".*@hiberus.com$""),REGEXMATCH(A292,"".*@simonbrico.es$""),regexmatch(A292,"".*@simonelectric.com$"")),""null"",A292)"),"100@hotmail.com")</f>
        <v>100@hotmail.com</v>
      </c>
      <c r="C292" s="5">
        <f>IF(B292="null","null",Descargas!B292)</f>
        <v>44000</v>
      </c>
      <c r="D292" s="6" t="str">
        <f>Descargas!E292</f>
        <v>https://resources.simonelectric.com/simon-material-formativo-vehiculo-electrico</v>
      </c>
      <c r="E292" s="20" t="str">
        <f t="shared" si="1"/>
        <v>100@hotmail.com</v>
      </c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</row>
    <row r="293" ht="15.75" customHeight="1">
      <c r="A293" s="18" t="str">
        <f>Descargas!A293</f>
        <v>234@pgiengineering.com</v>
      </c>
      <c r="B293" s="19" t="str">
        <f>IFERROR(__xludf.DUMMYFUNCTION("IF(OR(regexmatch(A293,"".*@simon.es$""),REGEXMATCH(A293,"".*@simon.pt$""),REGEXMATCH(A293,"".*@simonelectrica.com$""),REGEXMATCH(A293,"".*@hiberus.com$""),REGEXMATCH(A293,"".*@simonbrico.es$""),regexmatch(A293,"".*@simonelectric.com$"")),""null"",A293)"),"234@pgiengineering.com")</f>
        <v>234@pgiengineering.com</v>
      </c>
      <c r="C293" s="5">
        <f>IF(B293="null","null",Descargas!B293)</f>
        <v>44000</v>
      </c>
      <c r="D293" s="6" t="str">
        <f>Descargas!E293</f>
        <v>https://resources.simonelectric.com/simon-material-formativo-vehiculo-electrico</v>
      </c>
      <c r="E293" s="20" t="str">
        <f t="shared" si="1"/>
        <v>234@pgiengineering.com</v>
      </c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</row>
    <row r="294" ht="15.75" customHeight="1">
      <c r="A294" s="18" t="str">
        <f>Descargas!A294</f>
        <v>235@gmail.com</v>
      </c>
      <c r="B294" s="19" t="str">
        <f>IFERROR(__xludf.DUMMYFUNCTION("IF(OR(regexmatch(A294,"".*@simon.es$""),REGEXMATCH(A294,"".*@simon.pt$""),REGEXMATCH(A294,"".*@simonelectrica.com$""),REGEXMATCH(A294,"".*@hiberus.com$""),REGEXMATCH(A294,"".*@simonbrico.es$""),regexmatch(A294,"".*@simonelectric.com$"")),""null"",A294)"),"235@gmail.com")</f>
        <v>235@gmail.com</v>
      </c>
      <c r="C294" s="5">
        <f>IF(B294="null","null",Descargas!B294)</f>
        <v>44000</v>
      </c>
      <c r="D294" s="6" t="str">
        <f>Descargas!E294</f>
        <v>https://resources.simonelectric.com/simon-material-formativo-vehiculo-electrico</v>
      </c>
      <c r="E294" s="20" t="str">
        <f t="shared" si="1"/>
        <v>235@gmail.com</v>
      </c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</row>
    <row r="295" ht="15.75" customHeight="1">
      <c r="A295" s="18" t="str">
        <f>Descargas!A295</f>
        <v>236@elecnor.com</v>
      </c>
      <c r="B295" s="19" t="str">
        <f>IFERROR(__xludf.DUMMYFUNCTION("IF(OR(regexmatch(A295,"".*@simon.es$""),REGEXMATCH(A295,"".*@simon.pt$""),REGEXMATCH(A295,"".*@simonelectrica.com$""),REGEXMATCH(A295,"".*@hiberus.com$""),REGEXMATCH(A295,"".*@simonbrico.es$""),regexmatch(A295,"".*@simonelectric.com$"")),""null"",A295)"),"236@elecnor.com")</f>
        <v>236@elecnor.com</v>
      </c>
      <c r="C295" s="5">
        <f>IF(B295="null","null",Descargas!B295)</f>
        <v>44000</v>
      </c>
      <c r="D295" s="6" t="str">
        <f>Descargas!E295</f>
        <v>https://resources.simonelectric.com/simon-material-formativo-vehiculo-electrico</v>
      </c>
      <c r="E295" s="20" t="str">
        <f t="shared" si="1"/>
        <v>236@elecnor.com</v>
      </c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</row>
    <row r="296" ht="15.75" customHeight="1">
      <c r="A296" s="18" t="str">
        <f>Descargas!A296</f>
        <v>98@davidjdiaz.es</v>
      </c>
      <c r="B296" s="19" t="str">
        <f>IFERROR(__xludf.DUMMYFUNCTION("IF(OR(regexmatch(A296,"".*@simon.es$""),REGEXMATCH(A296,"".*@simon.pt$""),REGEXMATCH(A296,"".*@simonelectrica.com$""),REGEXMATCH(A296,"".*@hiberus.com$""),REGEXMATCH(A296,"".*@simonbrico.es$""),regexmatch(A296,"".*@simonelectric.com$"")),""null"",A296)"),"98@davidjdiaz.es")</f>
        <v>98@davidjdiaz.es</v>
      </c>
      <c r="C296" s="5">
        <f>IF(B296="null","null",Descargas!B296)</f>
        <v>44000</v>
      </c>
      <c r="D296" s="6" t="str">
        <f>Descargas!E296</f>
        <v>https://resources.simonelectric.com/simon-material-formativo-vehiculo-electrico</v>
      </c>
      <c r="E296" s="20" t="str">
        <f t="shared" si="1"/>
        <v>98@davidjdiaz.es</v>
      </c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</row>
    <row r="297" ht="15.75" customHeight="1">
      <c r="A297" s="18" t="str">
        <f>Descargas!A297</f>
        <v>237@idsa.es</v>
      </c>
      <c r="B297" s="19" t="str">
        <f>IFERROR(__xludf.DUMMYFUNCTION("IF(OR(regexmatch(A297,"".*@simon.es$""),REGEXMATCH(A297,"".*@simon.pt$""),REGEXMATCH(A297,"".*@simonelectrica.com$""),REGEXMATCH(A297,"".*@hiberus.com$""),REGEXMATCH(A297,"".*@simonbrico.es$""),regexmatch(A297,"".*@simonelectric.com$"")),""null"",A297)"),"237@idsa.es")</f>
        <v>237@idsa.es</v>
      </c>
      <c r="C297" s="5">
        <f>IF(B297="null","null",Descargas!B297)</f>
        <v>44000</v>
      </c>
      <c r="D297" s="6" t="str">
        <f>Descargas!E297</f>
        <v>https://resources.simonelectric.com/simon-material-formativo-vehiculo-electrico</v>
      </c>
      <c r="E297" s="20" t="str">
        <f t="shared" si="1"/>
        <v>237@idsa.es</v>
      </c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</row>
    <row r="298" ht="15.75" customHeight="1">
      <c r="A298" s="18" t="str">
        <f>Descargas!A298</f>
        <v>238@engie.com</v>
      </c>
      <c r="B298" s="19" t="str">
        <f>IFERROR(__xludf.DUMMYFUNCTION("IF(OR(regexmatch(A298,"".*@simon.es$""),REGEXMATCH(A298,"".*@simon.pt$""),REGEXMATCH(A298,"".*@simonelectrica.com$""),REGEXMATCH(A298,"".*@hiberus.com$""),REGEXMATCH(A298,"".*@simonbrico.es$""),regexmatch(A298,"".*@simonelectric.com$"")),""null"",A298)"),"238@engie.com")</f>
        <v>238@engie.com</v>
      </c>
      <c r="C298" s="5">
        <f>IF(B298="null","null",Descargas!B298)</f>
        <v>44000</v>
      </c>
      <c r="D298" s="6" t="str">
        <f>Descargas!E298</f>
        <v>https://resources.simonelectric.com/simon-material-formativo-vehiculo-electrico</v>
      </c>
      <c r="E298" s="20" t="str">
        <f t="shared" si="1"/>
        <v>238@engie.com</v>
      </c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</row>
    <row r="299" ht="15.75" customHeight="1">
      <c r="A299" s="18" t="str">
        <f>Descargas!A299</f>
        <v>239@alfadesarrollo.com</v>
      </c>
      <c r="B299" s="19" t="str">
        <f>IFERROR(__xludf.DUMMYFUNCTION("IF(OR(regexmatch(A299,"".*@simon.es$""),REGEXMATCH(A299,"".*@simon.pt$""),REGEXMATCH(A299,"".*@simonelectrica.com$""),REGEXMATCH(A299,"".*@hiberus.com$""),REGEXMATCH(A299,"".*@simonbrico.es$""),regexmatch(A299,"".*@simonelectric.com$"")),""null"",A299)"),"239@alfadesarrollo.com")</f>
        <v>239@alfadesarrollo.com</v>
      </c>
      <c r="C299" s="5">
        <f>IF(B299="null","null",Descargas!B299)</f>
        <v>44000</v>
      </c>
      <c r="D299" s="6" t="str">
        <f>Descargas!E299</f>
        <v>https://resources.simonelectric.com/simon-material-formativo-vehiculo-electrico</v>
      </c>
      <c r="E299" s="20" t="str">
        <f t="shared" si="1"/>
        <v>239@alfadesarrollo.com</v>
      </c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</row>
    <row r="300" ht="15.75" customHeight="1">
      <c r="A300" s="18" t="str">
        <f>Descargas!A300</f>
        <v>240@hotmail.com</v>
      </c>
      <c r="B300" s="19" t="str">
        <f>IFERROR(__xludf.DUMMYFUNCTION("IF(OR(regexmatch(A300,"".*@simon.es$""),REGEXMATCH(A300,"".*@simon.pt$""),REGEXMATCH(A300,"".*@simonelectrica.com$""),REGEXMATCH(A300,"".*@hiberus.com$""),REGEXMATCH(A300,"".*@simonbrico.es$""),regexmatch(A300,"".*@simonelectric.com$"")),""null"",A300)"),"240@hotmail.com")</f>
        <v>240@hotmail.com</v>
      </c>
      <c r="C300" s="5">
        <f>IF(B300="null","null",Descargas!B300)</f>
        <v>44000</v>
      </c>
      <c r="D300" s="6" t="str">
        <f>Descargas!E300</f>
        <v>https://resources.simonelectric.com/simon-material-formativo-vehiculo-electrico</v>
      </c>
      <c r="E300" s="20" t="str">
        <f t="shared" si="1"/>
        <v>240@hotmail.com</v>
      </c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</row>
    <row r="301" ht="15.75" customHeight="1">
      <c r="A301" s="18" t="str">
        <f>Descargas!A301</f>
        <v>124@betenergia.es</v>
      </c>
      <c r="B301" s="19" t="str">
        <f>IFERROR(__xludf.DUMMYFUNCTION("IF(OR(regexmatch(A301,"".*@simon.es$""),REGEXMATCH(A301,"".*@simon.pt$""),REGEXMATCH(A301,"".*@simonelectrica.com$""),REGEXMATCH(A301,"".*@hiberus.com$""),REGEXMATCH(A301,"".*@simonbrico.es$""),regexmatch(A301,"".*@simonelectric.com$"")),""null"",A301)"),"124@betenergia.es")</f>
        <v>124@betenergia.es</v>
      </c>
      <c r="C301" s="5">
        <f>IF(B301="null","null",Descargas!B301)</f>
        <v>44000</v>
      </c>
      <c r="D301" s="6" t="str">
        <f>Descargas!E301</f>
        <v>https://resources.simonelectric.com/simon-material-formativo-vehiculo-electrico</v>
      </c>
      <c r="E301" s="20" t="str">
        <f t="shared" si="1"/>
        <v>124@betenergia.es</v>
      </c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</row>
    <row r="302" ht="15.75" customHeight="1">
      <c r="A302" s="18" t="str">
        <f>Descargas!A302</f>
        <v>120@yahoo.com</v>
      </c>
      <c r="B302" s="19" t="str">
        <f>IFERROR(__xludf.DUMMYFUNCTION("IF(OR(regexmatch(A302,"".*@simon.es$""),REGEXMATCH(A302,"".*@simon.pt$""),REGEXMATCH(A302,"".*@simonelectrica.com$""),REGEXMATCH(A302,"".*@hiberus.com$""),REGEXMATCH(A302,"".*@simonbrico.es$""),regexmatch(A302,"".*@simonelectric.com$"")),""null"",A302)"),"120@yahoo.com")</f>
        <v>120@yahoo.com</v>
      </c>
      <c r="C302" s="5">
        <f>IF(B302="null","null",Descargas!B302)</f>
        <v>44000</v>
      </c>
      <c r="D302" s="6" t="str">
        <f>Descargas!E302</f>
        <v>https://resources.simonelectric.com/simon-material-formativo-vehiculo-electrico</v>
      </c>
      <c r="E302" s="20" t="str">
        <f t="shared" si="1"/>
        <v>120@yahoo.com</v>
      </c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</row>
    <row r="303" ht="15.75" customHeight="1">
      <c r="A303" s="18" t="str">
        <f>Descargas!A303</f>
        <v>241@gmail.com</v>
      </c>
      <c r="B303" s="19" t="str">
        <f>IFERROR(__xludf.DUMMYFUNCTION("IF(OR(regexmatch(A303,"".*@simon.es$""),REGEXMATCH(A303,"".*@simon.pt$""),REGEXMATCH(A303,"".*@simonelectrica.com$""),REGEXMATCH(A303,"".*@hiberus.com$""),REGEXMATCH(A303,"".*@simonbrico.es$""),regexmatch(A303,"".*@simonelectric.com$"")),""null"",A303)"),"241@gmail.com")</f>
        <v>241@gmail.com</v>
      </c>
      <c r="C303" s="5">
        <f>IF(B303="null","null",Descargas!B303)</f>
        <v>44000</v>
      </c>
      <c r="D303" s="6" t="str">
        <f>Descargas!E303</f>
        <v>https://resources.simonelectric.com/simon-ebook-vehiculo-electrico</v>
      </c>
      <c r="E303" s="20" t="str">
        <f t="shared" si="1"/>
        <v>241@gmail.com</v>
      </c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</row>
    <row r="304" ht="15.75" customHeight="1">
      <c r="A304" s="18" t="str">
        <f>Descargas!A304</f>
        <v>242@outlook.es</v>
      </c>
      <c r="B304" s="19" t="str">
        <f>IFERROR(__xludf.DUMMYFUNCTION("IF(OR(regexmatch(A304,"".*@simon.es$""),REGEXMATCH(A304,"".*@simon.pt$""),REGEXMATCH(A304,"".*@simonelectrica.com$""),REGEXMATCH(A304,"".*@hiberus.com$""),REGEXMATCH(A304,"".*@simonbrico.es$""),regexmatch(A304,"".*@simonelectric.com$"")),""null"",A304)"),"242@outlook.es")</f>
        <v>242@outlook.es</v>
      </c>
      <c r="C304" s="5">
        <f>IF(B304="null","null",Descargas!B304)</f>
        <v>44000</v>
      </c>
      <c r="D304" s="6" t="str">
        <f>Descargas!E304</f>
        <v>https://resources.simonelectric.com/simon-ebook-vehiculo-electrico-ppc</v>
      </c>
      <c r="E304" s="20" t="str">
        <f t="shared" si="1"/>
        <v>242@outlook.es</v>
      </c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</row>
    <row r="305" ht="15.75" customHeight="1">
      <c r="A305" s="18" t="str">
        <f>Descargas!A305</f>
        <v>243@homcrea.fr</v>
      </c>
      <c r="B305" s="19" t="str">
        <f>IFERROR(__xludf.DUMMYFUNCTION("IF(OR(regexmatch(A305,"".*@simon.es$""),REGEXMATCH(A305,"".*@simon.pt$""),REGEXMATCH(A305,"".*@simonelectrica.com$""),REGEXMATCH(A305,"".*@hiberus.com$""),REGEXMATCH(A305,"".*@simonbrico.es$""),regexmatch(A305,"".*@simonelectric.com$"")),""null"",A305)"),"243@homcrea.fr")</f>
        <v>243@homcrea.fr</v>
      </c>
      <c r="C305" s="5">
        <f>IF(B305="null","null",Descargas!B305)</f>
        <v>44000</v>
      </c>
      <c r="D305" s="6" t="str">
        <f>Descargas!E305</f>
        <v>https://resources.simonelectric.com/simon-ebook-vehiculo-electrico</v>
      </c>
      <c r="E305" s="20" t="str">
        <f t="shared" si="1"/>
        <v>243@homcrea.fr</v>
      </c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</row>
    <row r="306" ht="15.75" customHeight="1">
      <c r="A306" s="18" t="str">
        <f>Descargas!A306</f>
        <v>244@as.com</v>
      </c>
      <c r="B306" s="19" t="str">
        <f>IFERROR(__xludf.DUMMYFUNCTION("IF(OR(regexmatch(A306,"".*@simon.es$""),REGEXMATCH(A306,"".*@simon.pt$""),REGEXMATCH(A306,"".*@simonelectrica.com$""),REGEXMATCH(A306,"".*@hiberus.com$""),REGEXMATCH(A306,"".*@simonbrico.es$""),regexmatch(A306,"".*@simonelectric.com$"")),""null"",A306)"),"244@as.com")</f>
        <v>244@as.com</v>
      </c>
      <c r="C306" s="5">
        <f>IF(B306="null","null",Descargas!B306)</f>
        <v>44000</v>
      </c>
      <c r="D306" s="6" t="str">
        <f>Descargas!E306</f>
        <v>https://resources.simonelectric.com/simon-catalogo-vehiculo-electrico</v>
      </c>
      <c r="E306" s="20" t="str">
        <f t="shared" si="1"/>
        <v>244@as.com</v>
      </c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</row>
    <row r="307" ht="15.75" customHeight="1">
      <c r="A307" s="18" t="str">
        <f>Descargas!A307</f>
        <v>245@gmail.com</v>
      </c>
      <c r="B307" s="19" t="str">
        <f>IFERROR(__xludf.DUMMYFUNCTION("IF(OR(regexmatch(A307,"".*@simon.es$""),REGEXMATCH(A307,"".*@simon.pt$""),REGEXMATCH(A307,"".*@simonelectrica.com$""),REGEXMATCH(A307,"".*@hiberus.com$""),REGEXMATCH(A307,"".*@simonbrico.es$""),regexmatch(A307,"".*@simonelectric.com$"")),""null"",A307)"),"245@gmail.com")</f>
        <v>245@gmail.com</v>
      </c>
      <c r="C307" s="5">
        <f>IF(B307="null","null",Descargas!B307)</f>
        <v>44000</v>
      </c>
      <c r="D307" s="6" t="str">
        <f>Descargas!E307</f>
        <v>https://resources.simonelectric.com/simon-ebook-vehiculo-electrico-ppc</v>
      </c>
      <c r="E307" s="20" t="str">
        <f t="shared" si="1"/>
        <v>245@gmail.com</v>
      </c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</row>
    <row r="308" ht="15.75" customHeight="1">
      <c r="A308" s="18" t="str">
        <f>Descargas!A308</f>
        <v>246@simon.es</v>
      </c>
      <c r="B308" s="19" t="str">
        <f>IFERROR(__xludf.DUMMYFUNCTION("IF(OR(regexmatch(A308,"".*@simon.es$""),REGEXMATCH(A308,"".*@simon.pt$""),REGEXMATCH(A308,"".*@simonelectrica.com$""),REGEXMATCH(A308,"".*@hiberus.com$""),REGEXMATCH(A308,"".*@simonbrico.es$""),regexmatch(A308,"".*@simonelectric.com$"")),""null"",A308)"),"null")</f>
        <v>null</v>
      </c>
      <c r="C308" s="5" t="str">
        <f>IF(B308="null","null",Descargas!B308)</f>
        <v>null</v>
      </c>
      <c r="D308" s="6" t="str">
        <f>Descargas!E308</f>
        <v>https://resources.simonelectric.com/simon-material-formativo-vehiculo-electrico</v>
      </c>
      <c r="E308" s="24" t="str">
        <f t="shared" si="1"/>
        <v/>
      </c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</row>
    <row r="309" ht="15.75" customHeight="1">
      <c r="A309" s="18" t="str">
        <f>Descargas!A309</f>
        <v>247@gmail.com</v>
      </c>
      <c r="B309" s="19" t="str">
        <f>IFERROR(__xludf.DUMMYFUNCTION("IF(OR(regexmatch(A309,"".*@simon.es$""),REGEXMATCH(A309,"".*@simon.pt$""),REGEXMATCH(A309,"".*@simonelectrica.com$""),REGEXMATCH(A309,"".*@hiberus.com$""),REGEXMATCH(A309,"".*@simonbrico.es$""),regexmatch(A309,"".*@simonelectric.com$"")),""null"",A309)"),"247@gmail.com")</f>
        <v>247@gmail.com</v>
      </c>
      <c r="C309" s="5">
        <f>IF(B309="null","null",Descargas!B309)</f>
        <v>43999</v>
      </c>
      <c r="D309" s="6" t="str">
        <f>Descargas!E309</f>
        <v>https://resources.simonelectric.com/simon-ebook-vehiculo-electrico</v>
      </c>
      <c r="E309" s="20" t="str">
        <f t="shared" si="1"/>
        <v>247@gmail.com</v>
      </c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</row>
    <row r="310" ht="15.75" customHeight="1">
      <c r="A310" s="18" t="str">
        <f>Descargas!A310</f>
        <v>248@llachsoillum.cat</v>
      </c>
      <c r="B310" s="19" t="str">
        <f>IFERROR(__xludf.DUMMYFUNCTION("IF(OR(regexmatch(A310,"".*@simon.es$""),REGEXMATCH(A310,"".*@simon.pt$""),REGEXMATCH(A310,"".*@simonelectrica.com$""),REGEXMATCH(A310,"".*@hiberus.com$""),REGEXMATCH(A310,"".*@simonbrico.es$""),regexmatch(A310,"".*@simonelectric.com$"")),""null"",A310)"),"248@llachsoillum.cat")</f>
        <v>248@llachsoillum.cat</v>
      </c>
      <c r="C310" s="5">
        <f>IF(B310="null","null",Descargas!B310)</f>
        <v>43999</v>
      </c>
      <c r="D310" s="6" t="str">
        <f>Descargas!E310</f>
        <v>https://resources.simonelectric.com/simon-material-formativo-vehiculo-electrico</v>
      </c>
      <c r="E310" s="20" t="str">
        <f t="shared" si="1"/>
        <v>248@llachsoillum.cat</v>
      </c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</row>
    <row r="311" ht="15.75" customHeight="1">
      <c r="A311" s="18" t="str">
        <f>Descargas!A311</f>
        <v>249@herreroingenieros.com</v>
      </c>
      <c r="B311" s="19" t="str">
        <f>IFERROR(__xludf.DUMMYFUNCTION("IF(OR(regexmatch(A311,"".*@simon.es$""),REGEXMATCH(A311,"".*@simon.pt$""),REGEXMATCH(A311,"".*@simonelectrica.com$""),REGEXMATCH(A311,"".*@hiberus.com$""),REGEXMATCH(A311,"".*@simonbrico.es$""),regexmatch(A311,"".*@simonelectric.com$"")),""null"",A311)"),"249@herreroingenieros.com")</f>
        <v>249@herreroingenieros.com</v>
      </c>
      <c r="C311" s="5">
        <f>IF(B311="null","null",Descargas!B311)</f>
        <v>43999</v>
      </c>
      <c r="D311" s="6" t="str">
        <f>Descargas!E311</f>
        <v>https://resources.simonelectric.com/simon-material-formativo-vehiculo-electrico</v>
      </c>
      <c r="E311" s="20" t="str">
        <f t="shared" si="1"/>
        <v>249@herreroingenieros.com</v>
      </c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</row>
    <row r="312" ht="15.75" customHeight="1">
      <c r="A312" s="18" t="str">
        <f>Descargas!A312</f>
        <v>250@inacces.com</v>
      </c>
      <c r="B312" s="19" t="str">
        <f>IFERROR(__xludf.DUMMYFUNCTION("IF(OR(regexmatch(A312,"".*@simon.es$""),REGEXMATCH(A312,"".*@simon.pt$""),REGEXMATCH(A312,"".*@simonelectrica.com$""),REGEXMATCH(A312,"".*@hiberus.com$""),REGEXMATCH(A312,"".*@simonbrico.es$""),regexmatch(A312,"".*@simonelectric.com$"")),""null"",A312)"),"250@inacces.com")</f>
        <v>250@inacces.com</v>
      </c>
      <c r="C312" s="5">
        <f>IF(B312="null","null",Descargas!B312)</f>
        <v>43999</v>
      </c>
      <c r="D312" s="6" t="str">
        <f>Descargas!E312</f>
        <v>https://resources.simonelectric.com/simon-ebook-vehiculo-electrico</v>
      </c>
      <c r="E312" s="20" t="str">
        <f t="shared" si="1"/>
        <v>250@inacces.com</v>
      </c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</row>
    <row r="313" ht="15.75" customHeight="1">
      <c r="A313" s="18" t="str">
        <f>Descargas!A313</f>
        <v>251@gmail.com</v>
      </c>
      <c r="B313" s="19" t="str">
        <f>IFERROR(__xludf.DUMMYFUNCTION("IF(OR(regexmatch(A313,"".*@simon.es$""),REGEXMATCH(A313,"".*@simon.pt$""),REGEXMATCH(A313,"".*@simonelectrica.com$""),REGEXMATCH(A313,"".*@hiberus.com$""),REGEXMATCH(A313,"".*@simonbrico.es$""),regexmatch(A313,"".*@simonelectric.com$"")),""null"",A313)"),"251@gmail.com")</f>
        <v>251@gmail.com</v>
      </c>
      <c r="C313" s="5">
        <f>IF(B313="null","null",Descargas!B313)</f>
        <v>43999</v>
      </c>
      <c r="D313" s="6" t="str">
        <f>Descargas!E313</f>
        <v>https://resources.simonelectric.com/simon-ebook-vehiculo-electrico-ppc</v>
      </c>
      <c r="E313" s="20" t="str">
        <f t="shared" si="1"/>
        <v>251@gmail.com</v>
      </c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</row>
    <row r="314" ht="15.75" customHeight="1">
      <c r="A314" s="18" t="str">
        <f>Descargas!A314</f>
        <v>252@hotmail.com</v>
      </c>
      <c r="B314" s="19" t="str">
        <f>IFERROR(__xludf.DUMMYFUNCTION("IF(OR(regexmatch(A314,"".*@simon.es$""),REGEXMATCH(A314,"".*@simon.pt$""),REGEXMATCH(A314,"".*@simonelectrica.com$""),REGEXMATCH(A314,"".*@hiberus.com$""),REGEXMATCH(A314,"".*@simonbrico.es$""),regexmatch(A314,"".*@simonelectric.com$"")),""null"",A314)"),"252@hotmail.com")</f>
        <v>252@hotmail.com</v>
      </c>
      <c r="C314" s="5">
        <f>IF(B314="null","null",Descargas!B314)</f>
        <v>43999</v>
      </c>
      <c r="D314" s="6" t="str">
        <f>Descargas!E314</f>
        <v>https://resources.simonelectric.com/simon-catalogo-vehiculo-electrico</v>
      </c>
      <c r="E314" s="20" t="str">
        <f t="shared" si="1"/>
        <v>252@hotmail.com</v>
      </c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</row>
    <row r="315" ht="15.75" customHeight="1">
      <c r="A315" s="18" t="str">
        <f>Descargas!A315</f>
        <v>253@putzmeister.com</v>
      </c>
      <c r="B315" s="19" t="str">
        <f>IFERROR(__xludf.DUMMYFUNCTION("IF(OR(regexmatch(A315,"".*@simon.es$""),REGEXMATCH(A315,"".*@simon.pt$""),REGEXMATCH(A315,"".*@simonelectrica.com$""),REGEXMATCH(A315,"".*@hiberus.com$""),REGEXMATCH(A315,"".*@simonbrico.es$""),regexmatch(A315,"".*@simonelectric.com$"")),""null"",A315)"),"253@putzmeister.com")</f>
        <v>253@putzmeister.com</v>
      </c>
      <c r="C315" s="5">
        <f>IF(B315="null","null",Descargas!B315)</f>
        <v>43999</v>
      </c>
      <c r="D315" s="6" t="str">
        <f>Descargas!E315</f>
        <v>https://resources.simonelectric.com/simon-ebook-vehiculo-electrico</v>
      </c>
      <c r="E315" s="20" t="str">
        <f t="shared" si="1"/>
        <v>253@putzmeister.com</v>
      </c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</row>
    <row r="316" ht="15.75" customHeight="1">
      <c r="A316" s="18" t="str">
        <f>Descargas!A316</f>
        <v>254@hotmail.com</v>
      </c>
      <c r="B316" s="19" t="str">
        <f>IFERROR(__xludf.DUMMYFUNCTION("IF(OR(regexmatch(A316,"".*@simon.es$""),REGEXMATCH(A316,"".*@simon.pt$""),REGEXMATCH(A316,"".*@simonelectrica.com$""),REGEXMATCH(A316,"".*@hiberus.com$""),REGEXMATCH(A316,"".*@simonbrico.es$""),regexmatch(A316,"".*@simonelectric.com$"")),""null"",A316)"),"254@hotmail.com")</f>
        <v>254@hotmail.com</v>
      </c>
      <c r="C316" s="5">
        <f>IF(B316="null","null",Descargas!B316)</f>
        <v>43998</v>
      </c>
      <c r="D316" s="6" t="str">
        <f>Descargas!E316</f>
        <v>https://resources.simonelectric.com/simon-ebook-vehiculo-electrico-ppc</v>
      </c>
      <c r="E316" s="20" t="str">
        <f t="shared" si="1"/>
        <v>254@hotmail.com</v>
      </c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</row>
    <row r="317" ht="15.75" customHeight="1">
      <c r="A317" s="18" t="str">
        <f>Descargas!A317</f>
        <v>255@hotmail.com</v>
      </c>
      <c r="B317" s="19" t="str">
        <f>IFERROR(__xludf.DUMMYFUNCTION("IF(OR(regexmatch(A317,"".*@simon.es$""),REGEXMATCH(A317,"".*@simon.pt$""),REGEXMATCH(A317,"".*@simonelectrica.com$""),REGEXMATCH(A317,"".*@hiberus.com$""),REGEXMATCH(A317,"".*@simonbrico.es$""),regexmatch(A317,"".*@simonelectric.com$"")),""null"",A317)"),"255@hotmail.com")</f>
        <v>255@hotmail.com</v>
      </c>
      <c r="C317" s="5">
        <f>IF(B317="null","null",Descargas!B317)</f>
        <v>43998</v>
      </c>
      <c r="D317" s="6" t="str">
        <f>Descargas!E317</f>
        <v>https://resources.simonelectric.com/simon-ebook-vehiculo-electrico</v>
      </c>
      <c r="E317" s="20" t="str">
        <f t="shared" si="1"/>
        <v>255@hotmail.com</v>
      </c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</row>
    <row r="318" ht="15.75" customHeight="1">
      <c r="A318" s="18" t="str">
        <f>Descargas!A318</f>
        <v>73@hotmail.com</v>
      </c>
      <c r="B318" s="19" t="str">
        <f>IFERROR(__xludf.DUMMYFUNCTION("IF(OR(regexmatch(A318,"".*@simon.es$""),REGEXMATCH(A318,"".*@simon.pt$""),REGEXMATCH(A318,"".*@simonelectrica.com$""),REGEXMATCH(A318,"".*@hiberus.com$""),REGEXMATCH(A318,"".*@simonbrico.es$""),regexmatch(A318,"".*@simonelectric.com$"")),""null"",A318)"),"73@hotmail.com")</f>
        <v>73@hotmail.com</v>
      </c>
      <c r="C318" s="5">
        <f>IF(B318="null","null",Descargas!B318)</f>
        <v>43998</v>
      </c>
      <c r="D318" s="6" t="str">
        <f>Descargas!E318</f>
        <v>https://resources.simonelectric.com/simon-catalogo-vehiculo-electrico</v>
      </c>
      <c r="E318" s="20" t="str">
        <f t="shared" si="1"/>
        <v>73@hotmail.com</v>
      </c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</row>
    <row r="319" ht="15.75" customHeight="1">
      <c r="A319" s="18" t="str">
        <f>Descargas!A319</f>
        <v>256@mail.com</v>
      </c>
      <c r="B319" s="19" t="str">
        <f>IFERROR(__xludf.DUMMYFUNCTION("IF(OR(regexmatch(A319,"".*@simon.es$""),REGEXMATCH(A319,"".*@simon.pt$""),REGEXMATCH(A319,"".*@simonelectrica.com$""),REGEXMATCH(A319,"".*@hiberus.com$""),REGEXMATCH(A319,"".*@simonbrico.es$""),regexmatch(A319,"".*@simonelectric.com$"")),""null"",A319)"),"256@mail.com")</f>
        <v>256@mail.com</v>
      </c>
      <c r="C319" s="5">
        <f>IF(B319="null","null",Descargas!B319)</f>
        <v>43998</v>
      </c>
      <c r="D319" s="6" t="str">
        <f>Descargas!E319</f>
        <v>https://resources.simonelectric.com/simon-ebook-vehiculo-electrico</v>
      </c>
      <c r="E319" s="20" t="str">
        <f t="shared" si="1"/>
        <v>256@mail.com</v>
      </c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</row>
    <row r="320" ht="15.75" customHeight="1">
      <c r="A320" s="18" t="str">
        <f>Descargas!A320</f>
        <v>257@telefonica.net</v>
      </c>
      <c r="B320" s="19" t="str">
        <f>IFERROR(__xludf.DUMMYFUNCTION("IF(OR(regexmatch(A320,"".*@simon.es$""),REGEXMATCH(A320,"".*@simon.pt$""),REGEXMATCH(A320,"".*@simonelectrica.com$""),REGEXMATCH(A320,"".*@hiberus.com$""),REGEXMATCH(A320,"".*@simonbrico.es$""),regexmatch(A320,"".*@simonelectric.com$"")),""null"",A320)"),"257@telefonica.net")</f>
        <v>257@telefonica.net</v>
      </c>
      <c r="C320" s="5">
        <f>IF(B320="null","null",Descargas!B320)</f>
        <v>43998</v>
      </c>
      <c r="D320" s="6" t="str">
        <f>Descargas!E320</f>
        <v>https://resources.simonelectric.com/simon-catalogo-vehiculo-electrico</v>
      </c>
      <c r="E320" s="20" t="str">
        <f t="shared" si="1"/>
        <v>257@telefonica.net</v>
      </c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</row>
    <row r="321" ht="15.75" customHeight="1">
      <c r="A321" s="18" t="str">
        <f>Descargas!A321</f>
        <v>258@jesnar2011.es</v>
      </c>
      <c r="B321" s="19" t="str">
        <f>IFERROR(__xludf.DUMMYFUNCTION("IF(OR(regexmatch(A321,"".*@simon.es$""),REGEXMATCH(A321,"".*@simon.pt$""),REGEXMATCH(A321,"".*@simonelectrica.com$""),REGEXMATCH(A321,"".*@hiberus.com$""),REGEXMATCH(A321,"".*@simonbrico.es$""),regexmatch(A321,"".*@simonelectric.com$"")),""null"",A321)"),"258@jesnar2011.es")</f>
        <v>258@jesnar2011.es</v>
      </c>
      <c r="C321" s="5">
        <f>IF(B321="null","null",Descargas!B321)</f>
        <v>43998</v>
      </c>
      <c r="D321" s="6" t="str">
        <f>Descargas!E321</f>
        <v>https://resources.simonelectric.com/simon-ebook-vehiculo-electrico</v>
      </c>
      <c r="E321" s="20" t="str">
        <f t="shared" si="1"/>
        <v>258@jesnar2011.es</v>
      </c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</row>
    <row r="322" ht="15.75" customHeight="1">
      <c r="A322" s="18" t="str">
        <f>Descargas!A322</f>
        <v>259@electricosaragon2000.com</v>
      </c>
      <c r="B322" s="19" t="str">
        <f>IFERROR(__xludf.DUMMYFUNCTION("IF(OR(regexmatch(A322,"".*@simon.es$""),REGEXMATCH(A322,"".*@simon.pt$""),REGEXMATCH(A322,"".*@simonelectrica.com$""),REGEXMATCH(A322,"".*@hiberus.com$""),REGEXMATCH(A322,"".*@simonbrico.es$""),regexmatch(A322,"".*@simonelectric.com$"")),""null"",A322)"),"259@electricosaragon2000.com")</f>
        <v>259@electricosaragon2000.com</v>
      </c>
      <c r="C322" s="5">
        <f>IF(B322="null","null",Descargas!B322)</f>
        <v>43998</v>
      </c>
      <c r="D322" s="6" t="str">
        <f>Descargas!E322</f>
        <v>https://resources.simonelectric.com/simon-catalogo-vehiculo-electrico</v>
      </c>
      <c r="E322" s="20" t="str">
        <f t="shared" si="1"/>
        <v>259@electricosaragon2000.com</v>
      </c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</row>
    <row r="323" ht="15.75" customHeight="1">
      <c r="A323" s="18" t="str">
        <f>Descargas!A323</f>
        <v>260@hotmail.com</v>
      </c>
      <c r="B323" s="19" t="str">
        <f>IFERROR(__xludf.DUMMYFUNCTION("IF(OR(regexmatch(A323,"".*@simon.es$""),REGEXMATCH(A323,"".*@simon.pt$""),REGEXMATCH(A323,"".*@simonelectrica.com$""),REGEXMATCH(A323,"".*@hiberus.com$""),REGEXMATCH(A323,"".*@simonbrico.es$""),regexmatch(A323,"".*@simonelectric.com$"")),""null"",A323)"),"260@hotmail.com")</f>
        <v>260@hotmail.com</v>
      </c>
      <c r="C323" s="5">
        <f>IF(B323="null","null",Descargas!B323)</f>
        <v>43998</v>
      </c>
      <c r="D323" s="6" t="str">
        <f>Descargas!E323</f>
        <v>https://resources.simonelectric.com/simon-catalogo-vehiculo-electrico</v>
      </c>
      <c r="E323" s="20" t="str">
        <f t="shared" si="1"/>
        <v>260@hotmail.com</v>
      </c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</row>
    <row r="324" ht="15.75" customHeight="1">
      <c r="A324" s="18" t="str">
        <f>Descargas!A324</f>
        <v>261@gmail.com</v>
      </c>
      <c r="B324" s="19" t="str">
        <f>IFERROR(__xludf.DUMMYFUNCTION("IF(OR(regexmatch(A324,"".*@simon.es$""),REGEXMATCH(A324,"".*@simon.pt$""),REGEXMATCH(A324,"".*@simonelectrica.com$""),REGEXMATCH(A324,"".*@hiberus.com$""),REGEXMATCH(A324,"".*@simonbrico.es$""),regexmatch(A324,"".*@simonelectric.com$"")),""null"",A324)"),"261@gmail.com")</f>
        <v>261@gmail.com</v>
      </c>
      <c r="C324" s="5">
        <f>IF(B324="null","null",Descargas!B324)</f>
        <v>43998</v>
      </c>
      <c r="D324" s="6" t="str">
        <f>Descargas!E324</f>
        <v>https://resources.simonelectric.com/simon-ebook-vehiculo-electrico</v>
      </c>
      <c r="E324" s="20" t="str">
        <f t="shared" si="1"/>
        <v>261@gmail.com</v>
      </c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</row>
    <row r="325" ht="15.75" customHeight="1">
      <c r="A325" s="18" t="str">
        <f>Descargas!A325</f>
        <v>262@gmail.com</v>
      </c>
      <c r="B325" s="19" t="str">
        <f>IFERROR(__xludf.DUMMYFUNCTION("IF(OR(regexmatch(A325,"".*@simon.es$""),REGEXMATCH(A325,"".*@simon.pt$""),REGEXMATCH(A325,"".*@simonelectrica.com$""),REGEXMATCH(A325,"".*@hiberus.com$""),REGEXMATCH(A325,"".*@simonbrico.es$""),regexmatch(A325,"".*@simonelectric.com$"")),""null"",A325)"),"262@gmail.com")</f>
        <v>262@gmail.com</v>
      </c>
      <c r="C325" s="5">
        <f>IF(B325="null","null",Descargas!B325)</f>
        <v>43998</v>
      </c>
      <c r="D325" s="6" t="str">
        <f>Descargas!E325</f>
        <v>https://resources.simonelectric.com/simon-ebook-vehiculo-electrico</v>
      </c>
      <c r="E325" s="20" t="str">
        <f t="shared" si="1"/>
        <v>262@gmail.com</v>
      </c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</row>
    <row r="326" ht="15.75" customHeight="1">
      <c r="A326" s="18" t="str">
        <f>Descargas!A326</f>
        <v>263@sueprat.es</v>
      </c>
      <c r="B326" s="19" t="str">
        <f>IFERROR(__xludf.DUMMYFUNCTION("IF(OR(regexmatch(A326,"".*@simon.es$""),REGEXMATCH(A326,"".*@simon.pt$""),REGEXMATCH(A326,"".*@simonelectrica.com$""),REGEXMATCH(A326,"".*@hiberus.com$""),REGEXMATCH(A326,"".*@simonbrico.es$""),regexmatch(A326,"".*@simonelectric.com$"")),""null"",A326)"),"263@sueprat.es")</f>
        <v>263@sueprat.es</v>
      </c>
      <c r="C326" s="5">
        <f>IF(B326="null","null",Descargas!B326)</f>
        <v>43998</v>
      </c>
      <c r="D326" s="6" t="str">
        <f>Descargas!E326</f>
        <v>https://resources.simonelectric.com/simon-catalogo-vehiculo-electrico</v>
      </c>
      <c r="E326" s="20" t="str">
        <f t="shared" si="1"/>
        <v>263@sueprat.es</v>
      </c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</row>
    <row r="327" ht="15.75" customHeight="1">
      <c r="A327" s="18" t="str">
        <f>Descargas!A327</f>
        <v>264@edaie.com</v>
      </c>
      <c r="B327" s="19" t="str">
        <f>IFERROR(__xludf.DUMMYFUNCTION("IF(OR(regexmatch(A327,"".*@simon.es$""),REGEXMATCH(A327,"".*@simon.pt$""),REGEXMATCH(A327,"".*@simonelectrica.com$""),REGEXMATCH(A327,"".*@hiberus.com$""),REGEXMATCH(A327,"".*@simonbrico.es$""),regexmatch(A327,"".*@simonelectric.com$"")),""null"",A327)"),"264@edaie.com")</f>
        <v>264@edaie.com</v>
      </c>
      <c r="C327" s="5">
        <f>IF(B327="null","null",Descargas!B327)</f>
        <v>43998</v>
      </c>
      <c r="D327" s="6" t="str">
        <f>Descargas!E327</f>
        <v>https://resources.simonelectric.com/simon-ebook-vehiculo-electrico</v>
      </c>
      <c r="E327" s="20" t="str">
        <f t="shared" si="1"/>
        <v>264@edaie.com</v>
      </c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</row>
    <row r="328" ht="15.75" customHeight="1">
      <c r="A328" s="18" t="str">
        <f>Descargas!A328</f>
        <v>264@edaie.com</v>
      </c>
      <c r="B328" s="19" t="str">
        <f>IFERROR(__xludf.DUMMYFUNCTION("IF(OR(regexmatch(A328,"".*@simon.es$""),REGEXMATCH(A328,"".*@simon.pt$""),REGEXMATCH(A328,"".*@simonelectrica.com$""),REGEXMATCH(A328,"".*@hiberus.com$""),REGEXMATCH(A328,"".*@simonbrico.es$""),regexmatch(A328,"".*@simonelectric.com$"")),""null"",A328)"),"264@edaie.com")</f>
        <v>264@edaie.com</v>
      </c>
      <c r="C328" s="5">
        <f>IF(B328="null","null",Descargas!B328)</f>
        <v>43998</v>
      </c>
      <c r="D328" s="6" t="str">
        <f>Descargas!E328</f>
        <v>https://resources.simonelectric.com/simon-ebook-vehiculo-electrico</v>
      </c>
      <c r="E328" s="20" t="str">
        <f t="shared" si="1"/>
        <v>264@edaie.com</v>
      </c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</row>
    <row r="329" ht="15.75" customHeight="1">
      <c r="A329" s="18" t="str">
        <f>Descargas!A329</f>
        <v>265@gmail.com</v>
      </c>
      <c r="B329" s="19" t="str">
        <f>IFERROR(__xludf.DUMMYFUNCTION("IF(OR(regexmatch(A329,"".*@simon.es$""),REGEXMATCH(A329,"".*@simon.pt$""),REGEXMATCH(A329,"".*@simonelectrica.com$""),REGEXMATCH(A329,"".*@hiberus.com$""),REGEXMATCH(A329,"".*@simonbrico.es$""),regexmatch(A329,"".*@simonelectric.com$"")),""null"",A329)"),"265@gmail.com")</f>
        <v>265@gmail.com</v>
      </c>
      <c r="C329" s="5">
        <f>IF(B329="null","null",Descargas!B329)</f>
        <v>43997</v>
      </c>
      <c r="D329" s="6" t="str">
        <f>Descargas!E329</f>
        <v>https://resources.simonelectric.com/simon-ebook-vehiculo-electrico</v>
      </c>
      <c r="E329" s="20" t="str">
        <f t="shared" si="1"/>
        <v>265@gmail.com</v>
      </c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</row>
    <row r="330" ht="15.75" customHeight="1">
      <c r="A330" s="18" t="str">
        <f>Descargas!A330</f>
        <v>266@hotmail.es</v>
      </c>
      <c r="B330" s="19" t="str">
        <f>IFERROR(__xludf.DUMMYFUNCTION("IF(OR(regexmatch(A330,"".*@simon.es$""),REGEXMATCH(A330,"".*@simon.pt$""),REGEXMATCH(A330,"".*@simonelectrica.com$""),REGEXMATCH(A330,"".*@hiberus.com$""),REGEXMATCH(A330,"".*@simonbrico.es$""),regexmatch(A330,"".*@simonelectric.com$"")),""null"",A330)"),"266@hotmail.es")</f>
        <v>266@hotmail.es</v>
      </c>
      <c r="C330" s="5">
        <f>IF(B330="null","null",Descargas!B330)</f>
        <v>43997</v>
      </c>
      <c r="D330" s="6" t="str">
        <f>Descargas!E330</f>
        <v>https://resources.simonelectric.com/simon-ebook-vehiculo-electrico</v>
      </c>
      <c r="E330" s="20" t="str">
        <f t="shared" si="1"/>
        <v>266@hotmail.es</v>
      </c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</row>
    <row r="331" ht="15.75" customHeight="1">
      <c r="A331" s="18" t="str">
        <f>Descargas!A331</f>
        <v>241@gmail.com</v>
      </c>
      <c r="B331" s="19" t="str">
        <f>IFERROR(__xludf.DUMMYFUNCTION("IF(OR(regexmatch(A331,"".*@simon.es$""),REGEXMATCH(A331,"".*@simon.pt$""),REGEXMATCH(A331,"".*@simonelectrica.com$""),REGEXMATCH(A331,"".*@hiberus.com$""),REGEXMATCH(A331,"".*@simonbrico.es$""),regexmatch(A331,"".*@simonelectric.com$"")),""null"",A331)"),"241@gmail.com")</f>
        <v>241@gmail.com</v>
      </c>
      <c r="C331" s="5">
        <f>IF(B331="null","null",Descargas!B331)</f>
        <v>43997</v>
      </c>
      <c r="D331" s="6" t="str">
        <f>Descargas!E331</f>
        <v>https://resources.simonelectric.com/simon-ebook-vehiculo-electrico</v>
      </c>
      <c r="E331" s="20" t="str">
        <f t="shared" si="1"/>
        <v>241@gmail.com</v>
      </c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</row>
    <row r="332" ht="15.75" customHeight="1">
      <c r="A332" s="18" t="str">
        <f>Descargas!A332</f>
        <v>267@fiberlec.com</v>
      </c>
      <c r="B332" s="19" t="str">
        <f>IFERROR(__xludf.DUMMYFUNCTION("IF(OR(regexmatch(A332,"".*@simon.es$""),REGEXMATCH(A332,"".*@simon.pt$""),REGEXMATCH(A332,"".*@simonelectrica.com$""),REGEXMATCH(A332,"".*@hiberus.com$""),REGEXMATCH(A332,"".*@simonbrico.es$""),regexmatch(A332,"".*@simonelectric.com$"")),""null"",A332)"),"267@fiberlec.com")</f>
        <v>267@fiberlec.com</v>
      </c>
      <c r="C332" s="5">
        <f>IF(B332="null","null",Descargas!B332)</f>
        <v>43997</v>
      </c>
      <c r="D332" s="6" t="str">
        <f>Descargas!E332</f>
        <v>https://resources.simonelectric.com/simon-ebook-vehiculo-electrico</v>
      </c>
      <c r="E332" s="20" t="str">
        <f t="shared" si="1"/>
        <v>267@fiberlec.com</v>
      </c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</row>
    <row r="333" ht="15.75" customHeight="1">
      <c r="A333" s="18" t="str">
        <f>Descargas!A333</f>
        <v>268@gmail.com</v>
      </c>
      <c r="B333" s="19" t="str">
        <f>IFERROR(__xludf.DUMMYFUNCTION("IF(OR(regexmatch(A333,"".*@simon.es$""),REGEXMATCH(A333,"".*@simon.pt$""),REGEXMATCH(A333,"".*@simonelectrica.com$""),REGEXMATCH(A333,"".*@hiberus.com$""),REGEXMATCH(A333,"".*@simonbrico.es$""),regexmatch(A333,"".*@simonelectric.com$"")),""null"",A333)"),"268@gmail.com")</f>
        <v>268@gmail.com</v>
      </c>
      <c r="C333" s="5">
        <f>IF(B333="null","null",Descargas!B333)</f>
        <v>43997</v>
      </c>
      <c r="D333" s="6" t="str">
        <f>Descargas!E333</f>
        <v>https://resources.simonelectric.com/simon-material-formativo-vehiculo-electrico</v>
      </c>
      <c r="E333" s="20" t="str">
        <f t="shared" si="1"/>
        <v>268@gmail.com</v>
      </c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</row>
    <row r="334" ht="15.75" customHeight="1">
      <c r="A334" s="18" t="str">
        <f>Descargas!A334</f>
        <v>269@hotmail.com</v>
      </c>
      <c r="B334" s="19" t="str">
        <f>IFERROR(__xludf.DUMMYFUNCTION("IF(OR(regexmatch(A334,"".*@simon.es$""),REGEXMATCH(A334,"".*@simon.pt$""),REGEXMATCH(A334,"".*@simonelectrica.com$""),REGEXMATCH(A334,"".*@hiberus.com$""),REGEXMATCH(A334,"".*@simonbrico.es$""),regexmatch(A334,"".*@simonelectric.com$"")),""null"",A334)"),"269@hotmail.com")</f>
        <v>269@hotmail.com</v>
      </c>
      <c r="C334" s="5">
        <f>IF(B334="null","null",Descargas!B334)</f>
        <v>43997</v>
      </c>
      <c r="D334" s="6" t="str">
        <f>Descargas!E334</f>
        <v>https://resources.simonelectric.com/simon-ebook-vehiculo-electrico</v>
      </c>
      <c r="E334" s="20" t="str">
        <f t="shared" si="1"/>
        <v>269@hotmail.com</v>
      </c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</row>
    <row r="335" ht="15.75" customHeight="1">
      <c r="A335" s="18" t="str">
        <f>Descargas!A335</f>
        <v>270@gmail.com</v>
      </c>
      <c r="B335" s="19" t="str">
        <f>IFERROR(__xludf.DUMMYFUNCTION("IF(OR(regexmatch(A335,"".*@simon.es$""),REGEXMATCH(A335,"".*@simon.pt$""),REGEXMATCH(A335,"".*@simonelectrica.com$""),REGEXMATCH(A335,"".*@hiberus.com$""),REGEXMATCH(A335,"".*@simonbrico.es$""),regexmatch(A335,"".*@simonelectric.com$"")),""null"",A335)"),"270@gmail.com")</f>
        <v>270@gmail.com</v>
      </c>
      <c r="C335" s="5">
        <f>IF(B335="null","null",Descargas!B335)</f>
        <v>43997</v>
      </c>
      <c r="D335" s="6" t="str">
        <f>Descargas!E335</f>
        <v>https://resources.simonelectric.com/simon-ebook-vehiculo-electrico</v>
      </c>
      <c r="E335" s="20" t="str">
        <f t="shared" si="1"/>
        <v>270@gmail.com</v>
      </c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</row>
    <row r="336" ht="15.75" customHeight="1">
      <c r="A336" s="18" t="str">
        <f>Descargas!A336</f>
        <v>271@pkcgroup.com</v>
      </c>
      <c r="B336" s="19" t="str">
        <f>IFERROR(__xludf.DUMMYFUNCTION("IF(OR(regexmatch(A336,"".*@simon.es$""),REGEXMATCH(A336,"".*@simon.pt$""),REGEXMATCH(A336,"".*@simonelectrica.com$""),REGEXMATCH(A336,"".*@hiberus.com$""),REGEXMATCH(A336,"".*@simonbrico.es$""),regexmatch(A336,"".*@simonelectric.com$"")),""null"",A336)"),"271@pkcgroup.com")</f>
        <v>271@pkcgroup.com</v>
      </c>
      <c r="C336" s="5">
        <f>IF(B336="null","null",Descargas!B336)</f>
        <v>43997</v>
      </c>
      <c r="D336" s="6" t="str">
        <f>Descargas!E336</f>
        <v>https://resources.simonelectric.com/simon-ebook-vehiculo-electrico</v>
      </c>
      <c r="E336" s="20" t="str">
        <f t="shared" si="1"/>
        <v>271@pkcgroup.com</v>
      </c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</row>
    <row r="337" ht="15.75" customHeight="1">
      <c r="A337" s="18" t="str">
        <f>Descargas!A337</f>
        <v>272@gmail.com</v>
      </c>
      <c r="B337" s="19" t="str">
        <f>IFERROR(__xludf.DUMMYFUNCTION("IF(OR(regexmatch(A337,"".*@simon.es$""),REGEXMATCH(A337,"".*@simon.pt$""),REGEXMATCH(A337,"".*@simonelectrica.com$""),REGEXMATCH(A337,"".*@hiberus.com$""),REGEXMATCH(A337,"".*@simonbrico.es$""),regexmatch(A337,"".*@simonelectric.com$"")),""null"",A337)"),"272@gmail.com")</f>
        <v>272@gmail.com</v>
      </c>
      <c r="C337" s="5">
        <f>IF(B337="null","null",Descargas!B337)</f>
        <v>43997</v>
      </c>
      <c r="D337" s="6" t="str">
        <f>Descargas!E337</f>
        <v>https://resources.simonelectric.com/simon-catalogo-vehiculo-electrico</v>
      </c>
      <c r="E337" s="20" t="str">
        <f t="shared" si="1"/>
        <v>272@gmail.com</v>
      </c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</row>
    <row r="338" ht="15.75" customHeight="1">
      <c r="A338" s="18" t="str">
        <f>Descargas!A338</f>
        <v>164@telefonica.net</v>
      </c>
      <c r="B338" s="19" t="str">
        <f>IFERROR(__xludf.DUMMYFUNCTION("IF(OR(regexmatch(A338,"".*@simon.es$""),REGEXMATCH(A338,"".*@simon.pt$""),REGEXMATCH(A338,"".*@simonelectrica.com$""),REGEXMATCH(A338,"".*@hiberus.com$""),REGEXMATCH(A338,"".*@simonbrico.es$""),regexmatch(A338,"".*@simonelectric.com$"")),""null"",A338)"),"164@telefonica.net")</f>
        <v>164@telefonica.net</v>
      </c>
      <c r="C338" s="5">
        <f>IF(B338="null","null",Descargas!B338)</f>
        <v>43997</v>
      </c>
      <c r="D338" s="6" t="str">
        <f>Descargas!E338</f>
        <v>https://resources.simonelectric.com/simon-ebook-vehiculo-electrico</v>
      </c>
      <c r="E338" s="20" t="str">
        <f t="shared" si="1"/>
        <v>164@telefonica.net</v>
      </c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</row>
    <row r="339" ht="15.75" customHeight="1">
      <c r="A339" s="18" t="str">
        <f>Descargas!A339</f>
        <v>273@gmail.com</v>
      </c>
      <c r="B339" s="19" t="str">
        <f>IFERROR(__xludf.DUMMYFUNCTION("IF(OR(regexmatch(A339,"".*@simon.es$""),REGEXMATCH(A339,"".*@simon.pt$""),REGEXMATCH(A339,"".*@simonelectrica.com$""),REGEXMATCH(A339,"".*@hiberus.com$""),REGEXMATCH(A339,"".*@simonbrico.es$""),regexmatch(A339,"".*@simonelectric.com$"")),""null"",A339)"),"273@gmail.com")</f>
        <v>273@gmail.com</v>
      </c>
      <c r="C339" s="5">
        <f>IF(B339="null","null",Descargas!B339)</f>
        <v>43997</v>
      </c>
      <c r="D339" s="6" t="str">
        <f>Descargas!E339</f>
        <v>https://resources.simonelectric.com/simon-ebook-vehiculo-electrico</v>
      </c>
      <c r="E339" s="20" t="str">
        <f t="shared" si="1"/>
        <v>273@gmail.com</v>
      </c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</row>
    <row r="340" ht="15.75" customHeight="1">
      <c r="A340" s="18" t="str">
        <f>Descargas!A340</f>
        <v>274@movistar.es</v>
      </c>
      <c r="B340" s="19" t="str">
        <f>IFERROR(__xludf.DUMMYFUNCTION("IF(OR(regexmatch(A340,"".*@simon.es$""),REGEXMATCH(A340,"".*@simon.pt$""),REGEXMATCH(A340,"".*@simonelectrica.com$""),REGEXMATCH(A340,"".*@hiberus.com$""),REGEXMATCH(A340,"".*@simonbrico.es$""),regexmatch(A340,"".*@simonelectric.com$"")),""null"",A340)"),"274@movistar.es")</f>
        <v>274@movistar.es</v>
      </c>
      <c r="C340" s="5">
        <f>IF(B340="null","null",Descargas!B340)</f>
        <v>43997</v>
      </c>
      <c r="D340" s="6" t="str">
        <f>Descargas!E340</f>
        <v>https://resources.simonelectric.com/simon-ebook-vehiculo-electrico</v>
      </c>
      <c r="E340" s="20" t="str">
        <f t="shared" si="1"/>
        <v>274@movistar.es</v>
      </c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</row>
    <row r="341" ht="15.75" customHeight="1">
      <c r="A341" s="18" t="str">
        <f>Descargas!A341</f>
        <v>275@aransa.com</v>
      </c>
      <c r="B341" s="19" t="str">
        <f>IFERROR(__xludf.DUMMYFUNCTION("IF(OR(regexmatch(A341,"".*@simon.es$""),REGEXMATCH(A341,"".*@simon.pt$""),REGEXMATCH(A341,"".*@simonelectrica.com$""),REGEXMATCH(A341,"".*@hiberus.com$""),REGEXMATCH(A341,"".*@simonbrico.es$""),regexmatch(A341,"".*@simonelectric.com$"")),""null"",A341)"),"275@aransa.com")</f>
        <v>275@aransa.com</v>
      </c>
      <c r="C341" s="5">
        <f>IF(B341="null","null",Descargas!B341)</f>
        <v>43997</v>
      </c>
      <c r="D341" s="6" t="str">
        <f>Descargas!E341</f>
        <v>https://resources.simonelectric.com/simon-ebook-vehiculo-electrico</v>
      </c>
      <c r="E341" s="20" t="str">
        <f t="shared" si="1"/>
        <v>275@aransa.com</v>
      </c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</row>
    <row r="342" ht="15.75" customHeight="1">
      <c r="A342" s="18" t="str">
        <f>Descargas!A342</f>
        <v>276@gmail.com</v>
      </c>
      <c r="B342" s="19" t="str">
        <f>IFERROR(__xludf.DUMMYFUNCTION("IF(OR(regexmatch(A342,"".*@simon.es$""),REGEXMATCH(A342,"".*@simon.pt$""),REGEXMATCH(A342,"".*@simonelectrica.com$""),REGEXMATCH(A342,"".*@hiberus.com$""),REGEXMATCH(A342,"".*@simonbrico.es$""),regexmatch(A342,"".*@simonelectric.com$"")),""null"",A342)"),"276@gmail.com")</f>
        <v>276@gmail.com</v>
      </c>
      <c r="C342" s="5">
        <f>IF(B342="null","null",Descargas!B342)</f>
        <v>43997</v>
      </c>
      <c r="D342" s="6" t="str">
        <f>Descargas!E342</f>
        <v>https://resources.simonelectric.com/simon-ebook-vehiculo-electrico</v>
      </c>
      <c r="E342" s="20" t="str">
        <f t="shared" si="1"/>
        <v>276@gmail.com</v>
      </c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</row>
    <row r="343" ht="15.75" customHeight="1">
      <c r="A343" s="18" t="str">
        <f>Descargas!A343</f>
        <v>35@gmail.com</v>
      </c>
      <c r="B343" s="19" t="str">
        <f>IFERROR(__xludf.DUMMYFUNCTION("IF(OR(regexmatch(A343,"".*@simon.es$""),REGEXMATCH(A343,"".*@simon.pt$""),REGEXMATCH(A343,"".*@simonelectrica.com$""),REGEXMATCH(A343,"".*@hiberus.com$""),REGEXMATCH(A343,"".*@simonbrico.es$""),regexmatch(A343,"".*@simonelectric.com$"")),""null"",A343)"),"35@gmail.com")</f>
        <v>35@gmail.com</v>
      </c>
      <c r="C343" s="5">
        <f>IF(B343="null","null",Descargas!B343)</f>
        <v>43997</v>
      </c>
      <c r="D343" s="6" t="str">
        <f>Descargas!E343</f>
        <v>https://resources.simonelectric.com/simon-ebook-vehiculo-electrico</v>
      </c>
      <c r="E343" s="20" t="str">
        <f t="shared" si="1"/>
        <v>35@gmail.com</v>
      </c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</row>
    <row r="344" ht="15.75" customHeight="1">
      <c r="A344" s="18" t="str">
        <f>Descargas!A344</f>
        <v>277@fcc.es</v>
      </c>
      <c r="B344" s="19" t="str">
        <f>IFERROR(__xludf.DUMMYFUNCTION("IF(OR(regexmatch(A344,"".*@simon.es$""),REGEXMATCH(A344,"".*@simon.pt$""),REGEXMATCH(A344,"".*@simonelectrica.com$""),REGEXMATCH(A344,"".*@hiberus.com$""),REGEXMATCH(A344,"".*@simonbrico.es$""),regexmatch(A344,"".*@simonelectric.com$"")),""null"",A344)"),"277@fcc.es")</f>
        <v>277@fcc.es</v>
      </c>
      <c r="C344" s="5">
        <f>IF(B344="null","null",Descargas!B344)</f>
        <v>43997</v>
      </c>
      <c r="D344" s="6" t="str">
        <f>Descargas!E344</f>
        <v>https://resources.simonelectric.com/simon-ebook-vehiculo-electrico</v>
      </c>
      <c r="E344" s="20" t="str">
        <f t="shared" si="1"/>
        <v>277@fcc.es</v>
      </c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</row>
    <row r="345" ht="15.75" customHeight="1">
      <c r="A345" s="18" t="str">
        <f>Descargas!A345</f>
        <v>278@urbaser.com</v>
      </c>
      <c r="B345" s="19" t="str">
        <f>IFERROR(__xludf.DUMMYFUNCTION("IF(OR(regexmatch(A345,"".*@simon.es$""),REGEXMATCH(A345,"".*@simon.pt$""),REGEXMATCH(A345,"".*@simonelectrica.com$""),REGEXMATCH(A345,"".*@hiberus.com$""),REGEXMATCH(A345,"".*@simonbrico.es$""),regexmatch(A345,"".*@simonelectric.com$"")),""null"",A345)"),"278@urbaser.com")</f>
        <v>278@urbaser.com</v>
      </c>
      <c r="C345" s="5">
        <f>IF(B345="null","null",Descargas!B345)</f>
        <v>43997</v>
      </c>
      <c r="D345" s="6" t="str">
        <f>Descargas!E345</f>
        <v>https://resources.simonelectric.com/simon-ebook-vehiculo-electrico</v>
      </c>
      <c r="E345" s="20" t="str">
        <f t="shared" si="1"/>
        <v>278@urbaser.com</v>
      </c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</row>
    <row r="346" ht="15.75" customHeight="1">
      <c r="A346" s="18" t="str">
        <f>Descargas!A346</f>
        <v>87@comsa.com</v>
      </c>
      <c r="B346" s="19" t="str">
        <f>IFERROR(__xludf.DUMMYFUNCTION("IF(OR(regexmatch(A346,"".*@simon.es$""),REGEXMATCH(A346,"".*@simon.pt$""),REGEXMATCH(A346,"".*@simonelectrica.com$""),REGEXMATCH(A346,"".*@hiberus.com$""),REGEXMATCH(A346,"".*@simonbrico.es$""),regexmatch(A346,"".*@simonelectric.com$"")),""null"",A346)"),"87@comsa.com")</f>
        <v>87@comsa.com</v>
      </c>
      <c r="C346" s="5">
        <f>IF(B346="null","null",Descargas!B346)</f>
        <v>43997</v>
      </c>
      <c r="D346" s="6" t="str">
        <f>Descargas!E346</f>
        <v>https://resources.simonelectric.com/simon-material-formativo-vehiculo-electrico</v>
      </c>
      <c r="E346" s="20" t="str">
        <f t="shared" si="1"/>
        <v>87@comsa.com</v>
      </c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</row>
    <row r="347" ht="15.75" customHeight="1">
      <c r="A347" s="18" t="str">
        <f>Descargas!A347</f>
        <v>87@comsa.com</v>
      </c>
      <c r="B347" s="19" t="str">
        <f>IFERROR(__xludf.DUMMYFUNCTION("IF(OR(regexmatch(A347,"".*@simon.es$""),REGEXMATCH(A347,"".*@simon.pt$""),REGEXMATCH(A347,"".*@simonelectrica.com$""),REGEXMATCH(A347,"".*@hiberus.com$""),REGEXMATCH(A347,"".*@simonbrico.es$""),regexmatch(A347,"".*@simonelectric.com$"")),""null"",A347)"),"87@comsa.com")</f>
        <v>87@comsa.com</v>
      </c>
      <c r="C347" s="5">
        <f>IF(B347="null","null",Descargas!B347)</f>
        <v>43997</v>
      </c>
      <c r="D347" s="6" t="str">
        <f>Descargas!E347</f>
        <v>https://resources.simonelectric.com/simon-material-formativo-vehiculo-electrico</v>
      </c>
      <c r="E347" s="20" t="str">
        <f t="shared" si="1"/>
        <v>87@comsa.com</v>
      </c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</row>
    <row r="348" ht="15.75" customHeight="1">
      <c r="A348" s="18" t="str">
        <f>Descargas!A348</f>
        <v>279@vazquezconsuegra.com</v>
      </c>
      <c r="B348" s="19" t="str">
        <f>IFERROR(__xludf.DUMMYFUNCTION("IF(OR(regexmatch(A348,"".*@simon.es$""),REGEXMATCH(A348,"".*@simon.pt$""),REGEXMATCH(A348,"".*@simonelectrica.com$""),REGEXMATCH(A348,"".*@hiberus.com$""),REGEXMATCH(A348,"".*@simonbrico.es$""),regexmatch(A348,"".*@simonelectric.com$"")),""null"",A348)"),"279@vazquezconsuegra.com")</f>
        <v>279@vazquezconsuegra.com</v>
      </c>
      <c r="C348" s="5">
        <f>IF(B348="null","null",Descargas!B348)</f>
        <v>43997</v>
      </c>
      <c r="D348" s="6" t="str">
        <f>Descargas!E348</f>
        <v>https://resources.simonelectric.com/simon-ebook-vehiculo-electrico</v>
      </c>
      <c r="E348" s="20" t="str">
        <f t="shared" si="1"/>
        <v>279@vazquezconsuegra.com</v>
      </c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</row>
    <row r="349" ht="15.75" customHeight="1">
      <c r="A349" s="18" t="str">
        <f>Descargas!A349</f>
        <v>280@susaeta.net</v>
      </c>
      <c r="B349" s="19" t="str">
        <f>IFERROR(__xludf.DUMMYFUNCTION("IF(OR(regexmatch(A349,"".*@simon.es$""),REGEXMATCH(A349,"".*@simon.pt$""),REGEXMATCH(A349,"".*@simonelectrica.com$""),REGEXMATCH(A349,"".*@hiberus.com$""),REGEXMATCH(A349,"".*@simonbrico.es$""),regexmatch(A349,"".*@simonelectric.com$"")),""null"",A349)"),"280@susaeta.net")</f>
        <v>280@susaeta.net</v>
      </c>
      <c r="C349" s="5">
        <f>IF(B349="null","null",Descargas!B349)</f>
        <v>43997</v>
      </c>
      <c r="D349" s="6" t="str">
        <f>Descargas!E349</f>
        <v>https://resources.simonelectric.com/simon-ebook-vehiculo-electrico</v>
      </c>
      <c r="E349" s="20" t="str">
        <f t="shared" si="1"/>
        <v>280@susaeta.net</v>
      </c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</row>
    <row r="350" ht="15.75" customHeight="1">
      <c r="A350" s="18" t="str">
        <f>Descargas!A350</f>
        <v>171@gmail.com</v>
      </c>
      <c r="B350" s="19" t="str">
        <f>IFERROR(__xludf.DUMMYFUNCTION("IF(OR(regexmatch(A350,"".*@simon.es$""),REGEXMATCH(A350,"".*@simon.pt$""),REGEXMATCH(A350,"".*@simonelectrica.com$""),REGEXMATCH(A350,"".*@hiberus.com$""),REGEXMATCH(A350,"".*@simonbrico.es$""),regexmatch(A350,"".*@simonelectric.com$"")),""null"",A350)"),"171@gmail.com")</f>
        <v>171@gmail.com</v>
      </c>
      <c r="C350" s="5">
        <f>IF(B350="null","null",Descargas!B350)</f>
        <v>43997</v>
      </c>
      <c r="D350" s="6" t="str">
        <f>Descargas!E350</f>
        <v>https://resources.simonelectric.com/simon-ebook-vehiculo-electrico</v>
      </c>
      <c r="E350" s="20" t="str">
        <f t="shared" si="1"/>
        <v>171@gmail.com</v>
      </c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</row>
    <row r="351" ht="15.75" customHeight="1">
      <c r="A351" s="18" t="str">
        <f>Descargas!A351</f>
        <v>281@montajescastellon.com</v>
      </c>
      <c r="B351" s="19" t="str">
        <f>IFERROR(__xludf.DUMMYFUNCTION("IF(OR(regexmatch(A351,"".*@simon.es$""),REGEXMATCH(A351,"".*@simon.pt$""),REGEXMATCH(A351,"".*@simonelectrica.com$""),REGEXMATCH(A351,"".*@hiberus.com$""),REGEXMATCH(A351,"".*@simonbrico.es$""),regexmatch(A351,"".*@simonelectric.com$"")),""null"",A351)"),"281@montajescastellon.com")</f>
        <v>281@montajescastellon.com</v>
      </c>
      <c r="C351" s="5">
        <f>IF(B351="null","null",Descargas!B351)</f>
        <v>43997</v>
      </c>
      <c r="D351" s="6" t="str">
        <f>Descargas!E351</f>
        <v>https://resources.simonelectric.com/simon-ebook-vehiculo-electrico</v>
      </c>
      <c r="E351" s="20" t="str">
        <f t="shared" si="1"/>
        <v>281@montajescastellon.com</v>
      </c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</row>
    <row r="352" ht="15.75" customHeight="1">
      <c r="A352" s="18" t="str">
        <f>Descargas!A352</f>
        <v>282@comsa.com</v>
      </c>
      <c r="B352" s="19" t="str">
        <f>IFERROR(__xludf.DUMMYFUNCTION("IF(OR(regexmatch(A352,"".*@simon.es$""),REGEXMATCH(A352,"".*@simon.pt$""),REGEXMATCH(A352,"".*@simonelectrica.com$""),REGEXMATCH(A352,"".*@hiberus.com$""),REGEXMATCH(A352,"".*@simonbrico.es$""),regexmatch(A352,"".*@simonelectric.com$"")),""null"",A352)"),"282@comsa.com")</f>
        <v>282@comsa.com</v>
      </c>
      <c r="C352" s="5">
        <f>IF(B352="null","null",Descargas!B352)</f>
        <v>43997</v>
      </c>
      <c r="D352" s="6" t="str">
        <f>Descargas!E352</f>
        <v>https://resources.simonelectric.com/simon-ebook-vehiculo-electrico</v>
      </c>
      <c r="E352" s="20" t="str">
        <f t="shared" si="1"/>
        <v>282@comsa.com</v>
      </c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</row>
    <row r="353" ht="15.75" customHeight="1">
      <c r="A353" s="18" t="str">
        <f>Descargas!A353</f>
        <v>283@occidentalhotels.com</v>
      </c>
      <c r="B353" s="19" t="str">
        <f>IFERROR(__xludf.DUMMYFUNCTION("IF(OR(regexmatch(A353,"".*@simon.es$""),REGEXMATCH(A353,"".*@simon.pt$""),REGEXMATCH(A353,"".*@simonelectrica.com$""),REGEXMATCH(A353,"".*@hiberus.com$""),REGEXMATCH(A353,"".*@simonbrico.es$""),regexmatch(A353,"".*@simonelectric.com$"")),""null"",A353)"),"283@occidentalhotels.com")</f>
        <v>283@occidentalhotels.com</v>
      </c>
      <c r="C353" s="5">
        <f>IF(B353="null","null",Descargas!B353)</f>
        <v>43997</v>
      </c>
      <c r="D353" s="6" t="str">
        <f>Descargas!E353</f>
        <v>https://resources.simonelectric.com/simon-ebook-vehiculo-electrico</v>
      </c>
      <c r="E353" s="20" t="str">
        <f t="shared" si="1"/>
        <v>283@occidentalhotels.com</v>
      </c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</row>
    <row r="354" ht="15.75" customHeight="1">
      <c r="A354" s="18" t="str">
        <f>Descargas!A354</f>
        <v>284@telman.es</v>
      </c>
      <c r="B354" s="19" t="str">
        <f>IFERROR(__xludf.DUMMYFUNCTION("IF(OR(regexmatch(A354,"".*@simon.es$""),REGEXMATCH(A354,"".*@simon.pt$""),REGEXMATCH(A354,"".*@simonelectrica.com$""),REGEXMATCH(A354,"".*@hiberus.com$""),REGEXMATCH(A354,"".*@simonbrico.es$""),regexmatch(A354,"".*@simonelectric.com$"")),""null"",A354)"),"284@telman.es")</f>
        <v>284@telman.es</v>
      </c>
      <c r="C354" s="5">
        <f>IF(B354="null","null",Descargas!B354)</f>
        <v>43997</v>
      </c>
      <c r="D354" s="6" t="str">
        <f>Descargas!E354</f>
        <v>https://resources.simonelectric.com/simon-ebook-vehiculo-electrico</v>
      </c>
      <c r="E354" s="20" t="str">
        <f t="shared" si="1"/>
        <v>284@telman.es</v>
      </c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</row>
    <row r="355" ht="15.75" customHeight="1">
      <c r="A355" s="18" t="str">
        <f>Descargas!A355</f>
        <v>285@hotmail.com</v>
      </c>
      <c r="B355" s="19" t="str">
        <f>IFERROR(__xludf.DUMMYFUNCTION("IF(OR(regexmatch(A355,"".*@simon.es$""),REGEXMATCH(A355,"".*@simon.pt$""),REGEXMATCH(A355,"".*@simonelectrica.com$""),REGEXMATCH(A355,"".*@hiberus.com$""),REGEXMATCH(A355,"".*@simonbrico.es$""),regexmatch(A355,"".*@simonelectric.com$"")),""null"",A355)"),"285@hotmail.com")</f>
        <v>285@hotmail.com</v>
      </c>
      <c r="C355" s="5">
        <f>IF(B355="null","null",Descargas!B355)</f>
        <v>43997</v>
      </c>
      <c r="D355" s="6" t="str">
        <f>Descargas!E355</f>
        <v>https://resources.simonelectric.com/simon-ebook-vehiculo-electrico</v>
      </c>
      <c r="E355" s="20" t="str">
        <f t="shared" si="1"/>
        <v>285@hotmail.com</v>
      </c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</row>
    <row r="356" ht="15.75" customHeight="1">
      <c r="A356" s="18" t="str">
        <f>Descargas!A356</f>
        <v>286@icaluz.com</v>
      </c>
      <c r="B356" s="19" t="str">
        <f>IFERROR(__xludf.DUMMYFUNCTION("IF(OR(regexmatch(A356,"".*@simon.es$""),REGEXMATCH(A356,"".*@simon.pt$""),REGEXMATCH(A356,"".*@simonelectrica.com$""),REGEXMATCH(A356,"".*@hiberus.com$""),REGEXMATCH(A356,"".*@simonbrico.es$""),regexmatch(A356,"".*@simonelectric.com$"")),""null"",A356)"),"286@icaluz.com")</f>
        <v>286@icaluz.com</v>
      </c>
      <c r="C356" s="5">
        <f>IF(B356="null","null",Descargas!B356)</f>
        <v>43997</v>
      </c>
      <c r="D356" s="6" t="str">
        <f>Descargas!E356</f>
        <v>https://resources.simonelectric.com/simon-ebook-vehiculo-electrico</v>
      </c>
      <c r="E356" s="20" t="str">
        <f t="shared" si="1"/>
        <v>286@icaluz.com</v>
      </c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</row>
    <row r="357" ht="15.75" customHeight="1">
      <c r="A357" s="18" t="str">
        <f>Descargas!A357</f>
        <v>287@parcdesalutmar.cat</v>
      </c>
      <c r="B357" s="19" t="str">
        <f>IFERROR(__xludf.DUMMYFUNCTION("IF(OR(regexmatch(A357,"".*@simon.es$""),REGEXMATCH(A357,"".*@simon.pt$""),REGEXMATCH(A357,"".*@simonelectrica.com$""),REGEXMATCH(A357,"".*@hiberus.com$""),REGEXMATCH(A357,"".*@simonbrico.es$""),regexmatch(A357,"".*@simonelectric.com$"")),""null"",A357)"),"287@parcdesalutmar.cat")</f>
        <v>287@parcdesalutmar.cat</v>
      </c>
      <c r="C357" s="5">
        <f>IF(B357="null","null",Descargas!B357)</f>
        <v>43997</v>
      </c>
      <c r="D357" s="6" t="str">
        <f>Descargas!E357</f>
        <v>https://resources.simonelectric.com/simon-ebook-vehiculo-electrico</v>
      </c>
      <c r="E357" s="20" t="str">
        <f t="shared" si="1"/>
        <v>287@parcdesalutmar.cat</v>
      </c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</row>
    <row r="358" ht="15.75" customHeight="1">
      <c r="A358" s="18" t="str">
        <f>Descargas!A358</f>
        <v>288@fcc.es</v>
      </c>
      <c r="B358" s="19" t="str">
        <f>IFERROR(__xludf.DUMMYFUNCTION("IF(OR(regexmatch(A358,"".*@simon.es$""),REGEXMATCH(A358,"".*@simon.pt$""),REGEXMATCH(A358,"".*@simonelectrica.com$""),REGEXMATCH(A358,"".*@hiberus.com$""),REGEXMATCH(A358,"".*@simonbrico.es$""),regexmatch(A358,"".*@simonelectric.com$"")),""null"",A358)"),"288@fcc.es")</f>
        <v>288@fcc.es</v>
      </c>
      <c r="C358" s="5">
        <f>IF(B358="null","null",Descargas!B358)</f>
        <v>43997</v>
      </c>
      <c r="D358" s="6" t="str">
        <f>Descargas!E358</f>
        <v>https://resources.simonelectric.com/simon-ebook-vehiculo-electrico</v>
      </c>
      <c r="E358" s="20" t="str">
        <f t="shared" si="1"/>
        <v>288@fcc.es</v>
      </c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</row>
    <row r="359" ht="15.75" customHeight="1">
      <c r="A359" s="18" t="str">
        <f>Descargas!A359</f>
        <v>289@gmail.com</v>
      </c>
      <c r="B359" s="19" t="str">
        <f>IFERROR(__xludf.DUMMYFUNCTION("IF(OR(regexmatch(A359,"".*@simon.es$""),REGEXMATCH(A359,"".*@simon.pt$""),REGEXMATCH(A359,"".*@simonelectrica.com$""),REGEXMATCH(A359,"".*@hiberus.com$""),REGEXMATCH(A359,"".*@simonbrico.es$""),regexmatch(A359,"".*@simonelectric.com$"")),""null"",A359)"),"289@gmail.com")</f>
        <v>289@gmail.com</v>
      </c>
      <c r="C359" s="5">
        <f>IF(B359="null","null",Descargas!B359)</f>
        <v>43997</v>
      </c>
      <c r="D359" s="6" t="str">
        <f>Descargas!E359</f>
        <v>https://resources.simonelectric.com/simon-material-formativo-vehiculo-electrico</v>
      </c>
      <c r="E359" s="20" t="str">
        <f t="shared" si="1"/>
        <v>289@gmail.com</v>
      </c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</row>
    <row r="360" ht="15.75" customHeight="1">
      <c r="A360" s="18" t="str">
        <f>Descargas!A360</f>
        <v>290@msn.com</v>
      </c>
      <c r="B360" s="19" t="str">
        <f>IFERROR(__xludf.DUMMYFUNCTION("IF(OR(regexmatch(A360,"".*@simon.es$""),REGEXMATCH(A360,"".*@simon.pt$""),REGEXMATCH(A360,"".*@simonelectrica.com$""),REGEXMATCH(A360,"".*@hiberus.com$""),REGEXMATCH(A360,"".*@simonbrico.es$""),regexmatch(A360,"".*@simonelectric.com$"")),""null"",A360)"),"290@msn.com")</f>
        <v>290@msn.com</v>
      </c>
      <c r="C360" s="5">
        <f>IF(B360="null","null",Descargas!B360)</f>
        <v>43997</v>
      </c>
      <c r="D360" s="6" t="str">
        <f>Descargas!E360</f>
        <v>https://resources.simonelectric.com/simon-ebook-vehiculo-electrico</v>
      </c>
      <c r="E360" s="20" t="str">
        <f t="shared" si="1"/>
        <v>290@msn.com</v>
      </c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</row>
    <row r="361" ht="15.75" customHeight="1">
      <c r="A361" s="18" t="str">
        <f>Descargas!A361</f>
        <v>266@hotmail.es</v>
      </c>
      <c r="B361" s="19" t="str">
        <f>IFERROR(__xludf.DUMMYFUNCTION("IF(OR(regexmatch(A361,"".*@simon.es$""),REGEXMATCH(A361,"".*@simon.pt$""),REGEXMATCH(A361,"".*@simonelectrica.com$""),REGEXMATCH(A361,"".*@hiberus.com$""),REGEXMATCH(A361,"".*@simonbrico.es$""),regexmatch(A361,"".*@simonelectric.com$"")),""null"",A361)"),"266@hotmail.es")</f>
        <v>266@hotmail.es</v>
      </c>
      <c r="C361" s="5">
        <f>IF(B361="null","null",Descargas!B361)</f>
        <v>43996</v>
      </c>
      <c r="D361" s="6" t="str">
        <f>Descargas!E361</f>
        <v>https://resources.simonelectric.com/simon-material-formativo-vehiculo-electrico</v>
      </c>
      <c r="E361" s="20" t="str">
        <f t="shared" si="1"/>
        <v>266@hotmail.es</v>
      </c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</row>
    <row r="362" ht="15.75" customHeight="1">
      <c r="A362" s="18" t="str">
        <f>Descargas!A362</f>
        <v>291@yahoo.es</v>
      </c>
      <c r="B362" s="19" t="str">
        <f>IFERROR(__xludf.DUMMYFUNCTION("IF(OR(regexmatch(A362,"".*@simon.es$""),REGEXMATCH(A362,"".*@simon.pt$""),REGEXMATCH(A362,"".*@simonelectrica.com$""),REGEXMATCH(A362,"".*@hiberus.com$""),REGEXMATCH(A362,"".*@simonbrico.es$""),regexmatch(A362,"".*@simonelectric.com$"")),""null"",A362)"),"291@yahoo.es")</f>
        <v>291@yahoo.es</v>
      </c>
      <c r="C362" s="5">
        <f>IF(B362="null","null",Descargas!B362)</f>
        <v>43995</v>
      </c>
      <c r="D362" s="6" t="str">
        <f>Descargas!E362</f>
        <v>https://resources.simonelectric.com/simon-ebook-vehiculo-electrico-0</v>
      </c>
      <c r="E362" s="20" t="str">
        <f t="shared" si="1"/>
        <v>291@yahoo.es</v>
      </c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</row>
    <row r="363" ht="15.75" customHeight="1">
      <c r="A363" s="18" t="str">
        <f>Descargas!A363</f>
        <v>292@espe.edu.ec</v>
      </c>
      <c r="B363" s="19" t="str">
        <f>IFERROR(__xludf.DUMMYFUNCTION("IF(OR(regexmatch(A363,"".*@simon.es$""),REGEXMATCH(A363,"".*@simon.pt$""),REGEXMATCH(A363,"".*@simonelectrica.com$""),REGEXMATCH(A363,"".*@hiberus.com$""),REGEXMATCH(A363,"".*@simonbrico.es$""),regexmatch(A363,"".*@simonelectric.com$"")),""null"",A363)"),"292@espe.edu.ec")</f>
        <v>292@espe.edu.ec</v>
      </c>
      <c r="C363" s="5">
        <f>IF(B363="null","null",Descargas!B363)</f>
        <v>43995</v>
      </c>
      <c r="D363" s="6" t="str">
        <f>Descargas!E363</f>
        <v>https://resources.simonelectric.com/simon-ebook-vehiculo-electrico</v>
      </c>
      <c r="E363" s="20" t="str">
        <f t="shared" si="1"/>
        <v>292@espe.edu.ec</v>
      </c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</row>
    <row r="364" ht="15.75" customHeight="1">
      <c r="A364" s="18" t="str">
        <f>Descargas!A364</f>
        <v>293@hotmail.com</v>
      </c>
      <c r="B364" s="19" t="str">
        <f>IFERROR(__xludf.DUMMYFUNCTION("IF(OR(regexmatch(A364,"".*@simon.es$""),REGEXMATCH(A364,"".*@simon.pt$""),REGEXMATCH(A364,"".*@simonelectrica.com$""),REGEXMATCH(A364,"".*@hiberus.com$""),REGEXMATCH(A364,"".*@simonbrico.es$""),regexmatch(A364,"".*@simonelectric.com$"")),""null"",A364)"),"293@hotmail.com")</f>
        <v>293@hotmail.com</v>
      </c>
      <c r="C364" s="5">
        <f>IF(B364="null","null",Descargas!B364)</f>
        <v>43995</v>
      </c>
      <c r="D364" s="6" t="str">
        <f>Descargas!E364</f>
        <v>https://resources.simonelectric.com/simon-ebook-vehiculo-electrico</v>
      </c>
      <c r="E364" s="20" t="str">
        <f t="shared" si="1"/>
        <v>293@hotmail.com</v>
      </c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</row>
    <row r="365" ht="15.75" customHeight="1">
      <c r="A365" s="18" t="str">
        <f>Descargas!A365</f>
        <v>294@lumial.es</v>
      </c>
      <c r="B365" s="19" t="str">
        <f>IFERROR(__xludf.DUMMYFUNCTION("IF(OR(regexmatch(A365,"".*@simon.es$""),REGEXMATCH(A365,"".*@simon.pt$""),REGEXMATCH(A365,"".*@simonelectrica.com$""),REGEXMATCH(A365,"".*@hiberus.com$""),REGEXMATCH(A365,"".*@simonbrico.es$""),regexmatch(A365,"".*@simonelectric.com$"")),""null"",A365)"),"294@lumial.es")</f>
        <v>294@lumial.es</v>
      </c>
      <c r="C365" s="5">
        <f>IF(B365="null","null",Descargas!B365)</f>
        <v>43994</v>
      </c>
      <c r="D365" s="6" t="str">
        <f>Descargas!E365</f>
        <v>https://resources.simonelectric.com/simon-material-formativo-vehiculo-electrico</v>
      </c>
      <c r="E365" s="20" t="str">
        <f t="shared" si="1"/>
        <v>294@lumial.es</v>
      </c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</row>
    <row r="366" ht="15.75" customHeight="1">
      <c r="A366" s="18" t="str">
        <f>Descargas!A366</f>
        <v>295@gmail.com</v>
      </c>
      <c r="B366" s="19" t="str">
        <f>IFERROR(__xludf.DUMMYFUNCTION("IF(OR(regexmatch(A366,"".*@simon.es$""),REGEXMATCH(A366,"".*@simon.pt$""),REGEXMATCH(A366,"".*@simonelectrica.com$""),REGEXMATCH(A366,"".*@hiberus.com$""),REGEXMATCH(A366,"".*@simonbrico.es$""),regexmatch(A366,"".*@simonelectric.com$"")),""null"",A366)"),"295@gmail.com")</f>
        <v>295@gmail.com</v>
      </c>
      <c r="C366" s="5">
        <f>IF(B366="null","null",Descargas!B366)</f>
        <v>43994</v>
      </c>
      <c r="D366" s="6" t="str">
        <f>Descargas!E366</f>
        <v>https://resources.simonelectric.com/simon-material-formativo-vehiculo-electrico</v>
      </c>
      <c r="E366" s="20" t="str">
        <f t="shared" si="1"/>
        <v>295@gmail.com</v>
      </c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</row>
    <row r="367" ht="15.75" customHeight="1">
      <c r="A367" s="18" t="str">
        <f>Descargas!A367</f>
        <v>296@gmail.com</v>
      </c>
      <c r="B367" s="19" t="str">
        <f>IFERROR(__xludf.DUMMYFUNCTION("IF(OR(regexmatch(A367,"".*@simon.es$""),REGEXMATCH(A367,"".*@simon.pt$""),REGEXMATCH(A367,"".*@simonelectrica.com$""),REGEXMATCH(A367,"".*@hiberus.com$""),REGEXMATCH(A367,"".*@simonbrico.es$""),regexmatch(A367,"".*@simonelectric.com$"")),""null"",A367)"),"296@gmail.com")</f>
        <v>296@gmail.com</v>
      </c>
      <c r="C367" s="5">
        <f>IF(B367="null","null",Descargas!B367)</f>
        <v>43994</v>
      </c>
      <c r="D367" s="6" t="str">
        <f>Descargas!E367</f>
        <v>https://resources.simonelectric.com/simon-ebook-vehiculo-electrico</v>
      </c>
      <c r="E367" s="20" t="str">
        <f t="shared" si="1"/>
        <v>296@gmail.com</v>
      </c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</row>
    <row r="368" ht="15.75" customHeight="1">
      <c r="A368" s="18" t="str">
        <f>Descargas!A368</f>
        <v>286@icaluz.com</v>
      </c>
      <c r="B368" s="19" t="str">
        <f>IFERROR(__xludf.DUMMYFUNCTION("IF(OR(regexmatch(A368,"".*@simon.es$""),REGEXMATCH(A368,"".*@simon.pt$""),REGEXMATCH(A368,"".*@simonelectrica.com$""),REGEXMATCH(A368,"".*@hiberus.com$""),REGEXMATCH(A368,"".*@simonbrico.es$""),regexmatch(A368,"".*@simonelectric.com$"")),""null"",A368)"),"286@icaluz.com")</f>
        <v>286@icaluz.com</v>
      </c>
      <c r="C368" s="5">
        <f>IF(B368="null","null",Descargas!B368)</f>
        <v>43994</v>
      </c>
      <c r="D368" s="6" t="str">
        <f>Descargas!E368</f>
        <v>https://resources.simonelectric.com/simon-material-formativo-vehiculo-electrico</v>
      </c>
      <c r="E368" s="20" t="str">
        <f t="shared" si="1"/>
        <v>286@icaluz.com</v>
      </c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</row>
    <row r="369" ht="15.75" customHeight="1">
      <c r="A369" s="18" t="str">
        <f>Descargas!A369</f>
        <v>297@hotmail.com</v>
      </c>
      <c r="B369" s="19" t="str">
        <f>IFERROR(__xludf.DUMMYFUNCTION("IF(OR(regexmatch(A369,"".*@simon.es$""),REGEXMATCH(A369,"".*@simon.pt$""),REGEXMATCH(A369,"".*@simonelectrica.com$""),REGEXMATCH(A369,"".*@hiberus.com$""),REGEXMATCH(A369,"".*@simonbrico.es$""),regexmatch(A369,"".*@simonelectric.com$"")),""null"",A369)"),"297@hotmail.com")</f>
        <v>297@hotmail.com</v>
      </c>
      <c r="C369" s="5">
        <f>IF(B369="null","null",Descargas!B369)</f>
        <v>43994</v>
      </c>
      <c r="D369" s="6" t="str">
        <f>Descargas!E369</f>
        <v>https://resources.simonelectric.com/simon-material-formativo-vehiculo-electrico</v>
      </c>
      <c r="E369" s="20" t="str">
        <f t="shared" si="1"/>
        <v>297@hotmail.com</v>
      </c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</row>
    <row r="370" ht="15.75" customHeight="1">
      <c r="A370" s="18" t="str">
        <f>Descargas!A370</f>
        <v>298@ibielectric.com</v>
      </c>
      <c r="B370" s="19" t="str">
        <f>IFERROR(__xludf.DUMMYFUNCTION("IF(OR(regexmatch(A370,"".*@simon.es$""),REGEXMATCH(A370,"".*@simon.pt$""),REGEXMATCH(A370,"".*@simonelectrica.com$""),REGEXMATCH(A370,"".*@hiberus.com$""),REGEXMATCH(A370,"".*@simonbrico.es$""),regexmatch(A370,"".*@simonelectric.com$"")),""null"",A370)"),"298@ibielectric.com")</f>
        <v>298@ibielectric.com</v>
      </c>
      <c r="C370" s="5">
        <f>IF(B370="null","null",Descargas!B370)</f>
        <v>43994</v>
      </c>
      <c r="D370" s="6" t="str">
        <f>Descargas!E370</f>
        <v>https://resources.simonelectric.com/simon-material-formativo-vehiculo-electrico</v>
      </c>
      <c r="E370" s="20" t="str">
        <f t="shared" si="1"/>
        <v>298@ibielectric.com</v>
      </c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</row>
    <row r="371" ht="15.75" customHeight="1">
      <c r="A371" s="18" t="str">
        <f>Descargas!A371</f>
        <v>281@montajescastellon.com</v>
      </c>
      <c r="B371" s="19" t="str">
        <f>IFERROR(__xludf.DUMMYFUNCTION("IF(OR(regexmatch(A371,"".*@simon.es$""),REGEXMATCH(A371,"".*@simon.pt$""),REGEXMATCH(A371,"".*@simonelectrica.com$""),REGEXMATCH(A371,"".*@hiberus.com$""),REGEXMATCH(A371,"".*@simonbrico.es$""),regexmatch(A371,"".*@simonelectric.com$"")),""null"",A371)"),"281@montajescastellon.com")</f>
        <v>281@montajescastellon.com</v>
      </c>
      <c r="C371" s="5">
        <f>IF(B371="null","null",Descargas!B371)</f>
        <v>43994</v>
      </c>
      <c r="D371" s="6" t="str">
        <f>Descargas!E371</f>
        <v>https://resources.simonelectric.com/simon-material-formativo-vehiculo-electrico</v>
      </c>
      <c r="E371" s="20" t="str">
        <f t="shared" si="1"/>
        <v>281@montajescastellon.com</v>
      </c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</row>
    <row r="372" ht="15.75" customHeight="1">
      <c r="A372" s="18" t="str">
        <f>Descargas!A372</f>
        <v>299@vimasol.es</v>
      </c>
      <c r="B372" s="19" t="str">
        <f>IFERROR(__xludf.DUMMYFUNCTION("IF(OR(regexmatch(A372,"".*@simon.es$""),REGEXMATCH(A372,"".*@simon.pt$""),REGEXMATCH(A372,"".*@simonelectrica.com$""),REGEXMATCH(A372,"".*@hiberus.com$""),REGEXMATCH(A372,"".*@simonbrico.es$""),regexmatch(A372,"".*@simonelectric.com$"")),""null"",A372)"),"299@vimasol.es")</f>
        <v>299@vimasol.es</v>
      </c>
      <c r="C372" s="5">
        <f>IF(B372="null","null",Descargas!B372)</f>
        <v>43994</v>
      </c>
      <c r="D372" s="6" t="str">
        <f>Descargas!E372</f>
        <v>https://resources.simonelectric.com/simon-material-formativo-vehiculo-electrico</v>
      </c>
      <c r="E372" s="20" t="str">
        <f t="shared" si="1"/>
        <v>299@vimasol.es</v>
      </c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</row>
    <row r="373" ht="15.75" customHeight="1">
      <c r="A373" s="18" t="str">
        <f>Descargas!A373</f>
        <v>300@vimasol.es</v>
      </c>
      <c r="B373" s="19" t="str">
        <f>IFERROR(__xludf.DUMMYFUNCTION("IF(OR(regexmatch(A373,"".*@simon.es$""),REGEXMATCH(A373,"".*@simon.pt$""),REGEXMATCH(A373,"".*@simonelectrica.com$""),REGEXMATCH(A373,"".*@hiberus.com$""),REGEXMATCH(A373,"".*@simonbrico.es$""),regexmatch(A373,"".*@simonelectric.com$"")),""null"",A373)"),"300@vimasol.es")</f>
        <v>300@vimasol.es</v>
      </c>
      <c r="C373" s="5">
        <f>IF(B373="null","null",Descargas!B373)</f>
        <v>43994</v>
      </c>
      <c r="D373" s="6" t="str">
        <f>Descargas!E373</f>
        <v>https://resources.simonelectric.com/simon-material-formativo-vehiculo-electrico</v>
      </c>
      <c r="E373" s="20" t="str">
        <f t="shared" si="1"/>
        <v>300@vimasol.es</v>
      </c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</row>
    <row r="374" ht="15.75" customHeight="1">
      <c r="A374" s="18" t="str">
        <f>Descargas!A374</f>
        <v>301@vimasol.es</v>
      </c>
      <c r="B374" s="19" t="str">
        <f>IFERROR(__xludf.DUMMYFUNCTION("IF(OR(regexmatch(A374,"".*@simon.es$""),REGEXMATCH(A374,"".*@simon.pt$""),REGEXMATCH(A374,"".*@simonelectrica.com$""),REGEXMATCH(A374,"".*@hiberus.com$""),REGEXMATCH(A374,"".*@simonbrico.es$""),regexmatch(A374,"".*@simonelectric.com$"")),""null"",A374)"),"301@vimasol.es")</f>
        <v>301@vimasol.es</v>
      </c>
      <c r="C374" s="5">
        <f>IF(B374="null","null",Descargas!B374)</f>
        <v>43994</v>
      </c>
      <c r="D374" s="6" t="str">
        <f>Descargas!E374</f>
        <v>https://resources.simonelectric.com/simon-material-formativo-vehiculo-electrico</v>
      </c>
      <c r="E374" s="20" t="str">
        <f t="shared" si="1"/>
        <v>301@vimasol.es</v>
      </c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</row>
    <row r="375" ht="15.75" customHeight="1">
      <c r="A375" s="18" t="str">
        <f>Descargas!A375</f>
        <v>264@edaie.com</v>
      </c>
      <c r="B375" s="19" t="str">
        <f>IFERROR(__xludf.DUMMYFUNCTION("IF(OR(regexmatch(A375,"".*@simon.es$""),REGEXMATCH(A375,"".*@simon.pt$""),REGEXMATCH(A375,"".*@simonelectrica.com$""),REGEXMATCH(A375,"".*@hiberus.com$""),REGEXMATCH(A375,"".*@simonbrico.es$""),regexmatch(A375,"".*@simonelectric.com$"")),""null"",A375)"),"264@edaie.com")</f>
        <v>264@edaie.com</v>
      </c>
      <c r="C375" s="5">
        <f>IF(B375="null","null",Descargas!B375)</f>
        <v>43994</v>
      </c>
      <c r="D375" s="6" t="str">
        <f>Descargas!E375</f>
        <v>https://resources.simonelectric.com/simon-material-formativo-vehiculo-electrico</v>
      </c>
      <c r="E375" s="20" t="str">
        <f t="shared" si="1"/>
        <v>264@edaie.com</v>
      </c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</row>
    <row r="376" ht="15.75" customHeight="1">
      <c r="A376" s="18" t="str">
        <f>Descargas!A376</f>
        <v>189@gmail.com</v>
      </c>
      <c r="B376" s="19" t="str">
        <f>IFERROR(__xludf.DUMMYFUNCTION("IF(OR(regexmatch(A376,"".*@simon.es$""),REGEXMATCH(A376,"".*@simon.pt$""),REGEXMATCH(A376,"".*@simonelectrica.com$""),REGEXMATCH(A376,"".*@hiberus.com$""),REGEXMATCH(A376,"".*@simonbrico.es$""),regexmatch(A376,"".*@simonelectric.com$"")),""null"",A376)"),"189@gmail.com")</f>
        <v>189@gmail.com</v>
      </c>
      <c r="C376" s="5">
        <f>IF(B376="null","null",Descargas!B376)</f>
        <v>43993</v>
      </c>
      <c r="D376" s="6" t="str">
        <f>Descargas!E376</f>
        <v>https://resources.simonelectric.com/simon-ebook-vehiculo-electrico</v>
      </c>
      <c r="E376" s="20" t="str">
        <f t="shared" si="1"/>
        <v>189@gmail.com</v>
      </c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</row>
    <row r="377" ht="15.75" customHeight="1">
      <c r="A377" s="18" t="str">
        <f>Descargas!A377</f>
        <v>302@loalnet.com</v>
      </c>
      <c r="B377" s="19" t="str">
        <f>IFERROR(__xludf.DUMMYFUNCTION("IF(OR(regexmatch(A377,"".*@simon.es$""),REGEXMATCH(A377,"".*@simon.pt$""),REGEXMATCH(A377,"".*@simonelectrica.com$""),REGEXMATCH(A377,"".*@hiberus.com$""),REGEXMATCH(A377,"".*@simonbrico.es$""),regexmatch(A377,"".*@simonelectric.com$"")),""null"",A377)"),"302@loalnet.com")</f>
        <v>302@loalnet.com</v>
      </c>
      <c r="C377" s="5">
        <f>IF(B377="null","null",Descargas!B377)</f>
        <v>43993</v>
      </c>
      <c r="D377" s="6" t="str">
        <f>Descargas!E377</f>
        <v>https://resources.simonelectric.com/simon-ebook-vehiculo-electrico</v>
      </c>
      <c r="E377" s="20" t="str">
        <f t="shared" si="1"/>
        <v>302@loalnet.com</v>
      </c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</row>
    <row r="378" ht="15.75" customHeight="1">
      <c r="A378" s="18" t="str">
        <f>Descargas!A378</f>
        <v>303@simon.es</v>
      </c>
      <c r="B378" s="19" t="str">
        <f>IFERROR(__xludf.DUMMYFUNCTION("IF(OR(regexmatch(A378,"".*@simon.es$""),REGEXMATCH(A378,"".*@simon.pt$""),REGEXMATCH(A378,"".*@simonelectrica.com$""),REGEXMATCH(A378,"".*@hiberus.com$""),REGEXMATCH(A378,"".*@simonbrico.es$""),regexmatch(A378,"".*@simonelectric.com$"")),""null"",A378)"),"null")</f>
        <v>null</v>
      </c>
      <c r="C378" s="5" t="str">
        <f>IF(B378="null","null",Descargas!B378)</f>
        <v>null</v>
      </c>
      <c r="D378" s="6" t="str">
        <f>Descargas!E378</f>
        <v>https://resources.simonelectric.com/simon-material-formativo-vehiculo-electrico</v>
      </c>
      <c r="E378" s="24" t="str">
        <f t="shared" si="1"/>
        <v/>
      </c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</row>
    <row r="379" ht="15.75" customHeight="1">
      <c r="A379" s="18" t="str">
        <f>Descargas!A379</f>
        <v>304@simon.es</v>
      </c>
      <c r="B379" s="19" t="str">
        <f>IFERROR(__xludf.DUMMYFUNCTION("IF(OR(regexmatch(A379,"".*@simon.es$""),REGEXMATCH(A379,"".*@simon.pt$""),REGEXMATCH(A379,"".*@simonelectrica.com$""),REGEXMATCH(A379,"".*@hiberus.com$""),REGEXMATCH(A379,"".*@simonbrico.es$""),regexmatch(A379,"".*@simonelectric.com$"")),""null"",A379)"),"null")</f>
        <v>null</v>
      </c>
      <c r="C379" s="5" t="str">
        <f>IF(B379="null","null",Descargas!B379)</f>
        <v>null</v>
      </c>
      <c r="D379" s="6" t="str">
        <f>Descargas!E379</f>
        <v>https://resources.simonelectric.com/simon-ebook-vehiculo-electrico</v>
      </c>
      <c r="E379" s="24" t="str">
        <f t="shared" si="1"/>
        <v/>
      </c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</row>
    <row r="380" ht="15.75" customHeight="1">
      <c r="A380" s="18" t="str">
        <f>Descargas!A380</f>
        <v>305@wanadoo.es</v>
      </c>
      <c r="B380" s="19" t="str">
        <f>IFERROR(__xludf.DUMMYFUNCTION("IF(OR(regexmatch(A380,"".*@simon.es$""),REGEXMATCH(A380,"".*@simon.pt$""),REGEXMATCH(A380,"".*@simonelectrica.com$""),REGEXMATCH(A380,"".*@hiberus.com$""),REGEXMATCH(A380,"".*@simonbrico.es$""),regexmatch(A380,"".*@simonelectric.com$"")),""null"",A380)"),"305@wanadoo.es")</f>
        <v>305@wanadoo.es</v>
      </c>
      <c r="C380" s="5">
        <f>IF(B380="null","null",Descargas!B380)</f>
        <v>43993</v>
      </c>
      <c r="D380" s="6" t="str">
        <f>Descargas!E380</f>
        <v>https://resources.simonelectric.com/simon-ebook-vehiculo-electrico</v>
      </c>
      <c r="E380" s="20" t="str">
        <f t="shared" si="1"/>
        <v>305@wanadoo.es</v>
      </c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</row>
    <row r="381" ht="15.75" customHeight="1">
      <c r="A381" s="18" t="str">
        <f>Descargas!A381</f>
        <v>306@gmail.com</v>
      </c>
      <c r="B381" s="19" t="str">
        <f>IFERROR(__xludf.DUMMYFUNCTION("IF(OR(regexmatch(A381,"".*@simon.es$""),REGEXMATCH(A381,"".*@simon.pt$""),REGEXMATCH(A381,"".*@simonelectrica.com$""),REGEXMATCH(A381,"".*@hiberus.com$""),REGEXMATCH(A381,"".*@simonbrico.es$""),regexmatch(A381,"".*@simonelectric.com$"")),""null"",A381)"),"306@gmail.com")</f>
        <v>306@gmail.com</v>
      </c>
      <c r="C381" s="5">
        <f>IF(B381="null","null",Descargas!B381)</f>
        <v>43992</v>
      </c>
      <c r="D381" s="6" t="str">
        <f>Descargas!E381</f>
        <v>https://resources.simonelectric.com/simon-catalogo-vehiculo-electrico</v>
      </c>
      <c r="E381" s="20" t="str">
        <f t="shared" si="1"/>
        <v>306@gmail.com</v>
      </c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</row>
    <row r="382" ht="15.75" customHeight="1">
      <c r="A382" s="18" t="str">
        <f>Descargas!A382</f>
        <v>307@yahoo.es</v>
      </c>
      <c r="B382" s="19" t="str">
        <f>IFERROR(__xludf.DUMMYFUNCTION("IF(OR(regexmatch(A382,"".*@simon.es$""),REGEXMATCH(A382,"".*@simon.pt$""),REGEXMATCH(A382,"".*@simonelectrica.com$""),REGEXMATCH(A382,"".*@hiberus.com$""),REGEXMATCH(A382,"".*@simonbrico.es$""),regexmatch(A382,"".*@simonelectric.com$"")),""null"",A382)"),"307@yahoo.es")</f>
        <v>307@yahoo.es</v>
      </c>
      <c r="C382" s="5">
        <f>IF(B382="null","null",Descargas!B382)</f>
        <v>43992</v>
      </c>
      <c r="D382" s="6" t="str">
        <f>Descargas!E382</f>
        <v>https://resources.simonelectric.com/simon-ebook-vehiculo-electrico</v>
      </c>
      <c r="E382" s="20" t="str">
        <f t="shared" si="1"/>
        <v>307@yahoo.es</v>
      </c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</row>
    <row r="383" ht="15.75" customHeight="1">
      <c r="A383" s="18" t="str">
        <f>Descargas!A383</f>
        <v>308@rexel.es</v>
      </c>
      <c r="B383" s="19" t="str">
        <f>IFERROR(__xludf.DUMMYFUNCTION("IF(OR(regexmatch(A383,"".*@simon.es$""),REGEXMATCH(A383,"".*@simon.pt$""),REGEXMATCH(A383,"".*@simonelectrica.com$""),REGEXMATCH(A383,"".*@hiberus.com$""),REGEXMATCH(A383,"".*@simonbrico.es$""),regexmatch(A383,"".*@simonelectric.com$"")),""null"",A383)"),"308@rexel.es")</f>
        <v>308@rexel.es</v>
      </c>
      <c r="C383" s="5">
        <f>IF(B383="null","null",Descargas!B383)</f>
        <v>43992</v>
      </c>
      <c r="D383" s="6" t="str">
        <f>Descargas!E383</f>
        <v>https://resources.simonelectric.com/simon-catalogo-vehiculo-electrico</v>
      </c>
      <c r="E383" s="20" t="str">
        <f t="shared" si="1"/>
        <v>308@rexel.es</v>
      </c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</row>
    <row r="384" ht="15.75" customHeight="1">
      <c r="A384" s="18" t="str">
        <f>Descargas!A384</f>
        <v>308@rexel.es</v>
      </c>
      <c r="B384" s="19" t="str">
        <f>IFERROR(__xludf.DUMMYFUNCTION("IF(OR(regexmatch(A384,"".*@simon.es$""),REGEXMATCH(A384,"".*@simon.pt$""),REGEXMATCH(A384,"".*@simonelectrica.com$""),REGEXMATCH(A384,"".*@hiberus.com$""),REGEXMATCH(A384,"".*@simonbrico.es$""),regexmatch(A384,"".*@simonelectric.com$"")),""null"",A384)"),"308@rexel.es")</f>
        <v>308@rexel.es</v>
      </c>
      <c r="C384" s="5">
        <f>IF(B384="null","null",Descargas!B384)</f>
        <v>43992</v>
      </c>
      <c r="D384" s="6" t="str">
        <f>Descargas!E384</f>
        <v>https://resources.simonelectric.com/simon-ebook-vehiculo-electrico</v>
      </c>
      <c r="E384" s="20" t="str">
        <f t="shared" si="1"/>
        <v>308@rexel.es</v>
      </c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</row>
    <row r="385" ht="15.75" customHeight="1">
      <c r="A385" s="18" t="str">
        <f>Descargas!A385</f>
        <v>309@hotmail.com</v>
      </c>
      <c r="B385" s="19" t="str">
        <f>IFERROR(__xludf.DUMMYFUNCTION("IF(OR(regexmatch(A385,"".*@simon.es$""),REGEXMATCH(A385,"".*@simon.pt$""),REGEXMATCH(A385,"".*@simonelectrica.com$""),REGEXMATCH(A385,"".*@hiberus.com$""),REGEXMATCH(A385,"".*@simonbrico.es$""),regexmatch(A385,"".*@simonelectric.com$"")),""null"",A385)"),"309@hotmail.com")</f>
        <v>309@hotmail.com</v>
      </c>
      <c r="C385" s="5">
        <f>IF(B385="null","null",Descargas!B385)</f>
        <v>43992</v>
      </c>
      <c r="D385" s="6" t="str">
        <f>Descargas!E385</f>
        <v>https://resources.simonelectric.com/simon-ebook-vehiculo-electrico</v>
      </c>
      <c r="E385" s="20" t="str">
        <f t="shared" si="1"/>
        <v>309@hotmail.com</v>
      </c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</row>
    <row r="386" ht="15.75" customHeight="1">
      <c r="A386" s="18" t="str">
        <f>Descargas!A386</f>
        <v>310@outlook.com</v>
      </c>
      <c r="B386" s="19" t="str">
        <f>IFERROR(__xludf.DUMMYFUNCTION("IF(OR(regexmatch(A386,"".*@simon.es$""),REGEXMATCH(A386,"".*@simon.pt$""),REGEXMATCH(A386,"".*@simonelectrica.com$""),REGEXMATCH(A386,"".*@hiberus.com$""),REGEXMATCH(A386,"".*@simonbrico.es$""),regexmatch(A386,"".*@simonelectric.com$"")),""null"",A386)"),"310@outlook.com")</f>
        <v>310@outlook.com</v>
      </c>
      <c r="C386" s="5">
        <f>IF(B386="null","null",Descargas!B386)</f>
        <v>43992</v>
      </c>
      <c r="D386" s="6" t="str">
        <f>Descargas!E386</f>
        <v>https://resources.simonelectric.com/simon-ebook-vehiculo-electrico</v>
      </c>
      <c r="E386" s="20" t="str">
        <f t="shared" si="1"/>
        <v>310@outlook.com</v>
      </c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</row>
    <row r="387" ht="15.75" customHeight="1">
      <c r="A387" s="18" t="str">
        <f>Descargas!A387</f>
        <v>311@tresa.volkswagen.es</v>
      </c>
      <c r="B387" s="19" t="str">
        <f>IFERROR(__xludf.DUMMYFUNCTION("IF(OR(regexmatch(A387,"".*@simon.es$""),REGEXMATCH(A387,"".*@simon.pt$""),REGEXMATCH(A387,"".*@simonelectrica.com$""),REGEXMATCH(A387,"".*@hiberus.com$""),REGEXMATCH(A387,"".*@simonbrico.es$""),regexmatch(A387,"".*@simonelectric.com$"")),""null"",A387)"),"311@tresa.volkswagen.es")</f>
        <v>311@tresa.volkswagen.es</v>
      </c>
      <c r="C387" s="5">
        <f>IF(B387="null","null",Descargas!B387)</f>
        <v>43991</v>
      </c>
      <c r="D387" s="6" t="str">
        <f>Descargas!E387</f>
        <v>https://resources.simonelectric.com/simon-catalogo-vehiculo-electrico</v>
      </c>
      <c r="E387" s="20" t="str">
        <f t="shared" si="1"/>
        <v>311@tresa.volkswagen.es</v>
      </c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</row>
    <row r="388" ht="15.75" customHeight="1">
      <c r="A388" s="18" t="str">
        <f>Descargas!A388</f>
        <v>312@telefonica.net</v>
      </c>
      <c r="B388" s="19" t="str">
        <f>IFERROR(__xludf.DUMMYFUNCTION("IF(OR(regexmatch(A388,"".*@simon.es$""),REGEXMATCH(A388,"".*@simon.pt$""),REGEXMATCH(A388,"".*@simonelectrica.com$""),REGEXMATCH(A388,"".*@hiberus.com$""),REGEXMATCH(A388,"".*@simonbrico.es$""),regexmatch(A388,"".*@simonelectric.com$"")),""null"",A388)"),"312@telefonica.net")</f>
        <v>312@telefonica.net</v>
      </c>
      <c r="C388" s="5">
        <f>IF(B388="null","null",Descargas!B388)</f>
        <v>43991</v>
      </c>
      <c r="D388" s="6" t="str">
        <f>Descargas!E388</f>
        <v>https://resources.simonelectric.com/simon-ebook-vehiculo-electrico-ppc</v>
      </c>
      <c r="E388" s="20" t="str">
        <f t="shared" si="1"/>
        <v>312@telefonica.net</v>
      </c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</row>
    <row r="389" ht="15.75" customHeight="1">
      <c r="A389" s="18" t="str">
        <f>Descargas!A389</f>
        <v>313@inelbo.eiffage.es</v>
      </c>
      <c r="B389" s="19" t="str">
        <f>IFERROR(__xludf.DUMMYFUNCTION("IF(OR(regexmatch(A389,"".*@simon.es$""),REGEXMATCH(A389,"".*@simon.pt$""),REGEXMATCH(A389,"".*@simonelectrica.com$""),REGEXMATCH(A389,"".*@hiberus.com$""),REGEXMATCH(A389,"".*@simonbrico.es$""),regexmatch(A389,"".*@simonelectric.com$"")),""null"",A389)"),"313@inelbo.eiffage.es")</f>
        <v>313@inelbo.eiffage.es</v>
      </c>
      <c r="C389" s="5">
        <f>IF(B389="null","null",Descargas!B389)</f>
        <v>43991</v>
      </c>
      <c r="D389" s="6" t="str">
        <f>Descargas!E389</f>
        <v>https://resources.simonelectric.com/simon-material-formativo-vehiculo-electrico</v>
      </c>
      <c r="E389" s="20" t="str">
        <f t="shared" si="1"/>
        <v>313@inelbo.eiffage.es</v>
      </c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</row>
    <row r="390" ht="15.75" customHeight="1">
      <c r="A390" s="18" t="str">
        <f>Descargas!A390</f>
        <v>314@bitrir.es</v>
      </c>
      <c r="B390" s="19" t="str">
        <f>IFERROR(__xludf.DUMMYFUNCTION("IF(OR(regexmatch(A390,"".*@simon.es$""),REGEXMATCH(A390,"".*@simon.pt$""),REGEXMATCH(A390,"".*@simonelectrica.com$""),REGEXMATCH(A390,"".*@hiberus.com$""),REGEXMATCH(A390,"".*@simonbrico.es$""),regexmatch(A390,"".*@simonelectric.com$"")),""null"",A390)"),"314@bitrir.es")</f>
        <v>314@bitrir.es</v>
      </c>
      <c r="C390" s="5">
        <f>IF(B390="null","null",Descargas!B390)</f>
        <v>43991</v>
      </c>
      <c r="D390" s="6" t="str">
        <f>Descargas!E390</f>
        <v>https://resources.simonelectric.com/simon-ebook-vehiculo-electrico</v>
      </c>
      <c r="E390" s="20" t="str">
        <f t="shared" si="1"/>
        <v>314@bitrir.es</v>
      </c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</row>
    <row r="391" ht="15.75" customHeight="1">
      <c r="A391" s="18" t="str">
        <f>Descargas!A391</f>
        <v>315@bongrup.es</v>
      </c>
      <c r="B391" s="19" t="str">
        <f>IFERROR(__xludf.DUMMYFUNCTION("IF(OR(regexmatch(A391,"".*@simon.es$""),REGEXMATCH(A391,"".*@simon.pt$""),REGEXMATCH(A391,"".*@simonelectrica.com$""),REGEXMATCH(A391,"".*@hiberus.com$""),REGEXMATCH(A391,"".*@simonbrico.es$""),regexmatch(A391,"".*@simonelectric.com$"")),""null"",A391)"),"315@bongrup.es")</f>
        <v>315@bongrup.es</v>
      </c>
      <c r="C391" s="5">
        <f>IF(B391="null","null",Descargas!B391)</f>
        <v>43991</v>
      </c>
      <c r="D391" s="6" t="str">
        <f>Descargas!E391</f>
        <v>https://resources.simonelectric.com/simon-ebook-vehiculo-electrico</v>
      </c>
      <c r="E391" s="20" t="str">
        <f t="shared" si="1"/>
        <v>315@bongrup.es</v>
      </c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</row>
    <row r="392" ht="15.75" customHeight="1">
      <c r="A392" s="18" t="str">
        <f>Descargas!A392</f>
        <v>316@aymesa.com</v>
      </c>
      <c r="B392" s="19" t="str">
        <f>IFERROR(__xludf.DUMMYFUNCTION("IF(OR(regexmatch(A392,"".*@simon.es$""),REGEXMATCH(A392,"".*@simon.pt$""),REGEXMATCH(A392,"".*@simonelectrica.com$""),REGEXMATCH(A392,"".*@hiberus.com$""),REGEXMATCH(A392,"".*@simonbrico.es$""),regexmatch(A392,"".*@simonelectric.com$"")),""null"",A392)"),"316@aymesa.com")</f>
        <v>316@aymesa.com</v>
      </c>
      <c r="C392" s="5">
        <f>IF(B392="null","null",Descargas!B392)</f>
        <v>43991</v>
      </c>
      <c r="D392" s="6" t="str">
        <f>Descargas!E392</f>
        <v>https://resources.simonelectric.com/simon-catalogo-vehiculo-electrico</v>
      </c>
      <c r="E392" s="20" t="str">
        <f t="shared" si="1"/>
        <v>316@aymesa.com</v>
      </c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</row>
    <row r="393" ht="15.75" customHeight="1">
      <c r="A393" s="18" t="str">
        <f>Descargas!A393</f>
        <v>55@hotmail.com</v>
      </c>
      <c r="B393" s="19" t="str">
        <f>IFERROR(__xludf.DUMMYFUNCTION("IF(OR(regexmatch(A393,"".*@simon.es$""),REGEXMATCH(A393,"".*@simon.pt$""),REGEXMATCH(A393,"".*@simonelectrica.com$""),REGEXMATCH(A393,"".*@hiberus.com$""),REGEXMATCH(A393,"".*@simonbrico.es$""),regexmatch(A393,"".*@simonelectric.com$"")),""null"",A393)"),"55@hotmail.com")</f>
        <v>55@hotmail.com</v>
      </c>
      <c r="C393" s="5">
        <f>IF(B393="null","null",Descargas!B393)</f>
        <v>43991</v>
      </c>
      <c r="D393" s="6" t="str">
        <f>Descargas!E393</f>
        <v>https://resources.simonelectric.com/simon-ebook-vehiculo-electrico</v>
      </c>
      <c r="E393" s="20" t="str">
        <f t="shared" si="1"/>
        <v>55@hotmail.com</v>
      </c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</row>
    <row r="394" ht="15.75" customHeight="1">
      <c r="A394" s="18" t="str">
        <f>Descargas!A394</f>
        <v>317@portsdebalears.com</v>
      </c>
      <c r="B394" s="19" t="str">
        <f>IFERROR(__xludf.DUMMYFUNCTION("IF(OR(regexmatch(A394,"".*@simon.es$""),REGEXMATCH(A394,"".*@simon.pt$""),REGEXMATCH(A394,"".*@simonelectrica.com$""),REGEXMATCH(A394,"".*@hiberus.com$""),REGEXMATCH(A394,"".*@simonbrico.es$""),regexmatch(A394,"".*@simonelectric.com$"")),""null"",A394)"),"317@portsdebalears.com")</f>
        <v>317@portsdebalears.com</v>
      </c>
      <c r="C394" s="5">
        <f>IF(B394="null","null",Descargas!B394)</f>
        <v>43991</v>
      </c>
      <c r="D394" s="6" t="str">
        <f>Descargas!E394</f>
        <v>https://resources.simonelectric.com/simon-ebook-vehiculo-electrico</v>
      </c>
      <c r="E394" s="20" t="str">
        <f t="shared" si="1"/>
        <v>317@portsdebalears.com</v>
      </c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</row>
    <row r="395" ht="15.75" customHeight="1">
      <c r="A395" s="18" t="str">
        <f>Descargas!A395</f>
        <v>318@gmail.com</v>
      </c>
      <c r="B395" s="19" t="str">
        <f>IFERROR(__xludf.DUMMYFUNCTION("IF(OR(regexmatch(A395,"".*@simon.es$""),REGEXMATCH(A395,"".*@simon.pt$""),REGEXMATCH(A395,"".*@simonelectrica.com$""),REGEXMATCH(A395,"".*@hiberus.com$""),REGEXMATCH(A395,"".*@simonbrico.es$""),regexmatch(A395,"".*@simonelectric.com$"")),""null"",A395)"),"318@gmail.com")</f>
        <v>318@gmail.com</v>
      </c>
      <c r="C395" s="5">
        <f>IF(B395="null","null",Descargas!B395)</f>
        <v>43991</v>
      </c>
      <c r="D395" s="6" t="str">
        <f>Descargas!E395</f>
        <v>https://resources.simonelectric.com/simon-ebook-vehiculo-electrico-ppc</v>
      </c>
      <c r="E395" s="20" t="str">
        <f t="shared" si="1"/>
        <v>318@gmail.com</v>
      </c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</row>
    <row r="396" ht="15.75" customHeight="1">
      <c r="A396" s="18" t="str">
        <f>Descargas!A396</f>
        <v>319@gmail.com</v>
      </c>
      <c r="B396" s="19" t="str">
        <f>IFERROR(__xludf.DUMMYFUNCTION("IF(OR(regexmatch(A396,"".*@simon.es$""),REGEXMATCH(A396,"".*@simon.pt$""),REGEXMATCH(A396,"".*@simonelectrica.com$""),REGEXMATCH(A396,"".*@hiberus.com$""),REGEXMATCH(A396,"".*@simonbrico.es$""),regexmatch(A396,"".*@simonelectric.com$"")),""null"",A396)"),"319@gmail.com")</f>
        <v>319@gmail.com</v>
      </c>
      <c r="C396" s="5">
        <f>IF(B396="null","null",Descargas!B396)</f>
        <v>43991</v>
      </c>
      <c r="D396" s="6" t="str">
        <f>Descargas!E396</f>
        <v>https://resources.simonelectric.com/simon-ebook-vehiculo-electrico</v>
      </c>
      <c r="E396" s="20" t="str">
        <f t="shared" si="1"/>
        <v>319@gmail.com</v>
      </c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</row>
    <row r="397" ht="15.75" customHeight="1">
      <c r="A397" s="18" t="str">
        <f>Descargas!A397</f>
        <v>320@gmail.com</v>
      </c>
      <c r="B397" s="19" t="str">
        <f>IFERROR(__xludf.DUMMYFUNCTION("IF(OR(regexmatch(A397,"".*@simon.es$""),REGEXMATCH(A397,"".*@simon.pt$""),REGEXMATCH(A397,"".*@simonelectrica.com$""),REGEXMATCH(A397,"".*@hiberus.com$""),REGEXMATCH(A397,"".*@simonbrico.es$""),regexmatch(A397,"".*@simonelectric.com$"")),""null"",A397)"),"320@gmail.com")</f>
        <v>320@gmail.com</v>
      </c>
      <c r="C397" s="5">
        <f>IF(B397="null","null",Descargas!B397)</f>
        <v>43990</v>
      </c>
      <c r="D397" s="6" t="str">
        <f>Descargas!E397</f>
        <v>https://resources.simonelectric.com/simon-ebook-vehiculo-electrico-0</v>
      </c>
      <c r="E397" s="20" t="str">
        <f t="shared" si="1"/>
        <v>320@gmail.com</v>
      </c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</row>
    <row r="398" ht="15.75" customHeight="1">
      <c r="A398" s="18" t="str">
        <f>Descargas!A398</f>
        <v>241@gmail.com</v>
      </c>
      <c r="B398" s="19" t="str">
        <f>IFERROR(__xludf.DUMMYFUNCTION("IF(OR(regexmatch(A398,"".*@simon.es$""),REGEXMATCH(A398,"".*@simon.pt$""),REGEXMATCH(A398,"".*@simonelectrica.com$""),REGEXMATCH(A398,"".*@hiberus.com$""),REGEXMATCH(A398,"".*@simonbrico.es$""),regexmatch(A398,"".*@simonelectric.com$"")),""null"",A398)"),"241@gmail.com")</f>
        <v>241@gmail.com</v>
      </c>
      <c r="C398" s="5">
        <f>IF(B398="null","null",Descargas!B398)</f>
        <v>43990</v>
      </c>
      <c r="D398" s="6" t="str">
        <f>Descargas!E398</f>
        <v>https://resources.simonelectric.com/simon-ebook-vehiculo-electrico</v>
      </c>
      <c r="E398" s="20" t="str">
        <f t="shared" si="1"/>
        <v>241@gmail.com</v>
      </c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</row>
    <row r="399" ht="15.75" customHeight="1">
      <c r="A399" s="18" t="str">
        <f>Descargas!A399</f>
        <v>321@gmail.com</v>
      </c>
      <c r="B399" s="19" t="str">
        <f>IFERROR(__xludf.DUMMYFUNCTION("IF(OR(regexmatch(A399,"".*@simon.es$""),REGEXMATCH(A399,"".*@simon.pt$""),REGEXMATCH(A399,"".*@simonelectrica.com$""),REGEXMATCH(A399,"".*@hiberus.com$""),REGEXMATCH(A399,"".*@simonbrico.es$""),regexmatch(A399,"".*@simonelectric.com$"")),""null"",A399)"),"321@gmail.com")</f>
        <v>321@gmail.com</v>
      </c>
      <c r="C399" s="5">
        <f>IF(B399="null","null",Descargas!B399)</f>
        <v>43990</v>
      </c>
      <c r="D399" s="6" t="str">
        <f>Descargas!E399</f>
        <v>https://resources.simonelectric.com/simon-ebook-vehiculo-electrico</v>
      </c>
      <c r="E399" s="20" t="str">
        <f t="shared" si="1"/>
        <v>321@gmail.com</v>
      </c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</row>
    <row r="400" ht="15.75" customHeight="1">
      <c r="A400" s="18" t="str">
        <f>Descargas!A400</f>
        <v>321@gmail.com</v>
      </c>
      <c r="B400" s="19" t="str">
        <f>IFERROR(__xludf.DUMMYFUNCTION("IF(OR(regexmatch(A400,"".*@simon.es$""),REGEXMATCH(A400,"".*@simon.pt$""),REGEXMATCH(A400,"".*@simonelectrica.com$""),REGEXMATCH(A400,"".*@hiberus.com$""),REGEXMATCH(A400,"".*@simonbrico.es$""),regexmatch(A400,"".*@simonelectric.com$"")),""null"",A400)"),"321@gmail.com")</f>
        <v>321@gmail.com</v>
      </c>
      <c r="C400" s="5">
        <f>IF(B400="null","null",Descargas!B400)</f>
        <v>43990</v>
      </c>
      <c r="D400" s="6" t="str">
        <f>Descargas!E400</f>
        <v>https://resources.simonelectric.com/simon-ebook-vehiculo-electrico</v>
      </c>
      <c r="E400" s="20" t="str">
        <f t="shared" si="1"/>
        <v>321@gmail.com</v>
      </c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</row>
    <row r="401" ht="15.75" customHeight="1">
      <c r="A401" s="18" t="str">
        <f>Descargas!A401</f>
        <v>322@rutronik.com</v>
      </c>
      <c r="B401" s="19" t="str">
        <f>IFERROR(__xludf.DUMMYFUNCTION("IF(OR(regexmatch(A401,"".*@simon.es$""),REGEXMATCH(A401,"".*@simon.pt$""),REGEXMATCH(A401,"".*@simonelectrica.com$""),REGEXMATCH(A401,"".*@hiberus.com$""),REGEXMATCH(A401,"".*@simonbrico.es$""),regexmatch(A401,"".*@simonelectric.com$"")),""null"",A401)"),"322@rutronik.com")</f>
        <v>322@rutronik.com</v>
      </c>
      <c r="C401" s="5">
        <f>IF(B401="null","null",Descargas!B401)</f>
        <v>43990</v>
      </c>
      <c r="D401" s="6" t="str">
        <f>Descargas!E401</f>
        <v>https://resources.simonelectric.com/simon-ebook-vehiculo-electrico</v>
      </c>
      <c r="E401" s="20" t="str">
        <f t="shared" si="1"/>
        <v>322@rutronik.com</v>
      </c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</row>
    <row r="402" ht="15.75" customHeight="1">
      <c r="A402" s="18" t="str">
        <f>Descargas!A402</f>
        <v>323@hotmail.com</v>
      </c>
      <c r="B402" s="19" t="str">
        <f>IFERROR(__xludf.DUMMYFUNCTION("IF(OR(regexmatch(A402,"".*@simon.es$""),REGEXMATCH(A402,"".*@simon.pt$""),REGEXMATCH(A402,"".*@simonelectrica.com$""),REGEXMATCH(A402,"".*@hiberus.com$""),REGEXMATCH(A402,"".*@simonbrico.es$""),regexmatch(A402,"".*@simonelectric.com$"")),""null"",A402)"),"323@hotmail.com")</f>
        <v>323@hotmail.com</v>
      </c>
      <c r="C402" s="5">
        <f>IF(B402="null","null",Descargas!B402)</f>
        <v>43990</v>
      </c>
      <c r="D402" s="6" t="str">
        <f>Descargas!E402</f>
        <v>https://resources.simonelectric.com/simon-ebook-vehiculo-electrico</v>
      </c>
      <c r="E402" s="20" t="str">
        <f t="shared" si="1"/>
        <v>323@hotmail.com</v>
      </c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</row>
    <row r="403" ht="15.75" customHeight="1">
      <c r="A403" s="18" t="str">
        <f>Descargas!A403</f>
        <v>324@onsaze.es</v>
      </c>
      <c r="B403" s="19" t="str">
        <f>IFERROR(__xludf.DUMMYFUNCTION("IF(OR(regexmatch(A403,"".*@simon.es$""),REGEXMATCH(A403,"".*@simon.pt$""),REGEXMATCH(A403,"".*@simonelectrica.com$""),REGEXMATCH(A403,"".*@hiberus.com$""),REGEXMATCH(A403,"".*@simonbrico.es$""),regexmatch(A403,"".*@simonelectric.com$"")),""null"",A403)"),"324@onsaze.es")</f>
        <v>324@onsaze.es</v>
      </c>
      <c r="C403" s="5">
        <f>IF(B403="null","null",Descargas!B403)</f>
        <v>43990</v>
      </c>
      <c r="D403" s="6" t="str">
        <f>Descargas!E403</f>
        <v>https://resources.simonelectric.com/simon-catalogo-vehiculo-electrico</v>
      </c>
      <c r="E403" s="20" t="str">
        <f t="shared" si="1"/>
        <v>324@onsaze.es</v>
      </c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</row>
    <row r="404" ht="15.75" customHeight="1">
      <c r="A404" s="18" t="str">
        <f>Descargas!A404</f>
        <v>296@gmail.com</v>
      </c>
      <c r="B404" s="19" t="str">
        <f>IFERROR(__xludf.DUMMYFUNCTION("IF(OR(regexmatch(A404,"".*@simon.es$""),REGEXMATCH(A404,"".*@simon.pt$""),REGEXMATCH(A404,"".*@simonelectrica.com$""),REGEXMATCH(A404,"".*@hiberus.com$""),REGEXMATCH(A404,"".*@simonbrico.es$""),regexmatch(A404,"".*@simonelectric.com$"")),""null"",A404)"),"296@gmail.com")</f>
        <v>296@gmail.com</v>
      </c>
      <c r="C404" s="5">
        <f>IF(B404="null","null",Descargas!B404)</f>
        <v>43990</v>
      </c>
      <c r="D404" s="6" t="str">
        <f>Descargas!E404</f>
        <v>https://resources.simonelectric.com/simon-ebook-vehiculo-electrico</v>
      </c>
      <c r="E404" s="20" t="str">
        <f t="shared" si="1"/>
        <v>296@gmail.com</v>
      </c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</row>
    <row r="405" ht="15.75" customHeight="1">
      <c r="A405" s="18" t="str">
        <f>Descargas!A405</f>
        <v>325@sonepar.es</v>
      </c>
      <c r="B405" s="19" t="str">
        <f>IFERROR(__xludf.DUMMYFUNCTION("IF(OR(regexmatch(A405,"".*@simon.es$""),REGEXMATCH(A405,"".*@simon.pt$""),REGEXMATCH(A405,"".*@simonelectrica.com$""),REGEXMATCH(A405,"".*@hiberus.com$""),REGEXMATCH(A405,"".*@simonbrico.es$""),regexmatch(A405,"".*@simonelectric.com$"")),""null"",A405)"),"325@sonepar.es")</f>
        <v>325@sonepar.es</v>
      </c>
      <c r="C405" s="5">
        <f>IF(B405="null","null",Descargas!B405)</f>
        <v>43990</v>
      </c>
      <c r="D405" s="6" t="str">
        <f>Descargas!E405</f>
        <v>https://resources.simonelectric.com/simon-ebook-vehiculo-electrico</v>
      </c>
      <c r="E405" s="20" t="str">
        <f t="shared" si="1"/>
        <v>325@sonepar.es</v>
      </c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</row>
    <row r="406" ht="15.75" customHeight="1">
      <c r="A406" s="18" t="str">
        <f>Descargas!A406</f>
        <v>326@gmail.com</v>
      </c>
      <c r="B406" s="19" t="str">
        <f>IFERROR(__xludf.DUMMYFUNCTION("IF(OR(regexmatch(A406,"".*@simon.es$""),REGEXMATCH(A406,"".*@simon.pt$""),REGEXMATCH(A406,"".*@simonelectrica.com$""),REGEXMATCH(A406,"".*@hiberus.com$""),REGEXMATCH(A406,"".*@simonbrico.es$""),regexmatch(A406,"".*@simonelectric.com$"")),""null"",A406)"),"326@gmail.com")</f>
        <v>326@gmail.com</v>
      </c>
      <c r="C406" s="5">
        <f>IF(B406="null","null",Descargas!B406)</f>
        <v>43990</v>
      </c>
      <c r="D406" s="6" t="str">
        <f>Descargas!E406</f>
        <v>https://resources.simonelectric.com/simon-catalogo-vehiculo-electrico</v>
      </c>
      <c r="E406" s="20" t="str">
        <f t="shared" si="1"/>
        <v>326@gmail.com</v>
      </c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</row>
    <row r="407" ht="15.75" customHeight="1">
      <c r="A407" s="18" t="str">
        <f>Descargas!A407</f>
        <v>327@romovi.com</v>
      </c>
      <c r="B407" s="19" t="str">
        <f>IFERROR(__xludf.DUMMYFUNCTION("IF(OR(regexmatch(A407,"".*@simon.es$""),REGEXMATCH(A407,"".*@simon.pt$""),REGEXMATCH(A407,"".*@simonelectrica.com$""),REGEXMATCH(A407,"".*@hiberus.com$""),REGEXMATCH(A407,"".*@simonbrico.es$""),regexmatch(A407,"".*@simonelectric.com$"")),""null"",A407)"),"327@romovi.com")</f>
        <v>327@romovi.com</v>
      </c>
      <c r="C407" s="5">
        <f>IF(B407="null","null",Descargas!B407)</f>
        <v>43990</v>
      </c>
      <c r="D407" s="6" t="str">
        <f>Descargas!E407</f>
        <v>https://resources.simonelectric.com/simon-ebook-vehiculo-electrico</v>
      </c>
      <c r="E407" s="20" t="str">
        <f t="shared" si="1"/>
        <v>327@romovi.com</v>
      </c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</row>
    <row r="408" ht="15.75" customHeight="1">
      <c r="A408" s="18" t="str">
        <f>Descargas!A408</f>
        <v>328@siemens.com</v>
      </c>
      <c r="B408" s="19" t="str">
        <f>IFERROR(__xludf.DUMMYFUNCTION("IF(OR(regexmatch(A408,"".*@simon.es$""),REGEXMATCH(A408,"".*@simon.pt$""),REGEXMATCH(A408,"".*@simonelectrica.com$""),REGEXMATCH(A408,"".*@hiberus.com$""),REGEXMATCH(A408,"".*@simonbrico.es$""),regexmatch(A408,"".*@simonelectric.com$"")),""null"",A408)"),"328@siemens.com")</f>
        <v>328@siemens.com</v>
      </c>
      <c r="C408" s="5">
        <f>IF(B408="null","null",Descargas!B408)</f>
        <v>43990</v>
      </c>
      <c r="D408" s="6" t="str">
        <f>Descargas!E408</f>
        <v>https://resources.simonelectric.com/simon-ebook-vehiculo-electrico</v>
      </c>
      <c r="E408" s="20" t="str">
        <f t="shared" si="1"/>
        <v>328@siemens.com</v>
      </c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</row>
    <row r="409" ht="15.75" customHeight="1">
      <c r="A409" s="18" t="str">
        <f>Descargas!A409</f>
        <v>329@covama.es</v>
      </c>
      <c r="B409" s="19" t="str">
        <f>IFERROR(__xludf.DUMMYFUNCTION("IF(OR(regexmatch(A409,"".*@simon.es$""),REGEXMATCH(A409,"".*@simon.pt$""),REGEXMATCH(A409,"".*@simonelectrica.com$""),REGEXMATCH(A409,"".*@hiberus.com$""),REGEXMATCH(A409,"".*@simonbrico.es$""),regexmatch(A409,"".*@simonelectric.com$"")),""null"",A409)"),"329@covama.es")</f>
        <v>329@covama.es</v>
      </c>
      <c r="C409" s="5">
        <f>IF(B409="null","null",Descargas!B409)</f>
        <v>43990</v>
      </c>
      <c r="D409" s="6" t="str">
        <f>Descargas!E409</f>
        <v>https://resources.simonelectric.com/simon-ebook-vehiculo-electrico</v>
      </c>
      <c r="E409" s="20" t="str">
        <f t="shared" si="1"/>
        <v>329@covama.es</v>
      </c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</row>
    <row r="410" ht="15.75" customHeight="1">
      <c r="A410" s="18" t="str">
        <f>Descargas!A410</f>
        <v>330@hotmail.com</v>
      </c>
      <c r="B410" s="19" t="str">
        <f>IFERROR(__xludf.DUMMYFUNCTION("IF(OR(regexmatch(A410,"".*@simon.es$""),REGEXMATCH(A410,"".*@simon.pt$""),REGEXMATCH(A410,"".*@simonelectrica.com$""),REGEXMATCH(A410,"".*@hiberus.com$""),REGEXMATCH(A410,"".*@simonbrico.es$""),regexmatch(A410,"".*@simonelectric.com$"")),""null"",A410)"),"330@hotmail.com")</f>
        <v>330@hotmail.com</v>
      </c>
      <c r="C410" s="5">
        <f>IF(B410="null","null",Descargas!B410)</f>
        <v>43989</v>
      </c>
      <c r="D410" s="6" t="str">
        <f>Descargas!E410</f>
        <v>https://resources.simonelectric.com/simon-ebook-vehiculo-electrico-ppc</v>
      </c>
      <c r="E410" s="20" t="str">
        <f t="shared" si="1"/>
        <v>330@hotmail.com</v>
      </c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</row>
    <row r="411" ht="15.75" customHeight="1">
      <c r="A411" s="18" t="str">
        <f>Descargas!A411</f>
        <v>331@gmail.com</v>
      </c>
      <c r="B411" s="19" t="str">
        <f>IFERROR(__xludf.DUMMYFUNCTION("IF(OR(regexmatch(A411,"".*@simon.es$""),REGEXMATCH(A411,"".*@simon.pt$""),REGEXMATCH(A411,"".*@simonelectrica.com$""),REGEXMATCH(A411,"".*@hiberus.com$""),REGEXMATCH(A411,"".*@simonbrico.es$""),regexmatch(A411,"".*@simonelectric.com$"")),""null"",A411)"),"331@gmail.com")</f>
        <v>331@gmail.com</v>
      </c>
      <c r="C411" s="5">
        <f>IF(B411="null","null",Descargas!B411)</f>
        <v>43989</v>
      </c>
      <c r="D411" s="6" t="str">
        <f>Descargas!E411</f>
        <v>https://resources.simonelectric.com/simon-catalogo-vehiculo-electrico</v>
      </c>
      <c r="E411" s="20" t="str">
        <f t="shared" si="1"/>
        <v>331@gmail.com</v>
      </c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</row>
    <row r="412" ht="15.75" customHeight="1">
      <c r="A412" s="18" t="str">
        <f>Descargas!A412</f>
        <v>332@gmail.com</v>
      </c>
      <c r="B412" s="19" t="str">
        <f>IFERROR(__xludf.DUMMYFUNCTION("IF(OR(regexmatch(A412,"".*@simon.es$""),REGEXMATCH(A412,"".*@simon.pt$""),REGEXMATCH(A412,"".*@simonelectrica.com$""),REGEXMATCH(A412,"".*@hiberus.com$""),REGEXMATCH(A412,"".*@simonbrico.es$""),regexmatch(A412,"".*@simonelectric.com$"")),""null"",A412)"),"332@gmail.com")</f>
        <v>332@gmail.com</v>
      </c>
      <c r="C412" s="5">
        <f>IF(B412="null","null",Descargas!B412)</f>
        <v>43989</v>
      </c>
      <c r="D412" s="6" t="str">
        <f>Descargas!E412</f>
        <v>https://resources.simonelectric.com/simon-ebook-vehiculo-electrico-0</v>
      </c>
      <c r="E412" s="20" t="str">
        <f t="shared" si="1"/>
        <v>332@gmail.com</v>
      </c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</row>
    <row r="413" ht="15.75" customHeight="1">
      <c r="A413" s="18" t="str">
        <f>Descargas!A413</f>
        <v>333@jbizcocho.es</v>
      </c>
      <c r="B413" s="19" t="str">
        <f>IFERROR(__xludf.DUMMYFUNCTION("IF(OR(regexmatch(A413,"".*@simon.es$""),REGEXMATCH(A413,"".*@simon.pt$""),REGEXMATCH(A413,"".*@simonelectrica.com$""),REGEXMATCH(A413,"".*@hiberus.com$""),REGEXMATCH(A413,"".*@simonbrico.es$""),regexmatch(A413,"".*@simonelectric.com$"")),""null"",A413)"),"333@jbizcocho.es")</f>
        <v>333@jbizcocho.es</v>
      </c>
      <c r="C413" s="5">
        <f>IF(B413="null","null",Descargas!B413)</f>
        <v>43989</v>
      </c>
      <c r="D413" s="6" t="str">
        <f>Descargas!E413</f>
        <v>https://resources.simonelectric.com/simon-ebook-vehiculo-electrico-0</v>
      </c>
      <c r="E413" s="20" t="str">
        <f t="shared" si="1"/>
        <v>333@jbizcocho.es</v>
      </c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</row>
    <row r="414" ht="15.75" customHeight="1">
      <c r="A414" s="18" t="str">
        <f>Descargas!A414</f>
        <v>203@outlook.com</v>
      </c>
      <c r="B414" s="19" t="str">
        <f>IFERROR(__xludf.DUMMYFUNCTION("IF(OR(regexmatch(A414,"".*@simon.es$""),REGEXMATCH(A414,"".*@simon.pt$""),REGEXMATCH(A414,"".*@simonelectrica.com$""),REGEXMATCH(A414,"".*@hiberus.com$""),REGEXMATCH(A414,"".*@simonbrico.es$""),regexmatch(A414,"".*@simonelectric.com$"")),""null"",A414)"),"203@outlook.com")</f>
        <v>203@outlook.com</v>
      </c>
      <c r="C414" s="5">
        <f>IF(B414="null","null",Descargas!B414)</f>
        <v>43989</v>
      </c>
      <c r="D414" s="6" t="str">
        <f>Descargas!E414</f>
        <v>https://resources.simonelectric.com/simon-ebook-vehiculo-electrico</v>
      </c>
      <c r="E414" s="20" t="str">
        <f t="shared" si="1"/>
        <v>203@outlook.com</v>
      </c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</row>
    <row r="415" ht="15.75" customHeight="1">
      <c r="A415" s="18" t="str">
        <f>Descargas!A415</f>
        <v>334@mixmail.com</v>
      </c>
      <c r="B415" s="19" t="str">
        <f>IFERROR(__xludf.DUMMYFUNCTION("IF(OR(regexmatch(A415,"".*@simon.es$""),REGEXMATCH(A415,"".*@simon.pt$""),REGEXMATCH(A415,"".*@simonelectrica.com$""),REGEXMATCH(A415,"".*@hiberus.com$""),REGEXMATCH(A415,"".*@simonbrico.es$""),regexmatch(A415,"".*@simonelectric.com$"")),""null"",A415)"),"334@mixmail.com")</f>
        <v>334@mixmail.com</v>
      </c>
      <c r="C415" s="5">
        <f>IF(B415="null","null",Descargas!B415)</f>
        <v>43989</v>
      </c>
      <c r="D415" s="6" t="str">
        <f>Descargas!E415</f>
        <v>https://resources.simonelectric.com/simon-catalogo-vehiculo-electrico</v>
      </c>
      <c r="E415" s="20" t="str">
        <f t="shared" si="1"/>
        <v>334@mixmail.com</v>
      </c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</row>
    <row r="416" ht="15.75" customHeight="1">
      <c r="A416" s="18" t="str">
        <f>Descargas!A416</f>
        <v>335@faepac.org</v>
      </c>
      <c r="B416" s="19" t="str">
        <f>IFERROR(__xludf.DUMMYFUNCTION("IF(OR(regexmatch(A416,"".*@simon.es$""),REGEXMATCH(A416,"".*@simon.pt$""),REGEXMATCH(A416,"".*@simonelectrica.com$""),REGEXMATCH(A416,"".*@hiberus.com$""),REGEXMATCH(A416,"".*@simonbrico.es$""),regexmatch(A416,"".*@simonelectric.com$"")),""null"",A416)"),"335@faepac.org")</f>
        <v>335@faepac.org</v>
      </c>
      <c r="C416" s="5">
        <f>IF(B416="null","null",Descargas!B416)</f>
        <v>43988</v>
      </c>
      <c r="D416" s="6" t="str">
        <f>Descargas!E416</f>
        <v>https://resources.simonelectric.com/simon-catalogo-vehiculo-electrico</v>
      </c>
      <c r="E416" s="20" t="str">
        <f t="shared" si="1"/>
        <v>335@faepac.org</v>
      </c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</row>
    <row r="417" ht="15.75" customHeight="1">
      <c r="A417" s="18" t="str">
        <f>Descargas!A417</f>
        <v>336@gmail.com</v>
      </c>
      <c r="B417" s="19" t="str">
        <f>IFERROR(__xludf.DUMMYFUNCTION("IF(OR(regexmatch(A417,"".*@simon.es$""),REGEXMATCH(A417,"".*@simon.pt$""),REGEXMATCH(A417,"".*@simonelectrica.com$""),REGEXMATCH(A417,"".*@hiberus.com$""),REGEXMATCH(A417,"".*@simonbrico.es$""),regexmatch(A417,"".*@simonelectric.com$"")),""null"",A417)"),"336@gmail.com")</f>
        <v>336@gmail.com</v>
      </c>
      <c r="C417" s="5">
        <f>IF(B417="null","null",Descargas!B417)</f>
        <v>43988</v>
      </c>
      <c r="D417" s="6" t="str">
        <f>Descargas!E417</f>
        <v>https://resources.simonelectric.com/simon-ebook-vehiculo-electrico-0</v>
      </c>
      <c r="E417" s="20" t="str">
        <f t="shared" si="1"/>
        <v>336@gmail.com</v>
      </c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</row>
    <row r="418" ht="15.75" customHeight="1">
      <c r="A418" s="18" t="str">
        <f>Descargas!A418</f>
        <v>337@gmail.com</v>
      </c>
      <c r="B418" s="19" t="str">
        <f>IFERROR(__xludf.DUMMYFUNCTION("IF(OR(regexmatch(A418,"".*@simon.es$""),REGEXMATCH(A418,"".*@simon.pt$""),REGEXMATCH(A418,"".*@simonelectrica.com$""),REGEXMATCH(A418,"".*@hiberus.com$""),REGEXMATCH(A418,"".*@simonbrico.es$""),regexmatch(A418,"".*@simonelectric.com$"")),""null"",A418)"),"337@gmail.com")</f>
        <v>337@gmail.com</v>
      </c>
      <c r="C418" s="5">
        <f>IF(B418="null","null",Descargas!B418)</f>
        <v>43988</v>
      </c>
      <c r="D418" s="6" t="str">
        <f>Descargas!E418</f>
        <v>https://resources.simonelectric.com/simon-ebook-vehiculo-electrico-ppc</v>
      </c>
      <c r="E418" s="20" t="str">
        <f t="shared" si="1"/>
        <v>337@gmail.com</v>
      </c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</row>
    <row r="419" ht="15.75" customHeight="1">
      <c r="A419" s="18" t="str">
        <f>Descargas!A419</f>
        <v>338@u220.es</v>
      </c>
      <c r="B419" s="19" t="str">
        <f>IFERROR(__xludf.DUMMYFUNCTION("IF(OR(regexmatch(A419,"".*@simon.es$""),REGEXMATCH(A419,"".*@simon.pt$""),REGEXMATCH(A419,"".*@simonelectrica.com$""),REGEXMATCH(A419,"".*@hiberus.com$""),REGEXMATCH(A419,"".*@simonbrico.es$""),regexmatch(A419,"".*@simonelectric.com$"")),""null"",A419)"),"338@u220.es")</f>
        <v>338@u220.es</v>
      </c>
      <c r="C419" s="5">
        <f>IF(B419="null","null",Descargas!B419)</f>
        <v>43988</v>
      </c>
      <c r="D419" s="6" t="str">
        <f>Descargas!E419</f>
        <v>https://resources.simonelectric.com/simon-ebook-vehiculo-electrico</v>
      </c>
      <c r="E419" s="20" t="str">
        <f t="shared" si="1"/>
        <v>338@u220.es</v>
      </c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</row>
    <row r="420" ht="15.75" customHeight="1">
      <c r="A420" s="18" t="str">
        <f>Descargas!A420</f>
        <v>338@u220.es</v>
      </c>
      <c r="B420" s="19" t="str">
        <f>IFERROR(__xludf.DUMMYFUNCTION("IF(OR(regexmatch(A420,"".*@simon.es$""),REGEXMATCH(A420,"".*@simon.pt$""),REGEXMATCH(A420,"".*@simonelectrica.com$""),REGEXMATCH(A420,"".*@hiberus.com$""),REGEXMATCH(A420,"".*@simonbrico.es$""),regexmatch(A420,"".*@simonelectric.com$"")),""null"",A420)"),"338@u220.es")</f>
        <v>338@u220.es</v>
      </c>
      <c r="C420" s="5">
        <f>IF(B420="null","null",Descargas!B420)</f>
        <v>43988</v>
      </c>
      <c r="D420" s="6" t="str">
        <f>Descargas!E420</f>
        <v>https://resources.simonelectric.com/simon-ebook-vehiculo-electrico</v>
      </c>
      <c r="E420" s="20" t="str">
        <f t="shared" si="1"/>
        <v>338@u220.es</v>
      </c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</row>
    <row r="421" ht="15.75" customHeight="1">
      <c r="A421" s="18" t="str">
        <f>Descargas!A421</f>
        <v>339@emiliocueto.com</v>
      </c>
      <c r="B421" s="19" t="str">
        <f>IFERROR(__xludf.DUMMYFUNCTION("IF(OR(regexmatch(A421,"".*@simon.es$""),REGEXMATCH(A421,"".*@simon.pt$""),REGEXMATCH(A421,"".*@simonelectrica.com$""),REGEXMATCH(A421,"".*@hiberus.com$""),REGEXMATCH(A421,"".*@simonbrico.es$""),regexmatch(A421,"".*@simonelectric.com$"")),""null"",A421)"),"339@emiliocueto.com")</f>
        <v>339@emiliocueto.com</v>
      </c>
      <c r="C421" s="5">
        <f>IF(B421="null","null",Descargas!B421)</f>
        <v>43988</v>
      </c>
      <c r="D421" s="6" t="str">
        <f>Descargas!E421</f>
        <v>https://resources.simonelectric.com/simon-ebook-vehiculo-electrico-ppc</v>
      </c>
      <c r="E421" s="20" t="str">
        <f t="shared" si="1"/>
        <v>339@emiliocueto.com</v>
      </c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</row>
    <row r="422" ht="15.75" customHeight="1">
      <c r="A422" s="18" t="str">
        <f>Descargas!A422</f>
        <v>340@bizkaia.eu</v>
      </c>
      <c r="B422" s="19" t="str">
        <f>IFERROR(__xludf.DUMMYFUNCTION("IF(OR(regexmatch(A422,"".*@simon.es$""),REGEXMATCH(A422,"".*@simon.pt$""),REGEXMATCH(A422,"".*@simonelectrica.com$""),REGEXMATCH(A422,"".*@hiberus.com$""),REGEXMATCH(A422,"".*@simonbrico.es$""),regexmatch(A422,"".*@simonelectric.com$"")),""null"",A422)"),"340@bizkaia.eu")</f>
        <v>340@bizkaia.eu</v>
      </c>
      <c r="C422" s="5">
        <f>IF(B422="null","null",Descargas!B422)</f>
        <v>43988</v>
      </c>
      <c r="D422" s="6" t="str">
        <f>Descargas!E422</f>
        <v>https://resources.simonelectric.com/simon-ebook-vehiculo-electrico</v>
      </c>
      <c r="E422" s="20" t="str">
        <f t="shared" si="1"/>
        <v>340@bizkaia.eu</v>
      </c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</row>
    <row r="423" ht="15.75" customHeight="1">
      <c r="A423" s="18" t="str">
        <f>Descargas!A423</f>
        <v>341@enchufesolar.com</v>
      </c>
      <c r="B423" s="19" t="str">
        <f>IFERROR(__xludf.DUMMYFUNCTION("IF(OR(regexmatch(A423,"".*@simon.es$""),REGEXMATCH(A423,"".*@simon.pt$""),REGEXMATCH(A423,"".*@simonelectrica.com$""),REGEXMATCH(A423,"".*@hiberus.com$""),REGEXMATCH(A423,"".*@simonbrico.es$""),regexmatch(A423,"".*@simonelectric.com$"")),""null"",A423)"),"341@enchufesolar.com")</f>
        <v>341@enchufesolar.com</v>
      </c>
      <c r="C423" s="5">
        <f>IF(B423="null","null",Descargas!B423)</f>
        <v>43988</v>
      </c>
      <c r="D423" s="6" t="str">
        <f>Descargas!E423</f>
        <v>https://resources.simonelectric.com/simon-ebook-vehiculo-electrico-ppc</v>
      </c>
      <c r="E423" s="20" t="str">
        <f t="shared" si="1"/>
        <v>341@enchufesolar.com</v>
      </c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</row>
    <row r="424" ht="15.75" customHeight="1">
      <c r="A424" s="18" t="str">
        <f>Descargas!A424</f>
        <v>342@idesa.pro</v>
      </c>
      <c r="B424" s="19" t="str">
        <f>IFERROR(__xludf.DUMMYFUNCTION("IF(OR(regexmatch(A424,"".*@simon.es$""),REGEXMATCH(A424,"".*@simon.pt$""),REGEXMATCH(A424,"".*@simonelectrica.com$""),REGEXMATCH(A424,"".*@hiberus.com$""),REGEXMATCH(A424,"".*@simonbrico.es$""),regexmatch(A424,"".*@simonelectric.com$"")),""null"",A424)"),"342@idesa.pro")</f>
        <v>342@idesa.pro</v>
      </c>
      <c r="C424" s="5">
        <f>IF(B424="null","null",Descargas!B424)</f>
        <v>43987</v>
      </c>
      <c r="D424" s="6" t="str">
        <f>Descargas!E424</f>
        <v>https://resources.simonelectric.com/simon-ebook-vehiculo-electrico-0</v>
      </c>
      <c r="E424" s="20" t="str">
        <f t="shared" si="1"/>
        <v>342@idesa.pro</v>
      </c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</row>
    <row r="425" ht="15.75" customHeight="1">
      <c r="A425" s="18" t="str">
        <f>Descargas!A425</f>
        <v>343@gmail.com</v>
      </c>
      <c r="B425" s="19" t="str">
        <f>IFERROR(__xludf.DUMMYFUNCTION("IF(OR(regexmatch(A425,"".*@simon.es$""),REGEXMATCH(A425,"".*@simon.pt$""),REGEXMATCH(A425,"".*@simonelectrica.com$""),REGEXMATCH(A425,"".*@hiberus.com$""),REGEXMATCH(A425,"".*@simonbrico.es$""),regexmatch(A425,"".*@simonelectric.com$"")),""null"",A425)"),"343@gmail.com")</f>
        <v>343@gmail.com</v>
      </c>
      <c r="C425" s="5">
        <f>IF(B425="null","null",Descargas!B425)</f>
        <v>43987</v>
      </c>
      <c r="D425" s="6" t="str">
        <f>Descargas!E425</f>
        <v>https://resources.simonelectric.com/simon-ebook-vehiculo-electrico</v>
      </c>
      <c r="E425" s="20" t="str">
        <f t="shared" si="1"/>
        <v>343@gmail.com</v>
      </c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</row>
    <row r="426" ht="15.75" customHeight="1">
      <c r="A426" s="18" t="str">
        <f>Descargas!A426</f>
        <v>344@hotmail.com</v>
      </c>
      <c r="B426" s="19" t="str">
        <f>IFERROR(__xludf.DUMMYFUNCTION("IF(OR(regexmatch(A426,"".*@simon.es$""),REGEXMATCH(A426,"".*@simon.pt$""),REGEXMATCH(A426,"".*@simonelectrica.com$""),REGEXMATCH(A426,"".*@hiberus.com$""),REGEXMATCH(A426,"".*@simonbrico.es$""),regexmatch(A426,"".*@simonelectric.com$"")),""null"",A426)"),"344@hotmail.com")</f>
        <v>344@hotmail.com</v>
      </c>
      <c r="C426" s="5">
        <f>IF(B426="null","null",Descargas!B426)</f>
        <v>43987</v>
      </c>
      <c r="D426" s="6" t="str">
        <f>Descargas!E426</f>
        <v>https://resources.simonelectric.com/simon-ebook-vehiculo-electrico</v>
      </c>
      <c r="E426" s="20" t="str">
        <f t="shared" si="1"/>
        <v>344@hotmail.com</v>
      </c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</row>
    <row r="427" ht="15.75" customHeight="1">
      <c r="A427" s="18" t="str">
        <f>Descargas!A427</f>
        <v>345@enerwatt.es</v>
      </c>
      <c r="B427" s="19" t="str">
        <f>IFERROR(__xludf.DUMMYFUNCTION("IF(OR(regexmatch(A427,"".*@simon.es$""),REGEXMATCH(A427,"".*@simon.pt$""),REGEXMATCH(A427,"".*@simonelectrica.com$""),REGEXMATCH(A427,"".*@hiberus.com$""),REGEXMATCH(A427,"".*@simonbrico.es$""),regexmatch(A427,"".*@simonelectric.com$"")),""null"",A427)"),"345@enerwatt.es")</f>
        <v>345@enerwatt.es</v>
      </c>
      <c r="C427" s="5">
        <f>IF(B427="null","null",Descargas!B427)</f>
        <v>43987</v>
      </c>
      <c r="D427" s="6" t="str">
        <f>Descargas!E427</f>
        <v>https://resources.simonelectric.com/simon-ebook-vehiculo-electrico-ppc</v>
      </c>
      <c r="E427" s="20" t="str">
        <f t="shared" si="1"/>
        <v>345@enerwatt.es</v>
      </c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</row>
    <row r="428" ht="15.75" customHeight="1">
      <c r="A428" s="18" t="str">
        <f>Descargas!A428</f>
        <v>346@gmail.com</v>
      </c>
      <c r="B428" s="19" t="str">
        <f>IFERROR(__xludf.DUMMYFUNCTION("IF(OR(regexmatch(A428,"".*@simon.es$""),REGEXMATCH(A428,"".*@simon.pt$""),REGEXMATCH(A428,"".*@simonelectrica.com$""),REGEXMATCH(A428,"".*@hiberus.com$""),REGEXMATCH(A428,"".*@simonbrico.es$""),regexmatch(A428,"".*@simonelectric.com$"")),""null"",A428)"),"346@gmail.com")</f>
        <v>346@gmail.com</v>
      </c>
      <c r="C428" s="5">
        <f>IF(B428="null","null",Descargas!B428)</f>
        <v>43987</v>
      </c>
      <c r="D428" s="6" t="str">
        <f>Descargas!E428</f>
        <v>https://resources.simonelectric.com/simon-ebook-vehiculo-electrico</v>
      </c>
      <c r="E428" s="20" t="str">
        <f t="shared" si="1"/>
        <v>346@gmail.com</v>
      </c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</row>
    <row r="429" ht="15.75" customHeight="1">
      <c r="A429" s="18" t="str">
        <f>Descargas!A429</f>
        <v>347@engie.com</v>
      </c>
      <c r="B429" s="19" t="str">
        <f>IFERROR(__xludf.DUMMYFUNCTION("IF(OR(regexmatch(A429,"".*@simon.es$""),REGEXMATCH(A429,"".*@simon.pt$""),REGEXMATCH(A429,"".*@simonelectrica.com$""),REGEXMATCH(A429,"".*@hiberus.com$""),REGEXMATCH(A429,"".*@simonbrico.es$""),regexmatch(A429,"".*@simonelectric.com$"")),""null"",A429)"),"347@engie.com")</f>
        <v>347@engie.com</v>
      </c>
      <c r="C429" s="5">
        <f>IF(B429="null","null",Descargas!B429)</f>
        <v>43987</v>
      </c>
      <c r="D429" s="6" t="str">
        <f>Descargas!E429</f>
        <v>https://resources.simonelectric.com/simon-catalogo-vehiculo-electrico</v>
      </c>
      <c r="E429" s="20" t="str">
        <f t="shared" si="1"/>
        <v>347@engie.com</v>
      </c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</row>
    <row r="430" ht="15.75" customHeight="1">
      <c r="A430" s="18" t="str">
        <f>Descargas!A430</f>
        <v>348@telefonica.net</v>
      </c>
      <c r="B430" s="19" t="str">
        <f>IFERROR(__xludf.DUMMYFUNCTION("IF(OR(regexmatch(A430,"".*@simon.es$""),REGEXMATCH(A430,"".*@simon.pt$""),REGEXMATCH(A430,"".*@simonelectrica.com$""),REGEXMATCH(A430,"".*@hiberus.com$""),REGEXMATCH(A430,"".*@simonbrico.es$""),regexmatch(A430,"".*@simonelectric.com$"")),""null"",A430)"),"348@telefonica.net")</f>
        <v>348@telefonica.net</v>
      </c>
      <c r="C430" s="5">
        <f>IF(B430="null","null",Descargas!B430)</f>
        <v>43987</v>
      </c>
      <c r="D430" s="6" t="str">
        <f>Descargas!E430</f>
        <v>https://resources.simonelectric.com/simon-catalogo-vehiculo-electrico</v>
      </c>
      <c r="E430" s="20" t="str">
        <f t="shared" si="1"/>
        <v>348@telefonica.net</v>
      </c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</row>
    <row r="431" ht="15.75" customHeight="1">
      <c r="A431" s="18" t="str">
        <f>Descargas!A431</f>
        <v>349@dipualba.es</v>
      </c>
      <c r="B431" s="19" t="str">
        <f>IFERROR(__xludf.DUMMYFUNCTION("IF(OR(regexmatch(A431,"".*@simon.es$""),REGEXMATCH(A431,"".*@simon.pt$""),REGEXMATCH(A431,"".*@simonelectrica.com$""),REGEXMATCH(A431,"".*@hiberus.com$""),REGEXMATCH(A431,"".*@simonbrico.es$""),regexmatch(A431,"".*@simonelectric.com$"")),""null"",A431)"),"349@dipualba.es")</f>
        <v>349@dipualba.es</v>
      </c>
      <c r="C431" s="5">
        <f>IF(B431="null","null",Descargas!B431)</f>
        <v>43987</v>
      </c>
      <c r="D431" s="6" t="str">
        <f>Descargas!E431</f>
        <v>https://resources.simonelectric.com/simon-ebook-vehiculo-electrico</v>
      </c>
      <c r="E431" s="20" t="str">
        <f t="shared" si="1"/>
        <v>349@dipualba.es</v>
      </c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</row>
    <row r="432" ht="15.75" customHeight="1">
      <c r="A432" s="18" t="str">
        <f>Descargas!A432</f>
        <v>350@talleresloam.com</v>
      </c>
      <c r="B432" s="19" t="str">
        <f>IFERROR(__xludf.DUMMYFUNCTION("IF(OR(regexmatch(A432,"".*@simon.es$""),REGEXMATCH(A432,"".*@simon.pt$""),REGEXMATCH(A432,"".*@simonelectrica.com$""),REGEXMATCH(A432,"".*@hiberus.com$""),REGEXMATCH(A432,"".*@simonbrico.es$""),regexmatch(A432,"".*@simonelectric.com$"")),""null"",A432)"),"350@talleresloam.com")</f>
        <v>350@talleresloam.com</v>
      </c>
      <c r="C432" s="5">
        <f>IF(B432="null","null",Descargas!B432)</f>
        <v>43987</v>
      </c>
      <c r="D432" s="6" t="str">
        <f>Descargas!E432</f>
        <v>https://resources.simonelectric.com/simon-ebook-vehiculo-electrico</v>
      </c>
      <c r="E432" s="20" t="str">
        <f t="shared" si="1"/>
        <v>350@talleresloam.com</v>
      </c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</row>
    <row r="433" ht="15.75" customHeight="1">
      <c r="A433" s="18" t="str">
        <f>Descargas!A433</f>
        <v>351@cochele.com</v>
      </c>
      <c r="B433" s="19" t="str">
        <f>IFERROR(__xludf.DUMMYFUNCTION("IF(OR(regexmatch(A433,"".*@simon.es$""),REGEXMATCH(A433,"".*@simon.pt$""),REGEXMATCH(A433,"".*@simonelectrica.com$""),REGEXMATCH(A433,"".*@hiberus.com$""),REGEXMATCH(A433,"".*@simonbrico.es$""),regexmatch(A433,"".*@simonelectric.com$"")),""null"",A433)"),"351@cochele.com")</f>
        <v>351@cochele.com</v>
      </c>
      <c r="C433" s="5">
        <f>IF(B433="null","null",Descargas!B433)</f>
        <v>43987</v>
      </c>
      <c r="D433" s="6" t="str">
        <f>Descargas!E433</f>
        <v>https://resources.simonelectric.com/simon-catalogo-vehiculo-electrico</v>
      </c>
      <c r="E433" s="20" t="str">
        <f t="shared" si="1"/>
        <v>351@cochele.com</v>
      </c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</row>
    <row r="434" ht="15.75" customHeight="1">
      <c r="A434" s="18" t="str">
        <f>Descargas!A434</f>
        <v>352@live.com.mx</v>
      </c>
      <c r="B434" s="19" t="str">
        <f>IFERROR(__xludf.DUMMYFUNCTION("IF(OR(regexmatch(A434,"".*@simon.es$""),REGEXMATCH(A434,"".*@simon.pt$""),REGEXMATCH(A434,"".*@simonelectrica.com$""),REGEXMATCH(A434,"".*@hiberus.com$""),REGEXMATCH(A434,"".*@simonbrico.es$""),regexmatch(A434,"".*@simonelectric.com$"")),""null"",A434)"),"352@live.com.mx")</f>
        <v>352@live.com.mx</v>
      </c>
      <c r="C434" s="5">
        <f>IF(B434="null","null",Descargas!B434)</f>
        <v>43987</v>
      </c>
      <c r="D434" s="6" t="str">
        <f>Descargas!E434</f>
        <v>https://resources.simonelectric.com/simon-material-formativo-vehiculo-electrico</v>
      </c>
      <c r="E434" s="20" t="str">
        <f t="shared" si="1"/>
        <v>352@live.com.mx</v>
      </c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</row>
    <row r="435" ht="15.75" customHeight="1">
      <c r="A435" s="18" t="str">
        <f>Descargas!A435</f>
        <v>353@industrialgines.com</v>
      </c>
      <c r="B435" s="19" t="str">
        <f>IFERROR(__xludf.DUMMYFUNCTION("IF(OR(regexmatch(A435,"".*@simon.es$""),REGEXMATCH(A435,"".*@simon.pt$""),REGEXMATCH(A435,"".*@simonelectrica.com$""),REGEXMATCH(A435,"".*@hiberus.com$""),REGEXMATCH(A435,"".*@simonbrico.es$""),regexmatch(A435,"".*@simonelectric.com$"")),""null"",A435)"),"353@industrialgines.com")</f>
        <v>353@industrialgines.com</v>
      </c>
      <c r="C435" s="5">
        <f>IF(B435="null","null",Descargas!B435)</f>
        <v>43987</v>
      </c>
      <c r="D435" s="6" t="str">
        <f>Descargas!E435</f>
        <v>https://resources.simonelectric.com/simon-catalogo-vehiculo-electrico</v>
      </c>
      <c r="E435" s="20" t="str">
        <f t="shared" si="1"/>
        <v>353@industrialgines.com</v>
      </c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</row>
    <row r="436" ht="15.75" customHeight="1">
      <c r="A436" s="18" t="str">
        <f>Descargas!A436</f>
        <v>353@industrialgines.com</v>
      </c>
      <c r="B436" s="19" t="str">
        <f>IFERROR(__xludf.DUMMYFUNCTION("IF(OR(regexmatch(A436,"".*@simon.es$""),REGEXMATCH(A436,"".*@simon.pt$""),REGEXMATCH(A436,"".*@simonelectrica.com$""),REGEXMATCH(A436,"".*@hiberus.com$""),REGEXMATCH(A436,"".*@simonbrico.es$""),regexmatch(A436,"".*@simonelectric.com$"")),""null"",A436)"),"353@industrialgines.com")</f>
        <v>353@industrialgines.com</v>
      </c>
      <c r="C436" s="5">
        <f>IF(B436="null","null",Descargas!B436)</f>
        <v>43987</v>
      </c>
      <c r="D436" s="6" t="str">
        <f>Descargas!E436</f>
        <v>https://resources.simonelectric.com/simon-ebook-vehiculo-electrico</v>
      </c>
      <c r="E436" s="20" t="str">
        <f t="shared" si="1"/>
        <v>353@industrialgines.com</v>
      </c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</row>
    <row r="437" ht="15.75" customHeight="1">
      <c r="A437" s="18" t="str">
        <f>Descargas!A437</f>
        <v>354@gmail.com</v>
      </c>
      <c r="B437" s="19" t="str">
        <f>IFERROR(__xludf.DUMMYFUNCTION("IF(OR(regexmatch(A437,"".*@simon.es$""),REGEXMATCH(A437,"".*@simon.pt$""),REGEXMATCH(A437,"".*@simonelectrica.com$""),REGEXMATCH(A437,"".*@hiberus.com$""),REGEXMATCH(A437,"".*@simonbrico.es$""),regexmatch(A437,"".*@simonelectric.com$"")),""null"",A437)"),"354@gmail.com")</f>
        <v>354@gmail.com</v>
      </c>
      <c r="C437" s="5">
        <f>IF(B437="null","null",Descargas!B437)</f>
        <v>43987</v>
      </c>
      <c r="D437" s="6" t="str">
        <f>Descargas!E437</f>
        <v>https://resources.simonelectric.com/simon-material-formativo-vehiculo-electrico</v>
      </c>
      <c r="E437" s="20" t="str">
        <f t="shared" si="1"/>
        <v>354@gmail.com</v>
      </c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</row>
    <row r="438" ht="15.75" customHeight="1">
      <c r="A438" s="18" t="str">
        <f>Descargas!A438</f>
        <v>355@gmail.com</v>
      </c>
      <c r="B438" s="19" t="str">
        <f>IFERROR(__xludf.DUMMYFUNCTION("IF(OR(regexmatch(A438,"".*@simon.es$""),REGEXMATCH(A438,"".*@simon.pt$""),REGEXMATCH(A438,"".*@simonelectrica.com$""),REGEXMATCH(A438,"".*@hiberus.com$""),REGEXMATCH(A438,"".*@simonbrico.es$""),regexmatch(A438,"".*@simonelectric.com$"")),""null"",A438)"),"355@gmail.com")</f>
        <v>355@gmail.com</v>
      </c>
      <c r="C438" s="5">
        <f>IF(B438="null","null",Descargas!B438)</f>
        <v>43987</v>
      </c>
      <c r="D438" s="6" t="str">
        <f>Descargas!E438</f>
        <v>https://resources.simonelectric.com/simon-catalogo-vehiculo-electrico</v>
      </c>
      <c r="E438" s="20" t="str">
        <f t="shared" si="1"/>
        <v>355@gmail.com</v>
      </c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</row>
    <row r="439" ht="15.75" customHeight="1">
      <c r="A439" s="18" t="str">
        <f>Descargas!A439</f>
        <v>356@hotmail.com</v>
      </c>
      <c r="B439" s="19" t="str">
        <f>IFERROR(__xludf.DUMMYFUNCTION("IF(OR(regexmatch(A439,"".*@simon.es$""),REGEXMATCH(A439,"".*@simon.pt$""),REGEXMATCH(A439,"".*@simonelectrica.com$""),REGEXMATCH(A439,"".*@hiberus.com$""),REGEXMATCH(A439,"".*@simonbrico.es$""),regexmatch(A439,"".*@simonelectric.com$"")),""null"",A439)"),"356@hotmail.com")</f>
        <v>356@hotmail.com</v>
      </c>
      <c r="C439" s="5">
        <f>IF(B439="null","null",Descargas!B439)</f>
        <v>43987</v>
      </c>
      <c r="D439" s="6" t="str">
        <f>Descargas!E439</f>
        <v>https://resources.simonelectric.com/simon-ebook-vehiculo-electrico</v>
      </c>
      <c r="E439" s="20" t="str">
        <f t="shared" si="1"/>
        <v>356@hotmail.com</v>
      </c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</row>
    <row r="440" ht="15.75" customHeight="1">
      <c r="A440" s="18" t="str">
        <f>Descargas!A440</f>
        <v>357@cesvimap.com</v>
      </c>
      <c r="B440" s="19" t="str">
        <f>IFERROR(__xludf.DUMMYFUNCTION("IF(OR(regexmatch(A440,"".*@simon.es$""),REGEXMATCH(A440,"".*@simon.pt$""),REGEXMATCH(A440,"".*@simonelectrica.com$""),REGEXMATCH(A440,"".*@hiberus.com$""),REGEXMATCH(A440,"".*@simonbrico.es$""),regexmatch(A440,"".*@simonelectric.com$"")),""null"",A440)"),"357@cesvimap.com")</f>
        <v>357@cesvimap.com</v>
      </c>
      <c r="C440" s="5">
        <f>IF(B440="null","null",Descargas!B440)</f>
        <v>43987</v>
      </c>
      <c r="D440" s="6" t="str">
        <f>Descargas!E440</f>
        <v>https://resources.simonelectric.com/simon-catalogo-vehiculo-electrico</v>
      </c>
      <c r="E440" s="20" t="str">
        <f t="shared" si="1"/>
        <v>357@cesvimap.com</v>
      </c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</row>
    <row r="441" ht="15.75" customHeight="1">
      <c r="A441" s="18" t="str">
        <f>Descargas!A441</f>
        <v>358@suris.es</v>
      </c>
      <c r="B441" s="19" t="str">
        <f>IFERROR(__xludf.DUMMYFUNCTION("IF(OR(regexmatch(A441,"".*@simon.es$""),REGEXMATCH(A441,"".*@simon.pt$""),REGEXMATCH(A441,"".*@simonelectrica.com$""),REGEXMATCH(A441,"".*@hiberus.com$""),REGEXMATCH(A441,"".*@simonbrico.es$""),regexmatch(A441,"".*@simonelectric.com$"")),""null"",A441)"),"358@suris.es")</f>
        <v>358@suris.es</v>
      </c>
      <c r="C441" s="5">
        <f>IF(B441="null","null",Descargas!B441)</f>
        <v>43987</v>
      </c>
      <c r="D441" s="6" t="str">
        <f>Descargas!E441</f>
        <v>https://resources.simonelectric.com/simon-catalogo-vehiculo-electrico</v>
      </c>
      <c r="E441" s="20" t="str">
        <f t="shared" si="1"/>
        <v>358@suris.es</v>
      </c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</row>
    <row r="442" ht="15.75" customHeight="1">
      <c r="A442" s="18" t="str">
        <f>Descargas!A442</f>
        <v>359@movistar.es</v>
      </c>
      <c r="B442" s="19" t="str">
        <f>IFERROR(__xludf.DUMMYFUNCTION("IF(OR(regexmatch(A442,"".*@simon.es$""),REGEXMATCH(A442,"".*@simon.pt$""),REGEXMATCH(A442,"".*@simonelectrica.com$""),REGEXMATCH(A442,"".*@hiberus.com$""),REGEXMATCH(A442,"".*@simonbrico.es$""),regexmatch(A442,"".*@simonelectric.com$"")),""null"",A442)"),"359@movistar.es")</f>
        <v>359@movistar.es</v>
      </c>
      <c r="C442" s="5">
        <f>IF(B442="null","null",Descargas!B442)</f>
        <v>43987</v>
      </c>
      <c r="D442" s="6" t="str">
        <f>Descargas!E442</f>
        <v>https://resources.simonelectric.com/simon-ebook-vehiculo-electrico</v>
      </c>
      <c r="E442" s="20" t="str">
        <f t="shared" si="1"/>
        <v>359@movistar.es</v>
      </c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</row>
    <row r="443" ht="15.75" customHeight="1">
      <c r="A443" s="18" t="str">
        <f>Descargas!A443</f>
        <v>360@gmail.com</v>
      </c>
      <c r="B443" s="19" t="str">
        <f>IFERROR(__xludf.DUMMYFUNCTION("IF(OR(regexmatch(A443,"".*@simon.es$""),REGEXMATCH(A443,"".*@simon.pt$""),REGEXMATCH(A443,"".*@simonelectrica.com$""),REGEXMATCH(A443,"".*@hiberus.com$""),REGEXMATCH(A443,"".*@simonbrico.es$""),regexmatch(A443,"".*@simonelectric.com$"")),""null"",A443)"),"360@gmail.com")</f>
        <v>360@gmail.com</v>
      </c>
      <c r="C443" s="5">
        <f>IF(B443="null","null",Descargas!B443)</f>
        <v>43986</v>
      </c>
      <c r="D443" s="6" t="str">
        <f>Descargas!E443</f>
        <v>https://resources.simonelectric.com/simon-ebook-vehiculo-electrico-0</v>
      </c>
      <c r="E443" s="20" t="str">
        <f t="shared" si="1"/>
        <v>360@gmail.com</v>
      </c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</row>
    <row r="444" ht="15.75" customHeight="1">
      <c r="A444" s="18" t="str">
        <f>Descargas!A444</f>
        <v>361@trabajosadomicilio.es</v>
      </c>
      <c r="B444" s="19" t="str">
        <f>IFERROR(__xludf.DUMMYFUNCTION("IF(OR(regexmatch(A444,"".*@simon.es$""),REGEXMATCH(A444,"".*@simon.pt$""),REGEXMATCH(A444,"".*@simonelectrica.com$""),REGEXMATCH(A444,"".*@hiberus.com$""),REGEXMATCH(A444,"".*@simonbrico.es$""),regexmatch(A444,"".*@simonelectric.com$"")),""null"",A444)"),"361@trabajosadomicilio.es")</f>
        <v>361@trabajosadomicilio.es</v>
      </c>
      <c r="C444" s="5">
        <f>IF(B444="null","null",Descargas!B444)</f>
        <v>43986</v>
      </c>
      <c r="D444" s="6" t="str">
        <f>Descargas!E444</f>
        <v>https://resources.simonelectric.com/simon-ebook-vehiculo-electrico</v>
      </c>
      <c r="E444" s="20" t="str">
        <f t="shared" si="1"/>
        <v>361@trabajosadomicilio.es</v>
      </c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</row>
    <row r="445" ht="15.75" customHeight="1">
      <c r="A445" s="18" t="str">
        <f>Descargas!A445</f>
        <v>362@hotmail.com</v>
      </c>
      <c r="B445" s="19" t="str">
        <f>IFERROR(__xludf.DUMMYFUNCTION("IF(OR(regexmatch(A445,"".*@simon.es$""),REGEXMATCH(A445,"".*@simon.pt$""),REGEXMATCH(A445,"".*@simonelectrica.com$""),REGEXMATCH(A445,"".*@hiberus.com$""),REGEXMATCH(A445,"".*@simonbrico.es$""),regexmatch(A445,"".*@simonelectric.com$"")),""null"",A445)"),"362@hotmail.com")</f>
        <v>362@hotmail.com</v>
      </c>
      <c r="C445" s="5">
        <f>IF(B445="null","null",Descargas!B445)</f>
        <v>43986</v>
      </c>
      <c r="D445" s="6" t="str">
        <f>Descargas!E445</f>
        <v>https://resources.simonelectric.com/simon-ebook-vehiculo-electrico</v>
      </c>
      <c r="E445" s="20" t="str">
        <f t="shared" si="1"/>
        <v>362@hotmail.com</v>
      </c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</row>
    <row r="446" ht="15.75" customHeight="1">
      <c r="A446" s="18" t="str">
        <f>Descargas!A446</f>
        <v>363@gmail.com</v>
      </c>
      <c r="B446" s="19" t="str">
        <f>IFERROR(__xludf.DUMMYFUNCTION("IF(OR(regexmatch(A446,"".*@simon.es$""),REGEXMATCH(A446,"".*@simon.pt$""),REGEXMATCH(A446,"".*@simonelectrica.com$""),REGEXMATCH(A446,"".*@hiberus.com$""),REGEXMATCH(A446,"".*@simonbrico.es$""),regexmatch(A446,"".*@simonelectric.com$"")),""null"",A446)"),"363@gmail.com")</f>
        <v>363@gmail.com</v>
      </c>
      <c r="C446" s="5">
        <f>IF(B446="null","null",Descargas!B446)</f>
        <v>43986</v>
      </c>
      <c r="D446" s="6" t="str">
        <f>Descargas!E446</f>
        <v>https://resources.simonelectric.com/simon-ebook-vehiculo-electrico</v>
      </c>
      <c r="E446" s="20" t="str">
        <f t="shared" si="1"/>
        <v>363@gmail.com</v>
      </c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</row>
    <row r="447" ht="15.75" customHeight="1">
      <c r="A447" s="18" t="str">
        <f>Descargas!A447</f>
        <v>364@telefonica.net</v>
      </c>
      <c r="B447" s="19" t="str">
        <f>IFERROR(__xludf.DUMMYFUNCTION("IF(OR(regexmatch(A447,"".*@simon.es$""),REGEXMATCH(A447,"".*@simon.pt$""),REGEXMATCH(A447,"".*@simonelectrica.com$""),REGEXMATCH(A447,"".*@hiberus.com$""),REGEXMATCH(A447,"".*@simonbrico.es$""),regexmatch(A447,"".*@simonelectric.com$"")),""null"",A447)"),"364@telefonica.net")</f>
        <v>364@telefonica.net</v>
      </c>
      <c r="C447" s="5">
        <f>IF(B447="null","null",Descargas!B447)</f>
        <v>43986</v>
      </c>
      <c r="D447" s="6" t="str">
        <f>Descargas!E447</f>
        <v>https://resources.simonelectric.com/simon-ebook-vehiculo-electrico</v>
      </c>
      <c r="E447" s="20" t="str">
        <f t="shared" si="1"/>
        <v>364@telefonica.net</v>
      </c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</row>
    <row r="448" ht="15.75" customHeight="1">
      <c r="A448" s="18" t="str">
        <f>Descargas!A448</f>
        <v>365@edu.xunta.es</v>
      </c>
      <c r="B448" s="19" t="str">
        <f>IFERROR(__xludf.DUMMYFUNCTION("IF(OR(regexmatch(A448,"".*@simon.es$""),REGEXMATCH(A448,"".*@simon.pt$""),REGEXMATCH(A448,"".*@simonelectrica.com$""),REGEXMATCH(A448,"".*@hiberus.com$""),REGEXMATCH(A448,"".*@simonbrico.es$""),regexmatch(A448,"".*@simonelectric.com$"")),""null"",A448)"),"365@edu.xunta.es")</f>
        <v>365@edu.xunta.es</v>
      </c>
      <c r="C448" s="5">
        <f>IF(B448="null","null",Descargas!B448)</f>
        <v>43986</v>
      </c>
      <c r="D448" s="6" t="str">
        <f>Descargas!E448</f>
        <v>https://resources.simonelectric.com/simon-ebook-vehiculo-electrico</v>
      </c>
      <c r="E448" s="20" t="str">
        <f t="shared" si="1"/>
        <v>365@edu.xunta.es</v>
      </c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</row>
    <row r="449" ht="15.75" customHeight="1">
      <c r="A449" s="18" t="str">
        <f>Descargas!A449</f>
        <v>366@gmail.com</v>
      </c>
      <c r="B449" s="19" t="str">
        <f>IFERROR(__xludf.DUMMYFUNCTION("IF(OR(regexmatch(A449,"".*@simon.es$""),REGEXMATCH(A449,"".*@simon.pt$""),REGEXMATCH(A449,"".*@simonelectrica.com$""),REGEXMATCH(A449,"".*@hiberus.com$""),REGEXMATCH(A449,"".*@simonbrico.es$""),regexmatch(A449,"".*@simonelectric.com$"")),""null"",A449)"),"366@gmail.com")</f>
        <v>366@gmail.com</v>
      </c>
      <c r="C449" s="5">
        <f>IF(B449="null","null",Descargas!B449)</f>
        <v>43986</v>
      </c>
      <c r="D449" s="6" t="str">
        <f>Descargas!E449</f>
        <v>https://resources.simonelectric.com/simon-ebook-vehiculo-electrico</v>
      </c>
      <c r="E449" s="20" t="str">
        <f t="shared" si="1"/>
        <v>366@gmail.com</v>
      </c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</row>
    <row r="450" ht="15.75" customHeight="1">
      <c r="A450" s="18" t="str">
        <f>Descargas!A450</f>
        <v>367@yahoo.es</v>
      </c>
      <c r="B450" s="19" t="str">
        <f>IFERROR(__xludf.DUMMYFUNCTION("IF(OR(regexmatch(A450,"".*@simon.es$""),REGEXMATCH(A450,"".*@simon.pt$""),REGEXMATCH(A450,"".*@simonelectrica.com$""),REGEXMATCH(A450,"".*@hiberus.com$""),REGEXMATCH(A450,"".*@simonbrico.es$""),regexmatch(A450,"".*@simonelectric.com$"")),""null"",A450)"),"367@yahoo.es")</f>
        <v>367@yahoo.es</v>
      </c>
      <c r="C450" s="5">
        <f>IF(B450="null","null",Descargas!B450)</f>
        <v>43986</v>
      </c>
      <c r="D450" s="6" t="str">
        <f>Descargas!E450</f>
        <v>https://resources.simonelectric.com/simon-ebook-vehiculo-electrico</v>
      </c>
      <c r="E450" s="20" t="str">
        <f t="shared" si="1"/>
        <v>367@yahoo.es</v>
      </c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</row>
    <row r="451" ht="15.75" customHeight="1">
      <c r="A451" s="18" t="str">
        <f>Descargas!A451</f>
        <v>368@gmail.com</v>
      </c>
      <c r="B451" s="19" t="str">
        <f>IFERROR(__xludf.DUMMYFUNCTION("IF(OR(regexmatch(A451,"".*@simon.es$""),REGEXMATCH(A451,"".*@simon.pt$""),REGEXMATCH(A451,"".*@simonelectrica.com$""),REGEXMATCH(A451,"".*@hiberus.com$""),REGEXMATCH(A451,"".*@simonbrico.es$""),regexmatch(A451,"".*@simonelectric.com$"")),""null"",A451)"),"368@gmail.com")</f>
        <v>368@gmail.com</v>
      </c>
      <c r="C451" s="5">
        <f>IF(B451="null","null",Descargas!B451)</f>
        <v>43986</v>
      </c>
      <c r="D451" s="6" t="str">
        <f>Descargas!E451</f>
        <v>https://resources.simonelectric.com/simon-ebook-vehiculo-electrico</v>
      </c>
      <c r="E451" s="20" t="str">
        <f t="shared" si="1"/>
        <v>368@gmail.com</v>
      </c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</row>
    <row r="452" ht="15.75" customHeight="1">
      <c r="A452" s="18" t="str">
        <f>Descargas!A452</f>
        <v>296@gmail.com</v>
      </c>
      <c r="B452" s="19" t="str">
        <f>IFERROR(__xludf.DUMMYFUNCTION("IF(OR(regexmatch(A452,"".*@simon.es$""),REGEXMATCH(A452,"".*@simon.pt$""),REGEXMATCH(A452,"".*@simonelectrica.com$""),REGEXMATCH(A452,"".*@hiberus.com$""),REGEXMATCH(A452,"".*@simonbrico.es$""),regexmatch(A452,"".*@simonelectric.com$"")),""null"",A452)"),"296@gmail.com")</f>
        <v>296@gmail.com</v>
      </c>
      <c r="C452" s="5">
        <f>IF(B452="null","null",Descargas!B452)</f>
        <v>43986</v>
      </c>
      <c r="D452" s="6" t="str">
        <f>Descargas!E452</f>
        <v>https://resources.simonelectric.com/simon-ebook-vehiculo-electrico</v>
      </c>
      <c r="E452" s="20" t="str">
        <f t="shared" si="1"/>
        <v>296@gmail.com</v>
      </c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</row>
    <row r="453" ht="15.75" customHeight="1">
      <c r="A453" s="18" t="str">
        <f>Descargas!A453</f>
        <v>313@inelbo.eiffage.es</v>
      </c>
      <c r="B453" s="19" t="str">
        <f>IFERROR(__xludf.DUMMYFUNCTION("IF(OR(regexmatch(A453,"".*@simon.es$""),REGEXMATCH(A453,"".*@simon.pt$""),REGEXMATCH(A453,"".*@simonelectrica.com$""),REGEXMATCH(A453,"".*@hiberus.com$""),REGEXMATCH(A453,"".*@simonbrico.es$""),regexmatch(A453,"".*@simonelectric.com$"")),""null"",A453)"),"313@inelbo.eiffage.es")</f>
        <v>313@inelbo.eiffage.es</v>
      </c>
      <c r="C453" s="5">
        <f>IF(B453="null","null",Descargas!B453)</f>
        <v>43986</v>
      </c>
      <c r="D453" s="6" t="str">
        <f>Descargas!E453</f>
        <v>https://resources.simonelectric.com/simon-ebook-vehiculo-electrico</v>
      </c>
      <c r="E453" s="20" t="str">
        <f t="shared" si="1"/>
        <v>313@inelbo.eiffage.es</v>
      </c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</row>
    <row r="454" ht="15.75" customHeight="1">
      <c r="A454" s="18" t="str">
        <f>Descargas!A454</f>
        <v>160@hotmail.com</v>
      </c>
      <c r="B454" s="19" t="str">
        <f>IFERROR(__xludf.DUMMYFUNCTION("IF(OR(regexmatch(A454,"".*@simon.es$""),REGEXMATCH(A454,"".*@simon.pt$""),REGEXMATCH(A454,"".*@simonelectrica.com$""),REGEXMATCH(A454,"".*@hiberus.com$""),REGEXMATCH(A454,"".*@simonbrico.es$""),regexmatch(A454,"".*@simonelectric.com$"")),""null"",A454)"),"160@hotmail.com")</f>
        <v>160@hotmail.com</v>
      </c>
      <c r="C454" s="5">
        <f>IF(B454="null","null",Descargas!B454)</f>
        <v>43986</v>
      </c>
      <c r="D454" s="6" t="str">
        <f>Descargas!E454</f>
        <v>https://resources.simonelectric.com/simon-ebook-vehiculo-electrico</v>
      </c>
      <c r="E454" s="20" t="str">
        <f t="shared" si="1"/>
        <v>160@hotmail.com</v>
      </c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</row>
    <row r="455" ht="15.75" customHeight="1">
      <c r="A455" s="18" t="str">
        <f>Descargas!A455</f>
        <v>369@upc.edu</v>
      </c>
      <c r="B455" s="19" t="str">
        <f>IFERROR(__xludf.DUMMYFUNCTION("IF(OR(regexmatch(A455,"".*@simon.es$""),REGEXMATCH(A455,"".*@simon.pt$""),REGEXMATCH(A455,"".*@simonelectrica.com$""),REGEXMATCH(A455,"".*@hiberus.com$""),REGEXMATCH(A455,"".*@simonbrico.es$""),regexmatch(A455,"".*@simonelectric.com$"")),""null"",A455)"),"369@upc.edu")</f>
        <v>369@upc.edu</v>
      </c>
      <c r="C455" s="5">
        <f>IF(B455="null","null",Descargas!B455)</f>
        <v>43986</v>
      </c>
      <c r="D455" s="6" t="str">
        <f>Descargas!E455</f>
        <v>https://resources.simonelectric.com/simon-ebook-vehiculo-electrico</v>
      </c>
      <c r="E455" s="20" t="str">
        <f t="shared" si="1"/>
        <v>369@upc.edu</v>
      </c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</row>
    <row r="456" ht="15.75" customHeight="1">
      <c r="A456" s="18" t="str">
        <f>Descargas!A456</f>
        <v>370@coac.es</v>
      </c>
      <c r="B456" s="19" t="str">
        <f>IFERROR(__xludf.DUMMYFUNCTION("IF(OR(regexmatch(A456,"".*@simon.es$""),REGEXMATCH(A456,"".*@simon.pt$""),REGEXMATCH(A456,"".*@simonelectrica.com$""),REGEXMATCH(A456,"".*@hiberus.com$""),REGEXMATCH(A456,"".*@simonbrico.es$""),regexmatch(A456,"".*@simonelectric.com$"")),""null"",A456)"),"370@coac.es")</f>
        <v>370@coac.es</v>
      </c>
      <c r="C456" s="5">
        <f>IF(B456="null","null",Descargas!B456)</f>
        <v>43986</v>
      </c>
      <c r="D456" s="6" t="str">
        <f>Descargas!E456</f>
        <v>https://resources.simonelectric.com/simon-ebook-vehiculo-electrico</v>
      </c>
      <c r="E456" s="20" t="str">
        <f t="shared" si="1"/>
        <v>370@coac.es</v>
      </c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</row>
    <row r="457" ht="15.75" customHeight="1">
      <c r="A457" s="18" t="str">
        <f>Descargas!A457</f>
        <v>371@hotmail.com</v>
      </c>
      <c r="B457" s="19" t="str">
        <f>IFERROR(__xludf.DUMMYFUNCTION("IF(OR(regexmatch(A457,"".*@simon.es$""),REGEXMATCH(A457,"".*@simon.pt$""),REGEXMATCH(A457,"".*@simonelectrica.com$""),REGEXMATCH(A457,"".*@hiberus.com$""),REGEXMATCH(A457,"".*@simonbrico.es$""),regexmatch(A457,"".*@simonelectric.com$"")),""null"",A457)"),"371@hotmail.com")</f>
        <v>371@hotmail.com</v>
      </c>
      <c r="C457" s="5">
        <f>IF(B457="null","null",Descargas!B457)</f>
        <v>43986</v>
      </c>
      <c r="D457" s="6" t="str">
        <f>Descargas!E457</f>
        <v>https://resources.simonelectric.com/simon-ebook-vehiculo-electrico</v>
      </c>
      <c r="E457" s="20" t="str">
        <f t="shared" si="1"/>
        <v>371@hotmail.com</v>
      </c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</row>
    <row r="458" ht="15.75" customHeight="1">
      <c r="A458" s="18" t="str">
        <f>Descargas!A458</f>
        <v>372@ub.edu</v>
      </c>
      <c r="B458" s="19" t="str">
        <f>IFERROR(__xludf.DUMMYFUNCTION("IF(OR(regexmatch(A458,"".*@simon.es$""),REGEXMATCH(A458,"".*@simon.pt$""),REGEXMATCH(A458,"".*@simonelectrica.com$""),REGEXMATCH(A458,"".*@hiberus.com$""),REGEXMATCH(A458,"".*@simonbrico.es$""),regexmatch(A458,"".*@simonelectric.com$"")),""null"",A458)"),"372@ub.edu")</f>
        <v>372@ub.edu</v>
      </c>
      <c r="C458" s="5">
        <f>IF(B458="null","null",Descargas!B458)</f>
        <v>43986</v>
      </c>
      <c r="D458" s="6" t="str">
        <f>Descargas!E458</f>
        <v>https://resources.simonelectric.com/simon-ebook-vehiculo-electrico</v>
      </c>
      <c r="E458" s="20" t="str">
        <f t="shared" si="1"/>
        <v>372@ub.edu</v>
      </c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</row>
    <row r="459" ht="15.75" customHeight="1">
      <c r="A459" s="18" t="str">
        <f>Descargas!A459</f>
        <v>373@eling.es</v>
      </c>
      <c r="B459" s="19" t="str">
        <f>IFERROR(__xludf.DUMMYFUNCTION("IF(OR(regexmatch(A459,"".*@simon.es$""),REGEXMATCH(A459,"".*@simon.pt$""),REGEXMATCH(A459,"".*@simonelectrica.com$""),REGEXMATCH(A459,"".*@hiberus.com$""),REGEXMATCH(A459,"".*@simonbrico.es$""),regexmatch(A459,"".*@simonelectric.com$"")),""null"",A459)"),"373@eling.es")</f>
        <v>373@eling.es</v>
      </c>
      <c r="C459" s="5">
        <f>IF(B459="null","null",Descargas!B459)</f>
        <v>43986</v>
      </c>
      <c r="D459" s="6" t="str">
        <f>Descargas!E459</f>
        <v>https://resources.simonelectric.com/simon-ebook-vehiculo-electrico</v>
      </c>
      <c r="E459" s="20" t="str">
        <f t="shared" si="1"/>
        <v>373@eling.es</v>
      </c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</row>
    <row r="460" ht="15.75" customHeight="1">
      <c r="A460" s="18" t="str">
        <f>Descargas!A460</f>
        <v>374@copitima.com</v>
      </c>
      <c r="B460" s="19" t="str">
        <f>IFERROR(__xludf.DUMMYFUNCTION("IF(OR(regexmatch(A460,"".*@simon.es$""),REGEXMATCH(A460,"".*@simon.pt$""),REGEXMATCH(A460,"".*@simonelectrica.com$""),REGEXMATCH(A460,"".*@hiberus.com$""),REGEXMATCH(A460,"".*@simonbrico.es$""),regexmatch(A460,"".*@simonelectric.com$"")),""null"",A460)"),"374@copitima.com")</f>
        <v>374@copitima.com</v>
      </c>
      <c r="C460" s="5">
        <f>IF(B460="null","null",Descargas!B460)</f>
        <v>43986</v>
      </c>
      <c r="D460" s="6" t="str">
        <f>Descargas!E460</f>
        <v>https://resources.simonelectric.com/simon-ebook-vehiculo-electrico</v>
      </c>
      <c r="E460" s="20" t="str">
        <f t="shared" si="1"/>
        <v>374@copitima.com</v>
      </c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</row>
    <row r="461" ht="15.75" customHeight="1">
      <c r="A461" s="18" t="str">
        <f>Descargas!A461</f>
        <v>375@gmail.com</v>
      </c>
      <c r="B461" s="19" t="str">
        <f>IFERROR(__xludf.DUMMYFUNCTION("IF(OR(regexmatch(A461,"".*@simon.es$""),REGEXMATCH(A461,"".*@simon.pt$""),REGEXMATCH(A461,"".*@simonelectrica.com$""),REGEXMATCH(A461,"".*@hiberus.com$""),REGEXMATCH(A461,"".*@simonbrico.es$""),regexmatch(A461,"".*@simonelectric.com$"")),""null"",A461)"),"375@gmail.com")</f>
        <v>375@gmail.com</v>
      </c>
      <c r="C461" s="5">
        <f>IF(B461="null","null",Descargas!B461)</f>
        <v>43986</v>
      </c>
      <c r="D461" s="6" t="str">
        <f>Descargas!E461</f>
        <v>https://resources.simonelectric.com/simon-ebook-vehiculo-electrico</v>
      </c>
      <c r="E461" s="20" t="str">
        <f t="shared" si="1"/>
        <v>375@gmail.com</v>
      </c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</row>
    <row r="462" ht="15.75" customHeight="1">
      <c r="A462" s="18" t="str">
        <f>Descargas!A462</f>
        <v>208@acortaenergia.com</v>
      </c>
      <c r="B462" s="19" t="str">
        <f>IFERROR(__xludf.DUMMYFUNCTION("IF(OR(regexmatch(A462,"".*@simon.es$""),REGEXMATCH(A462,"".*@simon.pt$""),REGEXMATCH(A462,"".*@simonelectrica.com$""),REGEXMATCH(A462,"".*@hiberus.com$""),REGEXMATCH(A462,"".*@simonbrico.es$""),regexmatch(A462,"".*@simonelectric.com$"")),""null"",A462)"),"208@acortaenergia.com")</f>
        <v>208@acortaenergia.com</v>
      </c>
      <c r="C462" s="5">
        <f>IF(B462="null","null",Descargas!B462)</f>
        <v>43986</v>
      </c>
      <c r="D462" s="6" t="str">
        <f>Descargas!E462</f>
        <v>https://resources.simonelectric.com/simon-ebook-vehiculo-electrico</v>
      </c>
      <c r="E462" s="20" t="str">
        <f t="shared" si="1"/>
        <v>208@acortaenergia.com</v>
      </c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</row>
    <row r="463" ht="15.75" customHeight="1">
      <c r="A463" s="18" t="str">
        <f>Descargas!A463</f>
        <v>376@gmail.com</v>
      </c>
      <c r="B463" s="19" t="str">
        <f>IFERROR(__xludf.DUMMYFUNCTION("IF(OR(regexmatch(A463,"".*@simon.es$""),REGEXMATCH(A463,"".*@simon.pt$""),REGEXMATCH(A463,"".*@simonelectrica.com$""),REGEXMATCH(A463,"".*@hiberus.com$""),REGEXMATCH(A463,"".*@simonbrico.es$""),regexmatch(A463,"".*@simonelectric.com$"")),""null"",A463)"),"376@gmail.com")</f>
        <v>376@gmail.com</v>
      </c>
      <c r="C463" s="5">
        <f>IF(B463="null","null",Descargas!B463)</f>
        <v>43986</v>
      </c>
      <c r="D463" s="6" t="str">
        <f>Descargas!E463</f>
        <v>https://resources.simonelectric.com/simon-ebook-vehiculo-electrico</v>
      </c>
      <c r="E463" s="20" t="str">
        <f t="shared" si="1"/>
        <v>376@gmail.com</v>
      </c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</row>
    <row r="464" ht="15.75" customHeight="1">
      <c r="A464" s="18" t="str">
        <f>Descargas!A464</f>
        <v>377@nouges.es</v>
      </c>
      <c r="B464" s="19" t="str">
        <f>IFERROR(__xludf.DUMMYFUNCTION("IF(OR(regexmatch(A464,"".*@simon.es$""),REGEXMATCH(A464,"".*@simon.pt$""),REGEXMATCH(A464,"".*@simonelectrica.com$""),REGEXMATCH(A464,"".*@hiberus.com$""),REGEXMATCH(A464,"".*@simonbrico.es$""),regexmatch(A464,"".*@simonelectric.com$"")),""null"",A464)"),"377@nouges.es")</f>
        <v>377@nouges.es</v>
      </c>
      <c r="C464" s="5">
        <f>IF(B464="null","null",Descargas!B464)</f>
        <v>43986</v>
      </c>
      <c r="D464" s="6" t="str">
        <f>Descargas!E464</f>
        <v>https://resources.simonelectric.com/simon-ebook-vehiculo-electrico</v>
      </c>
      <c r="E464" s="20" t="str">
        <f t="shared" si="1"/>
        <v>377@nouges.es</v>
      </c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</row>
    <row r="465" ht="15.75" customHeight="1">
      <c r="A465" s="18" t="str">
        <f>Descargas!A465</f>
        <v>378@mcrdielec.com</v>
      </c>
      <c r="B465" s="19" t="str">
        <f>IFERROR(__xludf.DUMMYFUNCTION("IF(OR(regexmatch(A465,"".*@simon.es$""),REGEXMATCH(A465,"".*@simon.pt$""),REGEXMATCH(A465,"".*@simonelectrica.com$""),REGEXMATCH(A465,"".*@hiberus.com$""),REGEXMATCH(A465,"".*@simonbrico.es$""),regexmatch(A465,"".*@simonelectric.com$"")),""null"",A465)"),"378@mcrdielec.com")</f>
        <v>378@mcrdielec.com</v>
      </c>
      <c r="C465" s="5">
        <f>IF(B465="null","null",Descargas!B465)</f>
        <v>43986</v>
      </c>
      <c r="D465" s="6" t="str">
        <f>Descargas!E465</f>
        <v>https://resources.simonelectric.com/simon-catalogo-vehiculo-electrico</v>
      </c>
      <c r="E465" s="20" t="str">
        <f t="shared" si="1"/>
        <v>378@mcrdielec.com</v>
      </c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</row>
    <row r="466" ht="15.75" customHeight="1">
      <c r="A466" s="18" t="str">
        <f>Descargas!A466</f>
        <v>379@gmail.com</v>
      </c>
      <c r="B466" s="19" t="str">
        <f>IFERROR(__xludf.DUMMYFUNCTION("IF(OR(regexmatch(A466,"".*@simon.es$""),REGEXMATCH(A466,"".*@simon.pt$""),REGEXMATCH(A466,"".*@simonelectrica.com$""),REGEXMATCH(A466,"".*@hiberus.com$""),REGEXMATCH(A466,"".*@simonbrico.es$""),regexmatch(A466,"".*@simonelectric.com$"")),""null"",A466)"),"379@gmail.com")</f>
        <v>379@gmail.com</v>
      </c>
      <c r="C466" s="5">
        <f>IF(B466="null","null",Descargas!B466)</f>
        <v>43986</v>
      </c>
      <c r="D466" s="6" t="str">
        <f>Descargas!E466</f>
        <v>https://resources.simonelectric.com/simon-ebook-vehiculo-electrico</v>
      </c>
      <c r="E466" s="20" t="str">
        <f t="shared" si="1"/>
        <v>379@gmail.com</v>
      </c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</row>
    <row r="467" ht="15.75" customHeight="1">
      <c r="A467" s="18" t="str">
        <f>Descargas!A467</f>
        <v>378@mcrdielec.com</v>
      </c>
      <c r="B467" s="19" t="str">
        <f>IFERROR(__xludf.DUMMYFUNCTION("IF(OR(regexmatch(A467,"".*@simon.es$""),REGEXMATCH(A467,"".*@simon.pt$""),REGEXMATCH(A467,"".*@simonelectrica.com$""),REGEXMATCH(A467,"".*@hiberus.com$""),REGEXMATCH(A467,"".*@simonbrico.es$""),regexmatch(A467,"".*@simonelectric.com$"")),""null"",A467)"),"378@mcrdielec.com")</f>
        <v>378@mcrdielec.com</v>
      </c>
      <c r="C467" s="5">
        <f>IF(B467="null","null",Descargas!B467)</f>
        <v>43986</v>
      </c>
      <c r="D467" s="6" t="str">
        <f>Descargas!E467</f>
        <v>https://resources.simonelectric.com/simon-ebook-vehiculo-electrico</v>
      </c>
      <c r="E467" s="20" t="str">
        <f t="shared" si="1"/>
        <v>378@mcrdielec.com</v>
      </c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</row>
    <row r="468" ht="15.75" customHeight="1">
      <c r="A468" s="18" t="str">
        <f>Descargas!A468</f>
        <v>380@acp-level.es</v>
      </c>
      <c r="B468" s="19" t="str">
        <f>IFERROR(__xludf.DUMMYFUNCTION("IF(OR(regexmatch(A468,"".*@simon.es$""),REGEXMATCH(A468,"".*@simon.pt$""),REGEXMATCH(A468,"".*@simonelectrica.com$""),REGEXMATCH(A468,"".*@hiberus.com$""),REGEXMATCH(A468,"".*@simonbrico.es$""),regexmatch(A468,"".*@simonelectric.com$"")),""null"",A468)"),"380@acp-level.es")</f>
        <v>380@acp-level.es</v>
      </c>
      <c r="C468" s="5">
        <f>IF(B468="null","null",Descargas!B468)</f>
        <v>43986</v>
      </c>
      <c r="D468" s="6" t="str">
        <f>Descargas!E468</f>
        <v>https://resources.simonelectric.com/simon-ebook-vehiculo-electrico</v>
      </c>
      <c r="E468" s="20" t="str">
        <f t="shared" si="1"/>
        <v>380@acp-level.es</v>
      </c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</row>
    <row r="469" ht="15.75" customHeight="1">
      <c r="A469" s="18" t="str">
        <f>Descargas!A469</f>
        <v>381@mtcholding.ro</v>
      </c>
      <c r="B469" s="19" t="str">
        <f>IFERROR(__xludf.DUMMYFUNCTION("IF(OR(regexmatch(A469,"".*@simon.es$""),REGEXMATCH(A469,"".*@simon.pt$""),REGEXMATCH(A469,"".*@simonelectrica.com$""),REGEXMATCH(A469,"".*@hiberus.com$""),REGEXMATCH(A469,"".*@simonbrico.es$""),regexmatch(A469,"".*@simonelectric.com$"")),""null"",A469)"),"381@mtcholding.ro")</f>
        <v>381@mtcholding.ro</v>
      </c>
      <c r="C469" s="5">
        <f>IF(B469="null","null",Descargas!B469)</f>
        <v>43986</v>
      </c>
      <c r="D469" s="6" t="str">
        <f>Descargas!E469</f>
        <v>https://resources.simonelectric.com/simon-catalogo-vehiculo-electrico</v>
      </c>
      <c r="E469" s="20" t="str">
        <f t="shared" si="1"/>
        <v>381@mtcholding.ro</v>
      </c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</row>
    <row r="470" ht="15.75" customHeight="1">
      <c r="A470" s="18" t="str">
        <f>Descargas!A470</f>
        <v>382@gmail.com</v>
      </c>
      <c r="B470" s="19" t="str">
        <f>IFERROR(__xludf.DUMMYFUNCTION("IF(OR(regexmatch(A470,"".*@simon.es$""),REGEXMATCH(A470,"".*@simon.pt$""),REGEXMATCH(A470,"".*@simonelectrica.com$""),REGEXMATCH(A470,"".*@hiberus.com$""),REGEXMATCH(A470,"".*@simonbrico.es$""),regexmatch(A470,"".*@simonelectric.com$"")),""null"",A470)"),"382@gmail.com")</f>
        <v>382@gmail.com</v>
      </c>
      <c r="C470" s="5">
        <f>IF(B470="null","null",Descargas!B470)</f>
        <v>43986</v>
      </c>
      <c r="D470" s="6" t="str">
        <f>Descargas!E470</f>
        <v>https://resources.simonelectric.com/simon-ebook-vehiculo-electrico</v>
      </c>
      <c r="E470" s="20" t="str">
        <f t="shared" si="1"/>
        <v>382@gmail.com</v>
      </c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</row>
    <row r="471" ht="15.75" customHeight="1">
      <c r="A471" s="18" t="str">
        <f>Descargas!A471</f>
        <v>176@aia.cat</v>
      </c>
      <c r="B471" s="19" t="str">
        <f>IFERROR(__xludf.DUMMYFUNCTION("IF(OR(regexmatch(A471,"".*@simon.es$""),REGEXMATCH(A471,"".*@simon.pt$""),REGEXMATCH(A471,"".*@simonelectrica.com$""),REGEXMATCH(A471,"".*@hiberus.com$""),REGEXMATCH(A471,"".*@simonbrico.es$""),regexmatch(A471,"".*@simonelectric.com$"")),""null"",A471)"),"176@aia.cat")</f>
        <v>176@aia.cat</v>
      </c>
      <c r="C471" s="5">
        <f>IF(B471="null","null",Descargas!B471)</f>
        <v>43986</v>
      </c>
      <c r="D471" s="6" t="str">
        <f>Descargas!E471</f>
        <v>https://resources.simonelectric.com/simon-ebook-vehiculo-electrico</v>
      </c>
      <c r="E471" s="20" t="str">
        <f t="shared" si="1"/>
        <v>176@aia.cat</v>
      </c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</row>
    <row r="472" ht="15.75" customHeight="1">
      <c r="A472" s="18" t="str">
        <f>Descargas!A472</f>
        <v>383@llamas.com.es</v>
      </c>
      <c r="B472" s="19" t="str">
        <f>IFERROR(__xludf.DUMMYFUNCTION("IF(OR(regexmatch(A472,"".*@simon.es$""),REGEXMATCH(A472,"".*@simon.pt$""),REGEXMATCH(A472,"".*@simonelectrica.com$""),REGEXMATCH(A472,"".*@hiberus.com$""),REGEXMATCH(A472,"".*@simonbrico.es$""),regexmatch(A472,"".*@simonelectric.com$"")),""null"",A472)"),"383@llamas.com.es")</f>
        <v>383@llamas.com.es</v>
      </c>
      <c r="C472" s="5">
        <f>IF(B472="null","null",Descargas!B472)</f>
        <v>43986</v>
      </c>
      <c r="D472" s="6" t="str">
        <f>Descargas!E472</f>
        <v>https://resources.simonelectric.com/simon-ebook-vehiculo-electrico</v>
      </c>
      <c r="E472" s="20" t="str">
        <f t="shared" si="1"/>
        <v>383@llamas.com.es</v>
      </c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</row>
    <row r="473" ht="15.75" customHeight="1">
      <c r="A473" s="18" t="str">
        <f>Descargas!A473</f>
        <v>153@telefonica.net</v>
      </c>
      <c r="B473" s="19" t="str">
        <f>IFERROR(__xludf.DUMMYFUNCTION("IF(OR(regexmatch(A473,"".*@simon.es$""),REGEXMATCH(A473,"".*@simon.pt$""),REGEXMATCH(A473,"".*@simonelectrica.com$""),REGEXMATCH(A473,"".*@hiberus.com$""),REGEXMATCH(A473,"".*@simonbrico.es$""),regexmatch(A473,"".*@simonelectric.com$"")),""null"",A473)"),"153@telefonica.net")</f>
        <v>153@telefonica.net</v>
      </c>
      <c r="C473" s="5">
        <f>IF(B473="null","null",Descargas!B473)</f>
        <v>43986</v>
      </c>
      <c r="D473" s="6" t="str">
        <f>Descargas!E473</f>
        <v>https://resources.simonelectric.com/simon-ebook-vehiculo-electrico</v>
      </c>
      <c r="E473" s="20" t="str">
        <f t="shared" si="1"/>
        <v>153@telefonica.net</v>
      </c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</row>
    <row r="474" ht="15.75" customHeight="1">
      <c r="A474" s="18" t="str">
        <f>Descargas!A474</f>
        <v>384@comsa.com</v>
      </c>
      <c r="B474" s="19" t="str">
        <f>IFERROR(__xludf.DUMMYFUNCTION("IF(OR(regexmatch(A474,"".*@simon.es$""),REGEXMATCH(A474,"".*@simon.pt$""),REGEXMATCH(A474,"".*@simonelectrica.com$""),REGEXMATCH(A474,"".*@hiberus.com$""),REGEXMATCH(A474,"".*@simonbrico.es$""),regexmatch(A474,"".*@simonelectric.com$"")),""null"",A474)"),"384@comsa.com")</f>
        <v>384@comsa.com</v>
      </c>
      <c r="C474" s="5">
        <f>IF(B474="null","null",Descargas!B474)</f>
        <v>43986</v>
      </c>
      <c r="D474" s="6" t="str">
        <f>Descargas!E474</f>
        <v>https://resources.simonelectric.com/simon-catalogo-vehiculo-electrico</v>
      </c>
      <c r="E474" s="20" t="str">
        <f t="shared" si="1"/>
        <v>384@comsa.com</v>
      </c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</row>
    <row r="475" ht="15.75" customHeight="1">
      <c r="A475" s="18" t="str">
        <f>Descargas!A475</f>
        <v>384@comsa.com</v>
      </c>
      <c r="B475" s="19" t="str">
        <f>IFERROR(__xludf.DUMMYFUNCTION("IF(OR(regexmatch(A475,"".*@simon.es$""),REGEXMATCH(A475,"".*@simon.pt$""),REGEXMATCH(A475,"".*@simonelectrica.com$""),REGEXMATCH(A475,"".*@hiberus.com$""),REGEXMATCH(A475,"".*@simonbrico.es$""),regexmatch(A475,"".*@simonelectric.com$"")),""null"",A475)"),"384@comsa.com")</f>
        <v>384@comsa.com</v>
      </c>
      <c r="C475" s="5">
        <f>IF(B475="null","null",Descargas!B475)</f>
        <v>43986</v>
      </c>
      <c r="D475" s="6" t="str">
        <f>Descargas!E475</f>
        <v>https://resources.simonelectric.com/simon-ebook-vehiculo-electrico</v>
      </c>
      <c r="E475" s="20" t="str">
        <f t="shared" si="1"/>
        <v>384@comsa.com</v>
      </c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</row>
    <row r="476" ht="15.75" customHeight="1">
      <c r="A476" s="18" t="str">
        <f>Descargas!A476</f>
        <v>385@upc.edu</v>
      </c>
      <c r="B476" s="19" t="str">
        <f>IFERROR(__xludf.DUMMYFUNCTION("IF(OR(regexmatch(A476,"".*@simon.es$""),REGEXMATCH(A476,"".*@simon.pt$""),REGEXMATCH(A476,"".*@simonelectrica.com$""),REGEXMATCH(A476,"".*@hiberus.com$""),REGEXMATCH(A476,"".*@simonbrico.es$""),regexmatch(A476,"".*@simonelectric.com$"")),""null"",A476)"),"385@upc.edu")</f>
        <v>385@upc.edu</v>
      </c>
      <c r="C476" s="5">
        <f>IF(B476="null","null",Descargas!B476)</f>
        <v>43986</v>
      </c>
      <c r="D476" s="6" t="str">
        <f>Descargas!E476</f>
        <v>https://resources.simonelectric.com/simon-ebook-vehiculo-electrico</v>
      </c>
      <c r="E476" s="20" t="str">
        <f t="shared" si="1"/>
        <v>385@upc.edu</v>
      </c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</row>
    <row r="477" ht="15.75" customHeight="1">
      <c r="A477" s="18" t="str">
        <f>Descargas!A477</f>
        <v>386@xtec.cat</v>
      </c>
      <c r="B477" s="19" t="str">
        <f>IFERROR(__xludf.DUMMYFUNCTION("IF(OR(regexmatch(A477,"".*@simon.es$""),REGEXMATCH(A477,"".*@simon.pt$""),REGEXMATCH(A477,"".*@simonelectrica.com$""),REGEXMATCH(A477,"".*@hiberus.com$""),REGEXMATCH(A477,"".*@simonbrico.es$""),regexmatch(A477,"".*@simonelectric.com$"")),""null"",A477)"),"386@xtec.cat")</f>
        <v>386@xtec.cat</v>
      </c>
      <c r="C477" s="5">
        <f>IF(B477="null","null",Descargas!B477)</f>
        <v>43986</v>
      </c>
      <c r="D477" s="6" t="str">
        <f>Descargas!E477</f>
        <v>https://resources.simonelectric.com/simon-ebook-vehiculo-electrico</v>
      </c>
      <c r="E477" s="20" t="str">
        <f t="shared" si="1"/>
        <v>386@xtec.cat</v>
      </c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</row>
    <row r="478" ht="15.75" customHeight="1">
      <c r="A478" s="18" t="str">
        <f>Descargas!A478</f>
        <v>387@gmail.com</v>
      </c>
      <c r="B478" s="19" t="str">
        <f>IFERROR(__xludf.DUMMYFUNCTION("IF(OR(regexmatch(A478,"".*@simon.es$""),REGEXMATCH(A478,"".*@simon.pt$""),REGEXMATCH(A478,"".*@simonelectrica.com$""),REGEXMATCH(A478,"".*@hiberus.com$""),REGEXMATCH(A478,"".*@simonbrico.es$""),regexmatch(A478,"".*@simonelectric.com$"")),""null"",A478)"),"387@gmail.com")</f>
        <v>387@gmail.com</v>
      </c>
      <c r="C478" s="5">
        <f>IF(B478="null","null",Descargas!B478)</f>
        <v>43986</v>
      </c>
      <c r="D478" s="6" t="str">
        <f>Descargas!E478</f>
        <v>https://resources.simonelectric.com/simon-ebook-vehiculo-electrico</v>
      </c>
      <c r="E478" s="20" t="str">
        <f t="shared" si="1"/>
        <v>387@gmail.com</v>
      </c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</row>
    <row r="479" ht="15.75" customHeight="1">
      <c r="A479" s="18" t="str">
        <f>Descargas!A479</f>
        <v>388@gmail.com</v>
      </c>
      <c r="B479" s="19" t="str">
        <f>IFERROR(__xludf.DUMMYFUNCTION("IF(OR(regexmatch(A479,"".*@simon.es$""),REGEXMATCH(A479,"".*@simon.pt$""),REGEXMATCH(A479,"".*@simonelectrica.com$""),REGEXMATCH(A479,"".*@hiberus.com$""),REGEXMATCH(A479,"".*@simonbrico.es$""),regexmatch(A479,"".*@simonelectric.com$"")),""null"",A479)"),"388@gmail.com")</f>
        <v>388@gmail.com</v>
      </c>
      <c r="C479" s="5">
        <f>IF(B479="null","null",Descargas!B479)</f>
        <v>43986</v>
      </c>
      <c r="D479" s="6" t="str">
        <f>Descargas!E479</f>
        <v>https://resources.simonelectric.com/simon-ebook-vehiculo-electrico</v>
      </c>
      <c r="E479" s="20" t="str">
        <f t="shared" si="1"/>
        <v>388@gmail.com</v>
      </c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</row>
    <row r="480" ht="15.75" customHeight="1">
      <c r="A480" s="18" t="str">
        <f>Descargas!A480</f>
        <v>389@yahoo.es</v>
      </c>
      <c r="B480" s="19" t="str">
        <f>IFERROR(__xludf.DUMMYFUNCTION("IF(OR(regexmatch(A480,"".*@simon.es$""),REGEXMATCH(A480,"".*@simon.pt$""),REGEXMATCH(A480,"".*@simonelectrica.com$""),REGEXMATCH(A480,"".*@hiberus.com$""),REGEXMATCH(A480,"".*@simonbrico.es$""),regexmatch(A480,"".*@simonelectric.com$"")),""null"",A480)"),"389@yahoo.es")</f>
        <v>389@yahoo.es</v>
      </c>
      <c r="C480" s="5">
        <f>IF(B480="null","null",Descargas!B480)</f>
        <v>43985</v>
      </c>
      <c r="D480" s="6" t="str">
        <f>Descargas!E480</f>
        <v>https://resources.simonelectric.com/simon-ebook-vehiculo-electrico</v>
      </c>
      <c r="E480" s="20" t="str">
        <f t="shared" si="1"/>
        <v>389@yahoo.es</v>
      </c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</row>
    <row r="481" ht="15.75" customHeight="1">
      <c r="A481" s="18" t="str">
        <f>Descargas!A481</f>
        <v>390@hotmail.com</v>
      </c>
      <c r="B481" s="19" t="str">
        <f>IFERROR(__xludf.DUMMYFUNCTION("IF(OR(regexmatch(A481,"".*@simon.es$""),REGEXMATCH(A481,"".*@simon.pt$""),REGEXMATCH(A481,"".*@simonelectrica.com$""),REGEXMATCH(A481,"".*@hiberus.com$""),REGEXMATCH(A481,"".*@simonbrico.es$""),regexmatch(A481,"".*@simonelectric.com$"")),""null"",A481)"),"390@hotmail.com")</f>
        <v>390@hotmail.com</v>
      </c>
      <c r="C481" s="5">
        <f>IF(B481="null","null",Descargas!B481)</f>
        <v>43985</v>
      </c>
      <c r="D481" s="6" t="str">
        <f>Descargas!E481</f>
        <v>https://resources.simonelectric.com/simon-ebook-vehiculo-electrico</v>
      </c>
      <c r="E481" s="20" t="str">
        <f t="shared" si="1"/>
        <v>390@hotmail.com</v>
      </c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</row>
    <row r="482" ht="15.75" customHeight="1">
      <c r="A482" s="18" t="str">
        <f>Descargas!A482</f>
        <v>391@gmail.com</v>
      </c>
      <c r="B482" s="19" t="str">
        <f>IFERROR(__xludf.DUMMYFUNCTION("IF(OR(regexmatch(A482,"".*@simon.es$""),REGEXMATCH(A482,"".*@simon.pt$""),REGEXMATCH(A482,"".*@simonelectrica.com$""),REGEXMATCH(A482,"".*@hiberus.com$""),REGEXMATCH(A482,"".*@simonbrico.es$""),regexmatch(A482,"".*@simonelectric.com$"")),""null"",A482)"),"391@gmail.com")</f>
        <v>391@gmail.com</v>
      </c>
      <c r="C482" s="5">
        <f>IF(B482="null","null",Descargas!B482)</f>
        <v>43985</v>
      </c>
      <c r="D482" s="6" t="str">
        <f>Descargas!E482</f>
        <v>https://resources.simonelectric.com/simon-ebook-vehiculo-electrico</v>
      </c>
      <c r="E482" s="20" t="str">
        <f t="shared" si="1"/>
        <v>391@gmail.com</v>
      </c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</row>
    <row r="483" ht="15.75" customHeight="1">
      <c r="A483" s="18" t="str">
        <f>Descargas!A483</f>
        <v>328@siemens.com</v>
      </c>
      <c r="B483" s="19" t="str">
        <f>IFERROR(__xludf.DUMMYFUNCTION("IF(OR(regexmatch(A483,"".*@simon.es$""),REGEXMATCH(A483,"".*@simon.pt$""),REGEXMATCH(A483,"".*@simonelectrica.com$""),REGEXMATCH(A483,"".*@hiberus.com$""),REGEXMATCH(A483,"".*@simonbrico.es$""),regexmatch(A483,"".*@simonelectric.com$"")),""null"",A483)"),"328@siemens.com")</f>
        <v>328@siemens.com</v>
      </c>
      <c r="C483" s="5">
        <f>IF(B483="null","null",Descargas!B483)</f>
        <v>43985</v>
      </c>
      <c r="D483" s="6" t="str">
        <f>Descargas!E483</f>
        <v>https://resources.simonelectric.com/simon-ebook-vehiculo-electrico</v>
      </c>
      <c r="E483" s="20" t="str">
        <f t="shared" si="1"/>
        <v>328@siemens.com</v>
      </c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</row>
    <row r="484" ht="15.75" customHeight="1">
      <c r="A484" s="18" t="str">
        <f>Descargas!A484</f>
        <v>392@gmail.com</v>
      </c>
      <c r="B484" s="19" t="str">
        <f>IFERROR(__xludf.DUMMYFUNCTION("IF(OR(regexmatch(A484,"".*@simon.es$""),REGEXMATCH(A484,"".*@simon.pt$""),REGEXMATCH(A484,"".*@simonelectrica.com$""),REGEXMATCH(A484,"".*@hiberus.com$""),REGEXMATCH(A484,"".*@simonbrico.es$""),regexmatch(A484,"".*@simonelectric.com$"")),""null"",A484)"),"392@gmail.com")</f>
        <v>392@gmail.com</v>
      </c>
      <c r="C484" s="5">
        <f>IF(B484="null","null",Descargas!B484)</f>
        <v>43985</v>
      </c>
      <c r="D484" s="6" t="str">
        <f>Descargas!E484</f>
        <v>https://resources.simonelectric.com/simon-ebook-vehiculo-electrico</v>
      </c>
      <c r="E484" s="20" t="str">
        <f t="shared" si="1"/>
        <v>392@gmail.com</v>
      </c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</row>
    <row r="485" ht="15.75" customHeight="1">
      <c r="A485" s="18" t="str">
        <f>Descargas!A485</f>
        <v>393@gmail.com</v>
      </c>
      <c r="B485" s="19" t="str">
        <f>IFERROR(__xludf.DUMMYFUNCTION("IF(OR(regexmatch(A485,"".*@simon.es$""),REGEXMATCH(A485,"".*@simon.pt$""),REGEXMATCH(A485,"".*@simonelectrica.com$""),REGEXMATCH(A485,"".*@hiberus.com$""),REGEXMATCH(A485,"".*@simonbrico.es$""),regexmatch(A485,"".*@simonelectric.com$"")),""null"",A485)"),"393@gmail.com")</f>
        <v>393@gmail.com</v>
      </c>
      <c r="C485" s="5">
        <f>IF(B485="null","null",Descargas!B485)</f>
        <v>43985</v>
      </c>
      <c r="D485" s="6" t="str">
        <f>Descargas!E485</f>
        <v>https://resources.simonelectric.com/simon-ebook-vehiculo-electrico</v>
      </c>
      <c r="E485" s="20" t="str">
        <f t="shared" si="1"/>
        <v>393@gmail.com</v>
      </c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</row>
    <row r="486" ht="15.75" customHeight="1">
      <c r="A486" s="18" t="str">
        <f>Descargas!A486</f>
        <v>394@yahoo.es</v>
      </c>
      <c r="B486" s="19" t="str">
        <f>IFERROR(__xludf.DUMMYFUNCTION("IF(OR(regexmatch(A486,"".*@simon.es$""),REGEXMATCH(A486,"".*@simon.pt$""),REGEXMATCH(A486,"".*@simonelectrica.com$""),REGEXMATCH(A486,"".*@hiberus.com$""),REGEXMATCH(A486,"".*@simonbrico.es$""),regexmatch(A486,"".*@simonelectric.com$"")),""null"",A486)"),"394@yahoo.es")</f>
        <v>394@yahoo.es</v>
      </c>
      <c r="C486" s="5">
        <f>IF(B486="null","null",Descargas!B486)</f>
        <v>43985</v>
      </c>
      <c r="D486" s="6" t="str">
        <f>Descargas!E486</f>
        <v>https://resources.simonelectric.com/simon-ebook-vehiculo-electrico</v>
      </c>
      <c r="E486" s="20" t="str">
        <f t="shared" si="1"/>
        <v>394@yahoo.es</v>
      </c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</row>
    <row r="487" ht="15.75" customHeight="1">
      <c r="A487" s="18" t="str">
        <f>Descargas!A487</f>
        <v>395@ajinstal.cat</v>
      </c>
      <c r="B487" s="19" t="str">
        <f>IFERROR(__xludf.DUMMYFUNCTION("IF(OR(regexmatch(A487,"".*@simon.es$""),REGEXMATCH(A487,"".*@simon.pt$""),REGEXMATCH(A487,"".*@simonelectrica.com$""),REGEXMATCH(A487,"".*@hiberus.com$""),REGEXMATCH(A487,"".*@simonbrico.es$""),regexmatch(A487,"".*@simonelectric.com$"")),""null"",A487)"),"395@ajinstal.cat")</f>
        <v>395@ajinstal.cat</v>
      </c>
      <c r="C487" s="5">
        <f>IF(B487="null","null",Descargas!B487)</f>
        <v>43985</v>
      </c>
      <c r="D487" s="6" t="str">
        <f>Descargas!E487</f>
        <v>https://resources.simonelectric.com/simon-ebook-vehiculo-electrico</v>
      </c>
      <c r="E487" s="20" t="str">
        <f t="shared" si="1"/>
        <v>395@ajinstal.cat</v>
      </c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</row>
    <row r="488" ht="15.75" customHeight="1">
      <c r="A488" s="18" t="str">
        <f>Descargas!A488</f>
        <v>396@gmail.com</v>
      </c>
      <c r="B488" s="19" t="str">
        <f>IFERROR(__xludf.DUMMYFUNCTION("IF(OR(regexmatch(A488,"".*@simon.es$""),REGEXMATCH(A488,"".*@simon.pt$""),REGEXMATCH(A488,"".*@simonelectrica.com$""),REGEXMATCH(A488,"".*@hiberus.com$""),REGEXMATCH(A488,"".*@simonbrico.es$""),regexmatch(A488,"".*@simonelectric.com$"")),""null"",A488)"),"396@gmail.com")</f>
        <v>396@gmail.com</v>
      </c>
      <c r="C488" s="5">
        <f>IF(B488="null","null",Descargas!B488)</f>
        <v>43985</v>
      </c>
      <c r="D488" s="6" t="str">
        <f>Descargas!E488</f>
        <v>https://resources.simonelectric.com/simon-ebook-vehiculo-electrico</v>
      </c>
      <c r="E488" s="20" t="str">
        <f t="shared" si="1"/>
        <v>396@gmail.com</v>
      </c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</row>
    <row r="489" ht="15.75" customHeight="1">
      <c r="A489" s="18" t="str">
        <f>Descargas!A489</f>
        <v>397@orange.es</v>
      </c>
      <c r="B489" s="19" t="str">
        <f>IFERROR(__xludf.DUMMYFUNCTION("IF(OR(regexmatch(A489,"".*@simon.es$""),REGEXMATCH(A489,"".*@simon.pt$""),REGEXMATCH(A489,"".*@simonelectrica.com$""),REGEXMATCH(A489,"".*@hiberus.com$""),REGEXMATCH(A489,"".*@simonbrico.es$""),regexmatch(A489,"".*@simonelectric.com$"")),""null"",A489)"),"397@orange.es")</f>
        <v>397@orange.es</v>
      </c>
      <c r="C489" s="5">
        <f>IF(B489="null","null",Descargas!B489)</f>
        <v>43985</v>
      </c>
      <c r="D489" s="6" t="str">
        <f>Descargas!E489</f>
        <v>https://resources.simonelectric.com/simon-ebook-vehiculo-electrico</v>
      </c>
      <c r="E489" s="20" t="str">
        <f t="shared" si="1"/>
        <v>397@orange.es</v>
      </c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</row>
    <row r="490" ht="15.75" customHeight="1">
      <c r="A490" s="18" t="str">
        <f>Descargas!A490</f>
        <v>398@ciudaddelosmuchachos.com</v>
      </c>
      <c r="B490" s="19" t="str">
        <f>IFERROR(__xludf.DUMMYFUNCTION("IF(OR(regexmatch(A490,"".*@simon.es$""),REGEXMATCH(A490,"".*@simon.pt$""),REGEXMATCH(A490,"".*@simonelectrica.com$""),REGEXMATCH(A490,"".*@hiberus.com$""),REGEXMATCH(A490,"".*@simonbrico.es$""),regexmatch(A490,"".*@simonelectric.com$"")),""null"",A490)"),"398@ciudaddelosmuchachos.com")</f>
        <v>398@ciudaddelosmuchachos.com</v>
      </c>
      <c r="C490" s="5">
        <f>IF(B490="null","null",Descargas!B490)</f>
        <v>43985</v>
      </c>
      <c r="D490" s="6" t="str">
        <f>Descargas!E490</f>
        <v>https://resources.simonelectric.com/simon-ebook-vehiculo-electrico</v>
      </c>
      <c r="E490" s="20" t="str">
        <f t="shared" si="1"/>
        <v>398@ciudaddelosmuchachos.com</v>
      </c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</row>
    <row r="491" ht="15.75" customHeight="1">
      <c r="A491" s="18" t="str">
        <f>Descargas!A491</f>
        <v>399@gmail.com</v>
      </c>
      <c r="B491" s="19" t="str">
        <f>IFERROR(__xludf.DUMMYFUNCTION("IF(OR(regexmatch(A491,"".*@simon.es$""),REGEXMATCH(A491,"".*@simon.pt$""),REGEXMATCH(A491,"".*@simonelectrica.com$""),REGEXMATCH(A491,"".*@hiberus.com$""),REGEXMATCH(A491,"".*@simonbrico.es$""),regexmatch(A491,"".*@simonelectric.com$"")),""null"",A491)"),"399@gmail.com")</f>
        <v>399@gmail.com</v>
      </c>
      <c r="C491" s="5">
        <f>IF(B491="null","null",Descargas!B491)</f>
        <v>43985</v>
      </c>
      <c r="D491" s="6" t="str">
        <f>Descargas!E491</f>
        <v>https://resources.simonelectric.com/simon-ebook-vehiculo-electrico</v>
      </c>
      <c r="E491" s="20" t="str">
        <f t="shared" si="1"/>
        <v>399@gmail.com</v>
      </c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</row>
    <row r="492" ht="15.75" customHeight="1">
      <c r="A492" s="18" t="str">
        <f>Descargas!A492</f>
        <v>400@arquired.es</v>
      </c>
      <c r="B492" s="19" t="str">
        <f>IFERROR(__xludf.DUMMYFUNCTION("IF(OR(regexmatch(A492,"".*@simon.es$""),REGEXMATCH(A492,"".*@simon.pt$""),REGEXMATCH(A492,"".*@simonelectrica.com$""),REGEXMATCH(A492,"".*@hiberus.com$""),REGEXMATCH(A492,"".*@simonbrico.es$""),regexmatch(A492,"".*@simonelectric.com$"")),""null"",A492)"),"400@arquired.es")</f>
        <v>400@arquired.es</v>
      </c>
      <c r="C492" s="5">
        <f>IF(B492="null","null",Descargas!B492)</f>
        <v>43985</v>
      </c>
      <c r="D492" s="6" t="str">
        <f>Descargas!E492</f>
        <v>https://resources.simonelectric.com/simon-ebook-vehiculo-electrico</v>
      </c>
      <c r="E492" s="20" t="str">
        <f t="shared" si="1"/>
        <v>400@arquired.es</v>
      </c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</row>
    <row r="493" ht="15.75" customHeight="1">
      <c r="A493" s="18" t="str">
        <f>Descargas!A493</f>
        <v>398@ciudaddelosmuchachos.com</v>
      </c>
      <c r="B493" s="19" t="str">
        <f>IFERROR(__xludf.DUMMYFUNCTION("IF(OR(regexmatch(A493,"".*@simon.es$""),REGEXMATCH(A493,"".*@simon.pt$""),REGEXMATCH(A493,"".*@simonelectrica.com$""),REGEXMATCH(A493,"".*@hiberus.com$""),REGEXMATCH(A493,"".*@simonbrico.es$""),regexmatch(A493,"".*@simonelectric.com$"")),""null"",A493)"),"398@ciudaddelosmuchachos.com")</f>
        <v>398@ciudaddelosmuchachos.com</v>
      </c>
      <c r="C493" s="5">
        <f>IF(B493="null","null",Descargas!B493)</f>
        <v>43985</v>
      </c>
      <c r="D493" s="6" t="str">
        <f>Descargas!E493</f>
        <v>https://resources.simonelectric.com/simon-ebook-vehiculo-electrico</v>
      </c>
      <c r="E493" s="20" t="str">
        <f t="shared" si="1"/>
        <v>398@ciudaddelosmuchachos.com</v>
      </c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</row>
    <row r="494" ht="15.75" customHeight="1">
      <c r="A494" s="18" t="str">
        <f>Descargas!A494</f>
        <v>401@hotmail.es</v>
      </c>
      <c r="B494" s="19" t="str">
        <f>IFERROR(__xludf.DUMMYFUNCTION("IF(OR(regexmatch(A494,"".*@simon.es$""),REGEXMATCH(A494,"".*@simon.pt$""),REGEXMATCH(A494,"".*@simonelectrica.com$""),REGEXMATCH(A494,"".*@hiberus.com$""),REGEXMATCH(A494,"".*@simonbrico.es$""),regexmatch(A494,"".*@simonelectric.com$"")),""null"",A494)"),"401@hotmail.es")</f>
        <v>401@hotmail.es</v>
      </c>
      <c r="C494" s="5">
        <f>IF(B494="null","null",Descargas!B494)</f>
        <v>43985</v>
      </c>
      <c r="D494" s="6" t="str">
        <f>Descargas!E494</f>
        <v>https://resources.simonelectric.com/simon-ebook-vehiculo-electrico</v>
      </c>
      <c r="E494" s="20" t="str">
        <f t="shared" si="1"/>
        <v>401@hotmail.es</v>
      </c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</row>
    <row r="495" ht="15.75" customHeight="1">
      <c r="A495" s="18" t="str">
        <f>Descargas!A495</f>
        <v>164@telefonica.net</v>
      </c>
      <c r="B495" s="19" t="str">
        <f>IFERROR(__xludf.DUMMYFUNCTION("IF(OR(regexmatch(A495,"".*@simon.es$""),REGEXMATCH(A495,"".*@simon.pt$""),REGEXMATCH(A495,"".*@simonelectrica.com$""),REGEXMATCH(A495,"".*@hiberus.com$""),REGEXMATCH(A495,"".*@simonbrico.es$""),regexmatch(A495,"".*@simonelectric.com$"")),""null"",A495)"),"164@telefonica.net")</f>
        <v>164@telefonica.net</v>
      </c>
      <c r="C495" s="5">
        <f>IF(B495="null","null",Descargas!B495)</f>
        <v>43985</v>
      </c>
      <c r="D495" s="6" t="str">
        <f>Descargas!E495</f>
        <v>https://resources.simonelectric.com/simon-ebook-vehiculo-electrico</v>
      </c>
      <c r="E495" s="20" t="str">
        <f t="shared" si="1"/>
        <v>164@telefonica.net</v>
      </c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</row>
    <row r="496" ht="15.75" customHeight="1">
      <c r="A496" s="18" t="str">
        <f>Descargas!A496</f>
        <v>402@gmail.com</v>
      </c>
      <c r="B496" s="19" t="str">
        <f>IFERROR(__xludf.DUMMYFUNCTION("IF(OR(regexmatch(A496,"".*@simon.es$""),REGEXMATCH(A496,"".*@simon.pt$""),REGEXMATCH(A496,"".*@simonelectrica.com$""),REGEXMATCH(A496,"".*@hiberus.com$""),REGEXMATCH(A496,"".*@simonbrico.es$""),regexmatch(A496,"".*@simonelectric.com$"")),""null"",A496)"),"402@gmail.com")</f>
        <v>402@gmail.com</v>
      </c>
      <c r="C496" s="5">
        <f>IF(B496="null","null",Descargas!B496)</f>
        <v>43985</v>
      </c>
      <c r="D496" s="6" t="str">
        <f>Descargas!E496</f>
        <v>https://resources.simonelectric.com/simon-ebook-vehiculo-electrico</v>
      </c>
      <c r="E496" s="20" t="str">
        <f t="shared" si="1"/>
        <v>402@gmail.com</v>
      </c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</row>
    <row r="497" ht="15.75" customHeight="1">
      <c r="A497" s="18" t="str">
        <f>Descargas!A497</f>
        <v>143@gmail.com</v>
      </c>
      <c r="B497" s="19" t="str">
        <f>IFERROR(__xludf.DUMMYFUNCTION("IF(OR(regexmatch(A497,"".*@simon.es$""),REGEXMATCH(A497,"".*@simon.pt$""),REGEXMATCH(A497,"".*@simonelectrica.com$""),REGEXMATCH(A497,"".*@hiberus.com$""),REGEXMATCH(A497,"".*@simonbrico.es$""),regexmatch(A497,"".*@simonelectric.com$"")),""null"",A497)"),"143@gmail.com")</f>
        <v>143@gmail.com</v>
      </c>
      <c r="C497" s="5">
        <f>IF(B497="null","null",Descargas!B497)</f>
        <v>43985</v>
      </c>
      <c r="D497" s="6" t="str">
        <f>Descargas!E497</f>
        <v>https://resources.simonelectric.com/simon-ebook-vehiculo-electrico</v>
      </c>
      <c r="E497" s="20" t="str">
        <f t="shared" si="1"/>
        <v>143@gmail.com</v>
      </c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</row>
    <row r="498" ht="15.75" customHeight="1">
      <c r="A498" s="18" t="str">
        <f>Descargas!A498</f>
        <v>217@esypro.net</v>
      </c>
      <c r="B498" s="19" t="str">
        <f>IFERROR(__xludf.DUMMYFUNCTION("IF(OR(regexmatch(A498,"".*@simon.es$""),REGEXMATCH(A498,"".*@simon.pt$""),REGEXMATCH(A498,"".*@simonelectrica.com$""),REGEXMATCH(A498,"".*@hiberus.com$""),REGEXMATCH(A498,"".*@simonbrico.es$""),regexmatch(A498,"".*@simonelectric.com$"")),""null"",A498)"),"217@esypro.net")</f>
        <v>217@esypro.net</v>
      </c>
      <c r="C498" s="5">
        <f>IF(B498="null","null",Descargas!B498)</f>
        <v>43985</v>
      </c>
      <c r="D498" s="6" t="str">
        <f>Descargas!E498</f>
        <v>https://resources.simonelectric.com/simon-ebook-vehiculo-electrico</v>
      </c>
      <c r="E498" s="20" t="str">
        <f t="shared" si="1"/>
        <v>217@esypro.net</v>
      </c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</row>
    <row r="499" ht="15.75" customHeight="1">
      <c r="A499" s="18" t="str">
        <f>Descargas!A499</f>
        <v>403@hotmail.com</v>
      </c>
      <c r="B499" s="19" t="str">
        <f>IFERROR(__xludf.DUMMYFUNCTION("IF(OR(regexmatch(A499,"".*@simon.es$""),REGEXMATCH(A499,"".*@simon.pt$""),REGEXMATCH(A499,"".*@simonelectrica.com$""),REGEXMATCH(A499,"".*@hiberus.com$""),REGEXMATCH(A499,"".*@simonbrico.es$""),regexmatch(A499,"".*@simonelectric.com$"")),""null"",A499)"),"403@hotmail.com")</f>
        <v>403@hotmail.com</v>
      </c>
      <c r="C499" s="5">
        <f>IF(B499="null","null",Descargas!B499)</f>
        <v>43985</v>
      </c>
      <c r="D499" s="6" t="str">
        <f>Descargas!E499</f>
        <v>https://resources.simonelectric.com/simon-ebook-vehiculo-electrico</v>
      </c>
      <c r="E499" s="20" t="str">
        <f t="shared" si="1"/>
        <v>403@hotmail.com</v>
      </c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</row>
    <row r="500" ht="15.75" customHeight="1">
      <c r="A500" s="18" t="str">
        <f>Descargas!A500</f>
        <v>404@hotmail.com</v>
      </c>
      <c r="B500" s="19" t="str">
        <f>IFERROR(__xludf.DUMMYFUNCTION("IF(OR(regexmatch(A500,"".*@simon.es$""),REGEXMATCH(A500,"".*@simon.pt$""),REGEXMATCH(A500,"".*@simonelectrica.com$""),REGEXMATCH(A500,"".*@hiberus.com$""),REGEXMATCH(A500,"".*@simonbrico.es$""),regexmatch(A500,"".*@simonelectric.com$"")),""null"",A500)"),"404@hotmail.com")</f>
        <v>404@hotmail.com</v>
      </c>
      <c r="C500" s="5">
        <f>IF(B500="null","null",Descargas!B500)</f>
        <v>43985</v>
      </c>
      <c r="D500" s="6" t="str">
        <f>Descargas!E500</f>
        <v>https://resources.simonelectric.com/simon-ebook-vehiculo-electrico</v>
      </c>
      <c r="E500" s="20" t="str">
        <f t="shared" si="1"/>
        <v>404@hotmail.com</v>
      </c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</row>
    <row r="501" ht="15.75" customHeight="1">
      <c r="A501" s="18" t="str">
        <f>Descargas!A501</f>
        <v>405@yahoo.es</v>
      </c>
      <c r="B501" s="19" t="str">
        <f>IFERROR(__xludf.DUMMYFUNCTION("IF(OR(regexmatch(A501,"".*@simon.es$""),REGEXMATCH(A501,"".*@simon.pt$""),REGEXMATCH(A501,"".*@simonelectrica.com$""),REGEXMATCH(A501,"".*@hiberus.com$""),REGEXMATCH(A501,"".*@simonbrico.es$""),regexmatch(A501,"".*@simonelectric.com$"")),""null"",A501)"),"405@yahoo.es")</f>
        <v>405@yahoo.es</v>
      </c>
      <c r="C501" s="5">
        <f>IF(B501="null","null",Descargas!B501)</f>
        <v>43985</v>
      </c>
      <c r="D501" s="6" t="str">
        <f>Descargas!E501</f>
        <v>https://resources.simonelectric.com/simon-ebook-vehiculo-electrico</v>
      </c>
      <c r="E501" s="20" t="str">
        <f t="shared" si="1"/>
        <v>405@yahoo.es</v>
      </c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</row>
    <row r="502" ht="15.75" customHeight="1">
      <c r="A502" s="18" t="str">
        <f>Descargas!A502</f>
        <v>171@gmail.com</v>
      </c>
      <c r="B502" s="19" t="str">
        <f>IFERROR(__xludf.DUMMYFUNCTION("IF(OR(regexmatch(A502,"".*@simon.es$""),REGEXMATCH(A502,"".*@simon.pt$""),REGEXMATCH(A502,"".*@simonelectrica.com$""),REGEXMATCH(A502,"".*@hiberus.com$""),REGEXMATCH(A502,"".*@simonbrico.es$""),regexmatch(A502,"".*@simonelectric.com$"")),""null"",A502)"),"171@gmail.com")</f>
        <v>171@gmail.com</v>
      </c>
      <c r="C502" s="5">
        <f>IF(B502="null","null",Descargas!B502)</f>
        <v>43985</v>
      </c>
      <c r="D502" s="6" t="str">
        <f>Descargas!E502</f>
        <v>https://resources.simonelectric.com/simon-ebook-vehiculo-electrico</v>
      </c>
      <c r="E502" s="20" t="str">
        <f t="shared" si="1"/>
        <v>171@gmail.com</v>
      </c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</row>
    <row r="503" ht="15.75" customHeight="1">
      <c r="A503" s="18" t="str">
        <f>Descargas!A503</f>
        <v>406@gmail.com</v>
      </c>
      <c r="B503" s="19" t="str">
        <f>IFERROR(__xludf.DUMMYFUNCTION("IF(OR(regexmatch(A503,"".*@simon.es$""),REGEXMATCH(A503,"".*@simon.pt$""),REGEXMATCH(A503,"".*@simonelectrica.com$""),REGEXMATCH(A503,"".*@hiberus.com$""),REGEXMATCH(A503,"".*@simonbrico.es$""),regexmatch(A503,"".*@simonelectric.com$"")),""null"",A503)"),"406@gmail.com")</f>
        <v>406@gmail.com</v>
      </c>
      <c r="C503" s="5">
        <f>IF(B503="null","null",Descargas!B503)</f>
        <v>43985</v>
      </c>
      <c r="D503" s="6" t="str">
        <f>Descargas!E503</f>
        <v>https://resources.simonelectric.com/simon-ebook-vehiculo-electrico</v>
      </c>
      <c r="E503" s="20" t="str">
        <f t="shared" si="1"/>
        <v>406@gmail.com</v>
      </c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</row>
    <row r="504" ht="15.75" customHeight="1">
      <c r="A504" s="18" t="str">
        <f>Descargas!A504</f>
        <v>179@mundo-r.com</v>
      </c>
      <c r="B504" s="19" t="str">
        <f>IFERROR(__xludf.DUMMYFUNCTION("IF(OR(regexmatch(A504,"".*@simon.es$""),REGEXMATCH(A504,"".*@simon.pt$""),REGEXMATCH(A504,"".*@simonelectrica.com$""),REGEXMATCH(A504,"".*@hiberus.com$""),REGEXMATCH(A504,"".*@simonbrico.es$""),regexmatch(A504,"".*@simonelectric.com$"")),""null"",A504)"),"179@mundo-r.com")</f>
        <v>179@mundo-r.com</v>
      </c>
      <c r="C504" s="5">
        <f>IF(B504="null","null",Descargas!B504)</f>
        <v>43985</v>
      </c>
      <c r="D504" s="6" t="str">
        <f>Descargas!E504</f>
        <v>https://resources.simonelectric.com/simon-ebook-vehiculo-electrico</v>
      </c>
      <c r="E504" s="20" t="str">
        <f t="shared" si="1"/>
        <v>179@mundo-r.com</v>
      </c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</row>
    <row r="505" ht="15.75" customHeight="1">
      <c r="A505" s="18" t="str">
        <f>Descargas!A505</f>
        <v>407@romher.es</v>
      </c>
      <c r="B505" s="19" t="str">
        <f>IFERROR(__xludf.DUMMYFUNCTION("IF(OR(regexmatch(A505,"".*@simon.es$""),REGEXMATCH(A505,"".*@simon.pt$""),REGEXMATCH(A505,"".*@simonelectrica.com$""),REGEXMATCH(A505,"".*@hiberus.com$""),REGEXMATCH(A505,"".*@simonbrico.es$""),regexmatch(A505,"".*@simonelectric.com$"")),""null"",A505)"),"407@romher.es")</f>
        <v>407@romher.es</v>
      </c>
      <c r="C505" s="5">
        <f>IF(B505="null","null",Descargas!B505)</f>
        <v>43985</v>
      </c>
      <c r="D505" s="6" t="str">
        <f>Descargas!E505</f>
        <v>https://resources.simonelectric.com/simon-ebook-vehiculo-electrico</v>
      </c>
      <c r="E505" s="20" t="str">
        <f t="shared" si="1"/>
        <v>407@romher.es</v>
      </c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</row>
    <row r="506" ht="15.75" customHeight="1">
      <c r="A506" s="18" t="str">
        <f>Descargas!A506</f>
        <v>408@ic3sl.com</v>
      </c>
      <c r="B506" s="19" t="str">
        <f>IFERROR(__xludf.DUMMYFUNCTION("IF(OR(regexmatch(A506,"".*@simon.es$""),REGEXMATCH(A506,"".*@simon.pt$""),REGEXMATCH(A506,"".*@simonelectrica.com$""),REGEXMATCH(A506,"".*@hiberus.com$""),REGEXMATCH(A506,"".*@simonbrico.es$""),regexmatch(A506,"".*@simonelectric.com$"")),""null"",A506)"),"408@ic3sl.com")</f>
        <v>408@ic3sl.com</v>
      </c>
      <c r="C506" s="5">
        <f>IF(B506="null","null",Descargas!B506)</f>
        <v>43985</v>
      </c>
      <c r="D506" s="6" t="str">
        <f>Descargas!E506</f>
        <v>https://resources.simonelectric.com/simon-ebook-vehiculo-electrico</v>
      </c>
      <c r="E506" s="20" t="str">
        <f t="shared" si="1"/>
        <v>408@ic3sl.com</v>
      </c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</row>
    <row r="507" ht="15.75" customHeight="1">
      <c r="A507" s="18" t="str">
        <f>Descargas!A507</f>
        <v>409@gruposinelec.com</v>
      </c>
      <c r="B507" s="19" t="str">
        <f>IFERROR(__xludf.DUMMYFUNCTION("IF(OR(regexmatch(A507,"".*@simon.es$""),REGEXMATCH(A507,"".*@simon.pt$""),REGEXMATCH(A507,"".*@simonelectrica.com$""),REGEXMATCH(A507,"".*@hiberus.com$""),REGEXMATCH(A507,"".*@simonbrico.es$""),regexmatch(A507,"".*@simonelectric.com$"")),""null"",A507)"),"409@gruposinelec.com")</f>
        <v>409@gruposinelec.com</v>
      </c>
      <c r="C507" s="5">
        <f>IF(B507="null","null",Descargas!B507)</f>
        <v>43985</v>
      </c>
      <c r="D507" s="6" t="str">
        <f>Descargas!E507</f>
        <v>https://resources.simonelectric.com/simon-ebook-vehiculo-electrico</v>
      </c>
      <c r="E507" s="20" t="str">
        <f t="shared" si="1"/>
        <v>409@gruposinelec.com</v>
      </c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</row>
    <row r="508" ht="15.75" customHeight="1">
      <c r="A508" s="18" t="str">
        <f>Descargas!A508</f>
        <v>410@gmail.com</v>
      </c>
      <c r="B508" s="19" t="str">
        <f>IFERROR(__xludf.DUMMYFUNCTION("IF(OR(regexmatch(A508,"".*@simon.es$""),REGEXMATCH(A508,"".*@simon.pt$""),REGEXMATCH(A508,"".*@simonelectrica.com$""),REGEXMATCH(A508,"".*@hiberus.com$""),REGEXMATCH(A508,"".*@simonbrico.es$""),regexmatch(A508,"".*@simonelectric.com$"")),""null"",A508)"),"410@gmail.com")</f>
        <v>410@gmail.com</v>
      </c>
      <c r="C508" s="5">
        <f>IF(B508="null","null",Descargas!B508)</f>
        <v>43985</v>
      </c>
      <c r="D508" s="6" t="str">
        <f>Descargas!E508</f>
        <v>https://resources.simonelectric.com/simon-ebook-vehiculo-electrico</v>
      </c>
      <c r="E508" s="20" t="str">
        <f t="shared" si="1"/>
        <v>410@gmail.com</v>
      </c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</row>
    <row r="509" ht="15.75" customHeight="1">
      <c r="A509" s="18" t="str">
        <f>Descargas!A509</f>
        <v>177@mobcn.org</v>
      </c>
      <c r="B509" s="19" t="str">
        <f>IFERROR(__xludf.DUMMYFUNCTION("IF(OR(regexmatch(A509,"".*@simon.es$""),REGEXMATCH(A509,"".*@simon.pt$""),REGEXMATCH(A509,"".*@simonelectrica.com$""),REGEXMATCH(A509,"".*@hiberus.com$""),REGEXMATCH(A509,"".*@simonbrico.es$""),regexmatch(A509,"".*@simonelectric.com$"")),""null"",A509)"),"177@mobcn.org")</f>
        <v>177@mobcn.org</v>
      </c>
      <c r="C509" s="5">
        <f>IF(B509="null","null",Descargas!B509)</f>
        <v>43985</v>
      </c>
      <c r="D509" s="6" t="str">
        <f>Descargas!E509</f>
        <v>https://resources.simonelectric.com/simon-ebook-vehiculo-electrico</v>
      </c>
      <c r="E509" s="20" t="str">
        <f t="shared" si="1"/>
        <v>177@mobcn.org</v>
      </c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</row>
    <row r="510" ht="15.75" customHeight="1">
      <c r="A510" s="18" t="str">
        <f>Descargas!A510</f>
        <v>321@gmail.com</v>
      </c>
      <c r="B510" s="19" t="str">
        <f>IFERROR(__xludf.DUMMYFUNCTION("IF(OR(regexmatch(A510,"".*@simon.es$""),REGEXMATCH(A510,"".*@simon.pt$""),REGEXMATCH(A510,"".*@simonelectrica.com$""),REGEXMATCH(A510,"".*@hiberus.com$""),REGEXMATCH(A510,"".*@simonbrico.es$""),regexmatch(A510,"".*@simonelectric.com$"")),""null"",A510)"),"321@gmail.com")</f>
        <v>321@gmail.com</v>
      </c>
      <c r="C510" s="5">
        <f>IF(B510="null","null",Descargas!B510)</f>
        <v>43985</v>
      </c>
      <c r="D510" s="6" t="str">
        <f>Descargas!E510</f>
        <v>https://resources.simonelectric.com/simon-ebook-vehiculo-electrico</v>
      </c>
      <c r="E510" s="20" t="str">
        <f t="shared" si="1"/>
        <v>321@gmail.com</v>
      </c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</row>
    <row r="511" ht="15.75" customHeight="1">
      <c r="A511" s="18" t="str">
        <f>Descargas!A511</f>
        <v>411@proyectosdelhogar.com</v>
      </c>
      <c r="B511" s="19" t="str">
        <f>IFERROR(__xludf.DUMMYFUNCTION("IF(OR(regexmatch(A511,"".*@simon.es$""),REGEXMATCH(A511,"".*@simon.pt$""),REGEXMATCH(A511,"".*@simonelectrica.com$""),REGEXMATCH(A511,"".*@hiberus.com$""),REGEXMATCH(A511,"".*@simonbrico.es$""),regexmatch(A511,"".*@simonelectric.com$"")),""null"",A511)"),"411@proyectosdelhogar.com")</f>
        <v>411@proyectosdelhogar.com</v>
      </c>
      <c r="C511" s="5">
        <f>IF(B511="null","null",Descargas!B511)</f>
        <v>43985</v>
      </c>
      <c r="D511" s="6" t="str">
        <f>Descargas!E511</f>
        <v>https://resources.simonelectric.com/simon-ebook-vehiculo-electrico</v>
      </c>
      <c r="E511" s="20" t="str">
        <f t="shared" si="1"/>
        <v>411@proyectosdelhogar.com</v>
      </c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</row>
    <row r="512" ht="15.75" customHeight="1">
      <c r="A512" s="18" t="str">
        <f>Descargas!A512</f>
        <v>412@seelectroled.com</v>
      </c>
      <c r="B512" s="19" t="str">
        <f>IFERROR(__xludf.DUMMYFUNCTION("IF(OR(regexmatch(A512,"".*@simon.es$""),REGEXMATCH(A512,"".*@simon.pt$""),REGEXMATCH(A512,"".*@simonelectrica.com$""),REGEXMATCH(A512,"".*@hiberus.com$""),REGEXMATCH(A512,"".*@simonbrico.es$""),regexmatch(A512,"".*@simonelectric.com$"")),""null"",A512)"),"412@seelectroled.com")</f>
        <v>412@seelectroled.com</v>
      </c>
      <c r="C512" s="5">
        <f>IF(B512="null","null",Descargas!B512)</f>
        <v>43985</v>
      </c>
      <c r="D512" s="6" t="str">
        <f>Descargas!E512</f>
        <v>https://resources.simonelectric.com/simon-catalogo-vehiculo-electrico</v>
      </c>
      <c r="E512" s="20" t="str">
        <f t="shared" si="1"/>
        <v>412@seelectroled.com</v>
      </c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</row>
    <row r="513" ht="15.75" customHeight="1">
      <c r="A513" s="18" t="str">
        <f>Descargas!A513</f>
        <v>413@emancha.com</v>
      </c>
      <c r="B513" s="19" t="str">
        <f>IFERROR(__xludf.DUMMYFUNCTION("IF(OR(regexmatch(A513,"".*@simon.es$""),REGEXMATCH(A513,"".*@simon.pt$""),REGEXMATCH(A513,"".*@simonelectrica.com$""),REGEXMATCH(A513,"".*@hiberus.com$""),REGEXMATCH(A513,"".*@simonbrico.es$""),regexmatch(A513,"".*@simonelectric.com$"")),""null"",A513)"),"413@emancha.com")</f>
        <v>413@emancha.com</v>
      </c>
      <c r="C513" s="5">
        <f>IF(B513="null","null",Descargas!B513)</f>
        <v>43985</v>
      </c>
      <c r="D513" s="6" t="str">
        <f>Descargas!E513</f>
        <v>https://resources.simonelectric.com/simon-ebook-vehiculo-electrico</v>
      </c>
      <c r="E513" s="20" t="str">
        <f t="shared" si="1"/>
        <v>413@emancha.com</v>
      </c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</row>
    <row r="514" ht="15.75" customHeight="1">
      <c r="A514" s="18" t="str">
        <f>Descargas!A514</f>
        <v>414@gruptba.com</v>
      </c>
      <c r="B514" s="19" t="str">
        <f>IFERROR(__xludf.DUMMYFUNCTION("IF(OR(regexmatch(A514,"".*@simon.es$""),REGEXMATCH(A514,"".*@simon.pt$""),REGEXMATCH(A514,"".*@simonelectrica.com$""),REGEXMATCH(A514,"".*@hiberus.com$""),REGEXMATCH(A514,"".*@simonbrico.es$""),regexmatch(A514,"".*@simonelectric.com$"")),""null"",A514)"),"414@gruptba.com")</f>
        <v>414@gruptba.com</v>
      </c>
      <c r="C514" s="5">
        <f>IF(B514="null","null",Descargas!B514)</f>
        <v>43985</v>
      </c>
      <c r="D514" s="6" t="str">
        <f>Descargas!E514</f>
        <v>https://resources.simonelectric.com/simon-ebook-vehiculo-electrico</v>
      </c>
      <c r="E514" s="20" t="str">
        <f t="shared" si="1"/>
        <v>414@gruptba.com</v>
      </c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</row>
    <row r="515" ht="15.75" customHeight="1">
      <c r="A515" s="18" t="str">
        <f>Descargas!A515</f>
        <v>415@gmail.com</v>
      </c>
      <c r="B515" s="19" t="str">
        <f>IFERROR(__xludf.DUMMYFUNCTION("IF(OR(regexmatch(A515,"".*@simon.es$""),REGEXMATCH(A515,"".*@simon.pt$""),REGEXMATCH(A515,"".*@simonelectrica.com$""),REGEXMATCH(A515,"".*@hiberus.com$""),REGEXMATCH(A515,"".*@simonbrico.es$""),regexmatch(A515,"".*@simonelectric.com$"")),""null"",A515)"),"415@gmail.com")</f>
        <v>415@gmail.com</v>
      </c>
      <c r="C515" s="5">
        <f>IF(B515="null","null",Descargas!B515)</f>
        <v>43985</v>
      </c>
      <c r="D515" s="6" t="str">
        <f>Descargas!E515</f>
        <v>https://resources.simonelectric.com/simon-ebook-vehiculo-electrico</v>
      </c>
      <c r="E515" s="20" t="str">
        <f t="shared" si="1"/>
        <v>415@gmail.com</v>
      </c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</row>
    <row r="516" ht="15.75" customHeight="1">
      <c r="A516" s="18" t="str">
        <f>Descargas!A516</f>
        <v>416@dominguezelectricidad.es</v>
      </c>
      <c r="B516" s="19" t="str">
        <f>IFERROR(__xludf.DUMMYFUNCTION("IF(OR(regexmatch(A516,"".*@simon.es$""),REGEXMATCH(A516,"".*@simon.pt$""),REGEXMATCH(A516,"".*@simonelectrica.com$""),REGEXMATCH(A516,"".*@hiberus.com$""),REGEXMATCH(A516,"".*@simonbrico.es$""),regexmatch(A516,"".*@simonelectric.com$"")),""null"",A516)"),"416@dominguezelectricidad.es")</f>
        <v>416@dominguezelectricidad.es</v>
      </c>
      <c r="C516" s="5">
        <f>IF(B516="null","null",Descargas!B516)</f>
        <v>43985</v>
      </c>
      <c r="D516" s="6" t="str">
        <f>Descargas!E516</f>
        <v>https://resources.simonelectric.com/simon-ebook-vehiculo-electrico</v>
      </c>
      <c r="E516" s="20" t="str">
        <f t="shared" si="1"/>
        <v>416@dominguezelectricidad.es</v>
      </c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</row>
    <row r="517" ht="15.75" customHeight="1">
      <c r="A517" s="18" t="str">
        <f>Descargas!A517</f>
        <v>417@gmail.com</v>
      </c>
      <c r="B517" s="19" t="str">
        <f>IFERROR(__xludf.DUMMYFUNCTION("IF(OR(regexmatch(A517,"".*@simon.es$""),REGEXMATCH(A517,"".*@simon.pt$""),REGEXMATCH(A517,"".*@simonelectrica.com$""),REGEXMATCH(A517,"".*@hiberus.com$""),REGEXMATCH(A517,"".*@simonbrico.es$""),regexmatch(A517,"".*@simonelectric.com$"")),""null"",A517)"),"417@gmail.com")</f>
        <v>417@gmail.com</v>
      </c>
      <c r="C517" s="5">
        <f>IF(B517="null","null",Descargas!B517)</f>
        <v>43985</v>
      </c>
      <c r="D517" s="6" t="str">
        <f>Descargas!E517</f>
        <v>https://resources.simonelectric.com/simon-ebook-vehiculo-electrico</v>
      </c>
      <c r="E517" s="20" t="str">
        <f t="shared" si="1"/>
        <v>417@gmail.com</v>
      </c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</row>
    <row r="518" ht="15.75" customHeight="1">
      <c r="A518" s="18" t="str">
        <f>Descargas!A518</f>
        <v>418@proyectosict.net</v>
      </c>
      <c r="B518" s="19" t="str">
        <f>IFERROR(__xludf.DUMMYFUNCTION("IF(OR(regexmatch(A518,"".*@simon.es$""),REGEXMATCH(A518,"".*@simon.pt$""),REGEXMATCH(A518,"".*@simonelectrica.com$""),REGEXMATCH(A518,"".*@hiberus.com$""),REGEXMATCH(A518,"".*@simonbrico.es$""),regexmatch(A518,"".*@simonelectric.com$"")),""null"",A518)"),"418@proyectosict.net")</f>
        <v>418@proyectosict.net</v>
      </c>
      <c r="C518" s="5">
        <f>IF(B518="null","null",Descargas!B518)</f>
        <v>43985</v>
      </c>
      <c r="D518" s="6" t="str">
        <f>Descargas!E518</f>
        <v>https://resources.simonelectric.com/simon-ebook-vehiculo-electrico</v>
      </c>
      <c r="E518" s="20" t="str">
        <f t="shared" si="1"/>
        <v>418@proyectosict.net</v>
      </c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</row>
    <row r="519" ht="15.75" customHeight="1">
      <c r="A519" s="18" t="str">
        <f>Descargas!A519</f>
        <v>419@miscelec.com</v>
      </c>
      <c r="B519" s="19" t="str">
        <f>IFERROR(__xludf.DUMMYFUNCTION("IF(OR(regexmatch(A519,"".*@simon.es$""),REGEXMATCH(A519,"".*@simon.pt$""),REGEXMATCH(A519,"".*@simonelectrica.com$""),REGEXMATCH(A519,"".*@hiberus.com$""),REGEXMATCH(A519,"".*@simonbrico.es$""),regexmatch(A519,"".*@simonelectric.com$"")),""null"",A519)"),"419@miscelec.com")</f>
        <v>419@miscelec.com</v>
      </c>
      <c r="C519" s="5">
        <f>IF(B519="null","null",Descargas!B519)</f>
        <v>43985</v>
      </c>
      <c r="D519" s="6" t="str">
        <f>Descargas!E519</f>
        <v>https://resources.simonelectric.com/simon-ebook-vehiculo-electrico</v>
      </c>
      <c r="E519" s="20" t="str">
        <f t="shared" si="1"/>
        <v>419@miscelec.com</v>
      </c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</row>
    <row r="520" ht="15.75" customHeight="1">
      <c r="A520" s="18" t="str">
        <f>Descargas!A520</f>
        <v>420@covama.es</v>
      </c>
      <c r="B520" s="19" t="str">
        <f>IFERROR(__xludf.DUMMYFUNCTION("IF(OR(regexmatch(A520,"".*@simon.es$""),REGEXMATCH(A520,"".*@simon.pt$""),REGEXMATCH(A520,"".*@simonelectrica.com$""),REGEXMATCH(A520,"".*@hiberus.com$""),REGEXMATCH(A520,"".*@simonbrico.es$""),regexmatch(A520,"".*@simonelectric.com$"")),""null"",A520)"),"420@covama.es")</f>
        <v>420@covama.es</v>
      </c>
      <c r="C520" s="5">
        <f>IF(B520="null","null",Descargas!B520)</f>
        <v>43985</v>
      </c>
      <c r="D520" s="6" t="str">
        <f>Descargas!E520</f>
        <v>https://resources.simonelectric.com/simon-ebook-vehiculo-electrico</v>
      </c>
      <c r="E520" s="20" t="str">
        <f t="shared" si="1"/>
        <v>420@covama.es</v>
      </c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</row>
    <row r="521" ht="15.75" customHeight="1">
      <c r="A521" s="18" t="str">
        <f>Descargas!A521</f>
        <v>421@maelse.com</v>
      </c>
      <c r="B521" s="19" t="str">
        <f>IFERROR(__xludf.DUMMYFUNCTION("IF(OR(regexmatch(A521,"".*@simon.es$""),REGEXMATCH(A521,"".*@simon.pt$""),REGEXMATCH(A521,"".*@simonelectrica.com$""),REGEXMATCH(A521,"".*@hiberus.com$""),REGEXMATCH(A521,"".*@simonbrico.es$""),regexmatch(A521,"".*@simonelectric.com$"")),""null"",A521)"),"421@maelse.com")</f>
        <v>421@maelse.com</v>
      </c>
      <c r="C521" s="5">
        <f>IF(B521="null","null",Descargas!B521)</f>
        <v>43985</v>
      </c>
      <c r="D521" s="6" t="str">
        <f>Descargas!E521</f>
        <v>https://resources.simonelectric.com/simon-ebook-vehiculo-electrico</v>
      </c>
      <c r="E521" s="20" t="str">
        <f t="shared" si="1"/>
        <v>421@maelse.com</v>
      </c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</row>
    <row r="522" ht="15.75" customHeight="1">
      <c r="A522" s="18" t="str">
        <f>Descargas!A522</f>
        <v>422@amena.com</v>
      </c>
      <c r="B522" s="19" t="str">
        <f>IFERROR(__xludf.DUMMYFUNCTION("IF(OR(regexmatch(A522,"".*@simon.es$""),REGEXMATCH(A522,"".*@simon.pt$""),REGEXMATCH(A522,"".*@simonelectrica.com$""),REGEXMATCH(A522,"".*@hiberus.com$""),REGEXMATCH(A522,"".*@simonbrico.es$""),regexmatch(A522,"".*@simonelectric.com$"")),""null"",A522)"),"422@amena.com")</f>
        <v>422@amena.com</v>
      </c>
      <c r="C522" s="5">
        <f>IF(B522="null","null",Descargas!B522)</f>
        <v>43985</v>
      </c>
      <c r="D522" s="6" t="str">
        <f>Descargas!E522</f>
        <v>https://resources.simonelectric.com/simon-ebook-vehiculo-electrico</v>
      </c>
      <c r="E522" s="20" t="str">
        <f t="shared" si="1"/>
        <v>422@amena.com</v>
      </c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</row>
    <row r="523" ht="15.75" customHeight="1">
      <c r="A523" s="18" t="str">
        <f>Descargas!A523</f>
        <v>423@me.com</v>
      </c>
      <c r="B523" s="19" t="str">
        <f>IFERROR(__xludf.DUMMYFUNCTION("IF(OR(regexmatch(A523,"".*@simon.es$""),REGEXMATCH(A523,"".*@simon.pt$""),REGEXMATCH(A523,"".*@simonelectrica.com$""),REGEXMATCH(A523,"".*@hiberus.com$""),REGEXMATCH(A523,"".*@simonbrico.es$""),regexmatch(A523,"".*@simonelectric.com$"")),""null"",A523)"),"423@me.com")</f>
        <v>423@me.com</v>
      </c>
      <c r="C523" s="5">
        <f>IF(B523="null","null",Descargas!B523)</f>
        <v>43985</v>
      </c>
      <c r="D523" s="6" t="str">
        <f>Descargas!E523</f>
        <v>https://resources.simonelectric.com/simon-ebook-vehiculo-electrico</v>
      </c>
      <c r="E523" s="20" t="str">
        <f t="shared" si="1"/>
        <v>423@me.com</v>
      </c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</row>
    <row r="524" ht="15.75" customHeight="1">
      <c r="A524" s="18" t="str">
        <f>Descargas!A524</f>
        <v>424@ulmahandling.com</v>
      </c>
      <c r="B524" s="19" t="str">
        <f>IFERROR(__xludf.DUMMYFUNCTION("IF(OR(regexmatch(A524,"".*@simon.es$""),REGEXMATCH(A524,"".*@simon.pt$""),REGEXMATCH(A524,"".*@simonelectrica.com$""),REGEXMATCH(A524,"".*@hiberus.com$""),REGEXMATCH(A524,"".*@simonbrico.es$""),regexmatch(A524,"".*@simonelectric.com$"")),""null"",A524)"),"424@ulmahandling.com")</f>
        <v>424@ulmahandling.com</v>
      </c>
      <c r="C524" s="5">
        <f>IF(B524="null","null",Descargas!B524)</f>
        <v>43985</v>
      </c>
      <c r="D524" s="6" t="str">
        <f>Descargas!E524</f>
        <v>https://resources.simonelectric.com/simon-ebook-vehiculo-electrico</v>
      </c>
      <c r="E524" s="20" t="str">
        <f t="shared" si="1"/>
        <v>424@ulmahandling.com</v>
      </c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</row>
    <row r="525" ht="15.75" customHeight="1">
      <c r="A525" s="18" t="str">
        <f>Descargas!A525</f>
        <v>425@telefonica.net</v>
      </c>
      <c r="B525" s="19" t="str">
        <f>IFERROR(__xludf.DUMMYFUNCTION("IF(OR(regexmatch(A525,"".*@simon.es$""),REGEXMATCH(A525,"".*@simon.pt$""),REGEXMATCH(A525,"".*@simonelectrica.com$""),REGEXMATCH(A525,"".*@hiberus.com$""),REGEXMATCH(A525,"".*@simonbrico.es$""),regexmatch(A525,"".*@simonelectric.com$"")),""null"",A525)"),"425@telefonica.net")</f>
        <v>425@telefonica.net</v>
      </c>
      <c r="C525" s="5">
        <f>IF(B525="null","null",Descargas!B525)</f>
        <v>43985</v>
      </c>
      <c r="D525" s="6" t="str">
        <f>Descargas!E525</f>
        <v>https://resources.simonelectric.com/simon-ebook-vehiculo-electrico</v>
      </c>
      <c r="E525" s="20" t="str">
        <f t="shared" si="1"/>
        <v>425@telefonica.net</v>
      </c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</row>
    <row r="526" ht="15.75" customHeight="1">
      <c r="A526" s="18" t="str">
        <f>Descargas!A526</f>
        <v>426@gmail.com</v>
      </c>
      <c r="B526" s="19" t="str">
        <f>IFERROR(__xludf.DUMMYFUNCTION("IF(OR(regexmatch(A526,"".*@simon.es$""),REGEXMATCH(A526,"".*@simon.pt$""),REGEXMATCH(A526,"".*@simonelectrica.com$""),REGEXMATCH(A526,"".*@hiberus.com$""),REGEXMATCH(A526,"".*@simonbrico.es$""),regexmatch(A526,"".*@simonelectric.com$"")),""null"",A526)"),"426@gmail.com")</f>
        <v>426@gmail.com</v>
      </c>
      <c r="C526" s="5">
        <f>IF(B526="null","null",Descargas!B526)</f>
        <v>43985</v>
      </c>
      <c r="D526" s="6" t="str">
        <f>Descargas!E526</f>
        <v>https://resources.simonelectric.com/simon-ebook-vehiculo-electrico</v>
      </c>
      <c r="E526" s="20" t="str">
        <f t="shared" si="1"/>
        <v>426@gmail.com</v>
      </c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</row>
    <row r="527" ht="15.75" customHeight="1">
      <c r="A527" s="18" t="str">
        <f>Descargas!A527</f>
        <v>427@gmail.com</v>
      </c>
      <c r="B527" s="19" t="str">
        <f>IFERROR(__xludf.DUMMYFUNCTION("IF(OR(regexmatch(A527,"".*@simon.es$""),REGEXMATCH(A527,"".*@simon.pt$""),REGEXMATCH(A527,"".*@simonelectrica.com$""),REGEXMATCH(A527,"".*@hiberus.com$""),REGEXMATCH(A527,"".*@simonbrico.es$""),regexmatch(A527,"".*@simonelectric.com$"")),""null"",A527)"),"427@gmail.com")</f>
        <v>427@gmail.com</v>
      </c>
      <c r="C527" s="5">
        <f>IF(B527="null","null",Descargas!B527)</f>
        <v>43985</v>
      </c>
      <c r="D527" s="6" t="str">
        <f>Descargas!E527</f>
        <v>https://resources.simonelectric.com/simon-ebook-vehiculo-electrico</v>
      </c>
      <c r="E527" s="20" t="str">
        <f t="shared" si="1"/>
        <v>427@gmail.com</v>
      </c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</row>
    <row r="528" ht="15.75" customHeight="1">
      <c r="A528" s="18" t="str">
        <f>Descargas!A528</f>
        <v>428@hotmail.com</v>
      </c>
      <c r="B528" s="19" t="str">
        <f>IFERROR(__xludf.DUMMYFUNCTION("IF(OR(regexmatch(A528,"".*@simon.es$""),REGEXMATCH(A528,"".*@simon.pt$""),REGEXMATCH(A528,"".*@simonelectrica.com$""),REGEXMATCH(A528,"".*@hiberus.com$""),REGEXMATCH(A528,"".*@simonbrico.es$""),regexmatch(A528,"".*@simonelectric.com$"")),""null"",A528)"),"428@hotmail.com")</f>
        <v>428@hotmail.com</v>
      </c>
      <c r="C528" s="5">
        <f>IF(B528="null","null",Descargas!B528)</f>
        <v>43985</v>
      </c>
      <c r="D528" s="6" t="str">
        <f>Descargas!E528</f>
        <v>https://resources.simonelectric.com/simon-ebook-vehiculo-electrico</v>
      </c>
      <c r="E528" s="20" t="str">
        <f t="shared" si="1"/>
        <v>428@hotmail.com</v>
      </c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</row>
    <row r="529" ht="15.75" customHeight="1">
      <c r="A529" s="18" t="str">
        <f>Descargas!A529</f>
        <v>178@tec-engineering.es</v>
      </c>
      <c r="B529" s="19" t="str">
        <f>IFERROR(__xludf.DUMMYFUNCTION("IF(OR(regexmatch(A529,"".*@simon.es$""),REGEXMATCH(A529,"".*@simon.pt$""),REGEXMATCH(A529,"".*@simonelectrica.com$""),REGEXMATCH(A529,"".*@hiberus.com$""),REGEXMATCH(A529,"".*@simonbrico.es$""),regexmatch(A529,"".*@simonelectric.com$"")),""null"",A529)"),"178@tec-engineering.es")</f>
        <v>178@tec-engineering.es</v>
      </c>
      <c r="C529" s="5">
        <f>IF(B529="null","null",Descargas!B529)</f>
        <v>43985</v>
      </c>
      <c r="D529" s="6" t="str">
        <f>Descargas!E529</f>
        <v>https://resources.simonelectric.com/simon-ebook-vehiculo-electrico</v>
      </c>
      <c r="E529" s="20" t="str">
        <f t="shared" si="1"/>
        <v>178@tec-engineering.es</v>
      </c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</row>
    <row r="530" ht="15.75" customHeight="1">
      <c r="A530" s="18" t="str">
        <f>Descargas!A530</f>
        <v>284@telman.es</v>
      </c>
      <c r="B530" s="19" t="str">
        <f>IFERROR(__xludf.DUMMYFUNCTION("IF(OR(regexmatch(A530,"".*@simon.es$""),REGEXMATCH(A530,"".*@simon.pt$""),REGEXMATCH(A530,"".*@simonelectrica.com$""),REGEXMATCH(A530,"".*@hiberus.com$""),REGEXMATCH(A530,"".*@simonbrico.es$""),regexmatch(A530,"".*@simonelectric.com$"")),""null"",A530)"),"284@telman.es")</f>
        <v>284@telman.es</v>
      </c>
      <c r="C530" s="5">
        <f>IF(B530="null","null",Descargas!B530)</f>
        <v>43985</v>
      </c>
      <c r="D530" s="6" t="str">
        <f>Descargas!E530</f>
        <v>https://resources.simonelectric.com/simon-ebook-vehiculo-electrico</v>
      </c>
      <c r="E530" s="20" t="str">
        <f t="shared" si="1"/>
        <v>284@telman.es</v>
      </c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</row>
    <row r="531" ht="15.75" customHeight="1">
      <c r="A531" s="18" t="str">
        <f>Descargas!A531</f>
        <v>180@aquambiente.es</v>
      </c>
      <c r="B531" s="19" t="str">
        <f>IFERROR(__xludf.DUMMYFUNCTION("IF(OR(regexmatch(A531,"".*@simon.es$""),REGEXMATCH(A531,"".*@simon.pt$""),REGEXMATCH(A531,"".*@simonelectrica.com$""),REGEXMATCH(A531,"".*@hiberus.com$""),REGEXMATCH(A531,"".*@simonbrico.es$""),regexmatch(A531,"".*@simonelectric.com$"")),""null"",A531)"),"180@aquambiente.es")</f>
        <v>180@aquambiente.es</v>
      </c>
      <c r="C531" s="5">
        <f>IF(B531="null","null",Descargas!B531)</f>
        <v>43985</v>
      </c>
      <c r="D531" s="6" t="str">
        <f>Descargas!E531</f>
        <v>https://resources.simonelectric.com/simon-ebook-vehiculo-electrico</v>
      </c>
      <c r="E531" s="20" t="str">
        <f t="shared" si="1"/>
        <v>180@aquambiente.es</v>
      </c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</row>
    <row r="532" ht="15.75" customHeight="1">
      <c r="A532" s="18" t="str">
        <f>Descargas!A532</f>
        <v>429@yahoo.es</v>
      </c>
      <c r="B532" s="19" t="str">
        <f>IFERROR(__xludf.DUMMYFUNCTION("IF(OR(regexmatch(A532,"".*@simon.es$""),REGEXMATCH(A532,"".*@simon.pt$""),REGEXMATCH(A532,"".*@simonelectrica.com$""),REGEXMATCH(A532,"".*@hiberus.com$""),REGEXMATCH(A532,"".*@simonbrico.es$""),regexmatch(A532,"".*@simonelectric.com$"")),""null"",A532)"),"429@yahoo.es")</f>
        <v>429@yahoo.es</v>
      </c>
      <c r="C532" s="5">
        <f>IF(B532="null","null",Descargas!B532)</f>
        <v>43985</v>
      </c>
      <c r="D532" s="6" t="str">
        <f>Descargas!E532</f>
        <v>https://resources.simonelectric.com/simon-ebook-vehiculo-electrico-ppc</v>
      </c>
      <c r="E532" s="20" t="str">
        <f t="shared" si="1"/>
        <v>429@yahoo.es</v>
      </c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</row>
    <row r="533" ht="15.75" customHeight="1">
      <c r="A533" s="18" t="str">
        <f>Descargas!A533</f>
        <v>430@urgon.es</v>
      </c>
      <c r="B533" s="19" t="str">
        <f>IFERROR(__xludf.DUMMYFUNCTION("IF(OR(regexmatch(A533,"".*@simon.es$""),REGEXMATCH(A533,"".*@simon.pt$""),REGEXMATCH(A533,"".*@simonelectrica.com$""),REGEXMATCH(A533,"".*@hiberus.com$""),REGEXMATCH(A533,"".*@simonbrico.es$""),regexmatch(A533,"".*@simonelectric.com$"")),""null"",A533)"),"430@urgon.es")</f>
        <v>430@urgon.es</v>
      </c>
      <c r="C533" s="5">
        <f>IF(B533="null","null",Descargas!B533)</f>
        <v>43985</v>
      </c>
      <c r="D533" s="6" t="str">
        <f>Descargas!E533</f>
        <v>https://resources.simonelectric.com/simon-ebook-vehiculo-electrico</v>
      </c>
      <c r="E533" s="20" t="str">
        <f t="shared" si="1"/>
        <v>430@urgon.es</v>
      </c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</row>
    <row r="534" ht="15.75" customHeight="1">
      <c r="A534" s="18" t="str">
        <f>Descargas!A534</f>
        <v>431@hotmail.com</v>
      </c>
      <c r="B534" s="19" t="str">
        <f>IFERROR(__xludf.DUMMYFUNCTION("IF(OR(regexmatch(A534,"".*@simon.es$""),REGEXMATCH(A534,"".*@simon.pt$""),REGEXMATCH(A534,"".*@simonelectrica.com$""),REGEXMATCH(A534,"".*@hiberus.com$""),REGEXMATCH(A534,"".*@simonbrico.es$""),regexmatch(A534,"".*@simonelectric.com$"")),""null"",A534)"),"431@hotmail.com")</f>
        <v>431@hotmail.com</v>
      </c>
      <c r="C534" s="5">
        <f>IF(B534="null","null",Descargas!B534)</f>
        <v>43985</v>
      </c>
      <c r="D534" s="6" t="str">
        <f>Descargas!E534</f>
        <v>https://resources.simonelectric.com/simon-ebook-vehiculo-electrico</v>
      </c>
      <c r="E534" s="20" t="str">
        <f t="shared" si="1"/>
        <v>431@hotmail.com</v>
      </c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</row>
    <row r="535" ht="15.75" customHeight="1">
      <c r="A535" s="18" t="str">
        <f>Descargas!A535</f>
        <v>432@acacea.es</v>
      </c>
      <c r="B535" s="19" t="str">
        <f>IFERROR(__xludf.DUMMYFUNCTION("IF(OR(regexmatch(A535,"".*@simon.es$""),REGEXMATCH(A535,"".*@simon.pt$""),REGEXMATCH(A535,"".*@simonelectrica.com$""),REGEXMATCH(A535,"".*@hiberus.com$""),REGEXMATCH(A535,"".*@simonbrico.es$""),regexmatch(A535,"".*@simonelectric.com$"")),""null"",A535)"),"432@acacea.es")</f>
        <v>432@acacea.es</v>
      </c>
      <c r="C535" s="5">
        <f>IF(B535="null","null",Descargas!B535)</f>
        <v>43985</v>
      </c>
      <c r="D535" s="6" t="str">
        <f>Descargas!E535</f>
        <v>https://resources.simonelectric.com/simon-material-formativo-vehiculo-electrico</v>
      </c>
      <c r="E535" s="20" t="str">
        <f t="shared" si="1"/>
        <v>432@acacea.es</v>
      </c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</row>
    <row r="536" ht="15.75" customHeight="1">
      <c r="A536" s="18" t="str">
        <f>Descargas!A536</f>
        <v>433@gmail.com</v>
      </c>
      <c r="B536" s="19" t="str">
        <f>IFERROR(__xludf.DUMMYFUNCTION("IF(OR(regexmatch(A536,"".*@simon.es$""),REGEXMATCH(A536,"".*@simon.pt$""),REGEXMATCH(A536,"".*@simonelectrica.com$""),REGEXMATCH(A536,"".*@hiberus.com$""),REGEXMATCH(A536,"".*@simonbrico.es$""),regexmatch(A536,"".*@simonelectric.com$"")),""null"",A536)"),"433@gmail.com")</f>
        <v>433@gmail.com</v>
      </c>
      <c r="C536" s="5">
        <f>IF(B536="null","null",Descargas!B536)</f>
        <v>43985</v>
      </c>
      <c r="D536" s="6" t="str">
        <f>Descargas!E536</f>
        <v>https://resources.simonelectric.com/simon-ebook-vehiculo-electrico</v>
      </c>
      <c r="E536" s="20" t="str">
        <f t="shared" si="1"/>
        <v>433@gmail.com</v>
      </c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</row>
    <row r="537" ht="15.75" customHeight="1">
      <c r="A537" s="18" t="str">
        <f>Descargas!A537</f>
        <v>434@gmail.com</v>
      </c>
      <c r="B537" s="19" t="str">
        <f>IFERROR(__xludf.DUMMYFUNCTION("IF(OR(regexmatch(A537,"".*@simon.es$""),REGEXMATCH(A537,"".*@simon.pt$""),REGEXMATCH(A537,"".*@simonelectrica.com$""),REGEXMATCH(A537,"".*@hiberus.com$""),REGEXMATCH(A537,"".*@simonbrico.es$""),regexmatch(A537,"".*@simonelectric.com$"")),""null"",A537)"),"434@gmail.com")</f>
        <v>434@gmail.com</v>
      </c>
      <c r="C537" s="5">
        <f>IF(B537="null","null",Descargas!B537)</f>
        <v>43985</v>
      </c>
      <c r="D537" s="6" t="str">
        <f>Descargas!E537</f>
        <v>https://resources.simonelectric.com/simon-ebook-vehiculo-electrico</v>
      </c>
      <c r="E537" s="20" t="str">
        <f t="shared" si="1"/>
        <v>434@gmail.com</v>
      </c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</row>
    <row r="538" ht="15.75" customHeight="1">
      <c r="A538" s="18" t="str">
        <f>Descargas!A538</f>
        <v>435@solucionesms.es</v>
      </c>
      <c r="B538" s="19" t="str">
        <f>IFERROR(__xludf.DUMMYFUNCTION("IF(OR(regexmatch(A538,"".*@simon.es$""),REGEXMATCH(A538,"".*@simon.pt$""),REGEXMATCH(A538,"".*@simonelectrica.com$""),REGEXMATCH(A538,"".*@hiberus.com$""),REGEXMATCH(A538,"".*@simonbrico.es$""),regexmatch(A538,"".*@simonelectric.com$"")),""null"",A538)"),"435@solucionesms.es")</f>
        <v>435@solucionesms.es</v>
      </c>
      <c r="C538" s="5">
        <f>IF(B538="null","null",Descargas!B538)</f>
        <v>43985</v>
      </c>
      <c r="D538" s="6" t="str">
        <f>Descargas!E538</f>
        <v>https://resources.simonelectric.com/simon-ebook-vehiculo-electrico</v>
      </c>
      <c r="E538" s="20" t="str">
        <f t="shared" si="1"/>
        <v>435@solucionesms.es</v>
      </c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</row>
    <row r="539" ht="15.75" customHeight="1">
      <c r="A539" s="18" t="str">
        <f>Descargas!A539</f>
        <v>436@electrosoler.com</v>
      </c>
      <c r="B539" s="19" t="str">
        <f>IFERROR(__xludf.DUMMYFUNCTION("IF(OR(regexmatch(A539,"".*@simon.es$""),REGEXMATCH(A539,"".*@simon.pt$""),REGEXMATCH(A539,"".*@simonelectrica.com$""),REGEXMATCH(A539,"".*@hiberus.com$""),REGEXMATCH(A539,"".*@simonbrico.es$""),regexmatch(A539,"".*@simonelectric.com$"")),""null"",A539)"),"436@electrosoler.com")</f>
        <v>436@electrosoler.com</v>
      </c>
      <c r="C539" s="5">
        <f>IF(B539="null","null",Descargas!B539)</f>
        <v>43985</v>
      </c>
      <c r="D539" s="6" t="str">
        <f>Descargas!E539</f>
        <v>https://resources.simonelectric.com/simon-ebook-vehiculo-electrico</v>
      </c>
      <c r="E539" s="20" t="str">
        <f t="shared" si="1"/>
        <v>436@electrosoler.com</v>
      </c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</row>
    <row r="540" ht="15.75" customHeight="1">
      <c r="A540" s="18" t="str">
        <f>Descargas!A540</f>
        <v>437@alrolasistemas.es</v>
      </c>
      <c r="B540" s="19" t="str">
        <f>IFERROR(__xludf.DUMMYFUNCTION("IF(OR(regexmatch(A540,"".*@simon.es$""),REGEXMATCH(A540,"".*@simon.pt$""),REGEXMATCH(A540,"".*@simonelectrica.com$""),REGEXMATCH(A540,"".*@hiberus.com$""),REGEXMATCH(A540,"".*@simonbrico.es$""),regexmatch(A540,"".*@simonelectric.com$"")),""null"",A540)"),"437@alrolasistemas.es")</f>
        <v>437@alrolasistemas.es</v>
      </c>
      <c r="C540" s="5">
        <f>IF(B540="null","null",Descargas!B540)</f>
        <v>43985</v>
      </c>
      <c r="D540" s="6" t="str">
        <f>Descargas!E540</f>
        <v>https://resources.simonelectric.com/simon-ebook-vehiculo-electrico</v>
      </c>
      <c r="E540" s="20" t="str">
        <f t="shared" si="1"/>
        <v>437@alrolasistemas.es</v>
      </c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</row>
    <row r="541" ht="15.75" customHeight="1">
      <c r="A541" s="18" t="str">
        <f>Descargas!A541</f>
        <v>438@epla.es</v>
      </c>
      <c r="B541" s="19" t="str">
        <f>IFERROR(__xludf.DUMMYFUNCTION("IF(OR(regexmatch(A541,"".*@simon.es$""),REGEXMATCH(A541,"".*@simon.pt$""),REGEXMATCH(A541,"".*@simonelectrica.com$""),REGEXMATCH(A541,"".*@hiberus.com$""),REGEXMATCH(A541,"".*@simonbrico.es$""),regexmatch(A541,"".*@simonelectric.com$"")),""null"",A541)"),"438@epla.es")</f>
        <v>438@epla.es</v>
      </c>
      <c r="C541" s="5">
        <f>IF(B541="null","null",Descargas!B541)</f>
        <v>43985</v>
      </c>
      <c r="D541" s="6" t="str">
        <f>Descargas!E541</f>
        <v>https://resources.simonelectric.com/simon-ebook-vehiculo-electrico</v>
      </c>
      <c r="E541" s="20" t="str">
        <f t="shared" si="1"/>
        <v>438@epla.es</v>
      </c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</row>
    <row r="542" ht="15.75" customHeight="1">
      <c r="A542" s="18" t="str">
        <f>Descargas!A542</f>
        <v>439@edu.xunta.es</v>
      </c>
      <c r="B542" s="19" t="str">
        <f>IFERROR(__xludf.DUMMYFUNCTION("IF(OR(regexmatch(A542,"".*@simon.es$""),REGEXMATCH(A542,"".*@simon.pt$""),REGEXMATCH(A542,"".*@simonelectrica.com$""),REGEXMATCH(A542,"".*@hiberus.com$""),REGEXMATCH(A542,"".*@simonbrico.es$""),regexmatch(A542,"".*@simonelectric.com$"")),""null"",A542)"),"439@edu.xunta.es")</f>
        <v>439@edu.xunta.es</v>
      </c>
      <c r="C542" s="5">
        <f>IF(B542="null","null",Descargas!B542)</f>
        <v>43985</v>
      </c>
      <c r="D542" s="6" t="str">
        <f>Descargas!E542</f>
        <v>https://resources.simonelectric.com/simon-ebook-vehiculo-electrico</v>
      </c>
      <c r="E542" s="20" t="str">
        <f t="shared" si="1"/>
        <v>439@edu.xunta.es</v>
      </c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</row>
    <row r="543" ht="15.75" customHeight="1">
      <c r="A543" s="18" t="str">
        <f>Descargas!A543</f>
        <v>440@fedirbra.com</v>
      </c>
      <c r="B543" s="19" t="str">
        <f>IFERROR(__xludf.DUMMYFUNCTION("IF(OR(regexmatch(A543,"".*@simon.es$""),REGEXMATCH(A543,"".*@simon.pt$""),REGEXMATCH(A543,"".*@simonelectrica.com$""),REGEXMATCH(A543,"".*@hiberus.com$""),REGEXMATCH(A543,"".*@simonbrico.es$""),regexmatch(A543,"".*@simonelectric.com$"")),""null"",A543)"),"440@fedirbra.com")</f>
        <v>440@fedirbra.com</v>
      </c>
      <c r="C543" s="5">
        <f>IF(B543="null","null",Descargas!B543)</f>
        <v>43985</v>
      </c>
      <c r="D543" s="6" t="str">
        <f>Descargas!E543</f>
        <v>https://resources.simonelectric.com/simon-ebook-vehiculo-electrico</v>
      </c>
      <c r="E543" s="20" t="str">
        <f t="shared" si="1"/>
        <v>440@fedirbra.com</v>
      </c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</row>
    <row r="544" ht="15.75" customHeight="1">
      <c r="A544" s="18" t="str">
        <f>Descargas!A544</f>
        <v>441@arquiem.es</v>
      </c>
      <c r="B544" s="19" t="str">
        <f>IFERROR(__xludf.DUMMYFUNCTION("IF(OR(regexmatch(A544,"".*@simon.es$""),REGEXMATCH(A544,"".*@simon.pt$""),REGEXMATCH(A544,"".*@simonelectrica.com$""),REGEXMATCH(A544,"".*@hiberus.com$""),REGEXMATCH(A544,"".*@simonbrico.es$""),regexmatch(A544,"".*@simonelectric.com$"")),""null"",A544)"),"441@arquiem.es")</f>
        <v>441@arquiem.es</v>
      </c>
      <c r="C544" s="5">
        <f>IF(B544="null","null",Descargas!B544)</f>
        <v>43985</v>
      </c>
      <c r="D544" s="6" t="str">
        <f>Descargas!E544</f>
        <v>https://resources.simonelectric.com/simon-ebook-vehiculo-electrico</v>
      </c>
      <c r="E544" s="20" t="str">
        <f t="shared" si="1"/>
        <v>441@arquiem.es</v>
      </c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</row>
    <row r="545" ht="15.75" customHeight="1">
      <c r="A545" s="18" t="str">
        <f>Descargas!A545</f>
        <v>442@hotmail.com</v>
      </c>
      <c r="B545" s="19" t="str">
        <f>IFERROR(__xludf.DUMMYFUNCTION("IF(OR(regexmatch(A545,"".*@simon.es$""),REGEXMATCH(A545,"".*@simon.pt$""),REGEXMATCH(A545,"".*@simonelectrica.com$""),REGEXMATCH(A545,"".*@hiberus.com$""),REGEXMATCH(A545,"".*@simonbrico.es$""),regexmatch(A545,"".*@simonelectric.com$"")),""null"",A545)"),"442@hotmail.com")</f>
        <v>442@hotmail.com</v>
      </c>
      <c r="C545" s="5">
        <f>IF(B545="null","null",Descargas!B545)</f>
        <v>43985</v>
      </c>
      <c r="D545" s="6" t="str">
        <f>Descargas!E545</f>
        <v>https://resources.simonelectric.com/simon-ebook-vehiculo-electrico</v>
      </c>
      <c r="E545" s="20" t="str">
        <f t="shared" si="1"/>
        <v>442@hotmail.com</v>
      </c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</row>
    <row r="546" ht="15.75" customHeight="1">
      <c r="A546" s="18" t="str">
        <f>Descargas!A546</f>
        <v>443@ingenia.es</v>
      </c>
      <c r="B546" s="19" t="str">
        <f>IFERROR(__xludf.DUMMYFUNCTION("IF(OR(regexmatch(A546,"".*@simon.es$""),REGEXMATCH(A546,"".*@simon.pt$""),REGEXMATCH(A546,"".*@simonelectrica.com$""),REGEXMATCH(A546,"".*@hiberus.com$""),REGEXMATCH(A546,"".*@simonbrico.es$""),regexmatch(A546,"".*@simonelectric.com$"")),""null"",A546)"),"443@ingenia.es")</f>
        <v>443@ingenia.es</v>
      </c>
      <c r="C546" s="5">
        <f>IF(B546="null","null",Descargas!B546)</f>
        <v>43985</v>
      </c>
      <c r="D546" s="6" t="str">
        <f>Descargas!E546</f>
        <v>https://resources.simonelectric.com/simon-ebook-vehiculo-electrico</v>
      </c>
      <c r="E546" s="20" t="str">
        <f t="shared" si="1"/>
        <v>443@ingenia.es</v>
      </c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</row>
    <row r="547" ht="15.75" customHeight="1">
      <c r="A547" s="18" t="str">
        <f>Descargas!A547</f>
        <v>444@dymiel.es</v>
      </c>
      <c r="B547" s="19" t="str">
        <f>IFERROR(__xludf.DUMMYFUNCTION("IF(OR(regexmatch(A547,"".*@simon.es$""),REGEXMATCH(A547,"".*@simon.pt$""),REGEXMATCH(A547,"".*@simonelectrica.com$""),REGEXMATCH(A547,"".*@hiberus.com$""),REGEXMATCH(A547,"".*@simonbrico.es$""),regexmatch(A547,"".*@simonelectric.com$"")),""null"",A547)"),"444@dymiel.es")</f>
        <v>444@dymiel.es</v>
      </c>
      <c r="C547" s="5">
        <f>IF(B547="null","null",Descargas!B547)</f>
        <v>43985</v>
      </c>
      <c r="D547" s="6" t="str">
        <f>Descargas!E547</f>
        <v>https://resources.simonelectric.com/simon-ebook-vehiculo-electrico</v>
      </c>
      <c r="E547" s="20" t="str">
        <f t="shared" si="1"/>
        <v>444@dymiel.es</v>
      </c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</row>
    <row r="548" ht="15.75" customHeight="1">
      <c r="A548" s="18" t="str">
        <f>Descargas!A548</f>
        <v>445@sueprat.es</v>
      </c>
      <c r="B548" s="19" t="str">
        <f>IFERROR(__xludf.DUMMYFUNCTION("IF(OR(regexmatch(A548,"".*@simon.es$""),REGEXMATCH(A548,"".*@simon.pt$""),REGEXMATCH(A548,"".*@simonelectrica.com$""),REGEXMATCH(A548,"".*@hiberus.com$""),REGEXMATCH(A548,"".*@simonbrico.es$""),regexmatch(A548,"".*@simonelectric.com$"")),""null"",A548)"),"445@sueprat.es")</f>
        <v>445@sueprat.es</v>
      </c>
      <c r="C548" s="5">
        <f>IF(B548="null","null",Descargas!B548)</f>
        <v>43985</v>
      </c>
      <c r="D548" s="6" t="str">
        <f>Descargas!E548</f>
        <v>https://resources.simonelectric.com/simon-catalogo-vehiculo-electrico</v>
      </c>
      <c r="E548" s="20" t="str">
        <f t="shared" si="1"/>
        <v>445@sueprat.es</v>
      </c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</row>
    <row r="549" ht="15.75" customHeight="1">
      <c r="A549" s="18" t="str">
        <f>Descargas!A549</f>
        <v>446@atega.net</v>
      </c>
      <c r="B549" s="19" t="str">
        <f>IFERROR(__xludf.DUMMYFUNCTION("IF(OR(regexmatch(A549,"".*@simon.es$""),REGEXMATCH(A549,"".*@simon.pt$""),REGEXMATCH(A549,"".*@simonelectrica.com$""),REGEXMATCH(A549,"".*@hiberus.com$""),REGEXMATCH(A549,"".*@simonbrico.es$""),regexmatch(A549,"".*@simonelectric.com$"")),""null"",A549)"),"446@atega.net")</f>
        <v>446@atega.net</v>
      </c>
      <c r="C549" s="5">
        <f>IF(B549="null","null",Descargas!B549)</f>
        <v>43985</v>
      </c>
      <c r="D549" s="6" t="str">
        <f>Descargas!E549</f>
        <v>https://resources.simonelectric.com/simon-ebook-vehiculo-electrico</v>
      </c>
      <c r="E549" s="20" t="str">
        <f t="shared" si="1"/>
        <v>446@atega.net</v>
      </c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</row>
    <row r="550" ht="15.75" customHeight="1">
      <c r="A550" s="18" t="str">
        <f>Descargas!A550</f>
        <v>447@iescotesbaixes.org</v>
      </c>
      <c r="B550" s="19" t="str">
        <f>IFERROR(__xludf.DUMMYFUNCTION("IF(OR(regexmatch(A550,"".*@simon.es$""),REGEXMATCH(A550,"".*@simon.pt$""),REGEXMATCH(A550,"".*@simonelectrica.com$""),REGEXMATCH(A550,"".*@hiberus.com$""),REGEXMATCH(A550,"".*@simonbrico.es$""),regexmatch(A550,"".*@simonelectric.com$"")),""null"",A550)"),"447@iescotesbaixes.org")</f>
        <v>447@iescotesbaixes.org</v>
      </c>
      <c r="C550" s="5">
        <f>IF(B550="null","null",Descargas!B550)</f>
        <v>43985</v>
      </c>
      <c r="D550" s="6" t="str">
        <f>Descargas!E550</f>
        <v>https://resources.simonelectric.com/simon-ebook-vehiculo-electrico</v>
      </c>
      <c r="E550" s="20" t="str">
        <f t="shared" si="1"/>
        <v>447@iescotesbaixes.org</v>
      </c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</row>
    <row r="551" ht="15.75" customHeight="1">
      <c r="A551" s="18" t="str">
        <f>Descargas!A551</f>
        <v>448@gmail.com</v>
      </c>
      <c r="B551" s="19" t="str">
        <f>IFERROR(__xludf.DUMMYFUNCTION("IF(OR(regexmatch(A551,"".*@simon.es$""),REGEXMATCH(A551,"".*@simon.pt$""),REGEXMATCH(A551,"".*@simonelectrica.com$""),REGEXMATCH(A551,"".*@hiberus.com$""),REGEXMATCH(A551,"".*@simonbrico.es$""),regexmatch(A551,"".*@simonelectric.com$"")),""null"",A551)"),"448@gmail.com")</f>
        <v>448@gmail.com</v>
      </c>
      <c r="C551" s="5">
        <f>IF(B551="null","null",Descargas!B551)</f>
        <v>43985</v>
      </c>
      <c r="D551" s="6" t="str">
        <f>Descargas!E551</f>
        <v>https://resources.simonelectric.com/simon-ebook-vehiculo-electrico</v>
      </c>
      <c r="E551" s="20" t="str">
        <f t="shared" si="1"/>
        <v>448@gmail.com</v>
      </c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</row>
    <row r="552" ht="15.75" customHeight="1">
      <c r="A552" s="18" t="str">
        <f>Descargas!A552</f>
        <v>449@urgon.es</v>
      </c>
      <c r="B552" s="19" t="str">
        <f>IFERROR(__xludf.DUMMYFUNCTION("IF(OR(regexmatch(A552,"".*@simon.es$""),REGEXMATCH(A552,"".*@simon.pt$""),REGEXMATCH(A552,"".*@simonelectrica.com$""),REGEXMATCH(A552,"".*@hiberus.com$""),REGEXMATCH(A552,"".*@simonbrico.es$""),regexmatch(A552,"".*@simonelectric.com$"")),""null"",A552)"),"449@urgon.es")</f>
        <v>449@urgon.es</v>
      </c>
      <c r="C552" s="5">
        <f>IF(B552="null","null",Descargas!B552)</f>
        <v>43985</v>
      </c>
      <c r="D552" s="6" t="str">
        <f>Descargas!E552</f>
        <v>https://resources.simonelectric.com/simon-ebook-vehiculo-electrico</v>
      </c>
      <c r="E552" s="20" t="str">
        <f t="shared" si="1"/>
        <v>449@urgon.es</v>
      </c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</row>
    <row r="553" ht="15.75" customHeight="1">
      <c r="A553" s="18" t="str">
        <f>Descargas!A553</f>
        <v>450@gmail.com</v>
      </c>
      <c r="B553" s="19" t="str">
        <f>IFERROR(__xludf.DUMMYFUNCTION("IF(OR(regexmatch(A553,"".*@simon.es$""),REGEXMATCH(A553,"".*@simon.pt$""),REGEXMATCH(A553,"".*@simonelectrica.com$""),REGEXMATCH(A553,"".*@hiberus.com$""),REGEXMATCH(A553,"".*@simonbrico.es$""),regexmatch(A553,"".*@simonelectric.com$"")),""null"",A553)"),"450@gmail.com")</f>
        <v>450@gmail.com</v>
      </c>
      <c r="C553" s="5">
        <f>IF(B553="null","null",Descargas!B553)</f>
        <v>43985</v>
      </c>
      <c r="D553" s="6" t="str">
        <f>Descargas!E553</f>
        <v>https://resources.simonelectric.com/simon-ebook-vehiculo-electrico</v>
      </c>
      <c r="E553" s="20" t="str">
        <f t="shared" si="1"/>
        <v>450@gmail.com</v>
      </c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</row>
    <row r="554" ht="15.75" customHeight="1">
      <c r="A554" s="18" t="str">
        <f>Descargas!A554</f>
        <v>451@ingelux.com</v>
      </c>
      <c r="B554" s="19" t="str">
        <f>IFERROR(__xludf.DUMMYFUNCTION("IF(OR(regexmatch(A554,"".*@simon.es$""),REGEXMATCH(A554,"".*@simon.pt$""),REGEXMATCH(A554,"".*@simonelectrica.com$""),REGEXMATCH(A554,"".*@hiberus.com$""),REGEXMATCH(A554,"".*@simonbrico.es$""),regexmatch(A554,"".*@simonelectric.com$"")),""null"",A554)"),"451@ingelux.com")</f>
        <v>451@ingelux.com</v>
      </c>
      <c r="C554" s="5">
        <f>IF(B554="null","null",Descargas!B554)</f>
        <v>43985</v>
      </c>
      <c r="D554" s="6" t="str">
        <f>Descargas!E554</f>
        <v>https://resources.simonelectric.com/simon-ebook-vehiculo-electrico</v>
      </c>
      <c r="E554" s="20" t="str">
        <f t="shared" si="1"/>
        <v>451@ingelux.com</v>
      </c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</row>
    <row r="555" ht="15.75" customHeight="1">
      <c r="A555" s="18" t="str">
        <f>Descargas!A555</f>
        <v>452@urgon.es</v>
      </c>
      <c r="B555" s="19" t="str">
        <f>IFERROR(__xludf.DUMMYFUNCTION("IF(OR(regexmatch(A555,"".*@simon.es$""),REGEXMATCH(A555,"".*@simon.pt$""),REGEXMATCH(A555,"".*@simonelectrica.com$""),REGEXMATCH(A555,"".*@hiberus.com$""),REGEXMATCH(A555,"".*@simonbrico.es$""),regexmatch(A555,"".*@simonelectric.com$"")),""null"",A555)"),"452@urgon.es")</f>
        <v>452@urgon.es</v>
      </c>
      <c r="C555" s="5">
        <f>IF(B555="null","null",Descargas!B555)</f>
        <v>43985</v>
      </c>
      <c r="D555" s="6" t="str">
        <f>Descargas!E555</f>
        <v>https://resources.simonelectric.com/simon-ebook-vehiculo-electrico</v>
      </c>
      <c r="E555" s="20" t="str">
        <f t="shared" si="1"/>
        <v>452@urgon.es</v>
      </c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</row>
    <row r="556" ht="15.75" customHeight="1">
      <c r="A556" s="18" t="str">
        <f>Descargas!A556</f>
        <v>453@edelafuente.com</v>
      </c>
      <c r="B556" s="19" t="str">
        <f>IFERROR(__xludf.DUMMYFUNCTION("IF(OR(regexmatch(A556,"".*@simon.es$""),REGEXMATCH(A556,"".*@simon.pt$""),REGEXMATCH(A556,"".*@simonelectrica.com$""),REGEXMATCH(A556,"".*@hiberus.com$""),REGEXMATCH(A556,"".*@simonbrico.es$""),regexmatch(A556,"".*@simonelectric.com$"")),""null"",A556)"),"453@edelafuente.com")</f>
        <v>453@edelafuente.com</v>
      </c>
      <c r="C556" s="5">
        <f>IF(B556="null","null",Descargas!B556)</f>
        <v>43985</v>
      </c>
      <c r="D556" s="6" t="str">
        <f>Descargas!E556</f>
        <v>https://resources.simonelectric.com/simon-ebook-vehiculo-electrico</v>
      </c>
      <c r="E556" s="20" t="str">
        <f t="shared" si="1"/>
        <v>453@edelafuente.com</v>
      </c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</row>
    <row r="557" ht="15.75" customHeight="1">
      <c r="A557" s="18" t="str">
        <f>Descargas!A557</f>
        <v>454@gmail.com</v>
      </c>
      <c r="B557" s="19" t="str">
        <f>IFERROR(__xludf.DUMMYFUNCTION("IF(OR(regexmatch(A557,"".*@simon.es$""),REGEXMATCH(A557,"".*@simon.pt$""),REGEXMATCH(A557,"".*@simonelectrica.com$""),REGEXMATCH(A557,"".*@hiberus.com$""),REGEXMATCH(A557,"".*@simonbrico.es$""),regexmatch(A557,"".*@simonelectric.com$"")),""null"",A557)"),"454@gmail.com")</f>
        <v>454@gmail.com</v>
      </c>
      <c r="C557" s="5">
        <f>IF(B557="null","null",Descargas!B557)</f>
        <v>43984</v>
      </c>
      <c r="D557" s="6" t="str">
        <f>Descargas!E557</f>
        <v>https://resources.simonelectric.com/simon-catalogo-vehiculo-electrico</v>
      </c>
      <c r="E557" s="20" t="str">
        <f t="shared" si="1"/>
        <v>454@gmail.com</v>
      </c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</row>
    <row r="558" ht="15.75" customHeight="1">
      <c r="A558" s="18" t="str">
        <f>Descargas!A558</f>
        <v>455@gmail.com</v>
      </c>
      <c r="B558" s="19" t="str">
        <f>IFERROR(__xludf.DUMMYFUNCTION("IF(OR(regexmatch(A558,"".*@simon.es$""),REGEXMATCH(A558,"".*@simon.pt$""),REGEXMATCH(A558,"".*@simonelectrica.com$""),REGEXMATCH(A558,"".*@hiberus.com$""),REGEXMATCH(A558,"".*@simonbrico.es$""),regexmatch(A558,"".*@simonelectric.com$"")),""null"",A558)"),"455@gmail.com")</f>
        <v>455@gmail.com</v>
      </c>
      <c r="C558" s="5">
        <f>IF(B558="null","null",Descargas!B558)</f>
        <v>43984</v>
      </c>
      <c r="D558" s="6" t="str">
        <f>Descargas!E558</f>
        <v>https://resources.simonelectric.com/simon-ebook-vehiculo-electrico-ppc</v>
      </c>
      <c r="E558" s="20" t="str">
        <f t="shared" si="1"/>
        <v>455@gmail.com</v>
      </c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</row>
    <row r="559" ht="15.75" customHeight="1">
      <c r="A559" s="18" t="str">
        <f>Descargas!A559</f>
        <v>456@electricidadvilela.com</v>
      </c>
      <c r="B559" s="19" t="str">
        <f>IFERROR(__xludf.DUMMYFUNCTION("IF(OR(regexmatch(A559,"".*@simon.es$""),REGEXMATCH(A559,"".*@simon.pt$""),REGEXMATCH(A559,"".*@simonelectrica.com$""),REGEXMATCH(A559,"".*@hiberus.com$""),REGEXMATCH(A559,"".*@simonbrico.es$""),regexmatch(A559,"".*@simonelectric.com$"")),""null"",A559)"),"456@electricidadvilela.com")</f>
        <v>456@electricidadvilela.com</v>
      </c>
      <c r="C559" s="5">
        <f>IF(B559="null","null",Descargas!B559)</f>
        <v>43984</v>
      </c>
      <c r="D559" s="6" t="str">
        <f>Descargas!E559</f>
        <v>https://resources.simonelectric.com/simon-ebook-vehiculo-electrico</v>
      </c>
      <c r="E559" s="20" t="str">
        <f t="shared" si="1"/>
        <v>456@electricidadvilela.com</v>
      </c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</row>
    <row r="560" ht="15.75" customHeight="1">
      <c r="A560" s="18" t="str">
        <f>Descargas!A560</f>
        <v>457@outlook.com</v>
      </c>
      <c r="B560" s="19" t="str">
        <f>IFERROR(__xludf.DUMMYFUNCTION("IF(OR(regexmatch(A560,"".*@simon.es$""),REGEXMATCH(A560,"".*@simon.pt$""),REGEXMATCH(A560,"".*@simonelectrica.com$""),REGEXMATCH(A560,"".*@hiberus.com$""),REGEXMATCH(A560,"".*@simonbrico.es$""),regexmatch(A560,"".*@simonelectric.com$"")),""null"",A560)"),"457@outlook.com")</f>
        <v>457@outlook.com</v>
      </c>
      <c r="C560" s="5">
        <f>IF(B560="null","null",Descargas!B560)</f>
        <v>43984</v>
      </c>
      <c r="D560" s="6" t="str">
        <f>Descargas!E560</f>
        <v>https://resources.simonelectric.com/simon-ebook-vehiculo-electrico</v>
      </c>
      <c r="E560" s="20" t="str">
        <f t="shared" si="1"/>
        <v>457@outlook.com</v>
      </c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</row>
    <row r="561" ht="15.75" customHeight="1">
      <c r="A561" s="18" t="str">
        <f>Descargas!A561</f>
        <v>458@imel.es</v>
      </c>
      <c r="B561" s="19" t="str">
        <f>IFERROR(__xludf.DUMMYFUNCTION("IF(OR(regexmatch(A561,"".*@simon.es$""),REGEXMATCH(A561,"".*@simon.pt$""),REGEXMATCH(A561,"".*@simonelectrica.com$""),REGEXMATCH(A561,"".*@hiberus.com$""),REGEXMATCH(A561,"".*@simonbrico.es$""),regexmatch(A561,"".*@simonelectric.com$"")),""null"",A561)"),"458@imel.es")</f>
        <v>458@imel.es</v>
      </c>
      <c r="C561" s="5">
        <f>IF(B561="null","null",Descargas!B561)</f>
        <v>43984</v>
      </c>
      <c r="D561" s="6" t="str">
        <f>Descargas!E561</f>
        <v>https://resources.simonelectric.com/simon-ebook-vehiculo-electrico</v>
      </c>
      <c r="E561" s="20" t="str">
        <f t="shared" si="1"/>
        <v>458@imel.es</v>
      </c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</row>
    <row r="562" ht="15.75" customHeight="1">
      <c r="A562" s="18" t="str">
        <f>Descargas!A562</f>
        <v>459@sesetec.com</v>
      </c>
      <c r="B562" s="19" t="str">
        <f>IFERROR(__xludf.DUMMYFUNCTION("IF(OR(regexmatch(A562,"".*@simon.es$""),REGEXMATCH(A562,"".*@simon.pt$""),REGEXMATCH(A562,"".*@simonelectrica.com$""),REGEXMATCH(A562,"".*@hiberus.com$""),REGEXMATCH(A562,"".*@simonbrico.es$""),regexmatch(A562,"".*@simonelectric.com$"")),""null"",A562)"),"459@sesetec.com")</f>
        <v>459@sesetec.com</v>
      </c>
      <c r="C562" s="5">
        <f>IF(B562="null","null",Descargas!B562)</f>
        <v>43984</v>
      </c>
      <c r="D562" s="6" t="str">
        <f>Descargas!E562</f>
        <v>https://resources.simonelectric.com/simon-ebook-vehiculo-electrico</v>
      </c>
      <c r="E562" s="20" t="str">
        <f t="shared" si="1"/>
        <v>459@sesetec.com</v>
      </c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</row>
    <row r="563" ht="15.75" customHeight="1">
      <c r="A563" s="18" t="str">
        <f>Descargas!A563</f>
        <v>460@gmail.com</v>
      </c>
      <c r="B563" s="19" t="str">
        <f>IFERROR(__xludf.DUMMYFUNCTION("IF(OR(regexmatch(A563,"".*@simon.es$""),REGEXMATCH(A563,"".*@simon.pt$""),REGEXMATCH(A563,"".*@simonelectrica.com$""),REGEXMATCH(A563,"".*@hiberus.com$""),REGEXMATCH(A563,"".*@simonbrico.es$""),regexmatch(A563,"".*@simonelectric.com$"")),""null"",A563)"),"460@gmail.com")</f>
        <v>460@gmail.com</v>
      </c>
      <c r="C563" s="5">
        <f>IF(B563="null","null",Descargas!B563)</f>
        <v>43984</v>
      </c>
      <c r="D563" s="6" t="str">
        <f>Descargas!E563</f>
        <v>https://resources.simonelectric.com/simon-ebook-vehiculo-electrico-ppc</v>
      </c>
      <c r="E563" s="20" t="str">
        <f t="shared" si="1"/>
        <v>460@gmail.com</v>
      </c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</row>
    <row r="564" ht="15.75" customHeight="1">
      <c r="A564" s="18" t="str">
        <f>Descargas!A564</f>
        <v>461@msn.com</v>
      </c>
      <c r="B564" s="19" t="str">
        <f>IFERROR(__xludf.DUMMYFUNCTION("IF(OR(regexmatch(A564,"".*@simon.es$""),REGEXMATCH(A564,"".*@simon.pt$""),REGEXMATCH(A564,"".*@simonelectrica.com$""),REGEXMATCH(A564,"".*@hiberus.com$""),REGEXMATCH(A564,"".*@simonbrico.es$""),regexmatch(A564,"".*@simonelectric.com$"")),""null"",A564)"),"461@msn.com")</f>
        <v>461@msn.com</v>
      </c>
      <c r="C564" s="5">
        <f>IF(B564="null","null",Descargas!B564)</f>
        <v>43984</v>
      </c>
      <c r="D564" s="6" t="str">
        <f>Descargas!E564</f>
        <v>https://resources.simonelectric.com/simon-ebook-vehiculo-electrico-ppc</v>
      </c>
      <c r="E564" s="20" t="str">
        <f t="shared" si="1"/>
        <v>461@msn.com</v>
      </c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</row>
    <row r="565" ht="15.75" customHeight="1">
      <c r="A565" s="18" t="str">
        <f>Descargas!A565</f>
        <v>462@gmail.com</v>
      </c>
      <c r="B565" s="19" t="str">
        <f>IFERROR(__xludf.DUMMYFUNCTION("IF(OR(regexmatch(A565,"".*@simon.es$""),REGEXMATCH(A565,"".*@simon.pt$""),REGEXMATCH(A565,"".*@simonelectrica.com$""),REGEXMATCH(A565,"".*@hiberus.com$""),REGEXMATCH(A565,"".*@simonbrico.es$""),regexmatch(A565,"".*@simonelectric.com$"")),""null"",A565)"),"462@gmail.com")</f>
        <v>462@gmail.com</v>
      </c>
      <c r="C565" s="5">
        <f>IF(B565="null","null",Descargas!B565)</f>
        <v>43984</v>
      </c>
      <c r="D565" s="6" t="str">
        <f>Descargas!E565</f>
        <v>https://resources.simonelectric.com/simon-ebook-vehiculo-electrico-ppc</v>
      </c>
      <c r="E565" s="20" t="str">
        <f t="shared" si="1"/>
        <v>462@gmail.com</v>
      </c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</row>
    <row r="566" ht="15.75" customHeight="1">
      <c r="A566" s="18" t="str">
        <f>Descargas!A566</f>
        <v>463@gmail.com</v>
      </c>
      <c r="B566" s="19" t="str">
        <f>IFERROR(__xludf.DUMMYFUNCTION("IF(OR(regexmatch(A566,"".*@simon.es$""),REGEXMATCH(A566,"".*@simon.pt$""),REGEXMATCH(A566,"".*@simonelectrica.com$""),REGEXMATCH(A566,"".*@hiberus.com$""),REGEXMATCH(A566,"".*@simonbrico.es$""),regexmatch(A566,"".*@simonelectric.com$"")),""null"",A566)"),"463@gmail.com")</f>
        <v>463@gmail.com</v>
      </c>
      <c r="C566" s="5">
        <f>IF(B566="null","null",Descargas!B566)</f>
        <v>43983</v>
      </c>
      <c r="D566" s="6" t="str">
        <f>Descargas!E566</f>
        <v>https://resources.simonelectric.com/simon-catalogo-vehiculo-electrico</v>
      </c>
      <c r="E566" s="20" t="str">
        <f t="shared" si="1"/>
        <v>463@gmail.com</v>
      </c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</row>
    <row r="567" ht="15.75" customHeight="1">
      <c r="A567" s="18" t="str">
        <f>Descargas!A567</f>
        <v>464@hotmail.es</v>
      </c>
      <c r="B567" s="19" t="str">
        <f>IFERROR(__xludf.DUMMYFUNCTION("IF(OR(regexmatch(A567,"".*@simon.es$""),REGEXMATCH(A567,"".*@simon.pt$""),REGEXMATCH(A567,"".*@simonelectrica.com$""),REGEXMATCH(A567,"".*@hiberus.com$""),REGEXMATCH(A567,"".*@simonbrico.es$""),regexmatch(A567,"".*@simonelectric.com$"")),""null"",A567)"),"464@hotmail.es")</f>
        <v>464@hotmail.es</v>
      </c>
      <c r="C567" s="5">
        <f>IF(B567="null","null",Descargas!B567)</f>
        <v>43983</v>
      </c>
      <c r="D567" s="6" t="str">
        <f>Descargas!E567</f>
        <v>https://resources.simonelectric.com/simon-ebook-vehiculo-electrico-0</v>
      </c>
      <c r="E567" s="20" t="str">
        <f t="shared" si="1"/>
        <v>464@hotmail.es</v>
      </c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</row>
    <row r="568" ht="15.75" customHeight="1">
      <c r="A568" s="18" t="str">
        <f>Descargas!A568</f>
        <v>465@hotmail.com</v>
      </c>
      <c r="B568" s="19" t="str">
        <f>IFERROR(__xludf.DUMMYFUNCTION("IF(OR(regexmatch(A568,"".*@simon.es$""),REGEXMATCH(A568,"".*@simon.pt$""),REGEXMATCH(A568,"".*@simonelectrica.com$""),REGEXMATCH(A568,"".*@hiberus.com$""),REGEXMATCH(A568,"".*@simonbrico.es$""),regexmatch(A568,"".*@simonelectric.com$"")),""null"",A568)"),"465@hotmail.com")</f>
        <v>465@hotmail.com</v>
      </c>
      <c r="C568" s="5">
        <f>IF(B568="null","null",Descargas!B568)</f>
        <v>43983</v>
      </c>
      <c r="D568" s="6" t="str">
        <f>Descargas!E568</f>
        <v>https://resources.simonelectric.com/simon-catalogo-vehiculo-electrico</v>
      </c>
      <c r="E568" s="20" t="str">
        <f t="shared" si="1"/>
        <v>465@hotmail.com</v>
      </c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</row>
    <row r="569" ht="15.75" customHeight="1">
      <c r="A569" s="18" t="str">
        <f>Descargas!A569</f>
        <v>465@hotmail.com</v>
      </c>
      <c r="B569" s="19" t="str">
        <f>IFERROR(__xludf.DUMMYFUNCTION("IF(OR(regexmatch(A569,"".*@simon.es$""),REGEXMATCH(A569,"".*@simon.pt$""),REGEXMATCH(A569,"".*@simonelectrica.com$""),REGEXMATCH(A569,"".*@hiberus.com$""),REGEXMATCH(A569,"".*@simonbrico.es$""),regexmatch(A569,"".*@simonelectric.com$"")),""null"",A569)"),"465@hotmail.com")</f>
        <v>465@hotmail.com</v>
      </c>
      <c r="C569" s="5">
        <f>IF(B569="null","null",Descargas!B569)</f>
        <v>43983</v>
      </c>
      <c r="D569" s="6" t="str">
        <f>Descargas!E569</f>
        <v>https://resources.simonelectric.com/simon-ebook-vehiculo-electrico</v>
      </c>
      <c r="E569" s="20" t="str">
        <f t="shared" si="1"/>
        <v>465@hotmail.com</v>
      </c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</row>
    <row r="570" ht="15.75" customHeight="1">
      <c r="A570" s="18" t="str">
        <f>Descargas!A570</f>
        <v>466@gmail.com</v>
      </c>
      <c r="B570" s="19" t="str">
        <f>IFERROR(__xludf.DUMMYFUNCTION("IF(OR(regexmatch(A570,"".*@simon.es$""),REGEXMATCH(A570,"".*@simon.pt$""),REGEXMATCH(A570,"".*@simonelectrica.com$""),REGEXMATCH(A570,"".*@hiberus.com$""),REGEXMATCH(A570,"".*@simonbrico.es$""),regexmatch(A570,"".*@simonelectric.com$"")),""null"",A570)"),"466@gmail.com")</f>
        <v>466@gmail.com</v>
      </c>
      <c r="C570" s="5">
        <f>IF(B570="null","null",Descargas!B570)</f>
        <v>43983</v>
      </c>
      <c r="D570" s="6" t="str">
        <f>Descargas!E570</f>
        <v>https://resources.simonelectric.com/simon-ebook-vehiculo-electrico-0</v>
      </c>
      <c r="E570" s="20" t="str">
        <f t="shared" si="1"/>
        <v>466@gmail.com</v>
      </c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</row>
    <row r="571" ht="15.75" customHeight="1">
      <c r="A571" s="18" t="str">
        <f>Descargas!A571</f>
        <v>467@gmail.com</v>
      </c>
      <c r="B571" s="19" t="str">
        <f>IFERROR(__xludf.DUMMYFUNCTION("IF(OR(regexmatch(A571,"".*@simon.es$""),REGEXMATCH(A571,"".*@simon.pt$""),REGEXMATCH(A571,"".*@simonelectrica.com$""),REGEXMATCH(A571,"".*@hiberus.com$""),REGEXMATCH(A571,"".*@simonbrico.es$""),regexmatch(A571,"".*@simonelectric.com$"")),""null"",A571)"),"467@gmail.com")</f>
        <v>467@gmail.com</v>
      </c>
      <c r="C571" s="5">
        <f>IF(B571="null","null",Descargas!B571)</f>
        <v>43983</v>
      </c>
      <c r="D571" s="6" t="str">
        <f>Descargas!E571</f>
        <v>https://resources.simonelectric.com/simon-ebook-vehiculo-electrico-ppc</v>
      </c>
      <c r="E571" s="20" t="str">
        <f t="shared" si="1"/>
        <v>467@gmail.com</v>
      </c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</row>
    <row r="572" ht="15.75" customHeight="1">
      <c r="A572" s="18" t="str">
        <f>Descargas!A572</f>
        <v>468@yahoo.es</v>
      </c>
      <c r="B572" s="19" t="str">
        <f>IFERROR(__xludf.DUMMYFUNCTION("IF(OR(regexmatch(A572,"".*@simon.es$""),REGEXMATCH(A572,"".*@simon.pt$""),REGEXMATCH(A572,"".*@simonelectrica.com$""),REGEXMATCH(A572,"".*@hiberus.com$""),REGEXMATCH(A572,"".*@simonbrico.es$""),regexmatch(A572,"".*@simonelectric.com$"")),""null"",A572)"),"468@yahoo.es")</f>
        <v>468@yahoo.es</v>
      </c>
      <c r="C572" s="5">
        <f>IF(B572="null","null",Descargas!B572)</f>
        <v>43983</v>
      </c>
      <c r="D572" s="6" t="str">
        <f>Descargas!E572</f>
        <v>https://resources.simonelectric.com/simon-ebook-vehiculo-electrico</v>
      </c>
      <c r="E572" s="20" t="str">
        <f t="shared" si="1"/>
        <v>468@yahoo.es</v>
      </c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</row>
    <row r="573" ht="15.75" customHeight="1">
      <c r="A573" s="18" t="str">
        <f>Descargas!A573</f>
        <v>469@somorrostro.com</v>
      </c>
      <c r="B573" s="19" t="str">
        <f>IFERROR(__xludf.DUMMYFUNCTION("IF(OR(regexmatch(A573,"".*@simon.es$""),REGEXMATCH(A573,"".*@simon.pt$""),REGEXMATCH(A573,"".*@simonelectrica.com$""),REGEXMATCH(A573,"".*@hiberus.com$""),REGEXMATCH(A573,"".*@simonbrico.es$""),regexmatch(A573,"".*@simonelectric.com$"")),""null"",A573)"),"469@somorrostro.com")</f>
        <v>469@somorrostro.com</v>
      </c>
      <c r="C573" s="5">
        <f>IF(B573="null","null",Descargas!B573)</f>
        <v>43983</v>
      </c>
      <c r="D573" s="6" t="str">
        <f>Descargas!E573</f>
        <v>https://resources.simonelectric.com/simon-ebook-vehiculo-electrico</v>
      </c>
      <c r="E573" s="20" t="str">
        <f t="shared" si="1"/>
        <v>469@somorrostro.com</v>
      </c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</row>
    <row r="574" ht="15.75" customHeight="1">
      <c r="A574" s="18" t="str">
        <f>Descargas!A574</f>
        <v>470@gmail.com</v>
      </c>
      <c r="B574" s="19" t="str">
        <f>IFERROR(__xludf.DUMMYFUNCTION("IF(OR(regexmatch(A574,"".*@simon.es$""),REGEXMATCH(A574,"".*@simon.pt$""),REGEXMATCH(A574,"".*@simonelectrica.com$""),REGEXMATCH(A574,"".*@hiberus.com$""),REGEXMATCH(A574,"".*@simonbrico.es$""),regexmatch(A574,"".*@simonelectric.com$"")),""null"",A574)"),"470@gmail.com")</f>
        <v>470@gmail.com</v>
      </c>
      <c r="C574" s="5">
        <f>IF(B574="null","null",Descargas!B574)</f>
        <v>43983</v>
      </c>
      <c r="D574" s="6" t="str">
        <f>Descargas!E574</f>
        <v>https://resources.simonelectric.com/simon-material-formativo-vehiculo-electrico</v>
      </c>
      <c r="E574" s="20" t="str">
        <f t="shared" si="1"/>
        <v>470@gmail.com</v>
      </c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</row>
    <row r="575" ht="15.75" customHeight="1">
      <c r="A575" s="18" t="str">
        <f>Descargas!A575</f>
        <v>471@abengoa.com</v>
      </c>
      <c r="B575" s="19" t="str">
        <f>IFERROR(__xludf.DUMMYFUNCTION("IF(OR(regexmatch(A575,"".*@simon.es$""),REGEXMATCH(A575,"".*@simon.pt$""),REGEXMATCH(A575,"".*@simonelectrica.com$""),REGEXMATCH(A575,"".*@hiberus.com$""),REGEXMATCH(A575,"".*@simonbrico.es$""),regexmatch(A575,"".*@simonelectric.com$"")),""null"",A575)"),"471@abengoa.com")</f>
        <v>471@abengoa.com</v>
      </c>
      <c r="C575" s="5">
        <f>IF(B575="null","null",Descargas!B575)</f>
        <v>43983</v>
      </c>
      <c r="D575" s="6" t="str">
        <f>Descargas!E575</f>
        <v>https://resources.simonelectric.com/simon-ebook-vehiculo-electrico-ppc</v>
      </c>
      <c r="E575" s="20" t="str">
        <f t="shared" si="1"/>
        <v>471@abengoa.com</v>
      </c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</row>
    <row r="576" ht="15.75" customHeight="1">
      <c r="A576" s="18" t="str">
        <f>Descargas!A576</f>
        <v>454@gmail.com</v>
      </c>
      <c r="B576" s="19" t="str">
        <f>IFERROR(__xludf.DUMMYFUNCTION("IF(OR(regexmatch(A576,"".*@simon.es$""),REGEXMATCH(A576,"".*@simon.pt$""),REGEXMATCH(A576,"".*@simonelectrica.com$""),REGEXMATCH(A576,"".*@hiberus.com$""),REGEXMATCH(A576,"".*@simonbrico.es$""),regexmatch(A576,"".*@simonelectric.com$"")),""null"",A576)"),"454@gmail.com")</f>
        <v>454@gmail.com</v>
      </c>
      <c r="C576" s="5">
        <f>IF(B576="null","null",Descargas!B576)</f>
        <v>43983</v>
      </c>
      <c r="D576" s="6" t="str">
        <f>Descargas!E576</f>
        <v>https://resources.simonelectric.com/simon-catalogo-vehiculo-electrico</v>
      </c>
      <c r="E576" s="20" t="str">
        <f t="shared" si="1"/>
        <v>454@gmail.com</v>
      </c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</row>
    <row r="577" ht="15.75" customHeight="1">
      <c r="A577" s="18" t="str">
        <f>Descargas!A577</f>
        <v>472@ebcn.cat</v>
      </c>
      <c r="B577" s="19" t="str">
        <f>IFERROR(__xludf.DUMMYFUNCTION("IF(OR(regexmatch(A577,"".*@simon.es$""),REGEXMATCH(A577,"".*@simon.pt$""),REGEXMATCH(A577,"".*@simonelectrica.com$""),REGEXMATCH(A577,"".*@hiberus.com$""),REGEXMATCH(A577,"".*@simonbrico.es$""),regexmatch(A577,"".*@simonelectric.com$"")),""null"",A577)"),"472@ebcn.cat")</f>
        <v>472@ebcn.cat</v>
      </c>
      <c r="C577" s="5">
        <f>IF(B577="null","null",Descargas!B577)</f>
        <v>43983</v>
      </c>
      <c r="D577" s="6" t="str">
        <f>Descargas!E577</f>
        <v>https://resources.simonelectric.com/simon-ebook-vehiculo-electrico</v>
      </c>
      <c r="E577" s="20" t="str">
        <f t="shared" si="1"/>
        <v>472@ebcn.cat</v>
      </c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</row>
    <row r="578" ht="15.75" customHeight="1">
      <c r="A578" s="18" t="str">
        <f>Descargas!A578</f>
        <v>473@inexo.es</v>
      </c>
      <c r="B578" s="19" t="str">
        <f>IFERROR(__xludf.DUMMYFUNCTION("IF(OR(regexmatch(A578,"".*@simon.es$""),REGEXMATCH(A578,"".*@simon.pt$""),REGEXMATCH(A578,"".*@simonelectrica.com$""),REGEXMATCH(A578,"".*@hiberus.com$""),REGEXMATCH(A578,"".*@simonbrico.es$""),regexmatch(A578,"".*@simonelectric.com$"")),""null"",A578)"),"473@inexo.es")</f>
        <v>473@inexo.es</v>
      </c>
      <c r="C578" s="5">
        <f>IF(B578="null","null",Descargas!B578)</f>
        <v>43983</v>
      </c>
      <c r="D578" s="6" t="str">
        <f>Descargas!E578</f>
        <v>https://resources.simonelectric.com/simon-catalogo-vehiculo-electrico</v>
      </c>
      <c r="E578" s="20" t="str">
        <f t="shared" si="1"/>
        <v>473@inexo.es</v>
      </c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</row>
    <row r="579" ht="15.75" customHeight="1">
      <c r="A579" s="18" t="str">
        <f>Descargas!A579</f>
        <v>474@tectram.com</v>
      </c>
      <c r="B579" s="19" t="str">
        <f>IFERROR(__xludf.DUMMYFUNCTION("IF(OR(regexmatch(A579,"".*@simon.es$""),REGEXMATCH(A579,"".*@simon.pt$""),REGEXMATCH(A579,"".*@simonelectrica.com$""),REGEXMATCH(A579,"".*@hiberus.com$""),REGEXMATCH(A579,"".*@simonbrico.es$""),regexmatch(A579,"".*@simonelectric.com$"")),""null"",A579)"),"474@tectram.com")</f>
        <v>474@tectram.com</v>
      </c>
      <c r="C579" s="5">
        <f>IF(B579="null","null",Descargas!B579)</f>
        <v>43983</v>
      </c>
      <c r="D579" s="6" t="str">
        <f>Descargas!E579</f>
        <v>https://resources.simonelectric.com/simon-catalogo-vehiculo-electrico</v>
      </c>
      <c r="E579" s="20" t="str">
        <f t="shared" si="1"/>
        <v>474@tectram.com</v>
      </c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</row>
    <row r="580" ht="15.75" customHeight="1">
      <c r="A580" s="18" t="str">
        <f>Descargas!A580</f>
        <v>475@hotmail.es</v>
      </c>
      <c r="B580" s="19" t="str">
        <f>IFERROR(__xludf.DUMMYFUNCTION("IF(OR(regexmatch(A580,"".*@simon.es$""),REGEXMATCH(A580,"".*@simon.pt$""),REGEXMATCH(A580,"".*@simonelectrica.com$""),REGEXMATCH(A580,"".*@hiberus.com$""),REGEXMATCH(A580,"".*@simonbrico.es$""),regexmatch(A580,"".*@simonelectric.com$"")),""null"",A580)"),"475@hotmail.es")</f>
        <v>475@hotmail.es</v>
      </c>
      <c r="C580" s="5">
        <f>IF(B580="null","null",Descargas!B580)</f>
        <v>43983</v>
      </c>
      <c r="D580" s="6" t="str">
        <f>Descargas!E580</f>
        <v>https://resources.simonelectric.com/simon-catalogo-vehiculo-electrico</v>
      </c>
      <c r="E580" s="20" t="str">
        <f t="shared" si="1"/>
        <v>475@hotmail.es</v>
      </c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</row>
    <row r="581" ht="15.75" customHeight="1">
      <c r="A581" s="18" t="str">
        <f>Descargas!A581</f>
        <v>476@hotmail.com</v>
      </c>
      <c r="B581" s="19" t="str">
        <f>IFERROR(__xludf.DUMMYFUNCTION("IF(OR(regexmatch(A581,"".*@simon.es$""),REGEXMATCH(A581,"".*@simon.pt$""),REGEXMATCH(A581,"".*@simonelectrica.com$""),REGEXMATCH(A581,"".*@hiberus.com$""),REGEXMATCH(A581,"".*@simonbrico.es$""),regexmatch(A581,"".*@simonelectric.com$"")),""null"",A581)"),"476@hotmail.com")</f>
        <v>476@hotmail.com</v>
      </c>
      <c r="C581" s="5">
        <f>IF(B581="null","null",Descargas!B581)</f>
        <v>43983</v>
      </c>
      <c r="D581" s="6" t="str">
        <f>Descargas!E581</f>
        <v>https://resources.simonelectric.com/simon-ebook-vehiculo-electrico-ppc</v>
      </c>
      <c r="E581" s="20" t="str">
        <f t="shared" si="1"/>
        <v>476@hotmail.com</v>
      </c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</row>
    <row r="582" ht="15.75" customHeight="1">
      <c r="A582" s="18" t="str">
        <f>Descargas!A582</f>
        <v>477@gmail.com</v>
      </c>
      <c r="B582" s="19" t="str">
        <f>IFERROR(__xludf.DUMMYFUNCTION("IF(OR(regexmatch(A582,"".*@simon.es$""),REGEXMATCH(A582,"".*@simon.pt$""),REGEXMATCH(A582,"".*@simonelectrica.com$""),REGEXMATCH(A582,"".*@hiberus.com$""),REGEXMATCH(A582,"".*@simonbrico.es$""),regexmatch(A582,"".*@simonelectric.com$"")),""null"",A582)"),"477@gmail.com")</f>
        <v>477@gmail.com</v>
      </c>
      <c r="C582" s="5">
        <f>IF(B582="null","null",Descargas!B582)</f>
        <v>43982</v>
      </c>
      <c r="D582" s="6" t="str">
        <f>Descargas!E582</f>
        <v>https://resources.simonelectric.com/simon-ebook-vehiculo-electrico-ppc</v>
      </c>
      <c r="E582" s="20" t="str">
        <f t="shared" si="1"/>
        <v>477@gmail.com</v>
      </c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</row>
    <row r="583" ht="15.75" customHeight="1">
      <c r="A583" s="18" t="str">
        <f>Descargas!A583</f>
        <v>478@gmail.com</v>
      </c>
      <c r="B583" s="19" t="str">
        <f>IFERROR(__xludf.DUMMYFUNCTION("IF(OR(regexmatch(A583,"".*@simon.es$""),REGEXMATCH(A583,"".*@simon.pt$""),REGEXMATCH(A583,"".*@simonelectrica.com$""),REGEXMATCH(A583,"".*@hiberus.com$""),REGEXMATCH(A583,"".*@simonbrico.es$""),regexmatch(A583,"".*@simonelectric.com$"")),""null"",A583)"),"478@gmail.com")</f>
        <v>478@gmail.com</v>
      </c>
      <c r="C583" s="5">
        <f>IF(B583="null","null",Descargas!B583)</f>
        <v>43982</v>
      </c>
      <c r="D583" s="6" t="str">
        <f>Descargas!E583</f>
        <v>https://resources.simonelectric.com/simon-catalogo-vehiculo-electrico</v>
      </c>
      <c r="E583" s="20" t="str">
        <f t="shared" si="1"/>
        <v>478@gmail.com</v>
      </c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</row>
    <row r="584" ht="15.75" customHeight="1">
      <c r="A584" s="18" t="str">
        <f>Descargas!A584</f>
        <v>479@gmail.com</v>
      </c>
      <c r="B584" s="19" t="str">
        <f>IFERROR(__xludf.DUMMYFUNCTION("IF(OR(regexmatch(A584,"".*@simon.es$""),REGEXMATCH(A584,"".*@simon.pt$""),REGEXMATCH(A584,"".*@simonelectrica.com$""),REGEXMATCH(A584,"".*@hiberus.com$""),REGEXMATCH(A584,"".*@simonbrico.es$""),regexmatch(A584,"".*@simonelectric.com$"")),""null"",A584)"),"479@gmail.com")</f>
        <v>479@gmail.com</v>
      </c>
      <c r="C584" s="5">
        <f>IF(B584="null","null",Descargas!B584)</f>
        <v>43981</v>
      </c>
      <c r="D584" s="6" t="str">
        <f>Descargas!E584</f>
        <v>https://resources.simonelectric.com/simon-catalogo-vehiculo-electrico</v>
      </c>
      <c r="E584" s="20" t="str">
        <f t="shared" si="1"/>
        <v>479@gmail.com</v>
      </c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</row>
    <row r="585" ht="15.75" customHeight="1">
      <c r="A585" s="18" t="str">
        <f>Descargas!A585</f>
        <v>480@gmail.com</v>
      </c>
      <c r="B585" s="19" t="str">
        <f>IFERROR(__xludf.DUMMYFUNCTION("IF(OR(regexmatch(A585,"".*@simon.es$""),REGEXMATCH(A585,"".*@simon.pt$""),REGEXMATCH(A585,"".*@simonelectrica.com$""),REGEXMATCH(A585,"".*@hiberus.com$""),REGEXMATCH(A585,"".*@simonbrico.es$""),regexmatch(A585,"".*@simonelectric.com$"")),""null"",A585)"),"480@gmail.com")</f>
        <v>480@gmail.com</v>
      </c>
      <c r="C585" s="5">
        <f>IF(B585="null","null",Descargas!B585)</f>
        <v>43981</v>
      </c>
      <c r="D585" s="6" t="str">
        <f>Descargas!E585</f>
        <v>https://resources.simonelectric.com/simon-ebook-vehiculo-electrico</v>
      </c>
      <c r="E585" s="20" t="str">
        <f t="shared" si="1"/>
        <v>480@gmail.com</v>
      </c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</row>
    <row r="586" ht="15.75" customHeight="1">
      <c r="A586" s="18" t="str">
        <f>Descargas!A586</f>
        <v>481@gmail.com</v>
      </c>
      <c r="B586" s="19" t="str">
        <f>IFERROR(__xludf.DUMMYFUNCTION("IF(OR(regexmatch(A586,"".*@simon.es$""),REGEXMATCH(A586,"".*@simon.pt$""),REGEXMATCH(A586,"".*@simonelectrica.com$""),REGEXMATCH(A586,"".*@hiberus.com$""),REGEXMATCH(A586,"".*@simonbrico.es$""),regexmatch(A586,"".*@simonelectric.com$"")),""null"",A586)"),"481@gmail.com")</f>
        <v>481@gmail.com</v>
      </c>
      <c r="C586" s="5">
        <f>IF(B586="null","null",Descargas!B586)</f>
        <v>43981</v>
      </c>
      <c r="D586" s="6" t="str">
        <f>Descargas!E586</f>
        <v>https://resources.simonelectric.com/simon-ebook-vehiculo-electrico</v>
      </c>
      <c r="E586" s="20" t="str">
        <f t="shared" si="1"/>
        <v>481@gmail.com</v>
      </c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</row>
    <row r="587" ht="15.75" customHeight="1">
      <c r="A587" s="18" t="str">
        <f>Descargas!A587</f>
        <v>482@pentamatik.com</v>
      </c>
      <c r="B587" s="19" t="str">
        <f>IFERROR(__xludf.DUMMYFUNCTION("IF(OR(regexmatch(A587,"".*@simon.es$""),REGEXMATCH(A587,"".*@simon.pt$""),REGEXMATCH(A587,"".*@simonelectrica.com$""),REGEXMATCH(A587,"".*@hiberus.com$""),REGEXMATCH(A587,"".*@simonbrico.es$""),regexmatch(A587,"".*@simonelectric.com$"")),""null"",A587)"),"482@pentamatik.com")</f>
        <v>482@pentamatik.com</v>
      </c>
      <c r="C587" s="5">
        <f>IF(B587="null","null",Descargas!B587)</f>
        <v>43980</v>
      </c>
      <c r="D587" s="6" t="str">
        <f>Descargas!E587</f>
        <v>https://resources.simonelectric.com/simon-ebook-vehiculo-electrico-ppc</v>
      </c>
      <c r="E587" s="20" t="str">
        <f t="shared" si="1"/>
        <v>482@pentamatik.com</v>
      </c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</row>
    <row r="588" ht="15.75" customHeight="1">
      <c r="A588" s="18" t="str">
        <f>Descargas!A588</f>
        <v>482@pentamatik.com</v>
      </c>
      <c r="B588" s="19" t="str">
        <f>IFERROR(__xludf.DUMMYFUNCTION("IF(OR(regexmatch(A588,"".*@simon.es$""),REGEXMATCH(A588,"".*@simon.pt$""),REGEXMATCH(A588,"".*@simonelectrica.com$""),REGEXMATCH(A588,"".*@hiberus.com$""),REGEXMATCH(A588,"".*@simonbrico.es$""),regexmatch(A588,"".*@simonelectric.com$"")),""null"",A588)"),"482@pentamatik.com")</f>
        <v>482@pentamatik.com</v>
      </c>
      <c r="C588" s="5">
        <f>IF(B588="null","null",Descargas!B588)</f>
        <v>43980</v>
      </c>
      <c r="D588" s="6" t="str">
        <f>Descargas!E588</f>
        <v>https://resources.simonelectric.com/simon-ebook-vehiculo-electrico-ppc</v>
      </c>
      <c r="E588" s="20" t="str">
        <f t="shared" si="1"/>
        <v>482@pentamatik.com</v>
      </c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</row>
    <row r="589" ht="15.75" customHeight="1">
      <c r="A589" s="18" t="str">
        <f>Descargas!A589</f>
        <v>483@arval.es</v>
      </c>
      <c r="B589" s="19" t="str">
        <f>IFERROR(__xludf.DUMMYFUNCTION("IF(OR(regexmatch(A589,"".*@simon.es$""),REGEXMATCH(A589,"".*@simon.pt$""),REGEXMATCH(A589,"".*@simonelectrica.com$""),REGEXMATCH(A589,"".*@hiberus.com$""),REGEXMATCH(A589,"".*@simonbrico.es$""),regexmatch(A589,"".*@simonelectric.com$"")),""null"",A589)"),"483@arval.es")</f>
        <v>483@arval.es</v>
      </c>
      <c r="C589" s="5">
        <f>IF(B589="null","null",Descargas!B589)</f>
        <v>43980</v>
      </c>
      <c r="D589" s="6" t="str">
        <f>Descargas!E589</f>
        <v>https://resources.simonelectric.com/simon-ebook-vehiculo-electrico-ppc</v>
      </c>
      <c r="E589" s="20" t="str">
        <f t="shared" si="1"/>
        <v>483@arval.es</v>
      </c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</row>
    <row r="590" ht="15.75" customHeight="1">
      <c r="A590" s="18" t="str">
        <f>Descargas!A590</f>
        <v>484@macegroup.com</v>
      </c>
      <c r="B590" s="19" t="str">
        <f>IFERROR(__xludf.DUMMYFUNCTION("IF(OR(regexmatch(A590,"".*@simon.es$""),REGEXMATCH(A590,"".*@simon.pt$""),REGEXMATCH(A590,"".*@simonelectrica.com$""),REGEXMATCH(A590,"".*@hiberus.com$""),REGEXMATCH(A590,"".*@simonbrico.es$""),regexmatch(A590,"".*@simonelectric.com$"")),""null"",A590)"),"484@macegroup.com")</f>
        <v>484@macegroup.com</v>
      </c>
      <c r="C590" s="5">
        <f>IF(B590="null","null",Descargas!B590)</f>
        <v>43980</v>
      </c>
      <c r="D590" s="6" t="str">
        <f>Descargas!E590</f>
        <v>https://resources.simonelectric.com/simon-catalogo-vehiculo-electrico</v>
      </c>
      <c r="E590" s="20" t="str">
        <f t="shared" si="1"/>
        <v>484@macegroup.com</v>
      </c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</row>
    <row r="591" ht="15.75" customHeight="1">
      <c r="A591" s="18" t="str">
        <f>Descargas!A591</f>
        <v>484@macegroup.com</v>
      </c>
      <c r="B591" s="19" t="str">
        <f>IFERROR(__xludf.DUMMYFUNCTION("IF(OR(regexmatch(A591,"".*@simon.es$""),REGEXMATCH(A591,"".*@simon.pt$""),REGEXMATCH(A591,"".*@simonelectrica.com$""),REGEXMATCH(A591,"".*@hiberus.com$""),REGEXMATCH(A591,"".*@simonbrico.es$""),regexmatch(A591,"".*@simonelectric.com$"")),""null"",A591)"),"484@macegroup.com")</f>
        <v>484@macegroup.com</v>
      </c>
      <c r="C591" s="5">
        <f>IF(B591="null","null",Descargas!B591)</f>
        <v>43980</v>
      </c>
      <c r="D591" s="6" t="str">
        <f>Descargas!E591</f>
        <v>https://resources.simonelectric.com/simon-ebook-vehiculo-electrico</v>
      </c>
      <c r="E591" s="20" t="str">
        <f t="shared" si="1"/>
        <v>484@macegroup.com</v>
      </c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</row>
    <row r="592" ht="15.75" customHeight="1">
      <c r="A592" s="18" t="str">
        <f>Descargas!A592</f>
        <v>485@hotmail.com</v>
      </c>
      <c r="B592" s="19" t="str">
        <f>IFERROR(__xludf.DUMMYFUNCTION("IF(OR(regexmatch(A592,"".*@simon.es$""),REGEXMATCH(A592,"".*@simon.pt$""),REGEXMATCH(A592,"".*@simonelectrica.com$""),REGEXMATCH(A592,"".*@hiberus.com$""),REGEXMATCH(A592,"".*@simonbrico.es$""),regexmatch(A592,"".*@simonelectric.com$"")),""null"",A592)"),"485@hotmail.com")</f>
        <v>485@hotmail.com</v>
      </c>
      <c r="C592" s="5">
        <f>IF(B592="null","null",Descargas!B592)</f>
        <v>43980</v>
      </c>
      <c r="D592" s="6" t="str">
        <f>Descargas!E592</f>
        <v>https://resources.simonelectric.com/simon-ebook-vehiculo-electrico</v>
      </c>
      <c r="E592" s="20" t="str">
        <f t="shared" si="1"/>
        <v>485@hotmail.com</v>
      </c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</row>
    <row r="593" ht="15.75" customHeight="1">
      <c r="A593" s="18" t="str">
        <f>Descargas!A593</f>
        <v>486@gmail.com</v>
      </c>
      <c r="B593" s="19" t="str">
        <f>IFERROR(__xludf.DUMMYFUNCTION("IF(OR(regexmatch(A593,"".*@simon.es$""),REGEXMATCH(A593,"".*@simon.pt$""),REGEXMATCH(A593,"".*@simonelectrica.com$""),REGEXMATCH(A593,"".*@hiberus.com$""),REGEXMATCH(A593,"".*@simonbrico.es$""),regexmatch(A593,"".*@simonelectric.com$"")),""null"",A593)"),"486@gmail.com")</f>
        <v>486@gmail.com</v>
      </c>
      <c r="C593" s="5">
        <f>IF(B593="null","null",Descargas!B593)</f>
        <v>43980</v>
      </c>
      <c r="D593" s="6" t="str">
        <f>Descargas!E593</f>
        <v>https://resources.simonelectric.com/simon-ebook-vehiculo-electrico</v>
      </c>
      <c r="E593" s="20" t="str">
        <f t="shared" si="1"/>
        <v>486@gmail.com</v>
      </c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</row>
    <row r="594" ht="15.75" customHeight="1">
      <c r="A594" s="18" t="str">
        <f>Descargas!A594</f>
        <v>486@gmail.com</v>
      </c>
      <c r="B594" s="19" t="str">
        <f>IFERROR(__xludf.DUMMYFUNCTION("IF(OR(regexmatch(A594,"".*@simon.es$""),REGEXMATCH(A594,"".*@simon.pt$""),REGEXMATCH(A594,"".*@simonelectrica.com$""),REGEXMATCH(A594,"".*@hiberus.com$""),REGEXMATCH(A594,"".*@simonbrico.es$""),regexmatch(A594,"".*@simonelectric.com$"")),""null"",A594)"),"486@gmail.com")</f>
        <v>486@gmail.com</v>
      </c>
      <c r="C594" s="5">
        <f>IF(B594="null","null",Descargas!B594)</f>
        <v>43980</v>
      </c>
      <c r="D594" s="6" t="str">
        <f>Descargas!E594</f>
        <v>https://resources.simonelectric.com/simon-catalogo-vehiculo-electrico</v>
      </c>
      <c r="E594" s="20" t="str">
        <f t="shared" si="1"/>
        <v>486@gmail.com</v>
      </c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</row>
    <row r="595" ht="15.75" customHeight="1">
      <c r="A595" s="18" t="str">
        <f>Descargas!A595</f>
        <v>487@gmail.com</v>
      </c>
      <c r="B595" s="19" t="str">
        <f>IFERROR(__xludf.DUMMYFUNCTION("IF(OR(regexmatch(A595,"".*@simon.es$""),REGEXMATCH(A595,"".*@simon.pt$""),REGEXMATCH(A595,"".*@simonelectrica.com$""),REGEXMATCH(A595,"".*@hiberus.com$""),REGEXMATCH(A595,"".*@simonbrico.es$""),regexmatch(A595,"".*@simonelectric.com$"")),""null"",A595)"),"487@gmail.com")</f>
        <v>487@gmail.com</v>
      </c>
      <c r="C595" s="5">
        <f>IF(B595="null","null",Descargas!B595)</f>
        <v>43980</v>
      </c>
      <c r="D595" s="6" t="str">
        <f>Descargas!E595</f>
        <v>https://resources.simonelectric.com/simon-ebook-vehiculo-electrico</v>
      </c>
      <c r="E595" s="20" t="str">
        <f t="shared" si="1"/>
        <v>487@gmail.com</v>
      </c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</row>
    <row r="596" ht="15.75" customHeight="1">
      <c r="A596" s="18" t="str">
        <f>Descargas!A596</f>
        <v>488@gmail.com</v>
      </c>
      <c r="B596" s="19" t="str">
        <f>IFERROR(__xludf.DUMMYFUNCTION("IF(OR(regexmatch(A596,"".*@simon.es$""),REGEXMATCH(A596,"".*@simon.pt$""),REGEXMATCH(A596,"".*@simonelectrica.com$""),REGEXMATCH(A596,"".*@hiberus.com$""),REGEXMATCH(A596,"".*@simonbrico.es$""),regexmatch(A596,"".*@simonelectric.com$"")),""null"",A596)"),"488@gmail.com")</f>
        <v>488@gmail.com</v>
      </c>
      <c r="C596" s="5">
        <f>IF(B596="null","null",Descargas!B596)</f>
        <v>43979</v>
      </c>
      <c r="D596" s="6" t="str">
        <f>Descargas!E596</f>
        <v>https://resources.simonelectric.com/simon-ebook-vehiculo-electrico-0</v>
      </c>
      <c r="E596" s="20" t="str">
        <f t="shared" si="1"/>
        <v>488@gmail.com</v>
      </c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</row>
    <row r="597" ht="15.75" customHeight="1">
      <c r="A597" s="18" t="str">
        <f>Descargas!A597</f>
        <v>489@carbonellfigueras.com</v>
      </c>
      <c r="B597" s="19" t="str">
        <f>IFERROR(__xludf.DUMMYFUNCTION("IF(OR(regexmatch(A597,"".*@simon.es$""),REGEXMATCH(A597,"".*@simon.pt$""),REGEXMATCH(A597,"".*@simonelectrica.com$""),REGEXMATCH(A597,"".*@hiberus.com$""),REGEXMATCH(A597,"".*@simonbrico.es$""),regexmatch(A597,"".*@simonelectric.com$"")),""null"",A597)"),"489@carbonellfigueras.com")</f>
        <v>489@carbonellfigueras.com</v>
      </c>
      <c r="C597" s="5">
        <f>IF(B597="null","null",Descargas!B597)</f>
        <v>43979</v>
      </c>
      <c r="D597" s="6" t="str">
        <f>Descargas!E597</f>
        <v>https://resources.simonelectric.com/simon-ebook-vehiculo-electrico</v>
      </c>
      <c r="E597" s="20" t="str">
        <f t="shared" si="1"/>
        <v>489@carbonellfigueras.com</v>
      </c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</row>
    <row r="598" ht="15.75" customHeight="1">
      <c r="A598" s="18" t="str">
        <f>Descargas!A598</f>
        <v>490@idom.com</v>
      </c>
      <c r="B598" s="19" t="str">
        <f>IFERROR(__xludf.DUMMYFUNCTION("IF(OR(regexmatch(A598,"".*@simon.es$""),REGEXMATCH(A598,"".*@simon.pt$""),REGEXMATCH(A598,"".*@simonelectrica.com$""),REGEXMATCH(A598,"".*@hiberus.com$""),REGEXMATCH(A598,"".*@simonbrico.es$""),regexmatch(A598,"".*@simonelectric.com$"")),""null"",A598)"),"490@idom.com")</f>
        <v>490@idom.com</v>
      </c>
      <c r="C598" s="5">
        <f>IF(B598="null","null",Descargas!B598)</f>
        <v>43979</v>
      </c>
      <c r="D598" s="6" t="str">
        <f>Descargas!E598</f>
        <v>https://resources.simonelectric.com/simon-ebook-vehiculo-electrico</v>
      </c>
      <c r="E598" s="20" t="str">
        <f t="shared" si="1"/>
        <v>490@idom.com</v>
      </c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</row>
    <row r="599" ht="15.75" customHeight="1">
      <c r="A599" s="18" t="str">
        <f>Descargas!A599</f>
        <v>491@gmail.com</v>
      </c>
      <c r="B599" s="19" t="str">
        <f>IFERROR(__xludf.DUMMYFUNCTION("IF(OR(regexmatch(A599,"".*@simon.es$""),REGEXMATCH(A599,"".*@simon.pt$""),REGEXMATCH(A599,"".*@simonelectrica.com$""),REGEXMATCH(A599,"".*@hiberus.com$""),REGEXMATCH(A599,"".*@simonbrico.es$""),regexmatch(A599,"".*@simonelectric.com$"")),""null"",A599)"),"491@gmail.com")</f>
        <v>491@gmail.com</v>
      </c>
      <c r="C599" s="5">
        <f>IF(B599="null","null",Descargas!B599)</f>
        <v>43979</v>
      </c>
      <c r="D599" s="6" t="str">
        <f>Descargas!E599</f>
        <v>https://resources.simonelectric.com/simon-ebook-vehiculo-electrico</v>
      </c>
      <c r="E599" s="20" t="str">
        <f t="shared" si="1"/>
        <v>491@gmail.com</v>
      </c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</row>
    <row r="600" ht="15.75" customHeight="1">
      <c r="A600" s="18" t="str">
        <f>Descargas!A600</f>
        <v>372@ub.edu</v>
      </c>
      <c r="B600" s="19" t="str">
        <f>IFERROR(__xludf.DUMMYFUNCTION("IF(OR(regexmatch(A600,"".*@simon.es$""),REGEXMATCH(A600,"".*@simon.pt$""),REGEXMATCH(A600,"".*@simonelectrica.com$""),REGEXMATCH(A600,"".*@hiberus.com$""),REGEXMATCH(A600,"".*@simonbrico.es$""),regexmatch(A600,"".*@simonelectric.com$"")),""null"",A600)"),"372@ub.edu")</f>
        <v>372@ub.edu</v>
      </c>
      <c r="C600" s="5">
        <f>IF(B600="null","null",Descargas!B600)</f>
        <v>43979</v>
      </c>
      <c r="D600" s="6" t="str">
        <f>Descargas!E600</f>
        <v>https://resources.simonelectric.com/simon-ebook-vehiculo-electrico</v>
      </c>
      <c r="E600" s="20" t="str">
        <f t="shared" si="1"/>
        <v>372@ub.edu</v>
      </c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</row>
    <row r="601" ht="15.75" customHeight="1">
      <c r="A601" s="18" t="str">
        <f>Descargas!A601</f>
        <v>492@hotmail.com</v>
      </c>
      <c r="B601" s="19" t="str">
        <f>IFERROR(__xludf.DUMMYFUNCTION("IF(OR(regexmatch(A601,"".*@simon.es$""),REGEXMATCH(A601,"".*@simon.pt$""),REGEXMATCH(A601,"".*@simonelectrica.com$""),REGEXMATCH(A601,"".*@hiberus.com$""),REGEXMATCH(A601,"".*@simonbrico.es$""),regexmatch(A601,"".*@simonelectric.com$"")),""null"",A601)"),"492@hotmail.com")</f>
        <v>492@hotmail.com</v>
      </c>
      <c r="C601" s="5">
        <f>IF(B601="null","null",Descargas!B601)</f>
        <v>43979</v>
      </c>
      <c r="D601" s="6" t="str">
        <f>Descargas!E601</f>
        <v>https://resources.simonelectric.com/simon-ebook-vehiculo-electrico</v>
      </c>
      <c r="E601" s="20" t="str">
        <f t="shared" si="1"/>
        <v>492@hotmail.com</v>
      </c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</row>
    <row r="602" ht="15.75" customHeight="1">
      <c r="A602" s="18" t="str">
        <f>Descargas!A602</f>
        <v>493@gmail.com</v>
      </c>
      <c r="B602" s="19" t="str">
        <f>IFERROR(__xludf.DUMMYFUNCTION("IF(OR(regexmatch(A602,"".*@simon.es$""),REGEXMATCH(A602,"".*@simon.pt$""),REGEXMATCH(A602,"".*@simonelectrica.com$""),REGEXMATCH(A602,"".*@hiberus.com$""),REGEXMATCH(A602,"".*@simonbrico.es$""),regexmatch(A602,"".*@simonelectric.com$"")),""null"",A602)"),"493@gmail.com")</f>
        <v>493@gmail.com</v>
      </c>
      <c r="C602" s="5">
        <f>IF(B602="null","null",Descargas!B602)</f>
        <v>43979</v>
      </c>
      <c r="D602" s="6" t="str">
        <f>Descargas!E602</f>
        <v>https://resources.simonelectric.com/simon-ebook-vehiculo-electrico</v>
      </c>
      <c r="E602" s="20" t="str">
        <f t="shared" si="1"/>
        <v>493@gmail.com</v>
      </c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</row>
    <row r="603" ht="15.75" customHeight="1">
      <c r="A603" s="18" t="str">
        <f>Descargas!A603</f>
        <v>24@gmail.com</v>
      </c>
      <c r="B603" s="19" t="str">
        <f>IFERROR(__xludf.DUMMYFUNCTION("IF(OR(regexmatch(A603,"".*@simon.es$""),REGEXMATCH(A603,"".*@simon.pt$""),REGEXMATCH(A603,"".*@simonelectrica.com$""),REGEXMATCH(A603,"".*@hiberus.com$""),REGEXMATCH(A603,"".*@simonbrico.es$""),regexmatch(A603,"".*@simonelectric.com$"")),""null"",A603)"),"24@gmail.com")</f>
        <v>24@gmail.com</v>
      </c>
      <c r="C603" s="5">
        <f>IF(B603="null","null",Descargas!B603)</f>
        <v>43979</v>
      </c>
      <c r="D603" s="6" t="str">
        <f>Descargas!E603</f>
        <v>https://resources.simonelectric.com/simon-ebook-vehiculo-electrico</v>
      </c>
      <c r="E603" s="20" t="str">
        <f t="shared" si="1"/>
        <v>24@gmail.com</v>
      </c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</row>
    <row r="604" ht="15.75" customHeight="1">
      <c r="A604" s="18" t="str">
        <f>Descargas!A604</f>
        <v>494@protelec.es</v>
      </c>
      <c r="B604" s="19" t="str">
        <f>IFERROR(__xludf.DUMMYFUNCTION("IF(OR(regexmatch(A604,"".*@simon.es$""),REGEXMATCH(A604,"".*@simon.pt$""),REGEXMATCH(A604,"".*@simonelectrica.com$""),REGEXMATCH(A604,"".*@hiberus.com$""),REGEXMATCH(A604,"".*@simonbrico.es$""),regexmatch(A604,"".*@simonelectric.com$"")),""null"",A604)"),"494@protelec.es")</f>
        <v>494@protelec.es</v>
      </c>
      <c r="C604" s="5">
        <f>IF(B604="null","null",Descargas!B604)</f>
        <v>43979</v>
      </c>
      <c r="D604" s="6" t="str">
        <f>Descargas!E604</f>
        <v>https://resources.simonelectric.com/simon-catalogo-vehiculo-electrico</v>
      </c>
      <c r="E604" s="20" t="str">
        <f t="shared" si="1"/>
        <v>494@protelec.es</v>
      </c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</row>
    <row r="605" ht="15.75" customHeight="1">
      <c r="A605" s="18" t="str">
        <f>Descargas!A605</f>
        <v>495@boslan.com</v>
      </c>
      <c r="B605" s="19" t="str">
        <f>IFERROR(__xludf.DUMMYFUNCTION("IF(OR(regexmatch(A605,"".*@simon.es$""),REGEXMATCH(A605,"".*@simon.pt$""),REGEXMATCH(A605,"".*@simonelectrica.com$""),REGEXMATCH(A605,"".*@hiberus.com$""),REGEXMATCH(A605,"".*@simonbrico.es$""),regexmatch(A605,"".*@simonelectric.com$"")),""null"",A605)"),"495@boslan.com")</f>
        <v>495@boslan.com</v>
      </c>
      <c r="C605" s="5">
        <f>IF(B605="null","null",Descargas!B605)</f>
        <v>43979</v>
      </c>
      <c r="D605" s="6" t="str">
        <f>Descargas!E605</f>
        <v>https://resources.simonelectric.com/simon-ebook-vehiculo-electrico</v>
      </c>
      <c r="E605" s="20" t="str">
        <f t="shared" si="1"/>
        <v>495@boslan.com</v>
      </c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</row>
    <row r="606" ht="15.75" customHeight="1">
      <c r="A606" s="18" t="str">
        <f>Descargas!A606</f>
        <v>496@gmail.com</v>
      </c>
      <c r="B606" s="19" t="str">
        <f>IFERROR(__xludf.DUMMYFUNCTION("IF(OR(regexmatch(A606,"".*@simon.es$""),REGEXMATCH(A606,"".*@simon.pt$""),REGEXMATCH(A606,"".*@simonelectrica.com$""),REGEXMATCH(A606,"".*@hiberus.com$""),REGEXMATCH(A606,"".*@simonbrico.es$""),regexmatch(A606,"".*@simonelectric.com$"")),""null"",A606)"),"496@gmail.com")</f>
        <v>496@gmail.com</v>
      </c>
      <c r="C606" s="5">
        <f>IF(B606="null","null",Descargas!B606)</f>
        <v>43979</v>
      </c>
      <c r="D606" s="6" t="str">
        <f>Descargas!E606</f>
        <v>https://resources.simonelectric.com/simon-ebook-vehiculo-electrico</v>
      </c>
      <c r="E606" s="20" t="str">
        <f t="shared" si="1"/>
        <v>496@gmail.com</v>
      </c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</row>
    <row r="607" ht="15.75" customHeight="1">
      <c r="A607" s="18" t="str">
        <f>Descargas!A607</f>
        <v>497@6d-ingenieros.com</v>
      </c>
      <c r="B607" s="19" t="str">
        <f>IFERROR(__xludf.DUMMYFUNCTION("IF(OR(regexmatch(A607,"".*@simon.es$""),REGEXMATCH(A607,"".*@simon.pt$""),REGEXMATCH(A607,"".*@simonelectrica.com$""),REGEXMATCH(A607,"".*@hiberus.com$""),REGEXMATCH(A607,"".*@simonbrico.es$""),regexmatch(A607,"".*@simonelectric.com$"")),""null"",A607)"),"497@6d-ingenieros.com")</f>
        <v>497@6d-ingenieros.com</v>
      </c>
      <c r="C607" s="5">
        <f>IF(B607="null","null",Descargas!B607)</f>
        <v>43979</v>
      </c>
      <c r="D607" s="6" t="str">
        <f>Descargas!E607</f>
        <v>https://resources.simonelectric.com/simon-ebook-vehiculo-electrico</v>
      </c>
      <c r="E607" s="20" t="str">
        <f t="shared" si="1"/>
        <v>497@6d-ingenieros.com</v>
      </c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</row>
    <row r="608" ht="15.75" customHeight="1">
      <c r="A608" s="18" t="str">
        <f>Descargas!A608</f>
        <v>498@gmail.com</v>
      </c>
      <c r="B608" s="19" t="str">
        <f>IFERROR(__xludf.DUMMYFUNCTION("IF(OR(regexmatch(A608,"".*@simon.es$""),REGEXMATCH(A608,"".*@simon.pt$""),REGEXMATCH(A608,"".*@simonelectrica.com$""),REGEXMATCH(A608,"".*@hiberus.com$""),REGEXMATCH(A608,"".*@simonbrico.es$""),regexmatch(A608,"".*@simonelectric.com$"")),""null"",A608)"),"498@gmail.com")</f>
        <v>498@gmail.com</v>
      </c>
      <c r="C608" s="5">
        <f>IF(B608="null","null",Descargas!B608)</f>
        <v>43979</v>
      </c>
      <c r="D608" s="6" t="str">
        <f>Descargas!E608</f>
        <v>https://resources.simonelectric.com/simon-ebook-vehiculo-electrico</v>
      </c>
      <c r="E608" s="20" t="str">
        <f t="shared" si="1"/>
        <v>498@gmail.com</v>
      </c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</row>
    <row r="609" ht="15.75" customHeight="1">
      <c r="A609" s="18" t="str">
        <f>Descargas!A609</f>
        <v>499@netcabo.pt</v>
      </c>
      <c r="B609" s="19" t="str">
        <f>IFERROR(__xludf.DUMMYFUNCTION("IF(OR(regexmatch(A609,"".*@simon.es$""),REGEXMATCH(A609,"".*@simon.pt$""),REGEXMATCH(A609,"".*@simonelectrica.com$""),REGEXMATCH(A609,"".*@hiberus.com$""),REGEXMATCH(A609,"".*@simonbrico.es$""),regexmatch(A609,"".*@simonelectric.com$"")),""null"",A609)"),"499@netcabo.pt")</f>
        <v>499@netcabo.pt</v>
      </c>
      <c r="C609" s="5">
        <f>IF(B609="null","null",Descargas!B609)</f>
        <v>43979</v>
      </c>
      <c r="D609" s="6" t="str">
        <f>Descargas!E609</f>
        <v>https://resources.simonelectric.com/simon-ebook-vehiculo-electrico</v>
      </c>
      <c r="E609" s="20" t="str">
        <f t="shared" si="1"/>
        <v>499@netcabo.pt</v>
      </c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</row>
    <row r="610" ht="15.75" customHeight="1">
      <c r="A610" s="18" t="str">
        <f>Descargas!A610</f>
        <v>500@gmail.com</v>
      </c>
      <c r="B610" s="19" t="str">
        <f>IFERROR(__xludf.DUMMYFUNCTION("IF(OR(regexmatch(A610,"".*@simon.es$""),REGEXMATCH(A610,"".*@simon.pt$""),REGEXMATCH(A610,"".*@simonelectrica.com$""),REGEXMATCH(A610,"".*@hiberus.com$""),REGEXMATCH(A610,"".*@simonbrico.es$""),regexmatch(A610,"".*@simonelectric.com$"")),""null"",A610)"),"500@gmail.com")</f>
        <v>500@gmail.com</v>
      </c>
      <c r="C610" s="5">
        <f>IF(B610="null","null",Descargas!B610)</f>
        <v>43979</v>
      </c>
      <c r="D610" s="6" t="str">
        <f>Descargas!E610</f>
        <v>https://resources.simonelectric.com/simon-material-formativo-vehiculo-electrico</v>
      </c>
      <c r="E610" s="20" t="str">
        <f t="shared" si="1"/>
        <v>500@gmail.com</v>
      </c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</row>
    <row r="611" ht="15.75" customHeight="1">
      <c r="A611" s="18" t="str">
        <f>Descargas!A611</f>
        <v>501@gmail.com</v>
      </c>
      <c r="B611" s="19" t="str">
        <f>IFERROR(__xludf.DUMMYFUNCTION("IF(OR(regexmatch(A611,"".*@simon.es$""),REGEXMATCH(A611,"".*@simon.pt$""),REGEXMATCH(A611,"".*@simonelectrica.com$""),REGEXMATCH(A611,"".*@hiberus.com$""),REGEXMATCH(A611,"".*@simonbrico.es$""),regexmatch(A611,"".*@simonelectric.com$"")),""null"",A611)"),"501@gmail.com")</f>
        <v>501@gmail.com</v>
      </c>
      <c r="C611" s="5">
        <f>IF(B611="null","null",Descargas!B611)</f>
        <v>43979</v>
      </c>
      <c r="D611" s="6" t="str">
        <f>Descargas!E611</f>
        <v>https://resources.simonelectric.com/simon-ebook-vehiculo-electrico-ppc</v>
      </c>
      <c r="E611" s="20" t="str">
        <f t="shared" si="1"/>
        <v>501@gmail.com</v>
      </c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</row>
    <row r="612" ht="15.75" customHeight="1">
      <c r="A612" s="18" t="str">
        <f>Descargas!A612</f>
        <v>502@hotmail.com</v>
      </c>
      <c r="B612" s="19" t="str">
        <f>IFERROR(__xludf.DUMMYFUNCTION("IF(OR(regexmatch(A612,"".*@simon.es$""),REGEXMATCH(A612,"".*@simon.pt$""),REGEXMATCH(A612,"".*@simonelectrica.com$""),REGEXMATCH(A612,"".*@hiberus.com$""),REGEXMATCH(A612,"".*@simonbrico.es$""),regexmatch(A612,"".*@simonelectric.com$"")),""null"",A612)"),"502@hotmail.com")</f>
        <v>502@hotmail.com</v>
      </c>
      <c r="C612" s="5">
        <f>IF(B612="null","null",Descargas!B612)</f>
        <v>43978</v>
      </c>
      <c r="D612" s="6" t="str">
        <f>Descargas!E612</f>
        <v>https://resources.simonelectric.com/simon-ebook-vehiculo-electrico-ppc</v>
      </c>
      <c r="E612" s="20" t="str">
        <f t="shared" si="1"/>
        <v>502@hotmail.com</v>
      </c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</row>
    <row r="613" ht="15.75" customHeight="1">
      <c r="A613" s="18" t="str">
        <f>Descargas!A613</f>
        <v>503@ofp.cat</v>
      </c>
      <c r="B613" s="19" t="str">
        <f>IFERROR(__xludf.DUMMYFUNCTION("IF(OR(regexmatch(A613,"".*@simon.es$""),REGEXMATCH(A613,"".*@simon.pt$""),REGEXMATCH(A613,"".*@simonelectrica.com$""),REGEXMATCH(A613,"".*@hiberus.com$""),REGEXMATCH(A613,"".*@simonbrico.es$""),regexmatch(A613,"".*@simonelectric.com$"")),""null"",A613)"),"503@ofp.cat")</f>
        <v>503@ofp.cat</v>
      </c>
      <c r="C613" s="5">
        <f>IF(B613="null","null",Descargas!B613)</f>
        <v>43978</v>
      </c>
      <c r="D613" s="6" t="str">
        <f>Descargas!E613</f>
        <v>https://resources.simonelectric.com/simon-ebook-vehiculo-electrico</v>
      </c>
      <c r="E613" s="20" t="str">
        <f t="shared" si="1"/>
        <v>503@ofp.cat</v>
      </c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</row>
    <row r="614" ht="15.75" customHeight="1">
      <c r="A614" s="18" t="str">
        <f>Descargas!A614</f>
        <v>504@avilayhevia.com</v>
      </c>
      <c r="B614" s="19" t="str">
        <f>IFERROR(__xludf.DUMMYFUNCTION("IF(OR(regexmatch(A614,"".*@simon.es$""),REGEXMATCH(A614,"".*@simon.pt$""),REGEXMATCH(A614,"".*@simonelectrica.com$""),REGEXMATCH(A614,"".*@hiberus.com$""),REGEXMATCH(A614,"".*@simonbrico.es$""),regexmatch(A614,"".*@simonelectric.com$"")),""null"",A614)"),"504@avilayhevia.com")</f>
        <v>504@avilayhevia.com</v>
      </c>
      <c r="C614" s="5">
        <f>IF(B614="null","null",Descargas!B614)</f>
        <v>43978</v>
      </c>
      <c r="D614" s="6" t="str">
        <f>Descargas!E614</f>
        <v>https://resources.simonelectric.com/simon-ebook-vehiculo-electrico</v>
      </c>
      <c r="E614" s="20" t="str">
        <f t="shared" si="1"/>
        <v>504@avilayhevia.com</v>
      </c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</row>
    <row r="615" ht="15.75" customHeight="1">
      <c r="A615" s="18" t="str">
        <f>Descargas!A615</f>
        <v>505@mavipas.com</v>
      </c>
      <c r="B615" s="19" t="str">
        <f>IFERROR(__xludf.DUMMYFUNCTION("IF(OR(regexmatch(A615,"".*@simon.es$""),REGEXMATCH(A615,"".*@simon.pt$""),REGEXMATCH(A615,"".*@simonelectrica.com$""),REGEXMATCH(A615,"".*@hiberus.com$""),REGEXMATCH(A615,"".*@simonbrico.es$""),regexmatch(A615,"".*@simonelectric.com$"")),""null"",A615)"),"505@mavipas.com")</f>
        <v>505@mavipas.com</v>
      </c>
      <c r="C615" s="5">
        <f>IF(B615="null","null",Descargas!B615)</f>
        <v>43978</v>
      </c>
      <c r="D615" s="6" t="str">
        <f>Descargas!E615</f>
        <v>https://resources.simonelectric.com/simon-ebook-vehiculo-electrico-ppc</v>
      </c>
      <c r="E615" s="20" t="str">
        <f t="shared" si="1"/>
        <v>505@mavipas.com</v>
      </c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</row>
    <row r="616" ht="15.75" customHeight="1">
      <c r="A616" s="18" t="str">
        <f>Descargas!A616</f>
        <v>506@pina-ingenieria.com</v>
      </c>
      <c r="B616" s="19" t="str">
        <f>IFERROR(__xludf.DUMMYFUNCTION("IF(OR(regexmatch(A616,"".*@simon.es$""),REGEXMATCH(A616,"".*@simon.pt$""),REGEXMATCH(A616,"".*@simonelectrica.com$""),REGEXMATCH(A616,"".*@hiberus.com$""),REGEXMATCH(A616,"".*@simonbrico.es$""),regexmatch(A616,"".*@simonelectric.com$"")),""null"",A616)"),"506@pina-ingenieria.com")</f>
        <v>506@pina-ingenieria.com</v>
      </c>
      <c r="C616" s="5">
        <f>IF(B616="null","null",Descargas!B616)</f>
        <v>43978</v>
      </c>
      <c r="D616" s="6" t="str">
        <f>Descargas!E616</f>
        <v>https://resources.simonelectric.com/simon-ebook-vehiculo-electrico</v>
      </c>
      <c r="E616" s="20" t="str">
        <f t="shared" si="1"/>
        <v>506@pina-ingenieria.com</v>
      </c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</row>
    <row r="617" ht="15.75" customHeight="1">
      <c r="A617" s="18" t="str">
        <f>Descargas!A617</f>
        <v>507@eco-voltaica.com</v>
      </c>
      <c r="B617" s="19" t="str">
        <f>IFERROR(__xludf.DUMMYFUNCTION("IF(OR(regexmatch(A617,"".*@simon.es$""),REGEXMATCH(A617,"".*@simon.pt$""),REGEXMATCH(A617,"".*@simonelectrica.com$""),REGEXMATCH(A617,"".*@hiberus.com$""),REGEXMATCH(A617,"".*@simonbrico.es$""),regexmatch(A617,"".*@simonelectric.com$"")),""null"",A617)"),"507@eco-voltaica.com")</f>
        <v>507@eco-voltaica.com</v>
      </c>
      <c r="C617" s="5">
        <f>IF(B617="null","null",Descargas!B617)</f>
        <v>43978</v>
      </c>
      <c r="D617" s="6" t="str">
        <f>Descargas!E617</f>
        <v>https://resources.simonelectric.com/simon-ebook-vehiculo-electrico</v>
      </c>
      <c r="E617" s="20" t="str">
        <f t="shared" si="1"/>
        <v>507@eco-voltaica.com</v>
      </c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</row>
    <row r="618" ht="15.75" customHeight="1">
      <c r="A618" s="18" t="str">
        <f>Descargas!A618</f>
        <v>508@gmail.com</v>
      </c>
      <c r="B618" s="19" t="str">
        <f>IFERROR(__xludf.DUMMYFUNCTION("IF(OR(regexmatch(A618,"".*@simon.es$""),REGEXMATCH(A618,"".*@simon.pt$""),REGEXMATCH(A618,"".*@simonelectrica.com$""),REGEXMATCH(A618,"".*@hiberus.com$""),REGEXMATCH(A618,"".*@simonbrico.es$""),regexmatch(A618,"".*@simonelectric.com$"")),""null"",A618)"),"508@gmail.com")</f>
        <v>508@gmail.com</v>
      </c>
      <c r="C618" s="5">
        <f>IF(B618="null","null",Descargas!B618)</f>
        <v>43978</v>
      </c>
      <c r="D618" s="6" t="str">
        <f>Descargas!E618</f>
        <v>https://resources.simonelectric.com/simon-ebook-vehiculo-electrico-ppc</v>
      </c>
      <c r="E618" s="20" t="str">
        <f t="shared" si="1"/>
        <v>508@gmail.com</v>
      </c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</row>
    <row r="619" ht="15.75" customHeight="1">
      <c r="A619" s="18" t="str">
        <f>Descargas!A619</f>
        <v>335@faepac.org</v>
      </c>
      <c r="B619" s="19" t="str">
        <f>IFERROR(__xludf.DUMMYFUNCTION("IF(OR(regexmatch(A619,"".*@simon.es$""),REGEXMATCH(A619,"".*@simon.pt$""),REGEXMATCH(A619,"".*@simonelectrica.com$""),REGEXMATCH(A619,"".*@hiberus.com$""),REGEXMATCH(A619,"".*@simonbrico.es$""),regexmatch(A619,"".*@simonelectric.com$"")),""null"",A619)"),"335@faepac.org")</f>
        <v>335@faepac.org</v>
      </c>
      <c r="C619" s="5">
        <f>IF(B619="null","null",Descargas!B619)</f>
        <v>43977</v>
      </c>
      <c r="D619" s="6" t="str">
        <f>Descargas!E619</f>
        <v>https://resources.simonelectric.com/simon-ebook-vehiculo-electrico</v>
      </c>
      <c r="E619" s="20" t="str">
        <f t="shared" si="1"/>
        <v>335@faepac.org</v>
      </c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</row>
    <row r="620" ht="15.75" customHeight="1">
      <c r="A620" s="18" t="str">
        <f>Descargas!A620</f>
        <v>509@hotmail.com</v>
      </c>
      <c r="B620" s="19" t="str">
        <f>IFERROR(__xludf.DUMMYFUNCTION("IF(OR(regexmatch(A620,"".*@simon.es$""),REGEXMATCH(A620,"".*@simon.pt$""),REGEXMATCH(A620,"".*@simonelectrica.com$""),REGEXMATCH(A620,"".*@hiberus.com$""),REGEXMATCH(A620,"".*@simonbrico.es$""),regexmatch(A620,"".*@simonelectric.com$"")),""null"",A620)"),"509@hotmail.com")</f>
        <v>509@hotmail.com</v>
      </c>
      <c r="C620" s="5">
        <f>IF(B620="null","null",Descargas!B620)</f>
        <v>43977</v>
      </c>
      <c r="D620" s="6" t="str">
        <f>Descargas!E620</f>
        <v>https://resources.simonelectric.com/simon-ebook-vehiculo-electrico-ppc</v>
      </c>
      <c r="E620" s="20" t="str">
        <f t="shared" si="1"/>
        <v>509@hotmail.com</v>
      </c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</row>
    <row r="621" ht="15.75" customHeight="1">
      <c r="A621" s="18" t="str">
        <f>Descargas!A621</f>
        <v>510@gmail.com</v>
      </c>
      <c r="B621" s="19" t="str">
        <f>IFERROR(__xludf.DUMMYFUNCTION("IF(OR(regexmatch(A621,"".*@simon.es$""),REGEXMATCH(A621,"".*@simon.pt$""),REGEXMATCH(A621,"".*@simonelectrica.com$""),REGEXMATCH(A621,"".*@hiberus.com$""),REGEXMATCH(A621,"".*@simonbrico.es$""),regexmatch(A621,"".*@simonelectric.com$"")),""null"",A621)"),"510@gmail.com")</f>
        <v>510@gmail.com</v>
      </c>
      <c r="C621" s="5">
        <f>IF(B621="null","null",Descargas!B621)</f>
        <v>43977</v>
      </c>
      <c r="D621" s="6" t="str">
        <f>Descargas!E621</f>
        <v>https://resources.simonelectric.com/simon-catalogo-vehiculo-electrico</v>
      </c>
      <c r="E621" s="20" t="str">
        <f t="shared" si="1"/>
        <v>510@gmail.com</v>
      </c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</row>
    <row r="622" ht="15.75" customHeight="1">
      <c r="A622" s="18" t="str">
        <f>Descargas!A622</f>
        <v>326@gmail.com</v>
      </c>
      <c r="B622" s="19" t="str">
        <f>IFERROR(__xludf.DUMMYFUNCTION("IF(OR(regexmatch(A622,"".*@simon.es$""),REGEXMATCH(A622,"".*@simon.pt$""),REGEXMATCH(A622,"".*@simonelectrica.com$""),REGEXMATCH(A622,"".*@hiberus.com$""),REGEXMATCH(A622,"".*@simonbrico.es$""),regexmatch(A622,"".*@simonelectric.com$"")),""null"",A622)"),"326@gmail.com")</f>
        <v>326@gmail.com</v>
      </c>
      <c r="C622" s="5">
        <f>IF(B622="null","null",Descargas!B622)</f>
        <v>43977</v>
      </c>
      <c r="D622" s="6" t="str">
        <f>Descargas!E622</f>
        <v>https://resources.simonelectric.com/simon-ebook-vehiculo-electrico</v>
      </c>
      <c r="E622" s="20" t="str">
        <f t="shared" si="1"/>
        <v>326@gmail.com</v>
      </c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</row>
    <row r="623" ht="15.75" customHeight="1">
      <c r="A623" s="18" t="str">
        <f>Descargas!A623</f>
        <v>511@yahoo.es</v>
      </c>
      <c r="B623" s="19" t="str">
        <f>IFERROR(__xludf.DUMMYFUNCTION("IF(OR(regexmatch(A623,"".*@simon.es$""),REGEXMATCH(A623,"".*@simon.pt$""),REGEXMATCH(A623,"".*@simonelectrica.com$""),REGEXMATCH(A623,"".*@hiberus.com$""),REGEXMATCH(A623,"".*@simonbrico.es$""),regexmatch(A623,"".*@simonelectric.com$"")),""null"",A623)"),"511@yahoo.es")</f>
        <v>511@yahoo.es</v>
      </c>
      <c r="C623" s="5">
        <f>IF(B623="null","null",Descargas!B623)</f>
        <v>43977</v>
      </c>
      <c r="D623" s="6" t="str">
        <f>Descargas!E623</f>
        <v>https://resources.simonelectric.com/simon-catalogo-vehiculo-electrico</v>
      </c>
      <c r="E623" s="20" t="str">
        <f t="shared" si="1"/>
        <v>511@yahoo.es</v>
      </c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</row>
    <row r="624" ht="15.75" customHeight="1">
      <c r="A624" s="18" t="str">
        <f>Descargas!A624</f>
        <v>512@hotmail.com</v>
      </c>
      <c r="B624" s="19" t="str">
        <f>IFERROR(__xludf.DUMMYFUNCTION("IF(OR(regexmatch(A624,"".*@simon.es$""),REGEXMATCH(A624,"".*@simon.pt$""),REGEXMATCH(A624,"".*@simonelectrica.com$""),REGEXMATCH(A624,"".*@hiberus.com$""),REGEXMATCH(A624,"".*@simonbrico.es$""),regexmatch(A624,"".*@simonelectric.com$"")),""null"",A624)"),"512@hotmail.com")</f>
        <v>512@hotmail.com</v>
      </c>
      <c r="C624" s="5">
        <f>IF(B624="null","null",Descargas!B624)</f>
        <v>43977</v>
      </c>
      <c r="D624" s="6" t="str">
        <f>Descargas!E624</f>
        <v>https://resources.simonelectric.com/simon-catalogo-vehiculo-electrico</v>
      </c>
      <c r="E624" s="20" t="str">
        <f t="shared" si="1"/>
        <v>512@hotmail.com</v>
      </c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</row>
    <row r="625" ht="15.75" customHeight="1">
      <c r="A625" s="18" t="str">
        <f>Descargas!A625</f>
        <v>513@osmos.es</v>
      </c>
      <c r="B625" s="19" t="str">
        <f>IFERROR(__xludf.DUMMYFUNCTION("IF(OR(regexmatch(A625,"".*@simon.es$""),REGEXMATCH(A625,"".*@simon.pt$""),REGEXMATCH(A625,"".*@simonelectrica.com$""),REGEXMATCH(A625,"".*@hiberus.com$""),REGEXMATCH(A625,"".*@simonbrico.es$""),regexmatch(A625,"".*@simonelectric.com$"")),""null"",A625)"),"513@osmos.es")</f>
        <v>513@osmos.es</v>
      </c>
      <c r="C625" s="5">
        <f>IF(B625="null","null",Descargas!B625)</f>
        <v>43977</v>
      </c>
      <c r="D625" s="6" t="str">
        <f>Descargas!E625</f>
        <v>https://resources.simonelectric.com/simon-catalogo-vehiculo-electrico</v>
      </c>
      <c r="E625" s="20" t="str">
        <f t="shared" si="1"/>
        <v>513@osmos.es</v>
      </c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</row>
    <row r="626" ht="15.75" customHeight="1">
      <c r="A626" s="18" t="str">
        <f>Descargas!A626</f>
        <v>514@hotmail.com</v>
      </c>
      <c r="B626" s="19" t="str">
        <f>IFERROR(__xludf.DUMMYFUNCTION("IF(OR(regexmatch(A626,"".*@simon.es$""),REGEXMATCH(A626,"".*@simon.pt$""),REGEXMATCH(A626,"".*@simonelectrica.com$""),REGEXMATCH(A626,"".*@hiberus.com$""),REGEXMATCH(A626,"".*@simonbrico.es$""),regexmatch(A626,"".*@simonelectric.com$"")),""null"",A626)"),"514@hotmail.com")</f>
        <v>514@hotmail.com</v>
      </c>
      <c r="C626" s="5">
        <f>IF(B626="null","null",Descargas!B626)</f>
        <v>43977</v>
      </c>
      <c r="D626" s="6" t="str">
        <f>Descargas!E626</f>
        <v>https://resources.simonelectric.com/simon-material-formativo-vehiculo-electrico</v>
      </c>
      <c r="E626" s="20" t="str">
        <f t="shared" si="1"/>
        <v>514@hotmail.com</v>
      </c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</row>
    <row r="627" ht="15.75" customHeight="1">
      <c r="A627" s="18" t="str">
        <f>Descargas!A627</f>
        <v>515@torrepacheco.es</v>
      </c>
      <c r="B627" s="19" t="str">
        <f>IFERROR(__xludf.DUMMYFUNCTION("IF(OR(regexmatch(A627,"".*@simon.es$""),REGEXMATCH(A627,"".*@simon.pt$""),REGEXMATCH(A627,"".*@simonelectrica.com$""),REGEXMATCH(A627,"".*@hiberus.com$""),REGEXMATCH(A627,"".*@simonbrico.es$""),regexmatch(A627,"".*@simonelectric.com$"")),""null"",A627)"),"515@torrepacheco.es")</f>
        <v>515@torrepacheco.es</v>
      </c>
      <c r="C627" s="5">
        <f>IF(B627="null","null",Descargas!B627)</f>
        <v>43977</v>
      </c>
      <c r="D627" s="6" t="str">
        <f>Descargas!E627</f>
        <v>https://resources.simonelectric.com/simon-ebook-vehiculo-electrico</v>
      </c>
      <c r="E627" s="20" t="str">
        <f t="shared" si="1"/>
        <v>515@torrepacheco.es</v>
      </c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</row>
    <row r="628" ht="15.75" customHeight="1">
      <c r="A628" s="18" t="str">
        <f>Descargas!A628</f>
        <v>516@hotmail.es</v>
      </c>
      <c r="B628" s="19" t="str">
        <f>IFERROR(__xludf.DUMMYFUNCTION("IF(OR(regexmatch(A628,"".*@simon.es$""),REGEXMATCH(A628,"".*@simon.pt$""),REGEXMATCH(A628,"".*@simonelectrica.com$""),REGEXMATCH(A628,"".*@hiberus.com$""),REGEXMATCH(A628,"".*@simonbrico.es$""),regexmatch(A628,"".*@simonelectric.com$"")),""null"",A628)"),"516@hotmail.es")</f>
        <v>516@hotmail.es</v>
      </c>
      <c r="C628" s="5">
        <f>IF(B628="null","null",Descargas!B628)</f>
        <v>43977</v>
      </c>
      <c r="D628" s="6" t="str">
        <f>Descargas!E628</f>
        <v>https://resources.simonelectric.com/simon-ebook-vehiculo-electrico</v>
      </c>
      <c r="E628" s="20" t="str">
        <f t="shared" si="1"/>
        <v>516@hotmail.es</v>
      </c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</row>
    <row r="629" ht="15.75" customHeight="1">
      <c r="A629" s="18" t="str">
        <f>Descargas!A629</f>
        <v>517@palmersebastian.com</v>
      </c>
      <c r="B629" s="19" t="str">
        <f>IFERROR(__xludf.DUMMYFUNCTION("IF(OR(regexmatch(A629,"".*@simon.es$""),REGEXMATCH(A629,"".*@simon.pt$""),REGEXMATCH(A629,"".*@simonelectrica.com$""),REGEXMATCH(A629,"".*@hiberus.com$""),REGEXMATCH(A629,"".*@simonbrico.es$""),regexmatch(A629,"".*@simonelectric.com$"")),""null"",A629)"),"517@palmersebastian.com")</f>
        <v>517@palmersebastian.com</v>
      </c>
      <c r="C629" s="5">
        <f>IF(B629="null","null",Descargas!B629)</f>
        <v>43977</v>
      </c>
      <c r="D629" s="6" t="str">
        <f>Descargas!E629</f>
        <v>https://resources.simonelectric.com/simon-catalogo-vehiculo-electrico</v>
      </c>
      <c r="E629" s="20" t="str">
        <f t="shared" si="1"/>
        <v>517@palmersebastian.com</v>
      </c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</row>
    <row r="630" ht="15.75" customHeight="1">
      <c r="A630" s="18" t="str">
        <f>Descargas!A630</f>
        <v>517@palmersebastian.com</v>
      </c>
      <c r="B630" s="19" t="str">
        <f>IFERROR(__xludf.DUMMYFUNCTION("IF(OR(regexmatch(A630,"".*@simon.es$""),REGEXMATCH(A630,"".*@simon.pt$""),REGEXMATCH(A630,"".*@simonelectrica.com$""),REGEXMATCH(A630,"".*@hiberus.com$""),REGEXMATCH(A630,"".*@simonbrico.es$""),regexmatch(A630,"".*@simonelectric.com$"")),""null"",A630)"),"517@palmersebastian.com")</f>
        <v>517@palmersebastian.com</v>
      </c>
      <c r="C630" s="5">
        <f>IF(B630="null","null",Descargas!B630)</f>
        <v>43977</v>
      </c>
      <c r="D630" s="6" t="str">
        <f>Descargas!E630</f>
        <v>https://resources.simonelectric.com/simon-ebook-vehiculo-electrico</v>
      </c>
      <c r="E630" s="20" t="str">
        <f t="shared" si="1"/>
        <v>517@palmersebastian.com</v>
      </c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</row>
    <row r="631" ht="15.75" customHeight="1">
      <c r="A631" s="18" t="str">
        <f>Descargas!A631</f>
        <v>517@palmersebastian.com</v>
      </c>
      <c r="B631" s="19" t="str">
        <f>IFERROR(__xludf.DUMMYFUNCTION("IF(OR(regexmatch(A631,"".*@simon.es$""),REGEXMATCH(A631,"".*@simon.pt$""),REGEXMATCH(A631,"".*@simonelectrica.com$""),REGEXMATCH(A631,"".*@hiberus.com$""),REGEXMATCH(A631,"".*@simonbrico.es$""),regexmatch(A631,"".*@simonelectric.com$"")),""null"",A631)"),"517@palmersebastian.com")</f>
        <v>517@palmersebastian.com</v>
      </c>
      <c r="C631" s="5">
        <f>IF(B631="null","null",Descargas!B631)</f>
        <v>43977</v>
      </c>
      <c r="D631" s="6" t="str">
        <f>Descargas!E631</f>
        <v>https://resources.simonelectric.com/simon-ebook-vehiculo-electrico</v>
      </c>
      <c r="E631" s="20" t="str">
        <f t="shared" si="1"/>
        <v>517@palmersebastian.com</v>
      </c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</row>
    <row r="632" ht="15.75" customHeight="1">
      <c r="A632" s="18" t="str">
        <f>Descargas!A632</f>
        <v>517@palmersebastian.com</v>
      </c>
      <c r="B632" s="19" t="str">
        <f>IFERROR(__xludf.DUMMYFUNCTION("IF(OR(regexmatch(A632,"".*@simon.es$""),REGEXMATCH(A632,"".*@simon.pt$""),REGEXMATCH(A632,"".*@simonelectrica.com$""),REGEXMATCH(A632,"".*@hiberus.com$""),REGEXMATCH(A632,"".*@simonbrico.es$""),regexmatch(A632,"".*@simonelectric.com$"")),""null"",A632)"),"517@palmersebastian.com")</f>
        <v>517@palmersebastian.com</v>
      </c>
      <c r="C632" s="5">
        <f>IF(B632="null","null",Descargas!B632)</f>
        <v>43977</v>
      </c>
      <c r="D632" s="6" t="str">
        <f>Descargas!E632</f>
        <v>https://resources.simonelectric.com/simon-ebook-vehiculo-electrico</v>
      </c>
      <c r="E632" s="20" t="str">
        <f t="shared" si="1"/>
        <v>517@palmersebastian.com</v>
      </c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</row>
    <row r="633" ht="15.75" customHeight="1">
      <c r="A633" s="18" t="str">
        <f>Descargas!A633</f>
        <v>518@gmail.com</v>
      </c>
      <c r="B633" s="19" t="str">
        <f>IFERROR(__xludf.DUMMYFUNCTION("IF(OR(regexmatch(A633,"".*@simon.es$""),REGEXMATCH(A633,"".*@simon.pt$""),REGEXMATCH(A633,"".*@simonelectrica.com$""),REGEXMATCH(A633,"".*@hiberus.com$""),REGEXMATCH(A633,"".*@simonbrico.es$""),regexmatch(A633,"".*@simonelectric.com$"")),""null"",A633)"),"518@gmail.com")</f>
        <v>518@gmail.com</v>
      </c>
      <c r="C633" s="5">
        <f>IF(B633="null","null",Descargas!B633)</f>
        <v>43977</v>
      </c>
      <c r="D633" s="6" t="str">
        <f>Descargas!E633</f>
        <v>https://resources.simonelectric.com/simon-ebook-vehiculo-electrico-ppc</v>
      </c>
      <c r="E633" s="20" t="str">
        <f t="shared" si="1"/>
        <v>518@gmail.com</v>
      </c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</row>
    <row r="634" ht="15.75" customHeight="1">
      <c r="A634" s="18" t="str">
        <f>Descargas!A634</f>
        <v>519@outlook.com</v>
      </c>
      <c r="B634" s="19" t="str">
        <f>IFERROR(__xludf.DUMMYFUNCTION("IF(OR(regexmatch(A634,"".*@simon.es$""),REGEXMATCH(A634,"".*@simon.pt$""),REGEXMATCH(A634,"".*@simonelectrica.com$""),REGEXMATCH(A634,"".*@hiberus.com$""),REGEXMATCH(A634,"".*@simonbrico.es$""),regexmatch(A634,"".*@simonelectric.com$"")),""null"",A634)"),"519@outlook.com")</f>
        <v>519@outlook.com</v>
      </c>
      <c r="C634" s="5">
        <f>IF(B634="null","null",Descargas!B634)</f>
        <v>43976</v>
      </c>
      <c r="D634" s="6" t="str">
        <f>Descargas!E634</f>
        <v>https://resources.simonelectric.com/simon-ebook-vehiculo-electrico</v>
      </c>
      <c r="E634" s="20" t="str">
        <f t="shared" si="1"/>
        <v>519@outlook.com</v>
      </c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</row>
    <row r="635" ht="15.75" customHeight="1">
      <c r="A635" s="18" t="str">
        <f>Descargas!A635</f>
        <v>520@ecf-electricidad.com</v>
      </c>
      <c r="B635" s="19" t="str">
        <f>IFERROR(__xludf.DUMMYFUNCTION("IF(OR(regexmatch(A635,"".*@simon.es$""),REGEXMATCH(A635,"".*@simon.pt$""),REGEXMATCH(A635,"".*@simonelectrica.com$""),REGEXMATCH(A635,"".*@hiberus.com$""),REGEXMATCH(A635,"".*@simonbrico.es$""),regexmatch(A635,"".*@simonelectric.com$"")),""null"",A635)"),"520@ecf-electricidad.com")</f>
        <v>520@ecf-electricidad.com</v>
      </c>
      <c r="C635" s="5">
        <f>IF(B635="null","null",Descargas!B635)</f>
        <v>43976</v>
      </c>
      <c r="D635" s="6" t="str">
        <f>Descargas!E635</f>
        <v>https://resources.simonelectric.com/simon-ebook-vehiculo-electrico</v>
      </c>
      <c r="E635" s="20" t="str">
        <f t="shared" si="1"/>
        <v>520@ecf-electricidad.com</v>
      </c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</row>
    <row r="636" ht="15.75" customHeight="1">
      <c r="A636" s="18" t="str">
        <f>Descargas!A636</f>
        <v>521@gmail.com</v>
      </c>
      <c r="B636" s="19" t="str">
        <f>IFERROR(__xludf.DUMMYFUNCTION("IF(OR(regexmatch(A636,"".*@simon.es$""),REGEXMATCH(A636,"".*@simon.pt$""),REGEXMATCH(A636,"".*@simonelectrica.com$""),REGEXMATCH(A636,"".*@hiberus.com$""),REGEXMATCH(A636,"".*@simonbrico.es$""),regexmatch(A636,"".*@simonelectric.com$"")),""null"",A636)"),"521@gmail.com")</f>
        <v>521@gmail.com</v>
      </c>
      <c r="C636" s="5">
        <f>IF(B636="null","null",Descargas!B636)</f>
        <v>43976</v>
      </c>
      <c r="D636" s="6" t="str">
        <f>Descargas!E636</f>
        <v>https://resources.simonelectric.com/simon-ebook-vehiculo-electrico</v>
      </c>
      <c r="E636" s="20" t="str">
        <f t="shared" si="1"/>
        <v>521@gmail.com</v>
      </c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</row>
    <row r="637" ht="15.75" customHeight="1">
      <c r="A637" s="18" t="str">
        <f>Descargas!A637</f>
        <v>522@siemens.com</v>
      </c>
      <c r="B637" s="19" t="str">
        <f>IFERROR(__xludf.DUMMYFUNCTION("IF(OR(regexmatch(A637,"".*@simon.es$""),REGEXMATCH(A637,"".*@simon.pt$""),REGEXMATCH(A637,"".*@simonelectrica.com$""),REGEXMATCH(A637,"".*@hiberus.com$""),REGEXMATCH(A637,"".*@simonbrico.es$""),regexmatch(A637,"".*@simonelectric.com$"")),""null"",A637)"),"522@siemens.com")</f>
        <v>522@siemens.com</v>
      </c>
      <c r="C637" s="5">
        <f>IF(B637="null","null",Descargas!B637)</f>
        <v>43976</v>
      </c>
      <c r="D637" s="6" t="str">
        <f>Descargas!E637</f>
        <v>https://resources.simonelectric.com/simon-ebook-vehiculo-electrico</v>
      </c>
      <c r="E637" s="20" t="str">
        <f t="shared" si="1"/>
        <v>522@siemens.com</v>
      </c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</row>
    <row r="638" ht="15.75" customHeight="1">
      <c r="A638" s="18" t="str">
        <f>Descargas!A638</f>
        <v>523@gmail.com</v>
      </c>
      <c r="B638" s="19" t="str">
        <f>IFERROR(__xludf.DUMMYFUNCTION("IF(OR(regexmatch(A638,"".*@simon.es$""),REGEXMATCH(A638,"".*@simon.pt$""),REGEXMATCH(A638,"".*@simonelectrica.com$""),REGEXMATCH(A638,"".*@hiberus.com$""),REGEXMATCH(A638,"".*@simonbrico.es$""),regexmatch(A638,"".*@simonelectric.com$"")),""null"",A638)"),"523@gmail.com")</f>
        <v>523@gmail.com</v>
      </c>
      <c r="C638" s="5">
        <f>IF(B638="null","null",Descargas!B638)</f>
        <v>43976</v>
      </c>
      <c r="D638" s="6" t="str">
        <f>Descargas!E638</f>
        <v>https://resources.simonelectric.com/simon-ebook-vehiculo-electrico</v>
      </c>
      <c r="E638" s="20" t="str">
        <f t="shared" si="1"/>
        <v>523@gmail.com</v>
      </c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</row>
    <row r="639" ht="15.75" customHeight="1">
      <c r="A639" s="18" t="str">
        <f>Descargas!A639</f>
        <v>524@gmail.com</v>
      </c>
      <c r="B639" s="19" t="str">
        <f>IFERROR(__xludf.DUMMYFUNCTION("IF(OR(regexmatch(A639,"".*@simon.es$""),REGEXMATCH(A639,"".*@simon.pt$""),REGEXMATCH(A639,"".*@simonelectrica.com$""),REGEXMATCH(A639,"".*@hiberus.com$""),REGEXMATCH(A639,"".*@simonbrico.es$""),regexmatch(A639,"".*@simonelectric.com$"")),""null"",A639)"),"524@gmail.com")</f>
        <v>524@gmail.com</v>
      </c>
      <c r="C639" s="5">
        <f>IF(B639="null","null",Descargas!B639)</f>
        <v>43976</v>
      </c>
      <c r="D639" s="6" t="str">
        <f>Descargas!E639</f>
        <v>https://resources.simonelectric.com/simon-ebook-vehiculo-electrico</v>
      </c>
      <c r="E639" s="20" t="str">
        <f t="shared" si="1"/>
        <v>524@gmail.com</v>
      </c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</row>
    <row r="640" ht="15.75" customHeight="1">
      <c r="A640" s="18" t="str">
        <f>Descargas!A640</f>
        <v>525@comsa.com</v>
      </c>
      <c r="B640" s="19" t="str">
        <f>IFERROR(__xludf.DUMMYFUNCTION("IF(OR(regexmatch(A640,"".*@simon.es$""),REGEXMATCH(A640,"".*@simon.pt$""),REGEXMATCH(A640,"".*@simonelectrica.com$""),REGEXMATCH(A640,"".*@hiberus.com$""),REGEXMATCH(A640,"".*@simonbrico.es$""),regexmatch(A640,"".*@simonelectric.com$"")),""null"",A640)"),"525@comsa.com")</f>
        <v>525@comsa.com</v>
      </c>
      <c r="C640" s="5">
        <f>IF(B640="null","null",Descargas!B640)</f>
        <v>43976</v>
      </c>
      <c r="D640" s="6" t="str">
        <f>Descargas!E640</f>
        <v>https://resources.simonelectric.com/simon-ebook-vehiculo-electrico</v>
      </c>
      <c r="E640" s="20" t="str">
        <f t="shared" si="1"/>
        <v>525@comsa.com</v>
      </c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</row>
    <row r="641" ht="15.75" customHeight="1">
      <c r="A641" s="18" t="str">
        <f>Descargas!A641</f>
        <v>526@gmail.com</v>
      </c>
      <c r="B641" s="19" t="str">
        <f>IFERROR(__xludf.DUMMYFUNCTION("IF(OR(regexmatch(A641,"".*@simon.es$""),REGEXMATCH(A641,"".*@simon.pt$""),REGEXMATCH(A641,"".*@simonelectrica.com$""),REGEXMATCH(A641,"".*@hiberus.com$""),REGEXMATCH(A641,"".*@simonbrico.es$""),regexmatch(A641,"".*@simonelectric.com$"")),""null"",A641)"),"526@gmail.com")</f>
        <v>526@gmail.com</v>
      </c>
      <c r="C641" s="5">
        <f>IF(B641="null","null",Descargas!B641)</f>
        <v>43976</v>
      </c>
      <c r="D641" s="6" t="str">
        <f>Descargas!E641</f>
        <v>https://resources.simonelectric.com/simon-ebook-vehiculo-electrico</v>
      </c>
      <c r="E641" s="20" t="str">
        <f t="shared" si="1"/>
        <v>526@gmail.com</v>
      </c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</row>
    <row r="642" ht="15.75" customHeight="1">
      <c r="A642" s="18" t="str">
        <f>Descargas!A642</f>
        <v>527@yahoo.com.mx</v>
      </c>
      <c r="B642" s="19" t="str">
        <f>IFERROR(__xludf.DUMMYFUNCTION("IF(OR(regexmatch(A642,"".*@simon.es$""),REGEXMATCH(A642,"".*@simon.pt$""),REGEXMATCH(A642,"".*@simonelectrica.com$""),REGEXMATCH(A642,"".*@hiberus.com$""),REGEXMATCH(A642,"".*@simonbrico.es$""),regexmatch(A642,"".*@simonelectric.com$"")),""null"",A642)"),"527@yahoo.com.mx")</f>
        <v>527@yahoo.com.mx</v>
      </c>
      <c r="C642" s="5">
        <f>IF(B642="null","null",Descargas!B642)</f>
        <v>43976</v>
      </c>
      <c r="D642" s="6" t="str">
        <f>Descargas!E642</f>
        <v>https://resources.simonelectric.com/simon-ebook-vehiculo-electrico</v>
      </c>
      <c r="E642" s="20" t="str">
        <f t="shared" si="1"/>
        <v>527@yahoo.com.mx</v>
      </c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</row>
    <row r="643" ht="15.75" customHeight="1">
      <c r="A643" s="18" t="str">
        <f>Descargas!A643</f>
        <v>528@gmail.com</v>
      </c>
      <c r="B643" s="19" t="str">
        <f>IFERROR(__xludf.DUMMYFUNCTION("IF(OR(regexmatch(A643,"".*@simon.es$""),REGEXMATCH(A643,"".*@simon.pt$""),REGEXMATCH(A643,"".*@simonelectrica.com$""),REGEXMATCH(A643,"".*@hiberus.com$""),REGEXMATCH(A643,"".*@simonbrico.es$""),regexmatch(A643,"".*@simonelectric.com$"")),""null"",A643)"),"528@gmail.com")</f>
        <v>528@gmail.com</v>
      </c>
      <c r="C643" s="5">
        <f>IF(B643="null","null",Descargas!B643)</f>
        <v>43976</v>
      </c>
      <c r="D643" s="6" t="str">
        <f>Descargas!E643</f>
        <v>https://resources.simonelectric.com/simon-ebook-vehiculo-electrico</v>
      </c>
      <c r="E643" s="20" t="str">
        <f t="shared" si="1"/>
        <v>528@gmail.com</v>
      </c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</row>
    <row r="644" ht="15.75" customHeight="1">
      <c r="A644" s="18" t="str">
        <f>Descargas!A644</f>
        <v>529@gmail.com</v>
      </c>
      <c r="B644" s="19" t="str">
        <f>IFERROR(__xludf.DUMMYFUNCTION("IF(OR(regexmatch(A644,"".*@simon.es$""),REGEXMATCH(A644,"".*@simon.pt$""),REGEXMATCH(A644,"".*@simonelectrica.com$""),REGEXMATCH(A644,"".*@hiberus.com$""),REGEXMATCH(A644,"".*@simonbrico.es$""),regexmatch(A644,"".*@simonelectric.com$"")),""null"",A644)"),"529@gmail.com")</f>
        <v>529@gmail.com</v>
      </c>
      <c r="C644" s="5">
        <f>IF(B644="null","null",Descargas!B644)</f>
        <v>43976</v>
      </c>
      <c r="D644" s="6" t="str">
        <f>Descargas!E644</f>
        <v>https://resources.simonelectric.com/simon-ebook-vehiculo-electrico</v>
      </c>
      <c r="E644" s="20" t="str">
        <f t="shared" si="1"/>
        <v>529@gmail.com</v>
      </c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</row>
    <row r="645" ht="15.75" customHeight="1">
      <c r="A645" s="18" t="str">
        <f>Descargas!A645</f>
        <v>530@trilegend.com</v>
      </c>
      <c r="B645" s="19" t="str">
        <f>IFERROR(__xludf.DUMMYFUNCTION("IF(OR(regexmatch(A645,"".*@simon.es$""),REGEXMATCH(A645,"".*@simon.pt$""),REGEXMATCH(A645,"".*@simonelectrica.com$""),REGEXMATCH(A645,"".*@hiberus.com$""),REGEXMATCH(A645,"".*@simonbrico.es$""),regexmatch(A645,"".*@simonelectric.com$"")),""null"",A645)"),"530@trilegend.com")</f>
        <v>530@trilegend.com</v>
      </c>
      <c r="C645" s="5">
        <f>IF(B645="null","null",Descargas!B645)</f>
        <v>43976</v>
      </c>
      <c r="D645" s="6" t="str">
        <f>Descargas!E645</f>
        <v>https://resources.simonelectric.com/simon-catalogo-vehiculo-electrico</v>
      </c>
      <c r="E645" s="20" t="str">
        <f t="shared" si="1"/>
        <v>530@trilegend.com</v>
      </c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</row>
    <row r="646" ht="15.75" customHeight="1">
      <c r="A646" s="18" t="str">
        <f>Descargas!A646</f>
        <v>531@csisuministros.com</v>
      </c>
      <c r="B646" s="19" t="str">
        <f>IFERROR(__xludf.DUMMYFUNCTION("IF(OR(regexmatch(A646,"".*@simon.es$""),REGEXMATCH(A646,"".*@simon.pt$""),REGEXMATCH(A646,"".*@simonelectrica.com$""),REGEXMATCH(A646,"".*@hiberus.com$""),REGEXMATCH(A646,"".*@simonbrico.es$""),regexmatch(A646,"".*@simonelectric.com$"")),""null"",A646)"),"531@csisuministros.com")</f>
        <v>531@csisuministros.com</v>
      </c>
      <c r="C646" s="5">
        <f>IF(B646="null","null",Descargas!B646)</f>
        <v>43976</v>
      </c>
      <c r="D646" s="6" t="str">
        <f>Descargas!E646</f>
        <v>https://resources.simonelectric.com/simon-ebook-vehiculo-electrico</v>
      </c>
      <c r="E646" s="20" t="str">
        <f t="shared" si="1"/>
        <v>531@csisuministros.com</v>
      </c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</row>
    <row r="647" ht="15.75" customHeight="1">
      <c r="A647" s="18" t="str">
        <f>Descargas!A647</f>
        <v>532@gmail.com</v>
      </c>
      <c r="B647" s="19" t="str">
        <f>IFERROR(__xludf.DUMMYFUNCTION("IF(OR(regexmatch(A647,"".*@simon.es$""),REGEXMATCH(A647,"".*@simon.pt$""),REGEXMATCH(A647,"".*@simonelectrica.com$""),REGEXMATCH(A647,"".*@hiberus.com$""),REGEXMATCH(A647,"".*@simonbrico.es$""),regexmatch(A647,"".*@simonelectric.com$"")),""null"",A647)"),"532@gmail.com")</f>
        <v>532@gmail.com</v>
      </c>
      <c r="C647" s="5">
        <f>IF(B647="null","null",Descargas!B647)</f>
        <v>43976</v>
      </c>
      <c r="D647" s="6" t="str">
        <f>Descargas!E647</f>
        <v>https://resources.simonelectric.com/simon-ebook-vehiculo-electrico-ppc</v>
      </c>
      <c r="E647" s="20" t="str">
        <f t="shared" si="1"/>
        <v>532@gmail.com</v>
      </c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</row>
    <row r="648" ht="15.75" customHeight="1">
      <c r="A648" s="18" t="str">
        <f>Descargas!A648</f>
        <v>355@gmail.com</v>
      </c>
      <c r="B648" s="19" t="str">
        <f>IFERROR(__xludf.DUMMYFUNCTION("IF(OR(regexmatch(A648,"".*@simon.es$""),REGEXMATCH(A648,"".*@simon.pt$""),REGEXMATCH(A648,"".*@simonelectrica.com$""),REGEXMATCH(A648,"".*@hiberus.com$""),REGEXMATCH(A648,"".*@simonbrico.es$""),regexmatch(A648,"".*@simonelectric.com$"")),""null"",A648)"),"355@gmail.com")</f>
        <v>355@gmail.com</v>
      </c>
      <c r="C648" s="5">
        <f>IF(B648="null","null",Descargas!B648)</f>
        <v>43976</v>
      </c>
      <c r="D648" s="6" t="str">
        <f>Descargas!E648</f>
        <v>https://resources.simonelectric.com/simon-ebook-vehiculo-electrico</v>
      </c>
      <c r="E648" s="20" t="str">
        <f t="shared" si="1"/>
        <v>355@gmail.com</v>
      </c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</row>
    <row r="649" ht="15.75" customHeight="1">
      <c r="A649" s="18" t="str">
        <f>Descargas!A649</f>
        <v>533@emconsulting.es</v>
      </c>
      <c r="B649" s="19" t="str">
        <f>IFERROR(__xludf.DUMMYFUNCTION("IF(OR(regexmatch(A649,"".*@simon.es$""),REGEXMATCH(A649,"".*@simon.pt$""),REGEXMATCH(A649,"".*@simonelectrica.com$""),REGEXMATCH(A649,"".*@hiberus.com$""),REGEXMATCH(A649,"".*@simonbrico.es$""),regexmatch(A649,"".*@simonelectric.com$"")),""null"",A649)"),"533@emconsulting.es")</f>
        <v>533@emconsulting.es</v>
      </c>
      <c r="C649" s="5">
        <f>IF(B649="null","null",Descargas!B649)</f>
        <v>43976</v>
      </c>
      <c r="D649" s="6" t="str">
        <f>Descargas!E649</f>
        <v>https://resources.simonelectric.com/simon-ebook-vehiculo-electrico</v>
      </c>
      <c r="E649" s="20" t="str">
        <f t="shared" si="1"/>
        <v>533@emconsulting.es</v>
      </c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</row>
    <row r="650" ht="15.75" customHeight="1">
      <c r="A650" s="18" t="str">
        <f>Descargas!A650</f>
        <v>534@gmail.com</v>
      </c>
      <c r="B650" s="19" t="str">
        <f>IFERROR(__xludf.DUMMYFUNCTION("IF(OR(regexmatch(A650,"".*@simon.es$""),REGEXMATCH(A650,"".*@simon.pt$""),REGEXMATCH(A650,"".*@simonelectrica.com$""),REGEXMATCH(A650,"".*@hiberus.com$""),REGEXMATCH(A650,"".*@simonbrico.es$""),regexmatch(A650,"".*@simonelectric.com$"")),""null"",A650)"),"534@gmail.com")</f>
        <v>534@gmail.com</v>
      </c>
      <c r="C650" s="5">
        <f>IF(B650="null","null",Descargas!B650)</f>
        <v>43976</v>
      </c>
      <c r="D650" s="6" t="str">
        <f>Descargas!E650</f>
        <v>https://resources.simonelectric.com/simon-ebook-vehiculo-electrico</v>
      </c>
      <c r="E650" s="20" t="str">
        <f t="shared" si="1"/>
        <v>534@gmail.com</v>
      </c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</row>
    <row r="651" ht="15.75" customHeight="1">
      <c r="A651" s="18" t="str">
        <f>Descargas!A651</f>
        <v>535@bgp.es</v>
      </c>
      <c r="B651" s="19" t="str">
        <f>IFERROR(__xludf.DUMMYFUNCTION("IF(OR(regexmatch(A651,"".*@simon.es$""),REGEXMATCH(A651,"".*@simon.pt$""),REGEXMATCH(A651,"".*@simonelectrica.com$""),REGEXMATCH(A651,"".*@hiberus.com$""),REGEXMATCH(A651,"".*@simonbrico.es$""),regexmatch(A651,"".*@simonelectric.com$"")),""null"",A651)"),"535@bgp.es")</f>
        <v>535@bgp.es</v>
      </c>
      <c r="C651" s="5">
        <f>IF(B651="null","null",Descargas!B651)</f>
        <v>43976</v>
      </c>
      <c r="D651" s="6" t="str">
        <f>Descargas!E651</f>
        <v>https://resources.simonelectric.com/simon-ebook-vehiculo-electrico</v>
      </c>
      <c r="E651" s="20" t="str">
        <f t="shared" si="1"/>
        <v>535@bgp.es</v>
      </c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</row>
    <row r="652" ht="15.75" customHeight="1">
      <c r="A652" s="18" t="str">
        <f>Descargas!A652</f>
        <v>536@adymus.es</v>
      </c>
      <c r="B652" s="19" t="str">
        <f>IFERROR(__xludf.DUMMYFUNCTION("IF(OR(regexmatch(A652,"".*@simon.es$""),REGEXMATCH(A652,"".*@simon.pt$""),REGEXMATCH(A652,"".*@simonelectrica.com$""),REGEXMATCH(A652,"".*@hiberus.com$""),REGEXMATCH(A652,"".*@simonbrico.es$""),regexmatch(A652,"".*@simonelectric.com$"")),""null"",A652)"),"536@adymus.es")</f>
        <v>536@adymus.es</v>
      </c>
      <c r="C652" s="5">
        <f>IF(B652="null","null",Descargas!B652)</f>
        <v>43976</v>
      </c>
      <c r="D652" s="6" t="str">
        <f>Descargas!E652</f>
        <v>https://resources.simonelectric.com/simon-ebook-vehiculo-electrico</v>
      </c>
      <c r="E652" s="20" t="str">
        <f t="shared" si="1"/>
        <v>536@adymus.es</v>
      </c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</row>
    <row r="653" ht="15.75" customHeight="1">
      <c r="A653" s="18" t="str">
        <f>Descargas!A653</f>
        <v>537@sonneingenieria.com</v>
      </c>
      <c r="B653" s="19" t="str">
        <f>IFERROR(__xludf.DUMMYFUNCTION("IF(OR(regexmatch(A653,"".*@simon.es$""),REGEXMATCH(A653,"".*@simon.pt$""),REGEXMATCH(A653,"".*@simonelectrica.com$""),REGEXMATCH(A653,"".*@hiberus.com$""),REGEXMATCH(A653,"".*@simonbrico.es$""),regexmatch(A653,"".*@simonelectric.com$"")),""null"",A653)"),"537@sonneingenieria.com")</f>
        <v>537@sonneingenieria.com</v>
      </c>
      <c r="C653" s="5">
        <f>IF(B653="null","null",Descargas!B653)</f>
        <v>43976</v>
      </c>
      <c r="D653" s="6" t="str">
        <f>Descargas!E653</f>
        <v>https://resources.simonelectric.com/simon-material-formativo-vehiculo-electrico</v>
      </c>
      <c r="E653" s="20" t="str">
        <f t="shared" si="1"/>
        <v>537@sonneingenieria.com</v>
      </c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</row>
    <row r="654" ht="15.75" customHeight="1">
      <c r="A654" s="18" t="str">
        <f>Descargas!A654</f>
        <v>291@yahoo.es</v>
      </c>
      <c r="B654" s="19" t="str">
        <f>IFERROR(__xludf.DUMMYFUNCTION("IF(OR(regexmatch(A654,"".*@simon.es$""),REGEXMATCH(A654,"".*@simon.pt$""),REGEXMATCH(A654,"".*@simonelectrica.com$""),REGEXMATCH(A654,"".*@hiberus.com$""),REGEXMATCH(A654,"".*@simonbrico.es$""),regexmatch(A654,"".*@simonelectric.com$"")),""null"",A654)"),"291@yahoo.es")</f>
        <v>291@yahoo.es</v>
      </c>
      <c r="C654" s="5">
        <f>IF(B654="null","null",Descargas!B654)</f>
        <v>43976</v>
      </c>
      <c r="D654" s="6" t="str">
        <f>Descargas!E654</f>
        <v>https://resources.simonelectric.com/simon-ebook-vehiculo-electrico</v>
      </c>
      <c r="E654" s="20" t="str">
        <f t="shared" si="1"/>
        <v>291@yahoo.es</v>
      </c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</row>
    <row r="655" ht="15.75" customHeight="1">
      <c r="A655" s="18" t="str">
        <f>Descargas!A655</f>
        <v>538@herquesa.com</v>
      </c>
      <c r="B655" s="19" t="str">
        <f>IFERROR(__xludf.DUMMYFUNCTION("IF(OR(regexmatch(A655,"".*@simon.es$""),REGEXMATCH(A655,"".*@simon.pt$""),REGEXMATCH(A655,"".*@simonelectrica.com$""),REGEXMATCH(A655,"".*@hiberus.com$""),REGEXMATCH(A655,"".*@simonbrico.es$""),regexmatch(A655,"".*@simonelectric.com$"")),""null"",A655)"),"538@herquesa.com")</f>
        <v>538@herquesa.com</v>
      </c>
      <c r="C655" s="5">
        <f>IF(B655="null","null",Descargas!B655)</f>
        <v>43976</v>
      </c>
      <c r="D655" s="6" t="str">
        <f>Descargas!E655</f>
        <v>https://resources.simonelectric.com/simon-ebook-vehiculo-electrico</v>
      </c>
      <c r="E655" s="20" t="str">
        <f t="shared" si="1"/>
        <v>538@herquesa.com</v>
      </c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</row>
    <row r="656" ht="15.75" customHeight="1">
      <c r="A656" s="18" t="str">
        <f>Descargas!A656</f>
        <v>539@cablenergia.com</v>
      </c>
      <c r="B656" s="19" t="str">
        <f>IFERROR(__xludf.DUMMYFUNCTION("IF(OR(regexmatch(A656,"".*@simon.es$""),REGEXMATCH(A656,"".*@simon.pt$""),REGEXMATCH(A656,"".*@simonelectrica.com$""),REGEXMATCH(A656,"".*@hiberus.com$""),REGEXMATCH(A656,"".*@simonbrico.es$""),regexmatch(A656,"".*@simonelectric.com$"")),""null"",A656)"),"539@cablenergia.com")</f>
        <v>539@cablenergia.com</v>
      </c>
      <c r="C656" s="5">
        <f>IF(B656="null","null",Descargas!B656)</f>
        <v>43976</v>
      </c>
      <c r="D656" s="6" t="str">
        <f>Descargas!E656</f>
        <v>https://resources.simonelectric.com/simon-ebook-vehiculo-electrico</v>
      </c>
      <c r="E656" s="20" t="str">
        <f t="shared" si="1"/>
        <v>539@cablenergia.com</v>
      </c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</row>
    <row r="657" ht="15.75" customHeight="1">
      <c r="A657" s="18" t="str">
        <f>Descargas!A657</f>
        <v>540@hotmail.com</v>
      </c>
      <c r="B657" s="19" t="str">
        <f>IFERROR(__xludf.DUMMYFUNCTION("IF(OR(regexmatch(A657,"".*@simon.es$""),REGEXMATCH(A657,"".*@simon.pt$""),REGEXMATCH(A657,"".*@simonelectrica.com$""),REGEXMATCH(A657,"".*@hiberus.com$""),REGEXMATCH(A657,"".*@simonbrico.es$""),regexmatch(A657,"".*@simonelectric.com$"")),""null"",A657)"),"540@hotmail.com")</f>
        <v>540@hotmail.com</v>
      </c>
      <c r="C657" s="5">
        <f>IF(B657="null","null",Descargas!B657)</f>
        <v>43976</v>
      </c>
      <c r="D657" s="6" t="str">
        <f>Descargas!E657</f>
        <v>https://resources.simonelectric.com/simon-ebook-vehiculo-electrico-ppc</v>
      </c>
      <c r="E657" s="20" t="str">
        <f t="shared" si="1"/>
        <v>540@hotmail.com</v>
      </c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</row>
    <row r="658" ht="15.75" customHeight="1">
      <c r="A658" s="18" t="str">
        <f>Descargas!A658</f>
        <v>541@gmail.com</v>
      </c>
      <c r="B658" s="19" t="str">
        <f>IFERROR(__xludf.DUMMYFUNCTION("IF(OR(regexmatch(A658,"".*@simon.es$""),REGEXMATCH(A658,"".*@simon.pt$""),REGEXMATCH(A658,"".*@simonelectrica.com$""),REGEXMATCH(A658,"".*@hiberus.com$""),REGEXMATCH(A658,"".*@simonbrico.es$""),regexmatch(A658,"".*@simonelectric.com$"")),""null"",A658)"),"541@gmail.com")</f>
        <v>541@gmail.com</v>
      </c>
      <c r="C658" s="5">
        <f>IF(B658="null","null",Descargas!B658)</f>
        <v>43976</v>
      </c>
      <c r="D658" s="6" t="str">
        <f>Descargas!E658</f>
        <v>https://resources.simonelectric.com/simon-ebook-vehiculo-electrico</v>
      </c>
      <c r="E658" s="20" t="str">
        <f t="shared" si="1"/>
        <v>541@gmail.com</v>
      </c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</row>
    <row r="659" ht="15.75" customHeight="1">
      <c r="A659" s="18" t="str">
        <f>Descargas!A659</f>
        <v>542@yahoo.es</v>
      </c>
      <c r="B659" s="19" t="str">
        <f>IFERROR(__xludf.DUMMYFUNCTION("IF(OR(regexmatch(A659,"".*@simon.es$""),REGEXMATCH(A659,"".*@simon.pt$""),REGEXMATCH(A659,"".*@simonelectrica.com$""),REGEXMATCH(A659,"".*@hiberus.com$""),REGEXMATCH(A659,"".*@simonbrico.es$""),regexmatch(A659,"".*@simonelectric.com$"")),""null"",A659)"),"542@yahoo.es")</f>
        <v>542@yahoo.es</v>
      </c>
      <c r="C659" s="5">
        <f>IF(B659="null","null",Descargas!B659)</f>
        <v>43976</v>
      </c>
      <c r="D659" s="6" t="str">
        <f>Descargas!E659</f>
        <v>https://resources.simonelectric.com/simon-ebook-vehiculo-electrico</v>
      </c>
      <c r="E659" s="20" t="str">
        <f t="shared" si="1"/>
        <v>542@yahoo.es</v>
      </c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</row>
    <row r="660" ht="15.75" customHeight="1">
      <c r="A660" s="18" t="str">
        <f>Descargas!A660</f>
        <v>543@andreumanteniment.com</v>
      </c>
      <c r="B660" s="19" t="str">
        <f>IFERROR(__xludf.DUMMYFUNCTION("IF(OR(regexmatch(A660,"".*@simon.es$""),REGEXMATCH(A660,"".*@simon.pt$""),REGEXMATCH(A660,"".*@simonelectrica.com$""),REGEXMATCH(A660,"".*@hiberus.com$""),REGEXMATCH(A660,"".*@simonbrico.es$""),regexmatch(A660,"".*@simonelectric.com$"")),""null"",A660)"),"543@andreumanteniment.com")</f>
        <v>543@andreumanteniment.com</v>
      </c>
      <c r="C660" s="5">
        <f>IF(B660="null","null",Descargas!B660)</f>
        <v>43976</v>
      </c>
      <c r="D660" s="6" t="str">
        <f>Descargas!E660</f>
        <v>https://resources.simonelectric.com/simon-ebook-vehiculo-electrico</v>
      </c>
      <c r="E660" s="20" t="str">
        <f t="shared" si="1"/>
        <v>543@andreumanteniment.com</v>
      </c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</row>
    <row r="661" ht="15.75" customHeight="1">
      <c r="A661" s="18" t="str">
        <f>Descargas!A661</f>
        <v>544@telnor.es</v>
      </c>
      <c r="B661" s="19" t="str">
        <f>IFERROR(__xludf.DUMMYFUNCTION("IF(OR(regexmatch(A661,"".*@simon.es$""),REGEXMATCH(A661,"".*@simon.pt$""),REGEXMATCH(A661,"".*@simonelectrica.com$""),REGEXMATCH(A661,"".*@hiberus.com$""),REGEXMATCH(A661,"".*@simonbrico.es$""),regexmatch(A661,"".*@simonelectric.com$"")),""null"",A661)"),"544@telnor.es")</f>
        <v>544@telnor.es</v>
      </c>
      <c r="C661" s="5">
        <f>IF(B661="null","null",Descargas!B661)</f>
        <v>43976</v>
      </c>
      <c r="D661" s="6" t="str">
        <f>Descargas!E661</f>
        <v>https://resources.simonelectric.com/simon-ebook-vehiculo-electrico</v>
      </c>
      <c r="E661" s="20" t="str">
        <f t="shared" si="1"/>
        <v>544@telnor.es</v>
      </c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</row>
    <row r="662" ht="15.75" customHeight="1">
      <c r="A662" s="18" t="str">
        <f>Descargas!A662</f>
        <v>545@serviciosenergeticoslp.es</v>
      </c>
      <c r="B662" s="19" t="str">
        <f>IFERROR(__xludf.DUMMYFUNCTION("IF(OR(regexmatch(A662,"".*@simon.es$""),REGEXMATCH(A662,"".*@simon.pt$""),REGEXMATCH(A662,"".*@simonelectrica.com$""),REGEXMATCH(A662,"".*@hiberus.com$""),REGEXMATCH(A662,"".*@simonbrico.es$""),regexmatch(A662,"".*@simonelectric.com$"")),""null"",A662)"),"545@serviciosenergeticoslp.es")</f>
        <v>545@serviciosenergeticoslp.es</v>
      </c>
      <c r="C662" s="5">
        <f>IF(B662="null","null",Descargas!B662)</f>
        <v>43976</v>
      </c>
      <c r="D662" s="6" t="str">
        <f>Descargas!E662</f>
        <v>https://resources.simonelectric.com/simon-ebook-vehiculo-electrico</v>
      </c>
      <c r="E662" s="20" t="str">
        <f t="shared" si="1"/>
        <v>545@serviciosenergeticoslp.es</v>
      </c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</row>
    <row r="663" ht="15.75" customHeight="1">
      <c r="A663" s="18" t="str">
        <f>Descargas!A663</f>
        <v>546@gmail.com</v>
      </c>
      <c r="B663" s="19" t="str">
        <f>IFERROR(__xludf.DUMMYFUNCTION("IF(OR(regexmatch(A663,"".*@simon.es$""),REGEXMATCH(A663,"".*@simon.pt$""),REGEXMATCH(A663,"".*@simonelectrica.com$""),REGEXMATCH(A663,"".*@hiberus.com$""),REGEXMATCH(A663,"".*@simonbrico.es$""),regexmatch(A663,"".*@simonelectric.com$"")),""null"",A663)"),"546@gmail.com")</f>
        <v>546@gmail.com</v>
      </c>
      <c r="C663" s="5">
        <f>IF(B663="null","null",Descargas!B663)</f>
        <v>43976</v>
      </c>
      <c r="D663" s="6" t="str">
        <f>Descargas!E663</f>
        <v>https://resources.simonelectric.com/simon-catalogo-vehiculo-electrico</v>
      </c>
      <c r="E663" s="20" t="str">
        <f t="shared" si="1"/>
        <v>546@gmail.com</v>
      </c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</row>
    <row r="664" ht="15.75" customHeight="1">
      <c r="A664" s="18" t="str">
        <f>Descargas!A664</f>
        <v>547@grupocuerva.com</v>
      </c>
      <c r="B664" s="19" t="str">
        <f>IFERROR(__xludf.DUMMYFUNCTION("IF(OR(regexmatch(A664,"".*@simon.es$""),REGEXMATCH(A664,"".*@simon.pt$""),REGEXMATCH(A664,"".*@simonelectrica.com$""),REGEXMATCH(A664,"".*@hiberus.com$""),REGEXMATCH(A664,"".*@simonbrico.es$""),regexmatch(A664,"".*@simonelectric.com$"")),""null"",A664)"),"547@grupocuerva.com")</f>
        <v>547@grupocuerva.com</v>
      </c>
      <c r="C664" s="5">
        <f>IF(B664="null","null",Descargas!B664)</f>
        <v>43976</v>
      </c>
      <c r="D664" s="6" t="str">
        <f>Descargas!E664</f>
        <v>https://resources.simonelectric.com/simon-ebook-vehiculo-electrico</v>
      </c>
      <c r="E664" s="20" t="str">
        <f t="shared" si="1"/>
        <v>547@grupocuerva.com</v>
      </c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</row>
    <row r="665" ht="15.75" customHeight="1">
      <c r="A665" s="18" t="str">
        <f>Descargas!A665</f>
        <v>548@hotmail.com</v>
      </c>
      <c r="B665" s="19" t="str">
        <f>IFERROR(__xludf.DUMMYFUNCTION("IF(OR(regexmatch(A665,"".*@simon.es$""),REGEXMATCH(A665,"".*@simon.pt$""),REGEXMATCH(A665,"".*@simonelectrica.com$""),REGEXMATCH(A665,"".*@hiberus.com$""),REGEXMATCH(A665,"".*@simonbrico.es$""),regexmatch(A665,"".*@simonelectric.com$"")),""null"",A665)"),"548@hotmail.com")</f>
        <v>548@hotmail.com</v>
      </c>
      <c r="C665" s="5">
        <f>IF(B665="null","null",Descargas!B665)</f>
        <v>43976</v>
      </c>
      <c r="D665" s="6" t="str">
        <f>Descargas!E665</f>
        <v>https://resources.simonelectric.com/simon-ebook-vehiculo-electrico</v>
      </c>
      <c r="E665" s="20" t="str">
        <f t="shared" si="1"/>
        <v>548@hotmail.com</v>
      </c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</row>
    <row r="666" ht="15.75" customHeight="1">
      <c r="A666" s="18" t="str">
        <f>Descargas!A666</f>
        <v>289@gmail.com</v>
      </c>
      <c r="B666" s="19" t="str">
        <f>IFERROR(__xludf.DUMMYFUNCTION("IF(OR(regexmatch(A666,"".*@simon.es$""),REGEXMATCH(A666,"".*@simon.pt$""),REGEXMATCH(A666,"".*@simonelectrica.com$""),REGEXMATCH(A666,"".*@hiberus.com$""),REGEXMATCH(A666,"".*@simonbrico.es$""),regexmatch(A666,"".*@simonelectric.com$"")),""null"",A666)"),"289@gmail.com")</f>
        <v>289@gmail.com</v>
      </c>
      <c r="C666" s="5">
        <f>IF(B666="null","null",Descargas!B666)</f>
        <v>43976</v>
      </c>
      <c r="D666" s="6" t="str">
        <f>Descargas!E666</f>
        <v>https://resources.simonelectric.com/simon-ebook-vehiculo-electrico</v>
      </c>
      <c r="E666" s="20" t="str">
        <f t="shared" si="1"/>
        <v>289@gmail.com</v>
      </c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</row>
    <row r="667" ht="15.75" customHeight="1">
      <c r="A667" s="18" t="str">
        <f>Descargas!A667</f>
        <v>549@gmail.com</v>
      </c>
      <c r="B667" s="19" t="str">
        <f>IFERROR(__xludf.DUMMYFUNCTION("IF(OR(regexmatch(A667,"".*@simon.es$""),REGEXMATCH(A667,"".*@simon.pt$""),REGEXMATCH(A667,"".*@simonelectrica.com$""),REGEXMATCH(A667,"".*@hiberus.com$""),REGEXMATCH(A667,"".*@simonbrico.es$""),regexmatch(A667,"".*@simonelectric.com$"")),""null"",A667)"),"549@gmail.com")</f>
        <v>549@gmail.com</v>
      </c>
      <c r="C667" s="5">
        <f>IF(B667="null","null",Descargas!B667)</f>
        <v>43976</v>
      </c>
      <c r="D667" s="6" t="str">
        <f>Descargas!E667</f>
        <v>https://resources.simonelectric.com/simon-ebook-vehiculo-electrico</v>
      </c>
      <c r="E667" s="20" t="str">
        <f t="shared" si="1"/>
        <v>549@gmail.com</v>
      </c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</row>
    <row r="668" ht="15.75" customHeight="1">
      <c r="A668" s="18" t="str">
        <f>Descargas!A668</f>
        <v>550@activate2.com</v>
      </c>
      <c r="B668" s="19" t="str">
        <f>IFERROR(__xludf.DUMMYFUNCTION("IF(OR(regexmatch(A668,"".*@simon.es$""),REGEXMATCH(A668,"".*@simon.pt$""),REGEXMATCH(A668,"".*@simonelectrica.com$""),REGEXMATCH(A668,"".*@hiberus.com$""),REGEXMATCH(A668,"".*@simonbrico.es$""),regexmatch(A668,"".*@simonelectric.com$"")),""null"",A668)"),"550@activate2.com")</f>
        <v>550@activate2.com</v>
      </c>
      <c r="C668" s="5">
        <f>IF(B668="null","null",Descargas!B668)</f>
        <v>43976</v>
      </c>
      <c r="D668" s="6" t="str">
        <f>Descargas!E668</f>
        <v>https://resources.simonelectric.com/simon-ebook-vehiculo-electrico</v>
      </c>
      <c r="E668" s="20" t="str">
        <f t="shared" si="1"/>
        <v>550@activate2.com</v>
      </c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</row>
    <row r="669" ht="15.75" customHeight="1">
      <c r="A669" s="18" t="str">
        <f>Descargas!A669</f>
        <v>551@mdvproyectos.es</v>
      </c>
      <c r="B669" s="19" t="str">
        <f>IFERROR(__xludf.DUMMYFUNCTION("IF(OR(regexmatch(A669,"".*@simon.es$""),REGEXMATCH(A669,"".*@simon.pt$""),REGEXMATCH(A669,"".*@simonelectrica.com$""),REGEXMATCH(A669,"".*@hiberus.com$""),REGEXMATCH(A669,"".*@simonbrico.es$""),regexmatch(A669,"".*@simonelectric.com$"")),""null"",A669)"),"551@mdvproyectos.es")</f>
        <v>551@mdvproyectos.es</v>
      </c>
      <c r="C669" s="5">
        <f>IF(B669="null","null",Descargas!B669)</f>
        <v>43976</v>
      </c>
      <c r="D669" s="6" t="str">
        <f>Descargas!E669</f>
        <v>https://resources.simonelectric.com/simon-ebook-vehiculo-electrico</v>
      </c>
      <c r="E669" s="20" t="str">
        <f t="shared" si="1"/>
        <v>551@mdvproyectos.es</v>
      </c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</row>
    <row r="670" ht="15.75" customHeight="1">
      <c r="A670" s="18" t="str">
        <f>Descargas!A670</f>
        <v>552@engie.com</v>
      </c>
      <c r="B670" s="19" t="str">
        <f>IFERROR(__xludf.DUMMYFUNCTION("IF(OR(regexmatch(A670,"".*@simon.es$""),REGEXMATCH(A670,"".*@simon.pt$""),REGEXMATCH(A670,"".*@simonelectrica.com$""),REGEXMATCH(A670,"".*@hiberus.com$""),REGEXMATCH(A670,"".*@simonbrico.es$""),regexmatch(A670,"".*@simonelectric.com$"")),""null"",A670)"),"552@engie.com")</f>
        <v>552@engie.com</v>
      </c>
      <c r="C670" s="5">
        <f>IF(B670="null","null",Descargas!B670)</f>
        <v>43976</v>
      </c>
      <c r="D670" s="6" t="str">
        <f>Descargas!E670</f>
        <v>https://resources.simonelectric.com/simon-ebook-vehiculo-electrico</v>
      </c>
      <c r="E670" s="20" t="str">
        <f t="shared" si="1"/>
        <v>552@engie.com</v>
      </c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</row>
    <row r="671" ht="15.75" customHeight="1">
      <c r="A671" s="18" t="str">
        <f>Descargas!A671</f>
        <v>553@aenor.com</v>
      </c>
      <c r="B671" s="19" t="str">
        <f>IFERROR(__xludf.DUMMYFUNCTION("IF(OR(regexmatch(A671,"".*@simon.es$""),REGEXMATCH(A671,"".*@simon.pt$""),REGEXMATCH(A671,"".*@simonelectrica.com$""),REGEXMATCH(A671,"".*@hiberus.com$""),REGEXMATCH(A671,"".*@simonbrico.es$""),regexmatch(A671,"".*@simonelectric.com$"")),""null"",A671)"),"553@aenor.com")</f>
        <v>553@aenor.com</v>
      </c>
      <c r="C671" s="5">
        <f>IF(B671="null","null",Descargas!B671)</f>
        <v>43976</v>
      </c>
      <c r="D671" s="6" t="str">
        <f>Descargas!E671</f>
        <v>https://resources.simonelectric.com/simon-ebook-vehiculo-electrico</v>
      </c>
      <c r="E671" s="20" t="str">
        <f t="shared" si="1"/>
        <v>553@aenor.com</v>
      </c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</row>
    <row r="672" ht="15.75" customHeight="1">
      <c r="A672" s="18" t="str">
        <f>Descargas!A672</f>
        <v>554@gngrup.com</v>
      </c>
      <c r="B672" s="19" t="str">
        <f>IFERROR(__xludf.DUMMYFUNCTION("IF(OR(regexmatch(A672,"".*@simon.es$""),REGEXMATCH(A672,"".*@simon.pt$""),REGEXMATCH(A672,"".*@simonelectrica.com$""),REGEXMATCH(A672,"".*@hiberus.com$""),REGEXMATCH(A672,"".*@simonbrico.es$""),regexmatch(A672,"".*@simonelectric.com$"")),""null"",A672)"),"554@gngrup.com")</f>
        <v>554@gngrup.com</v>
      </c>
      <c r="C672" s="5">
        <f>IF(B672="null","null",Descargas!B672)</f>
        <v>43976</v>
      </c>
      <c r="D672" s="6" t="str">
        <f>Descargas!E672</f>
        <v>https://resources.simonelectric.com/simon-ebook-vehiculo-electrico</v>
      </c>
      <c r="E672" s="20" t="str">
        <f t="shared" si="1"/>
        <v>554@gngrup.com</v>
      </c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</row>
    <row r="673" ht="15.75" customHeight="1">
      <c r="A673" s="18" t="str">
        <f>Descargas!A673</f>
        <v>555@yahoo.es</v>
      </c>
      <c r="B673" s="19" t="str">
        <f>IFERROR(__xludf.DUMMYFUNCTION("IF(OR(regexmatch(A673,"".*@simon.es$""),REGEXMATCH(A673,"".*@simon.pt$""),REGEXMATCH(A673,"".*@simonelectrica.com$""),REGEXMATCH(A673,"".*@hiberus.com$""),REGEXMATCH(A673,"".*@simonbrico.es$""),regexmatch(A673,"".*@simonelectric.com$"")),""null"",A673)"),"555@yahoo.es")</f>
        <v>555@yahoo.es</v>
      </c>
      <c r="C673" s="5">
        <f>IF(B673="null","null",Descargas!B673)</f>
        <v>43976</v>
      </c>
      <c r="D673" s="6" t="str">
        <f>Descargas!E673</f>
        <v>https://resources.simonelectric.com/simon-ebook-vehiculo-electrico</v>
      </c>
      <c r="E673" s="20" t="str">
        <f t="shared" si="1"/>
        <v>555@yahoo.es</v>
      </c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</row>
    <row r="674" ht="15.75" customHeight="1">
      <c r="A674" s="18" t="str">
        <f>Descargas!A674</f>
        <v>358@suris.es</v>
      </c>
      <c r="B674" s="19" t="str">
        <f>IFERROR(__xludf.DUMMYFUNCTION("IF(OR(regexmatch(A674,"".*@simon.es$""),REGEXMATCH(A674,"".*@simon.pt$""),REGEXMATCH(A674,"".*@simonelectrica.com$""),REGEXMATCH(A674,"".*@hiberus.com$""),REGEXMATCH(A674,"".*@simonbrico.es$""),regexmatch(A674,"".*@simonelectric.com$"")),""null"",A674)"),"358@suris.es")</f>
        <v>358@suris.es</v>
      </c>
      <c r="C674" s="5">
        <f>IF(B674="null","null",Descargas!B674)</f>
        <v>43976</v>
      </c>
      <c r="D674" s="6" t="str">
        <f>Descargas!E674</f>
        <v>https://resources.simonelectric.com/simon-ebook-vehiculo-electrico</v>
      </c>
      <c r="E674" s="20" t="str">
        <f t="shared" si="1"/>
        <v>358@suris.es</v>
      </c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</row>
    <row r="675" ht="15.75" customHeight="1">
      <c r="A675" s="18" t="str">
        <f>Descargas!A675</f>
        <v>556@gmail.com</v>
      </c>
      <c r="B675" s="19" t="str">
        <f>IFERROR(__xludf.DUMMYFUNCTION("IF(OR(regexmatch(A675,"".*@simon.es$""),REGEXMATCH(A675,"".*@simon.pt$""),REGEXMATCH(A675,"".*@simonelectrica.com$""),REGEXMATCH(A675,"".*@hiberus.com$""),REGEXMATCH(A675,"".*@simonbrico.es$""),regexmatch(A675,"".*@simonelectric.com$"")),""null"",A675)"),"556@gmail.com")</f>
        <v>556@gmail.com</v>
      </c>
      <c r="C675" s="5">
        <f>IF(B675="null","null",Descargas!B675)</f>
        <v>43976</v>
      </c>
      <c r="D675" s="6" t="str">
        <f>Descargas!E675</f>
        <v>https://resources.simonelectric.com/simon-ebook-vehiculo-electrico</v>
      </c>
      <c r="E675" s="20" t="str">
        <f t="shared" si="1"/>
        <v>556@gmail.com</v>
      </c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</row>
    <row r="676" ht="15.75" customHeight="1">
      <c r="A676" s="18" t="str">
        <f>Descargas!A676</f>
        <v>557@dip-badajoz.es</v>
      </c>
      <c r="B676" s="19" t="str">
        <f>IFERROR(__xludf.DUMMYFUNCTION("IF(OR(regexmatch(A676,"".*@simon.es$""),REGEXMATCH(A676,"".*@simon.pt$""),REGEXMATCH(A676,"".*@simonelectrica.com$""),REGEXMATCH(A676,"".*@hiberus.com$""),REGEXMATCH(A676,"".*@simonbrico.es$""),regexmatch(A676,"".*@simonelectric.com$"")),""null"",A676)"),"557@dip-badajoz.es")</f>
        <v>557@dip-badajoz.es</v>
      </c>
      <c r="C676" s="5">
        <f>IF(B676="null","null",Descargas!B676)</f>
        <v>43976</v>
      </c>
      <c r="D676" s="6" t="str">
        <f>Descargas!E676</f>
        <v>https://resources.simonelectric.com/simon-ebook-vehiculo-electrico</v>
      </c>
      <c r="E676" s="20" t="str">
        <f t="shared" si="1"/>
        <v>557@dip-badajoz.es</v>
      </c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</row>
    <row r="677" ht="15.75" customHeight="1">
      <c r="A677" s="18" t="str">
        <f>Descargas!A677</f>
        <v>558@gmail.com</v>
      </c>
      <c r="B677" s="19" t="str">
        <f>IFERROR(__xludf.DUMMYFUNCTION("IF(OR(regexmatch(A677,"".*@simon.es$""),REGEXMATCH(A677,"".*@simon.pt$""),REGEXMATCH(A677,"".*@simonelectrica.com$""),REGEXMATCH(A677,"".*@hiberus.com$""),REGEXMATCH(A677,"".*@simonbrico.es$""),regexmatch(A677,"".*@simonelectric.com$"")),""null"",A677)"),"558@gmail.com")</f>
        <v>558@gmail.com</v>
      </c>
      <c r="C677" s="5">
        <f>IF(B677="null","null",Descargas!B677)</f>
        <v>43976</v>
      </c>
      <c r="D677" s="6" t="str">
        <f>Descargas!E677</f>
        <v>https://resources.simonelectric.com/simon-ebook-vehiculo-electrico</v>
      </c>
      <c r="E677" s="20" t="str">
        <f t="shared" si="1"/>
        <v>558@gmail.com</v>
      </c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</row>
    <row r="678" ht="15.75" customHeight="1">
      <c r="A678" s="18" t="str">
        <f>Descargas!A678</f>
        <v>357@cesvimap.com</v>
      </c>
      <c r="B678" s="19" t="str">
        <f>IFERROR(__xludf.DUMMYFUNCTION("IF(OR(regexmatch(A678,"".*@simon.es$""),REGEXMATCH(A678,"".*@simon.pt$""),REGEXMATCH(A678,"".*@simonelectrica.com$""),REGEXMATCH(A678,"".*@hiberus.com$""),REGEXMATCH(A678,"".*@simonbrico.es$""),regexmatch(A678,"".*@simonelectric.com$"")),""null"",A678)"),"357@cesvimap.com")</f>
        <v>357@cesvimap.com</v>
      </c>
      <c r="C678" s="5">
        <f>IF(B678="null","null",Descargas!B678)</f>
        <v>43976</v>
      </c>
      <c r="D678" s="6" t="str">
        <f>Descargas!E678</f>
        <v>https://resources.simonelectric.com/simon-ebook-vehiculo-electrico</v>
      </c>
      <c r="E678" s="20" t="str">
        <f t="shared" si="1"/>
        <v>357@cesvimap.com</v>
      </c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</row>
    <row r="679" ht="15.75" customHeight="1">
      <c r="A679" s="18" t="str">
        <f>Descargas!A679</f>
        <v>559@sygsa.com</v>
      </c>
      <c r="B679" s="19" t="str">
        <f>IFERROR(__xludf.DUMMYFUNCTION("IF(OR(regexmatch(A679,"".*@simon.es$""),REGEXMATCH(A679,"".*@simon.pt$""),REGEXMATCH(A679,"".*@simonelectrica.com$""),REGEXMATCH(A679,"".*@hiberus.com$""),REGEXMATCH(A679,"".*@simonbrico.es$""),regexmatch(A679,"".*@simonelectric.com$"")),""null"",A679)"),"559@sygsa.com")</f>
        <v>559@sygsa.com</v>
      </c>
      <c r="C679" s="5">
        <f>IF(B679="null","null",Descargas!B679)</f>
        <v>43976</v>
      </c>
      <c r="D679" s="6" t="str">
        <f>Descargas!E679</f>
        <v>https://resources.simonelectric.com/simon-catalogo-vehiculo-electrico</v>
      </c>
      <c r="E679" s="20" t="str">
        <f t="shared" si="1"/>
        <v>559@sygsa.com</v>
      </c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</row>
    <row r="680" ht="15.75" customHeight="1">
      <c r="A680" s="18" t="str">
        <f>Descargas!A680</f>
        <v>560@gmail.com</v>
      </c>
      <c r="B680" s="19" t="str">
        <f>IFERROR(__xludf.DUMMYFUNCTION("IF(OR(regexmatch(A680,"".*@simon.es$""),REGEXMATCH(A680,"".*@simon.pt$""),REGEXMATCH(A680,"".*@simonelectrica.com$""),REGEXMATCH(A680,"".*@hiberus.com$""),REGEXMATCH(A680,"".*@simonbrico.es$""),regexmatch(A680,"".*@simonelectric.com$"")),""null"",A680)"),"560@gmail.com")</f>
        <v>560@gmail.com</v>
      </c>
      <c r="C680" s="5">
        <f>IF(B680="null","null",Descargas!B680)</f>
        <v>43976</v>
      </c>
      <c r="D680" s="6" t="str">
        <f>Descargas!E680</f>
        <v>https://resources.simonelectric.com/simon-ebook-vehiculo-electrico</v>
      </c>
      <c r="E680" s="20" t="str">
        <f t="shared" si="1"/>
        <v>560@gmail.com</v>
      </c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</row>
    <row r="681" ht="15.75" customHeight="1">
      <c r="A681" s="18" t="str">
        <f>Descargas!A681</f>
        <v>561@aialmeingenieros.com</v>
      </c>
      <c r="B681" s="19" t="str">
        <f>IFERROR(__xludf.DUMMYFUNCTION("IF(OR(regexmatch(A681,"".*@simon.es$""),REGEXMATCH(A681,"".*@simon.pt$""),REGEXMATCH(A681,"".*@simonelectrica.com$""),REGEXMATCH(A681,"".*@hiberus.com$""),REGEXMATCH(A681,"".*@simonbrico.es$""),regexmatch(A681,"".*@simonelectric.com$"")),""null"",A681)"),"561@aialmeingenieros.com")</f>
        <v>561@aialmeingenieros.com</v>
      </c>
      <c r="C681" s="5">
        <f>IF(B681="null","null",Descargas!B681)</f>
        <v>43976</v>
      </c>
      <c r="D681" s="6" t="str">
        <f>Descargas!E681</f>
        <v>https://resources.simonelectric.com/simon-ebook-vehiculo-electrico</v>
      </c>
      <c r="E681" s="20" t="str">
        <f t="shared" si="1"/>
        <v>561@aialmeingenieros.com</v>
      </c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</row>
    <row r="682" ht="15.75" customHeight="1">
      <c r="A682" s="18" t="str">
        <f>Descargas!A682</f>
        <v>472@ebcn.cat</v>
      </c>
      <c r="B682" s="19" t="str">
        <f>IFERROR(__xludf.DUMMYFUNCTION("IF(OR(regexmatch(A682,"".*@simon.es$""),REGEXMATCH(A682,"".*@simon.pt$""),REGEXMATCH(A682,"".*@simonelectrica.com$""),REGEXMATCH(A682,"".*@hiberus.com$""),REGEXMATCH(A682,"".*@simonbrico.es$""),regexmatch(A682,"".*@simonelectric.com$"")),""null"",A682)"),"472@ebcn.cat")</f>
        <v>472@ebcn.cat</v>
      </c>
      <c r="C682" s="5">
        <f>IF(B682="null","null",Descargas!B682)</f>
        <v>43976</v>
      </c>
      <c r="D682" s="6" t="str">
        <f>Descargas!E682</f>
        <v>https://resources.simonelectric.com/simon-material-formativo-vehiculo-electrico</v>
      </c>
      <c r="E682" s="20" t="str">
        <f t="shared" si="1"/>
        <v>472@ebcn.cat</v>
      </c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</row>
    <row r="683" ht="15.75" customHeight="1">
      <c r="A683" s="18" t="str">
        <f>Descargas!A683</f>
        <v>562@gmail.com</v>
      </c>
      <c r="B683" s="19" t="str">
        <f>IFERROR(__xludf.DUMMYFUNCTION("IF(OR(regexmatch(A683,"".*@simon.es$""),REGEXMATCH(A683,"".*@simon.pt$""),REGEXMATCH(A683,"".*@simonelectrica.com$""),REGEXMATCH(A683,"".*@hiberus.com$""),REGEXMATCH(A683,"".*@simonbrico.es$""),regexmatch(A683,"".*@simonelectric.com$"")),""null"",A683)"),"562@gmail.com")</f>
        <v>562@gmail.com</v>
      </c>
      <c r="C683" s="5">
        <f>IF(B683="null","null",Descargas!B683)</f>
        <v>43976</v>
      </c>
      <c r="D683" s="6" t="str">
        <f>Descargas!E683</f>
        <v>https://resources.simonelectric.com/simon-ebook-vehiculo-electrico-ppc</v>
      </c>
      <c r="E683" s="20" t="str">
        <f t="shared" si="1"/>
        <v>562@gmail.com</v>
      </c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</row>
    <row r="684" ht="15.75" customHeight="1">
      <c r="A684" s="18" t="str">
        <f>Descargas!A684</f>
        <v>563@salesianospamplona.net</v>
      </c>
      <c r="B684" s="19" t="str">
        <f>IFERROR(__xludf.DUMMYFUNCTION("IF(OR(regexmatch(A684,"".*@simon.es$""),REGEXMATCH(A684,"".*@simon.pt$""),REGEXMATCH(A684,"".*@simonelectrica.com$""),REGEXMATCH(A684,"".*@hiberus.com$""),REGEXMATCH(A684,"".*@simonbrico.es$""),regexmatch(A684,"".*@simonelectric.com$"")),""null"",A684)"),"563@salesianospamplona.net")</f>
        <v>563@salesianospamplona.net</v>
      </c>
      <c r="C684" s="5">
        <f>IF(B684="null","null",Descargas!B684)</f>
        <v>43975</v>
      </c>
      <c r="D684" s="6" t="str">
        <f>Descargas!E684</f>
        <v>https://resources.simonelectric.com/simon-material-formativo-vehiculo-electrico</v>
      </c>
      <c r="E684" s="20" t="str">
        <f t="shared" si="1"/>
        <v>563@salesianospamplona.net</v>
      </c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</row>
    <row r="685" ht="15.75" customHeight="1">
      <c r="A685" s="18" t="str">
        <f>Descargas!A685</f>
        <v>564@gmail.com</v>
      </c>
      <c r="B685" s="19" t="str">
        <f>IFERROR(__xludf.DUMMYFUNCTION("IF(OR(regexmatch(A685,"".*@simon.es$""),REGEXMATCH(A685,"".*@simon.pt$""),REGEXMATCH(A685,"".*@simonelectrica.com$""),REGEXMATCH(A685,"".*@hiberus.com$""),REGEXMATCH(A685,"".*@simonbrico.es$""),regexmatch(A685,"".*@simonelectric.com$"")),""null"",A685)"),"564@gmail.com")</f>
        <v>564@gmail.com</v>
      </c>
      <c r="C685" s="5">
        <f>IF(B685="null","null",Descargas!B685)</f>
        <v>43975</v>
      </c>
      <c r="D685" s="6" t="str">
        <f>Descargas!E685</f>
        <v>https://resources.simonelectric.com/simon-ebook-vehiculo-electrico-0</v>
      </c>
      <c r="E685" s="20" t="str">
        <f t="shared" si="1"/>
        <v>564@gmail.com</v>
      </c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</row>
    <row r="686" ht="15.75" customHeight="1">
      <c r="A686" s="18" t="str">
        <f>Descargas!A686</f>
        <v>406@gmail.com</v>
      </c>
      <c r="B686" s="19" t="str">
        <f>IFERROR(__xludf.DUMMYFUNCTION("IF(OR(regexmatch(A686,"".*@simon.es$""),REGEXMATCH(A686,"".*@simon.pt$""),REGEXMATCH(A686,"".*@simonelectrica.com$""),REGEXMATCH(A686,"".*@hiberus.com$""),REGEXMATCH(A686,"".*@simonbrico.es$""),regexmatch(A686,"".*@simonelectric.com$"")),""null"",A686)"),"406@gmail.com")</f>
        <v>406@gmail.com</v>
      </c>
      <c r="C686" s="5">
        <f>IF(B686="null","null",Descargas!B686)</f>
        <v>43975</v>
      </c>
      <c r="D686" s="6" t="str">
        <f>Descargas!E686</f>
        <v>https://resources.simonelectric.com/simon-material-formativo-vehiculo-electrico</v>
      </c>
      <c r="E686" s="20" t="str">
        <f t="shared" si="1"/>
        <v>406@gmail.com</v>
      </c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</row>
    <row r="687" ht="15.75" customHeight="1">
      <c r="A687" s="18" t="str">
        <f>Descargas!A687</f>
        <v>519@outlook.com</v>
      </c>
      <c r="B687" s="19" t="str">
        <f>IFERROR(__xludf.DUMMYFUNCTION("IF(OR(regexmatch(A687,"".*@simon.es$""),REGEXMATCH(A687,"".*@simon.pt$""),REGEXMATCH(A687,"".*@simonelectrica.com$""),REGEXMATCH(A687,"".*@hiberus.com$""),REGEXMATCH(A687,"".*@simonbrico.es$""),regexmatch(A687,"".*@simonelectric.com$"")),""null"",A687)"),"519@outlook.com")</f>
        <v>519@outlook.com</v>
      </c>
      <c r="C687" s="5">
        <f>IF(B687="null","null",Descargas!B687)</f>
        <v>43975</v>
      </c>
      <c r="D687" s="6" t="str">
        <f>Descargas!E687</f>
        <v>https://resources.simonelectric.com/simon-material-formativo-vehiculo-electrico</v>
      </c>
      <c r="E687" s="20" t="str">
        <f t="shared" si="1"/>
        <v>519@outlook.com</v>
      </c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</row>
    <row r="688" ht="15.75" customHeight="1">
      <c r="A688" s="18" t="str">
        <f>Descargas!A688</f>
        <v>565@gmail.com</v>
      </c>
      <c r="B688" s="19" t="str">
        <f>IFERROR(__xludf.DUMMYFUNCTION("IF(OR(regexmatch(A688,"".*@simon.es$""),REGEXMATCH(A688,"".*@simon.pt$""),REGEXMATCH(A688,"".*@simonelectrica.com$""),REGEXMATCH(A688,"".*@hiberus.com$""),REGEXMATCH(A688,"".*@simonbrico.es$""),regexmatch(A688,"".*@simonelectric.com$"")),""null"",A688)"),"565@gmail.com")</f>
        <v>565@gmail.com</v>
      </c>
      <c r="C688" s="5">
        <f>IF(B688="null","null",Descargas!B688)</f>
        <v>43975</v>
      </c>
      <c r="D688" s="6" t="str">
        <f>Descargas!E688</f>
        <v>https://resources.simonelectric.com/simon-ebook-vehiculo-electrico-ppc</v>
      </c>
      <c r="E688" s="20" t="str">
        <f t="shared" si="1"/>
        <v>565@gmail.com</v>
      </c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</row>
    <row r="689" ht="15.75" customHeight="1">
      <c r="A689" s="18" t="str">
        <f>Descargas!A689</f>
        <v>566@gmail.com</v>
      </c>
      <c r="B689" s="19" t="str">
        <f>IFERROR(__xludf.DUMMYFUNCTION("IF(OR(regexmatch(A689,"".*@simon.es$""),REGEXMATCH(A689,"".*@simon.pt$""),REGEXMATCH(A689,"".*@simonelectrica.com$""),REGEXMATCH(A689,"".*@hiberus.com$""),REGEXMATCH(A689,"".*@simonbrico.es$""),regexmatch(A689,"".*@simonelectric.com$"")),""null"",A689)"),"566@gmail.com")</f>
        <v>566@gmail.com</v>
      </c>
      <c r="C689" s="5">
        <f>IF(B689="null","null",Descargas!B689)</f>
        <v>43975</v>
      </c>
      <c r="D689" s="6" t="str">
        <f>Descargas!E689</f>
        <v>https://resources.simonelectric.com/simon-ebook-vehiculo-electrico-ppc</v>
      </c>
      <c r="E689" s="20" t="str">
        <f t="shared" si="1"/>
        <v>566@gmail.com</v>
      </c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</row>
    <row r="690" ht="15.75" customHeight="1">
      <c r="A690" s="18" t="str">
        <f>Descargas!A690</f>
        <v>567@sonovatec.com</v>
      </c>
      <c r="B690" s="19" t="str">
        <f>IFERROR(__xludf.DUMMYFUNCTION("IF(OR(regexmatch(A690,"".*@simon.es$""),REGEXMATCH(A690,"".*@simon.pt$""),REGEXMATCH(A690,"".*@simonelectrica.com$""),REGEXMATCH(A690,"".*@hiberus.com$""),REGEXMATCH(A690,"".*@simonbrico.es$""),regexmatch(A690,"".*@simonelectric.com$"")),""null"",A690)"),"567@sonovatec.com")</f>
        <v>567@sonovatec.com</v>
      </c>
      <c r="C690" s="5">
        <f>IF(B690="null","null",Descargas!B690)</f>
        <v>43975</v>
      </c>
      <c r="D690" s="6" t="str">
        <f>Descargas!E690</f>
        <v>https://resources.simonelectric.com/simon-material-formativo-vehiculo-electrico</v>
      </c>
      <c r="E690" s="20" t="str">
        <f t="shared" si="1"/>
        <v>567@sonovatec.com</v>
      </c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</row>
    <row r="691" ht="15.75" customHeight="1">
      <c r="A691" s="18" t="str">
        <f>Descargas!A691</f>
        <v>568@hotmail.com</v>
      </c>
      <c r="B691" s="19" t="str">
        <f>IFERROR(__xludf.DUMMYFUNCTION("IF(OR(regexmatch(A691,"".*@simon.es$""),REGEXMATCH(A691,"".*@simon.pt$""),REGEXMATCH(A691,"".*@simonelectrica.com$""),REGEXMATCH(A691,"".*@hiberus.com$""),REGEXMATCH(A691,"".*@simonbrico.es$""),regexmatch(A691,"".*@simonelectric.com$"")),""null"",A691)"),"568@hotmail.com")</f>
        <v>568@hotmail.com</v>
      </c>
      <c r="C691" s="5">
        <f>IF(B691="null","null",Descargas!B691)</f>
        <v>43975</v>
      </c>
      <c r="D691" s="6" t="str">
        <f>Descargas!E691</f>
        <v>https://resources.simonelectric.com/simon-ebook-vehiculo-electrico-ppc</v>
      </c>
      <c r="E691" s="20" t="str">
        <f t="shared" si="1"/>
        <v>568@hotmail.com</v>
      </c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</row>
    <row r="692" ht="15.75" customHeight="1">
      <c r="A692" s="18" t="str">
        <f>Descargas!A692</f>
        <v>569@hotmail.com</v>
      </c>
      <c r="B692" s="19" t="str">
        <f>IFERROR(__xludf.DUMMYFUNCTION("IF(OR(regexmatch(A692,"".*@simon.es$""),REGEXMATCH(A692,"".*@simon.pt$""),REGEXMATCH(A692,"".*@simonelectrica.com$""),REGEXMATCH(A692,"".*@hiberus.com$""),REGEXMATCH(A692,"".*@simonbrico.es$""),regexmatch(A692,"".*@simonelectric.com$"")),""null"",A692)"),"569@hotmail.com")</f>
        <v>569@hotmail.com</v>
      </c>
      <c r="C692" s="5">
        <f>IF(B692="null","null",Descargas!B692)</f>
        <v>43975</v>
      </c>
      <c r="D692" s="6" t="str">
        <f>Descargas!E692</f>
        <v>https://resources.simonelectric.com/simon-catalogo-vehiculo-electrico</v>
      </c>
      <c r="E692" s="20" t="str">
        <f t="shared" si="1"/>
        <v>569@hotmail.com</v>
      </c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</row>
    <row r="693" ht="15.75" customHeight="1">
      <c r="A693" s="18" t="str">
        <f>Descargas!A693</f>
        <v>570@hotmail.com</v>
      </c>
      <c r="B693" s="19" t="str">
        <f>IFERROR(__xludf.DUMMYFUNCTION("IF(OR(regexmatch(A693,"".*@simon.es$""),REGEXMATCH(A693,"".*@simon.pt$""),REGEXMATCH(A693,"".*@simonelectrica.com$""),REGEXMATCH(A693,"".*@hiberus.com$""),REGEXMATCH(A693,"".*@simonbrico.es$""),regexmatch(A693,"".*@simonelectric.com$"")),""null"",A693)"),"570@hotmail.com")</f>
        <v>570@hotmail.com</v>
      </c>
      <c r="C693" s="5">
        <f>IF(B693="null","null",Descargas!B693)</f>
        <v>43974</v>
      </c>
      <c r="D693" s="6" t="str">
        <f>Descargas!E693</f>
        <v>https://resources.simonelectric.com/simon-ebook-vehiculo-electrico-ppc</v>
      </c>
      <c r="E693" s="20" t="str">
        <f t="shared" si="1"/>
        <v>570@hotmail.com</v>
      </c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</row>
    <row r="694" ht="15.75" customHeight="1">
      <c r="A694" s="18" t="str">
        <f>Descargas!A694</f>
        <v>571@outlook.com</v>
      </c>
      <c r="B694" s="19" t="str">
        <f>IFERROR(__xludf.DUMMYFUNCTION("IF(OR(regexmatch(A694,"".*@simon.es$""),REGEXMATCH(A694,"".*@simon.pt$""),REGEXMATCH(A694,"".*@simonelectrica.com$""),REGEXMATCH(A694,"".*@hiberus.com$""),REGEXMATCH(A694,"".*@simonbrico.es$""),regexmatch(A694,"".*@simonelectric.com$"")),""null"",A694)"),"571@outlook.com")</f>
        <v>571@outlook.com</v>
      </c>
      <c r="C694" s="5">
        <f>IF(B694="null","null",Descargas!B694)</f>
        <v>43974</v>
      </c>
      <c r="D694" s="6" t="str">
        <f>Descargas!E694</f>
        <v>https://resources.simonelectric.com/simon-material-formativo-vehiculo-electrico</v>
      </c>
      <c r="E694" s="20" t="str">
        <f t="shared" si="1"/>
        <v>571@outlook.com</v>
      </c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</row>
    <row r="695" ht="15.75" customHeight="1">
      <c r="A695" s="18" t="str">
        <f>Descargas!A695</f>
        <v>572@gmail.com</v>
      </c>
      <c r="B695" s="19" t="str">
        <f>IFERROR(__xludf.DUMMYFUNCTION("IF(OR(regexmatch(A695,"".*@simon.es$""),REGEXMATCH(A695,"".*@simon.pt$""),REGEXMATCH(A695,"".*@simonelectrica.com$""),REGEXMATCH(A695,"".*@hiberus.com$""),REGEXMATCH(A695,"".*@simonbrico.es$""),regexmatch(A695,"".*@simonelectric.com$"")),""null"",A695)"),"572@gmail.com")</f>
        <v>572@gmail.com</v>
      </c>
      <c r="C695" s="5">
        <f>IF(B695="null","null",Descargas!B695)</f>
        <v>43974</v>
      </c>
      <c r="D695" s="6" t="str">
        <f>Descargas!E695</f>
        <v>https://resources.simonelectric.com/simon-material-formativo-vehiculo-electrico</v>
      </c>
      <c r="E695" s="20" t="str">
        <f t="shared" si="1"/>
        <v>572@gmail.com</v>
      </c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</row>
    <row r="696" ht="15.75" customHeight="1">
      <c r="A696" s="18" t="str">
        <f>Descargas!A696</f>
        <v>573@gmail.com</v>
      </c>
      <c r="B696" s="19" t="str">
        <f>IFERROR(__xludf.DUMMYFUNCTION("IF(OR(regexmatch(A696,"".*@simon.es$""),REGEXMATCH(A696,"".*@simon.pt$""),REGEXMATCH(A696,"".*@simonelectrica.com$""),REGEXMATCH(A696,"".*@hiberus.com$""),REGEXMATCH(A696,"".*@simonbrico.es$""),regexmatch(A696,"".*@simonelectric.com$"")),""null"",A696)"),"573@gmail.com")</f>
        <v>573@gmail.com</v>
      </c>
      <c r="C696" s="5">
        <f>IF(B696="null","null",Descargas!B696)</f>
        <v>43974</v>
      </c>
      <c r="D696" s="6" t="str">
        <f>Descargas!E696</f>
        <v>https://resources.simonelectric.com/simon-ebook-vehiculo-electrico</v>
      </c>
      <c r="E696" s="20" t="str">
        <f t="shared" si="1"/>
        <v>573@gmail.com</v>
      </c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</row>
    <row r="697" ht="15.75" customHeight="1">
      <c r="A697" s="18" t="str">
        <f>Descargas!A697</f>
        <v>574@tecuni.com</v>
      </c>
      <c r="B697" s="19" t="str">
        <f>IFERROR(__xludf.DUMMYFUNCTION("IF(OR(regexmatch(A697,"".*@simon.es$""),REGEXMATCH(A697,"".*@simon.pt$""),REGEXMATCH(A697,"".*@simonelectrica.com$""),REGEXMATCH(A697,"".*@hiberus.com$""),REGEXMATCH(A697,"".*@simonbrico.es$""),regexmatch(A697,"".*@simonelectric.com$"")),""null"",A697)"),"574@tecuni.com")</f>
        <v>574@tecuni.com</v>
      </c>
      <c r="C697" s="5">
        <f>IF(B697="null","null",Descargas!B697)</f>
        <v>43974</v>
      </c>
      <c r="D697" s="6" t="str">
        <f>Descargas!E697</f>
        <v>https://resources.simonelectric.com/simon-ebook-vehiculo-electrico-0</v>
      </c>
      <c r="E697" s="20" t="str">
        <f t="shared" si="1"/>
        <v>574@tecuni.com</v>
      </c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</row>
    <row r="698" ht="15.75" customHeight="1">
      <c r="A698" s="18" t="str">
        <f>Descargas!A698</f>
        <v>575@hotmail.com</v>
      </c>
      <c r="B698" s="19" t="str">
        <f>IFERROR(__xludf.DUMMYFUNCTION("IF(OR(regexmatch(A698,"".*@simon.es$""),REGEXMATCH(A698,"".*@simon.pt$""),REGEXMATCH(A698,"".*@simonelectrica.com$""),REGEXMATCH(A698,"".*@hiberus.com$""),REGEXMATCH(A698,"".*@simonbrico.es$""),regexmatch(A698,"".*@simonelectric.com$"")),""null"",A698)"),"575@hotmail.com")</f>
        <v>575@hotmail.com</v>
      </c>
      <c r="C698" s="5">
        <f>IF(B698="null","null",Descargas!B698)</f>
        <v>43974</v>
      </c>
      <c r="D698" s="6" t="str">
        <f>Descargas!E698</f>
        <v>https://resources.simonelectric.com/simon-material-formativo-vehiculo-electrico</v>
      </c>
      <c r="E698" s="20" t="str">
        <f t="shared" si="1"/>
        <v>575@hotmail.com</v>
      </c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</row>
    <row r="699" ht="15.75" customHeight="1">
      <c r="A699" s="18" t="str">
        <f>Descargas!A699</f>
        <v>576@gmail.com</v>
      </c>
      <c r="B699" s="19" t="str">
        <f>IFERROR(__xludf.DUMMYFUNCTION("IF(OR(regexmatch(A699,"".*@simon.es$""),REGEXMATCH(A699,"".*@simon.pt$""),REGEXMATCH(A699,"".*@simonelectrica.com$""),REGEXMATCH(A699,"".*@hiberus.com$""),REGEXMATCH(A699,"".*@simonbrico.es$""),regexmatch(A699,"".*@simonelectric.com$"")),""null"",A699)"),"576@gmail.com")</f>
        <v>576@gmail.com</v>
      </c>
      <c r="C699" s="5">
        <f>IF(B699="null","null",Descargas!B699)</f>
        <v>43974</v>
      </c>
      <c r="D699" s="6" t="str">
        <f>Descargas!E699</f>
        <v>https://resources.simonelectric.com/simon-material-formativo-vehiculo-electrico</v>
      </c>
      <c r="E699" s="20" t="str">
        <f t="shared" si="1"/>
        <v>576@gmail.com</v>
      </c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</row>
    <row r="700" ht="15.75" customHeight="1">
      <c r="A700" s="18" t="str">
        <f>Descargas!A700</f>
        <v>577@electroalbors.com</v>
      </c>
      <c r="B700" s="19" t="str">
        <f>IFERROR(__xludf.DUMMYFUNCTION("IF(OR(regexmatch(A700,"".*@simon.es$""),REGEXMATCH(A700,"".*@simon.pt$""),REGEXMATCH(A700,"".*@simonelectrica.com$""),REGEXMATCH(A700,"".*@hiberus.com$""),REGEXMATCH(A700,"".*@simonbrico.es$""),regexmatch(A700,"".*@simonelectric.com$"")),""null"",A700)"),"577@electroalbors.com")</f>
        <v>577@electroalbors.com</v>
      </c>
      <c r="C700" s="5">
        <f>IF(B700="null","null",Descargas!B700)</f>
        <v>43974</v>
      </c>
      <c r="D700" s="6" t="str">
        <f>Descargas!E700</f>
        <v>https://resources.simonelectric.com/simon-ebook-vehiculo-electrico</v>
      </c>
      <c r="E700" s="20" t="str">
        <f t="shared" si="1"/>
        <v>577@electroalbors.com</v>
      </c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</row>
    <row r="701" ht="15.75" customHeight="1">
      <c r="A701" s="18" t="str">
        <f>Descargas!A701</f>
        <v>578@gmail.com</v>
      </c>
      <c r="B701" s="19" t="str">
        <f>IFERROR(__xludf.DUMMYFUNCTION("IF(OR(regexmatch(A701,"".*@simon.es$""),REGEXMATCH(A701,"".*@simon.pt$""),REGEXMATCH(A701,"".*@simonelectrica.com$""),REGEXMATCH(A701,"".*@hiberus.com$""),REGEXMATCH(A701,"".*@simonbrico.es$""),regexmatch(A701,"".*@simonelectric.com$"")),""null"",A701)"),"578@gmail.com")</f>
        <v>578@gmail.com</v>
      </c>
      <c r="C701" s="5">
        <f>IF(B701="null","null",Descargas!B701)</f>
        <v>43974</v>
      </c>
      <c r="D701" s="6" t="str">
        <f>Descargas!E701</f>
        <v>https://resources.simonelectric.com/simon-material-formativo-vehiculo-electrico</v>
      </c>
      <c r="E701" s="20" t="str">
        <f t="shared" si="1"/>
        <v>578@gmail.com</v>
      </c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</row>
    <row r="702" ht="15.75" customHeight="1">
      <c r="A702" s="18" t="str">
        <f>Descargas!A702</f>
        <v>579@gmail.com</v>
      </c>
      <c r="B702" s="19" t="str">
        <f>IFERROR(__xludf.DUMMYFUNCTION("IF(OR(regexmatch(A702,"".*@simon.es$""),REGEXMATCH(A702,"".*@simon.pt$""),REGEXMATCH(A702,"".*@simonelectrica.com$""),REGEXMATCH(A702,"".*@hiberus.com$""),REGEXMATCH(A702,"".*@simonbrico.es$""),regexmatch(A702,"".*@simonelectric.com$"")),""null"",A702)"),"579@gmail.com")</f>
        <v>579@gmail.com</v>
      </c>
      <c r="C702" s="5">
        <f>IF(B702="null","null",Descargas!B702)</f>
        <v>43974</v>
      </c>
      <c r="D702" s="6" t="str">
        <f>Descargas!E702</f>
        <v>https://resources.simonelectric.com/simon-ebook-vehiculo-electrico-ppc</v>
      </c>
      <c r="E702" s="20" t="str">
        <f t="shared" si="1"/>
        <v>579@gmail.com</v>
      </c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</row>
    <row r="703" ht="15.75" customHeight="1">
      <c r="A703" s="18" t="str">
        <f>Descargas!A703</f>
        <v>580@gmail.com</v>
      </c>
      <c r="B703" s="19" t="str">
        <f>IFERROR(__xludf.DUMMYFUNCTION("IF(OR(regexmatch(A703,"".*@simon.es$""),REGEXMATCH(A703,"".*@simon.pt$""),REGEXMATCH(A703,"".*@simonelectrica.com$""),REGEXMATCH(A703,"".*@hiberus.com$""),REGEXMATCH(A703,"".*@simonbrico.es$""),regexmatch(A703,"".*@simonelectric.com$"")),""null"",A703)"),"580@gmail.com")</f>
        <v>580@gmail.com</v>
      </c>
      <c r="C703" s="5">
        <f>IF(B703="null","null",Descargas!B703)</f>
        <v>43974</v>
      </c>
      <c r="D703" s="6" t="str">
        <f>Descargas!E703</f>
        <v>https://resources.simonelectric.com/simon-ebook-vehiculo-electrico</v>
      </c>
      <c r="E703" s="20" t="str">
        <f t="shared" si="1"/>
        <v>580@gmail.com</v>
      </c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</row>
    <row r="704" ht="15.75" customHeight="1">
      <c r="A704" s="18" t="str">
        <f>Descargas!A704</f>
        <v>581@gmail.com</v>
      </c>
      <c r="B704" s="19" t="str">
        <f>IFERROR(__xludf.DUMMYFUNCTION("IF(OR(regexmatch(A704,"".*@simon.es$""),REGEXMATCH(A704,"".*@simon.pt$""),REGEXMATCH(A704,"".*@simonelectrica.com$""),REGEXMATCH(A704,"".*@hiberus.com$""),REGEXMATCH(A704,"".*@simonbrico.es$""),regexmatch(A704,"".*@simonelectric.com$"")),""null"",A704)"),"581@gmail.com")</f>
        <v>581@gmail.com</v>
      </c>
      <c r="C704" s="5">
        <f>IF(B704="null","null",Descargas!B704)</f>
        <v>43974</v>
      </c>
      <c r="D704" s="6" t="str">
        <f>Descargas!E704</f>
        <v>https://resources.simonelectric.com/simon-material-formativo-vehiculo-electrico</v>
      </c>
      <c r="E704" s="20" t="str">
        <f t="shared" si="1"/>
        <v>581@gmail.com</v>
      </c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</row>
    <row r="705" ht="15.75" customHeight="1">
      <c r="A705" s="18" t="str">
        <f>Descargas!A705</f>
        <v>239@alfadesarrollo.com</v>
      </c>
      <c r="B705" s="19" t="str">
        <f>IFERROR(__xludf.DUMMYFUNCTION("IF(OR(regexmatch(A705,"".*@simon.es$""),REGEXMATCH(A705,"".*@simon.pt$""),REGEXMATCH(A705,"".*@simonelectrica.com$""),REGEXMATCH(A705,"".*@hiberus.com$""),REGEXMATCH(A705,"".*@simonbrico.es$""),regexmatch(A705,"".*@simonelectric.com$"")),""null"",A705)"),"239@alfadesarrollo.com")</f>
        <v>239@alfadesarrollo.com</v>
      </c>
      <c r="C705" s="5">
        <f>IF(B705="null","null",Descargas!B705)</f>
        <v>43974</v>
      </c>
      <c r="D705" s="6" t="str">
        <f>Descargas!E705</f>
        <v>https://resources.simonelectric.com/simon-material-formativo-vehiculo-electrico</v>
      </c>
      <c r="E705" s="20" t="str">
        <f t="shared" si="1"/>
        <v>239@alfadesarrollo.com</v>
      </c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</row>
    <row r="706" ht="15.75" customHeight="1">
      <c r="A706" s="18" t="str">
        <f>Descargas!A706</f>
        <v>582@gmail.com</v>
      </c>
      <c r="B706" s="19" t="str">
        <f>IFERROR(__xludf.DUMMYFUNCTION("IF(OR(regexmatch(A706,"".*@simon.es$""),REGEXMATCH(A706,"".*@simon.pt$""),REGEXMATCH(A706,"".*@simonelectrica.com$""),REGEXMATCH(A706,"".*@hiberus.com$""),REGEXMATCH(A706,"".*@simonbrico.es$""),regexmatch(A706,"".*@simonelectric.com$"")),""null"",A706)"),"582@gmail.com")</f>
        <v>582@gmail.com</v>
      </c>
      <c r="C706" s="5">
        <f>IF(B706="null","null",Descargas!B706)</f>
        <v>43974</v>
      </c>
      <c r="D706" s="6" t="str">
        <f>Descargas!E706</f>
        <v>https://resources.simonelectric.com/simon-material-formativo-vehiculo-electrico</v>
      </c>
      <c r="E706" s="20" t="str">
        <f t="shared" si="1"/>
        <v>582@gmail.com</v>
      </c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</row>
    <row r="707" ht="15.75" customHeight="1">
      <c r="A707" s="18" t="str">
        <f>Descargas!A707</f>
        <v>583@iesmontsia.org</v>
      </c>
      <c r="B707" s="19" t="str">
        <f>IFERROR(__xludf.DUMMYFUNCTION("IF(OR(regexmatch(A707,"".*@simon.es$""),REGEXMATCH(A707,"".*@simon.pt$""),REGEXMATCH(A707,"".*@simonelectrica.com$""),REGEXMATCH(A707,"".*@hiberus.com$""),REGEXMATCH(A707,"".*@simonbrico.es$""),regexmatch(A707,"".*@simonelectric.com$"")),""null"",A707)"),"583@iesmontsia.org")</f>
        <v>583@iesmontsia.org</v>
      </c>
      <c r="C707" s="5">
        <f>IF(B707="null","null",Descargas!B707)</f>
        <v>43974</v>
      </c>
      <c r="D707" s="6" t="str">
        <f>Descargas!E707</f>
        <v>https://resources.simonelectric.com/simon-ebook-vehiculo-electrico-ppc</v>
      </c>
      <c r="E707" s="20" t="str">
        <f t="shared" si="1"/>
        <v>583@iesmontsia.org</v>
      </c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</row>
    <row r="708" ht="15.75" customHeight="1">
      <c r="A708" s="18" t="str">
        <f>Descargas!A708</f>
        <v>584@petronet24.net</v>
      </c>
      <c r="B708" s="19" t="str">
        <f>IFERROR(__xludf.DUMMYFUNCTION("IF(OR(regexmatch(A708,"".*@simon.es$""),REGEXMATCH(A708,"".*@simon.pt$""),REGEXMATCH(A708,"".*@simonelectrica.com$""),REGEXMATCH(A708,"".*@hiberus.com$""),REGEXMATCH(A708,"".*@simonbrico.es$""),regexmatch(A708,"".*@simonelectric.com$"")),""null"",A708)"),"584@petronet24.net")</f>
        <v>584@petronet24.net</v>
      </c>
      <c r="C708" s="5">
        <f>IF(B708="null","null",Descargas!B708)</f>
        <v>43973</v>
      </c>
      <c r="D708" s="6" t="str">
        <f>Descargas!E708</f>
        <v>https://resources.simonelectric.com/simon-ebook-vehiculo-electrico</v>
      </c>
      <c r="E708" s="20" t="str">
        <f t="shared" si="1"/>
        <v>584@petronet24.net</v>
      </c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</row>
    <row r="709" ht="15.75" customHeight="1">
      <c r="A709" s="18" t="str">
        <f>Descargas!A709</f>
        <v>585@hotmail.com</v>
      </c>
      <c r="B709" s="19" t="str">
        <f>IFERROR(__xludf.DUMMYFUNCTION("IF(OR(regexmatch(A709,"".*@simon.es$""),REGEXMATCH(A709,"".*@simon.pt$""),REGEXMATCH(A709,"".*@simonelectrica.com$""),REGEXMATCH(A709,"".*@hiberus.com$""),REGEXMATCH(A709,"".*@simonbrico.es$""),regexmatch(A709,"".*@simonelectric.com$"")),""null"",A709)"),"585@hotmail.com")</f>
        <v>585@hotmail.com</v>
      </c>
      <c r="C709" s="5">
        <f>IF(B709="null","null",Descargas!B709)</f>
        <v>43973</v>
      </c>
      <c r="D709" s="6" t="str">
        <f>Descargas!E709</f>
        <v>https://resources.simonelectric.com/simon-ebook-vehiculo-electrico-ppc</v>
      </c>
      <c r="E709" s="20" t="str">
        <f t="shared" si="1"/>
        <v>585@hotmail.com</v>
      </c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</row>
    <row r="710" ht="15.75" customHeight="1">
      <c r="A710" s="18" t="str">
        <f>Descargas!A710</f>
        <v>586@hotmail.com</v>
      </c>
      <c r="B710" s="19" t="str">
        <f>IFERROR(__xludf.DUMMYFUNCTION("IF(OR(regexmatch(A710,"".*@simon.es$""),REGEXMATCH(A710,"".*@simon.pt$""),REGEXMATCH(A710,"".*@simonelectrica.com$""),REGEXMATCH(A710,"".*@hiberus.com$""),REGEXMATCH(A710,"".*@simonbrico.es$""),regexmatch(A710,"".*@simonelectric.com$"")),""null"",A710)"),"586@hotmail.com")</f>
        <v>586@hotmail.com</v>
      </c>
      <c r="C710" s="5">
        <f>IF(B710="null","null",Descargas!B710)</f>
        <v>43973</v>
      </c>
      <c r="D710" s="6" t="str">
        <f>Descargas!E710</f>
        <v>https://resources.simonelectric.com/simon-material-formativo-vehiculo-electrico</v>
      </c>
      <c r="E710" s="20" t="str">
        <f t="shared" si="1"/>
        <v>586@hotmail.com</v>
      </c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</row>
    <row r="711" ht="15.75" customHeight="1">
      <c r="A711" s="18" t="str">
        <f>Descargas!A711</f>
        <v>587@gescogestio.com</v>
      </c>
      <c r="B711" s="19" t="str">
        <f>IFERROR(__xludf.DUMMYFUNCTION("IF(OR(regexmatch(A711,"".*@simon.es$""),REGEXMATCH(A711,"".*@simon.pt$""),REGEXMATCH(A711,"".*@simonelectrica.com$""),REGEXMATCH(A711,"".*@hiberus.com$""),REGEXMATCH(A711,"".*@simonbrico.es$""),regexmatch(A711,"".*@simonelectric.com$"")),""null"",A711)"),"587@gescogestio.com")</f>
        <v>587@gescogestio.com</v>
      </c>
      <c r="C711" s="5">
        <f>IF(B711="null","null",Descargas!B711)</f>
        <v>43973</v>
      </c>
      <c r="D711" s="6" t="str">
        <f>Descargas!E711</f>
        <v>https://resources.simonelectric.com/simon-catalogo-vehiculo-electrico</v>
      </c>
      <c r="E711" s="20" t="str">
        <f t="shared" si="1"/>
        <v>587@gescogestio.com</v>
      </c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</row>
    <row r="712" ht="15.75" customHeight="1">
      <c r="A712" s="18" t="str">
        <f>Descargas!A712</f>
        <v>587@gescogestio.com</v>
      </c>
      <c r="B712" s="19" t="str">
        <f>IFERROR(__xludf.DUMMYFUNCTION("IF(OR(regexmatch(A712,"".*@simon.es$""),REGEXMATCH(A712,"".*@simon.pt$""),REGEXMATCH(A712,"".*@simonelectrica.com$""),REGEXMATCH(A712,"".*@hiberus.com$""),REGEXMATCH(A712,"".*@simonbrico.es$""),regexmatch(A712,"".*@simonelectric.com$"")),""null"",A712)"),"587@gescogestio.com")</f>
        <v>587@gescogestio.com</v>
      </c>
      <c r="C712" s="5">
        <f>IF(B712="null","null",Descargas!B712)</f>
        <v>43973</v>
      </c>
      <c r="D712" s="6" t="str">
        <f>Descargas!E712</f>
        <v>https://resources.simonelectric.com/simon-ebook-vehiculo-electrico</v>
      </c>
      <c r="E712" s="20" t="str">
        <f t="shared" si="1"/>
        <v>587@gescogestio.com</v>
      </c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</row>
    <row r="713" ht="15.75" customHeight="1">
      <c r="A713" s="18" t="str">
        <f>Descargas!A713</f>
        <v>587@gescogestio.com</v>
      </c>
      <c r="B713" s="19" t="str">
        <f>IFERROR(__xludf.DUMMYFUNCTION("IF(OR(regexmatch(A713,"".*@simon.es$""),REGEXMATCH(A713,"".*@simon.pt$""),REGEXMATCH(A713,"".*@simonelectrica.com$""),REGEXMATCH(A713,"".*@hiberus.com$""),REGEXMATCH(A713,"".*@simonbrico.es$""),regexmatch(A713,"".*@simonelectric.com$"")),""null"",A713)"),"587@gescogestio.com")</f>
        <v>587@gescogestio.com</v>
      </c>
      <c r="C713" s="5">
        <f>IF(B713="null","null",Descargas!B713)</f>
        <v>43973</v>
      </c>
      <c r="D713" s="6" t="str">
        <f>Descargas!E713</f>
        <v>https://resources.simonelectric.com/simon-ebook-vehiculo-electrico</v>
      </c>
      <c r="E713" s="20" t="str">
        <f t="shared" si="1"/>
        <v>587@gescogestio.com</v>
      </c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</row>
    <row r="714" ht="15.75" customHeight="1">
      <c r="A714" s="18" t="str">
        <f>Descargas!A714</f>
        <v>588@gmail.com</v>
      </c>
      <c r="B714" s="19" t="str">
        <f>IFERROR(__xludf.DUMMYFUNCTION("IF(OR(regexmatch(A714,"".*@simon.es$""),REGEXMATCH(A714,"".*@simon.pt$""),REGEXMATCH(A714,"".*@simonelectrica.com$""),REGEXMATCH(A714,"".*@hiberus.com$""),REGEXMATCH(A714,"".*@simonbrico.es$""),regexmatch(A714,"".*@simonelectric.com$"")),""null"",A714)"),"588@gmail.com")</f>
        <v>588@gmail.com</v>
      </c>
      <c r="C714" s="5">
        <f>IF(B714="null","null",Descargas!B714)</f>
        <v>43973</v>
      </c>
      <c r="D714" s="6" t="str">
        <f>Descargas!E714</f>
        <v>https://resources.simonelectric.com/simon-material-formativo-vehiculo-electrico</v>
      </c>
      <c r="E714" s="20" t="str">
        <f t="shared" si="1"/>
        <v>588@gmail.com</v>
      </c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</row>
    <row r="715" ht="15.75" customHeight="1">
      <c r="A715" s="18" t="str">
        <f>Descargas!A715</f>
        <v>181@juntaex.es</v>
      </c>
      <c r="B715" s="19" t="str">
        <f>IFERROR(__xludf.DUMMYFUNCTION("IF(OR(regexmatch(A715,"".*@simon.es$""),REGEXMATCH(A715,"".*@simon.pt$""),REGEXMATCH(A715,"".*@simonelectrica.com$""),REGEXMATCH(A715,"".*@hiberus.com$""),REGEXMATCH(A715,"".*@simonbrico.es$""),regexmatch(A715,"".*@simonelectric.com$"")),""null"",A715)"),"181@juntaex.es")</f>
        <v>181@juntaex.es</v>
      </c>
      <c r="C715" s="5">
        <f>IF(B715="null","null",Descargas!B715)</f>
        <v>43973</v>
      </c>
      <c r="D715" s="6" t="str">
        <f>Descargas!E715</f>
        <v>https://resources.simonelectric.com/simon-material-formativo-vehiculo-electrico</v>
      </c>
      <c r="E715" s="20" t="str">
        <f t="shared" si="1"/>
        <v>181@juntaex.es</v>
      </c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</row>
    <row r="716" ht="15.75" customHeight="1">
      <c r="A716" s="18" t="str">
        <f>Descargas!A716</f>
        <v>589@freelight.es</v>
      </c>
      <c r="B716" s="19" t="str">
        <f>IFERROR(__xludf.DUMMYFUNCTION("IF(OR(regexmatch(A716,"".*@simon.es$""),REGEXMATCH(A716,"".*@simon.pt$""),REGEXMATCH(A716,"".*@simonelectrica.com$""),REGEXMATCH(A716,"".*@hiberus.com$""),REGEXMATCH(A716,"".*@simonbrico.es$""),regexmatch(A716,"".*@simonelectric.com$"")),""null"",A716)"),"589@freelight.es")</f>
        <v>589@freelight.es</v>
      </c>
      <c r="C716" s="5">
        <f>IF(B716="null","null",Descargas!B716)</f>
        <v>43973</v>
      </c>
      <c r="D716" s="6" t="str">
        <f>Descargas!E716</f>
        <v>https://resources.simonelectric.com/simon-material-formativo-vehiculo-electrico</v>
      </c>
      <c r="E716" s="20" t="str">
        <f t="shared" si="1"/>
        <v>589@freelight.es</v>
      </c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</row>
    <row r="717" ht="15.75" customHeight="1">
      <c r="A717" s="18" t="str">
        <f>Descargas!A717</f>
        <v>590@hotmail.com</v>
      </c>
      <c r="B717" s="19" t="str">
        <f>IFERROR(__xludf.DUMMYFUNCTION("IF(OR(regexmatch(A717,"".*@simon.es$""),REGEXMATCH(A717,"".*@simon.pt$""),REGEXMATCH(A717,"".*@simonelectrica.com$""),REGEXMATCH(A717,"".*@hiberus.com$""),REGEXMATCH(A717,"".*@simonbrico.es$""),regexmatch(A717,"".*@simonelectric.com$"")),""null"",A717)"),"590@hotmail.com")</f>
        <v>590@hotmail.com</v>
      </c>
      <c r="C717" s="5">
        <f>IF(B717="null","null",Descargas!B717)</f>
        <v>43973</v>
      </c>
      <c r="D717" s="6" t="str">
        <f>Descargas!E717</f>
        <v>https://resources.simonelectric.com/simon-material-formativo-vehiculo-electrico</v>
      </c>
      <c r="E717" s="20" t="str">
        <f t="shared" si="1"/>
        <v>590@hotmail.com</v>
      </c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</row>
    <row r="718" ht="15.75" customHeight="1">
      <c r="A718" s="18" t="str">
        <f>Descargas!A718</f>
        <v>591@alterenergy.com.ar</v>
      </c>
      <c r="B718" s="19" t="str">
        <f>IFERROR(__xludf.DUMMYFUNCTION("IF(OR(regexmatch(A718,"".*@simon.es$""),REGEXMATCH(A718,"".*@simon.pt$""),REGEXMATCH(A718,"".*@simonelectrica.com$""),REGEXMATCH(A718,"".*@hiberus.com$""),REGEXMATCH(A718,"".*@simonbrico.es$""),regexmatch(A718,"".*@simonelectric.com$"")),""null"",A718)"),"591@alterenergy.com.ar")</f>
        <v>591@alterenergy.com.ar</v>
      </c>
      <c r="C718" s="5">
        <f>IF(B718="null","null",Descargas!B718)</f>
        <v>43973</v>
      </c>
      <c r="D718" s="6" t="str">
        <f>Descargas!E718</f>
        <v>https://resources.simonelectric.com/simon-material-formativo-vehiculo-electrico</v>
      </c>
      <c r="E718" s="20" t="str">
        <f t="shared" si="1"/>
        <v>591@alterenergy.com.ar</v>
      </c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</row>
    <row r="719" ht="15.75" customHeight="1">
      <c r="A719" s="18" t="str">
        <f>Descargas!A719</f>
        <v>592@garciacomas.com</v>
      </c>
      <c r="B719" s="19" t="str">
        <f>IFERROR(__xludf.DUMMYFUNCTION("IF(OR(regexmatch(A719,"".*@simon.es$""),REGEXMATCH(A719,"".*@simon.pt$""),REGEXMATCH(A719,"".*@simonelectrica.com$""),REGEXMATCH(A719,"".*@hiberus.com$""),REGEXMATCH(A719,"".*@simonbrico.es$""),regexmatch(A719,"".*@simonelectric.com$"")),""null"",A719)"),"592@garciacomas.com")</f>
        <v>592@garciacomas.com</v>
      </c>
      <c r="C719" s="5">
        <f>IF(B719="null","null",Descargas!B719)</f>
        <v>43973</v>
      </c>
      <c r="D719" s="6" t="str">
        <f>Descargas!E719</f>
        <v>https://resources.simonelectric.com/simon-material-formativo-vehiculo-electrico</v>
      </c>
      <c r="E719" s="20" t="str">
        <f t="shared" si="1"/>
        <v>592@garciacomas.com</v>
      </c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</row>
    <row r="720" ht="15.75" customHeight="1">
      <c r="A720" s="18" t="str">
        <f>Descargas!A720</f>
        <v>593@sorigue.com</v>
      </c>
      <c r="B720" s="19" t="str">
        <f>IFERROR(__xludf.DUMMYFUNCTION("IF(OR(regexmatch(A720,"".*@simon.es$""),REGEXMATCH(A720,"".*@simon.pt$""),REGEXMATCH(A720,"".*@simonelectrica.com$""),REGEXMATCH(A720,"".*@hiberus.com$""),REGEXMATCH(A720,"".*@simonbrico.es$""),regexmatch(A720,"".*@simonelectric.com$"")),""null"",A720)"),"593@sorigue.com")</f>
        <v>593@sorigue.com</v>
      </c>
      <c r="C720" s="5">
        <f>IF(B720="null","null",Descargas!B720)</f>
        <v>43973</v>
      </c>
      <c r="D720" s="6" t="str">
        <f>Descargas!E720</f>
        <v>https://resources.simonelectric.com/simon-material-formativo-vehiculo-electrico</v>
      </c>
      <c r="E720" s="20" t="str">
        <f t="shared" si="1"/>
        <v>593@sorigue.com</v>
      </c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</row>
    <row r="721" ht="15.75" customHeight="1">
      <c r="A721" s="18" t="str">
        <f>Descargas!A721</f>
        <v>594@hotmail.com</v>
      </c>
      <c r="B721" s="19" t="str">
        <f>IFERROR(__xludf.DUMMYFUNCTION("IF(OR(regexmatch(A721,"".*@simon.es$""),REGEXMATCH(A721,"".*@simon.pt$""),REGEXMATCH(A721,"".*@simonelectrica.com$""),REGEXMATCH(A721,"".*@hiberus.com$""),REGEXMATCH(A721,"".*@simonbrico.es$""),regexmatch(A721,"".*@simonelectric.com$"")),""null"",A721)"),"594@hotmail.com")</f>
        <v>594@hotmail.com</v>
      </c>
      <c r="C721" s="5">
        <f>IF(B721="null","null",Descargas!B721)</f>
        <v>43973</v>
      </c>
      <c r="D721" s="6" t="str">
        <f>Descargas!E721</f>
        <v>https://resources.simonelectric.com/simon-material-formativo-vehiculo-electrico</v>
      </c>
      <c r="E721" s="20" t="str">
        <f t="shared" si="1"/>
        <v>594@hotmail.com</v>
      </c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</row>
    <row r="722" ht="15.75" customHeight="1">
      <c r="A722" s="18" t="str">
        <f>Descargas!A722</f>
        <v>595@centroasturianobarcelona.com</v>
      </c>
      <c r="B722" s="19" t="str">
        <f>IFERROR(__xludf.DUMMYFUNCTION("IF(OR(regexmatch(A722,"".*@simon.es$""),REGEXMATCH(A722,"".*@simon.pt$""),REGEXMATCH(A722,"".*@simonelectrica.com$""),REGEXMATCH(A722,"".*@hiberus.com$""),REGEXMATCH(A722,"".*@simonbrico.es$""),regexmatch(A722,"".*@simonelectric.com$"")),""null"",A722)"),"595@centroasturianobarcelona.com")</f>
        <v>595@centroasturianobarcelona.com</v>
      </c>
      <c r="C722" s="5">
        <f>IF(B722="null","null",Descargas!B722)</f>
        <v>43973</v>
      </c>
      <c r="D722" s="6" t="str">
        <f>Descargas!E722</f>
        <v>https://resources.simonelectric.com/simon-material-formativo-vehiculo-electrico</v>
      </c>
      <c r="E722" s="20" t="str">
        <f t="shared" si="1"/>
        <v>595@centroasturianobarcelona.com</v>
      </c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</row>
    <row r="723" ht="15.75" customHeight="1">
      <c r="A723" s="18" t="str">
        <f>Descargas!A723</f>
        <v>524@gmail.com</v>
      </c>
      <c r="B723" s="19" t="str">
        <f>IFERROR(__xludf.DUMMYFUNCTION("IF(OR(regexmatch(A723,"".*@simon.es$""),REGEXMATCH(A723,"".*@simon.pt$""),REGEXMATCH(A723,"".*@simonelectrica.com$""),REGEXMATCH(A723,"".*@hiberus.com$""),REGEXMATCH(A723,"".*@simonbrico.es$""),regexmatch(A723,"".*@simonelectric.com$"")),""null"",A723)"),"524@gmail.com")</f>
        <v>524@gmail.com</v>
      </c>
      <c r="C723" s="5">
        <f>IF(B723="null","null",Descargas!B723)</f>
        <v>43973</v>
      </c>
      <c r="D723" s="6" t="str">
        <f>Descargas!E723</f>
        <v>https://resources.simonelectric.com/simon-material-formativo-vehiculo-electrico</v>
      </c>
      <c r="E723" s="20" t="str">
        <f t="shared" si="1"/>
        <v>524@gmail.com</v>
      </c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</row>
    <row r="724" ht="15.75" customHeight="1">
      <c r="A724" s="18" t="str">
        <f>Descargas!A724</f>
        <v>596@gmail.com</v>
      </c>
      <c r="B724" s="19" t="str">
        <f>IFERROR(__xludf.DUMMYFUNCTION("IF(OR(regexmatch(A724,"".*@simon.es$""),REGEXMATCH(A724,"".*@simon.pt$""),REGEXMATCH(A724,"".*@simonelectrica.com$""),REGEXMATCH(A724,"".*@hiberus.com$""),REGEXMATCH(A724,"".*@simonbrico.es$""),regexmatch(A724,"".*@simonelectric.com$"")),""null"",A724)"),"596@gmail.com")</f>
        <v>596@gmail.com</v>
      </c>
      <c r="C724" s="5">
        <f>IF(B724="null","null",Descargas!B724)</f>
        <v>43973</v>
      </c>
      <c r="D724" s="6" t="str">
        <f>Descargas!E724</f>
        <v>https://resources.simonelectric.com/simon-material-formativo-vehiculo-electrico</v>
      </c>
      <c r="E724" s="20" t="str">
        <f t="shared" si="1"/>
        <v>596@gmail.com</v>
      </c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</row>
    <row r="725" ht="15.75" customHeight="1">
      <c r="A725" s="18" t="str">
        <f>Descargas!A725</f>
        <v>597@svingenieria.com.co</v>
      </c>
      <c r="B725" s="19" t="str">
        <f>IFERROR(__xludf.DUMMYFUNCTION("IF(OR(regexmatch(A725,"".*@simon.es$""),REGEXMATCH(A725,"".*@simon.pt$""),REGEXMATCH(A725,"".*@simonelectrica.com$""),REGEXMATCH(A725,"".*@hiberus.com$""),REGEXMATCH(A725,"".*@simonbrico.es$""),regexmatch(A725,"".*@simonelectric.com$"")),""null"",A725)"),"597@svingenieria.com.co")</f>
        <v>597@svingenieria.com.co</v>
      </c>
      <c r="C725" s="5">
        <f>IF(B725="null","null",Descargas!B725)</f>
        <v>43973</v>
      </c>
      <c r="D725" s="6" t="str">
        <f>Descargas!E725</f>
        <v>https://resources.simonelectric.com/simon-material-formativo-vehiculo-electrico</v>
      </c>
      <c r="E725" s="20" t="str">
        <f t="shared" si="1"/>
        <v>597@svingenieria.com.co</v>
      </c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</row>
    <row r="726" ht="15.75" customHeight="1">
      <c r="A726" s="18" t="str">
        <f>Descargas!A726</f>
        <v>219@gmail.com</v>
      </c>
      <c r="B726" s="19" t="str">
        <f>IFERROR(__xludf.DUMMYFUNCTION("IF(OR(regexmatch(A726,"".*@simon.es$""),REGEXMATCH(A726,"".*@simon.pt$""),REGEXMATCH(A726,"".*@simonelectrica.com$""),REGEXMATCH(A726,"".*@hiberus.com$""),REGEXMATCH(A726,"".*@simonbrico.es$""),regexmatch(A726,"".*@simonelectric.com$"")),""null"",A726)"),"219@gmail.com")</f>
        <v>219@gmail.com</v>
      </c>
      <c r="C726" s="5">
        <f>IF(B726="null","null",Descargas!B726)</f>
        <v>43973</v>
      </c>
      <c r="D726" s="6" t="str">
        <f>Descargas!E726</f>
        <v>https://resources.simonelectric.com/simon-material-formativo-vehiculo-electrico</v>
      </c>
      <c r="E726" s="20" t="str">
        <f t="shared" si="1"/>
        <v>219@gmail.com</v>
      </c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</row>
    <row r="727" ht="15.75" customHeight="1">
      <c r="A727" s="18" t="str">
        <f>Descargas!A727</f>
        <v>598@simon.es</v>
      </c>
      <c r="B727" s="19" t="str">
        <f>IFERROR(__xludf.DUMMYFUNCTION("IF(OR(regexmatch(A727,"".*@simon.es$""),REGEXMATCH(A727,"".*@simon.pt$""),REGEXMATCH(A727,"".*@simonelectrica.com$""),REGEXMATCH(A727,"".*@hiberus.com$""),REGEXMATCH(A727,"".*@simonbrico.es$""),regexmatch(A727,"".*@simonelectric.com$"")),""null"",A727)"),"null")</f>
        <v>null</v>
      </c>
      <c r="C727" s="5" t="str">
        <f>IF(B727="null","null",Descargas!B727)</f>
        <v>null</v>
      </c>
      <c r="D727" s="6" t="str">
        <f>Descargas!E727</f>
        <v>https://resources.simonelectric.com/simon-ebook-vehiculo-electrico</v>
      </c>
      <c r="E727" s="24" t="str">
        <f t="shared" si="1"/>
        <v/>
      </c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</row>
    <row r="728" ht="15.75" customHeight="1">
      <c r="A728" s="18" t="str">
        <f>Descargas!A728</f>
        <v>599@gmail.com</v>
      </c>
      <c r="B728" s="19" t="str">
        <f>IFERROR(__xludf.DUMMYFUNCTION("IF(OR(regexmatch(A728,"".*@simon.es$""),REGEXMATCH(A728,"".*@simon.pt$""),REGEXMATCH(A728,"".*@simonelectrica.com$""),REGEXMATCH(A728,"".*@hiberus.com$""),REGEXMATCH(A728,"".*@simonbrico.es$""),regexmatch(A728,"".*@simonelectric.com$"")),""null"",A728)"),"599@gmail.com")</f>
        <v>599@gmail.com</v>
      </c>
      <c r="C728" s="5">
        <f>IF(B728="null","null",Descargas!B728)</f>
        <v>43973</v>
      </c>
      <c r="D728" s="6" t="str">
        <f>Descargas!E728</f>
        <v>https://resources.simonelectric.com/simon-material-formativo-vehiculo-electrico</v>
      </c>
      <c r="E728" s="20" t="str">
        <f t="shared" si="1"/>
        <v>599@gmail.com</v>
      </c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</row>
    <row r="729" ht="15.75" customHeight="1">
      <c r="A729" s="18" t="str">
        <f>Descargas!A729</f>
        <v>600@saltoki.es</v>
      </c>
      <c r="B729" s="19" t="str">
        <f>IFERROR(__xludf.DUMMYFUNCTION("IF(OR(regexmatch(A729,"".*@simon.es$""),REGEXMATCH(A729,"".*@simon.pt$""),REGEXMATCH(A729,"".*@simonelectrica.com$""),REGEXMATCH(A729,"".*@hiberus.com$""),REGEXMATCH(A729,"".*@simonbrico.es$""),regexmatch(A729,"".*@simonelectric.com$"")),""null"",A729)"),"600@saltoki.es")</f>
        <v>600@saltoki.es</v>
      </c>
      <c r="C729" s="5">
        <f>IF(B729="null","null",Descargas!B729)</f>
        <v>43973</v>
      </c>
      <c r="D729" s="6" t="str">
        <f>Descargas!E729</f>
        <v>https://resources.simonelectric.com/simon-catalogo-vehiculo-electrico</v>
      </c>
      <c r="E729" s="20" t="str">
        <f t="shared" si="1"/>
        <v>600@saltoki.es</v>
      </c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</row>
    <row r="730" ht="15.75" customHeight="1">
      <c r="A730" s="18" t="str">
        <f>Descargas!A730</f>
        <v>601@gmail.com</v>
      </c>
      <c r="B730" s="19" t="str">
        <f>IFERROR(__xludf.DUMMYFUNCTION("IF(OR(regexmatch(A730,"".*@simon.es$""),REGEXMATCH(A730,"".*@simon.pt$""),REGEXMATCH(A730,"".*@simonelectrica.com$""),REGEXMATCH(A730,"".*@hiberus.com$""),REGEXMATCH(A730,"".*@simonbrico.es$""),regexmatch(A730,"".*@simonelectric.com$"")),""null"",A730)"),"601@gmail.com")</f>
        <v>601@gmail.com</v>
      </c>
      <c r="C730" s="5">
        <f>IF(B730="null","null",Descargas!B730)</f>
        <v>43973</v>
      </c>
      <c r="D730" s="6" t="str">
        <f>Descargas!E730</f>
        <v>https://resources.simonelectric.com/simon-material-formativo-vehiculo-electrico</v>
      </c>
      <c r="E730" s="20" t="str">
        <f t="shared" si="1"/>
        <v>601@gmail.com</v>
      </c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</row>
    <row r="731" ht="15.75" customHeight="1">
      <c r="A731" s="18" t="str">
        <f>Descargas!A731</f>
        <v>553@aenor.com</v>
      </c>
      <c r="B731" s="19" t="str">
        <f>IFERROR(__xludf.DUMMYFUNCTION("IF(OR(regexmatch(A731,"".*@simon.es$""),REGEXMATCH(A731,"".*@simon.pt$""),REGEXMATCH(A731,"".*@simonelectrica.com$""),REGEXMATCH(A731,"".*@hiberus.com$""),REGEXMATCH(A731,"".*@simonbrico.es$""),regexmatch(A731,"".*@simonelectric.com$"")),""null"",A731)"),"553@aenor.com")</f>
        <v>553@aenor.com</v>
      </c>
      <c r="C731" s="5">
        <f>IF(B731="null","null",Descargas!B731)</f>
        <v>43973</v>
      </c>
      <c r="D731" s="6" t="str">
        <f>Descargas!E731</f>
        <v>https://resources.simonelectric.com/simon-material-formativo-vehiculo-electrico</v>
      </c>
      <c r="E731" s="20" t="str">
        <f t="shared" si="1"/>
        <v>553@aenor.com</v>
      </c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</row>
    <row r="732" ht="15.75" customHeight="1">
      <c r="A732" s="18" t="str">
        <f>Descargas!A732</f>
        <v>602@gmail.com</v>
      </c>
      <c r="B732" s="19" t="str">
        <f>IFERROR(__xludf.DUMMYFUNCTION("IF(OR(regexmatch(A732,"".*@simon.es$""),REGEXMATCH(A732,"".*@simon.pt$""),REGEXMATCH(A732,"".*@simonelectrica.com$""),REGEXMATCH(A732,"".*@hiberus.com$""),REGEXMATCH(A732,"".*@simonbrico.es$""),regexmatch(A732,"".*@simonelectric.com$"")),""null"",A732)"),"602@gmail.com")</f>
        <v>602@gmail.com</v>
      </c>
      <c r="C732" s="5">
        <f>IF(B732="null","null",Descargas!B732)</f>
        <v>43973</v>
      </c>
      <c r="D732" s="6" t="str">
        <f>Descargas!E732</f>
        <v>https://resources.simonelectric.com/simon-material-formativo-vehiculo-electrico</v>
      </c>
      <c r="E732" s="20" t="str">
        <f t="shared" si="1"/>
        <v>602@gmail.com</v>
      </c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</row>
    <row r="733" ht="15.75" customHeight="1">
      <c r="A733" s="18" t="str">
        <f>Descargas!A733</f>
        <v>603@tenmega.pt</v>
      </c>
      <c r="B733" s="19" t="str">
        <f>IFERROR(__xludf.DUMMYFUNCTION("IF(OR(regexmatch(A733,"".*@simon.es$""),REGEXMATCH(A733,"".*@simon.pt$""),REGEXMATCH(A733,"".*@simonelectrica.com$""),REGEXMATCH(A733,"".*@hiberus.com$""),REGEXMATCH(A733,"".*@simonbrico.es$""),regexmatch(A733,"".*@simonelectric.com$"")),""null"",A733)"),"603@tenmega.pt")</f>
        <v>603@tenmega.pt</v>
      </c>
      <c r="C733" s="5">
        <f>IF(B733="null","null",Descargas!B733)</f>
        <v>43973</v>
      </c>
      <c r="D733" s="6" t="str">
        <f>Descargas!E733</f>
        <v>https://resources.simonelectric.com/simon-material-formativo-vehiculo-electrico</v>
      </c>
      <c r="E733" s="20" t="str">
        <f t="shared" si="1"/>
        <v>603@tenmega.pt</v>
      </c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</row>
    <row r="734" ht="15.75" customHeight="1">
      <c r="A734" s="18" t="str">
        <f>Descargas!A734</f>
        <v>604@goliathspain.es</v>
      </c>
      <c r="B734" s="19" t="str">
        <f>IFERROR(__xludf.DUMMYFUNCTION("IF(OR(regexmatch(A734,"".*@simon.es$""),REGEXMATCH(A734,"".*@simon.pt$""),REGEXMATCH(A734,"".*@simonelectrica.com$""),REGEXMATCH(A734,"".*@hiberus.com$""),REGEXMATCH(A734,"".*@simonbrico.es$""),regexmatch(A734,"".*@simonelectric.com$"")),""null"",A734)"),"604@goliathspain.es")</f>
        <v>604@goliathspain.es</v>
      </c>
      <c r="C734" s="5">
        <f>IF(B734="null","null",Descargas!B734)</f>
        <v>43973</v>
      </c>
      <c r="D734" s="6" t="str">
        <f>Descargas!E734</f>
        <v>https://resources.simonelectric.com/simon-material-formativo-vehiculo-electrico</v>
      </c>
      <c r="E734" s="20" t="str">
        <f t="shared" si="1"/>
        <v>604@goliathspain.es</v>
      </c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</row>
    <row r="735" ht="15.75" customHeight="1">
      <c r="A735" s="18" t="str">
        <f>Descargas!A735</f>
        <v>605@hotmail.com</v>
      </c>
      <c r="B735" s="19" t="str">
        <f>IFERROR(__xludf.DUMMYFUNCTION("IF(OR(regexmatch(A735,"".*@simon.es$""),REGEXMATCH(A735,"".*@simon.pt$""),REGEXMATCH(A735,"".*@simonelectrica.com$""),REGEXMATCH(A735,"".*@hiberus.com$""),REGEXMATCH(A735,"".*@simonbrico.es$""),regexmatch(A735,"".*@simonelectric.com$"")),""null"",A735)"),"605@hotmail.com")</f>
        <v>605@hotmail.com</v>
      </c>
      <c r="C735" s="5">
        <f>IF(B735="null","null",Descargas!B735)</f>
        <v>43973</v>
      </c>
      <c r="D735" s="6" t="str">
        <f>Descargas!E735</f>
        <v>https://resources.simonelectric.com/simon-material-formativo-vehiculo-electrico</v>
      </c>
      <c r="E735" s="20" t="str">
        <f t="shared" si="1"/>
        <v>605@hotmail.com</v>
      </c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</row>
    <row r="736" ht="15.75" customHeight="1">
      <c r="A736" s="18" t="str">
        <f>Descargas!A736</f>
        <v>335@faepac.org</v>
      </c>
      <c r="B736" s="19" t="str">
        <f>IFERROR(__xludf.DUMMYFUNCTION("IF(OR(regexmatch(A736,"".*@simon.es$""),REGEXMATCH(A736,"".*@simon.pt$""),REGEXMATCH(A736,"".*@simonelectrica.com$""),REGEXMATCH(A736,"".*@hiberus.com$""),REGEXMATCH(A736,"".*@simonbrico.es$""),regexmatch(A736,"".*@simonelectric.com$"")),""null"",A736)"),"335@faepac.org")</f>
        <v>335@faepac.org</v>
      </c>
      <c r="C736" s="5">
        <f>IF(B736="null","null",Descargas!B736)</f>
        <v>43973</v>
      </c>
      <c r="D736" s="6" t="str">
        <f>Descargas!E736</f>
        <v>https://resources.simonelectric.com/simon-material-formativo-vehiculo-electrico</v>
      </c>
      <c r="E736" s="20" t="str">
        <f t="shared" si="1"/>
        <v>335@faepac.org</v>
      </c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</row>
    <row r="737" ht="15.75" customHeight="1">
      <c r="A737" s="18" t="str">
        <f>Descargas!A737</f>
        <v>606@gmail.com</v>
      </c>
      <c r="B737" s="19" t="str">
        <f>IFERROR(__xludf.DUMMYFUNCTION("IF(OR(regexmatch(A737,"".*@simon.es$""),REGEXMATCH(A737,"".*@simon.pt$""),REGEXMATCH(A737,"".*@simonelectrica.com$""),REGEXMATCH(A737,"".*@hiberus.com$""),REGEXMATCH(A737,"".*@simonbrico.es$""),regexmatch(A737,"".*@simonelectric.com$"")),""null"",A737)"),"606@gmail.com")</f>
        <v>606@gmail.com</v>
      </c>
      <c r="C737" s="5">
        <f>IF(B737="null","null",Descargas!B737)</f>
        <v>43973</v>
      </c>
      <c r="D737" s="6" t="str">
        <f>Descargas!E737</f>
        <v>https://resources.simonelectric.com/simon-material-formativo-vehiculo-electrico</v>
      </c>
      <c r="E737" s="20" t="str">
        <f t="shared" si="1"/>
        <v>606@gmail.com</v>
      </c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</row>
    <row r="738" ht="15.75" customHeight="1">
      <c r="A738" s="18" t="str">
        <f>Descargas!A738</f>
        <v>560@gmail.com</v>
      </c>
      <c r="B738" s="19" t="str">
        <f>IFERROR(__xludf.DUMMYFUNCTION("IF(OR(regexmatch(A738,"".*@simon.es$""),REGEXMATCH(A738,"".*@simon.pt$""),REGEXMATCH(A738,"".*@simonelectrica.com$""),REGEXMATCH(A738,"".*@hiberus.com$""),REGEXMATCH(A738,"".*@simonbrico.es$""),regexmatch(A738,"".*@simonelectric.com$"")),""null"",A738)"),"560@gmail.com")</f>
        <v>560@gmail.com</v>
      </c>
      <c r="C738" s="5">
        <f>IF(B738="null","null",Descargas!B738)</f>
        <v>43973</v>
      </c>
      <c r="D738" s="6" t="str">
        <f>Descargas!E738</f>
        <v>https://resources.simonelectric.com/simon-material-formativo-vehiculo-electrico</v>
      </c>
      <c r="E738" s="20" t="str">
        <f t="shared" si="1"/>
        <v>560@gmail.com</v>
      </c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</row>
    <row r="739" ht="15.75" customHeight="1">
      <c r="A739" s="18" t="str">
        <f>Descargas!A739</f>
        <v>607@eficiona.com</v>
      </c>
      <c r="B739" s="19" t="str">
        <f>IFERROR(__xludf.DUMMYFUNCTION("IF(OR(regexmatch(A739,"".*@simon.es$""),REGEXMATCH(A739,"".*@simon.pt$""),REGEXMATCH(A739,"".*@simonelectrica.com$""),REGEXMATCH(A739,"".*@hiberus.com$""),REGEXMATCH(A739,"".*@simonbrico.es$""),regexmatch(A739,"".*@simonelectric.com$"")),""null"",A739)"),"607@eficiona.com")</f>
        <v>607@eficiona.com</v>
      </c>
      <c r="C739" s="5">
        <f>IF(B739="null","null",Descargas!B739)</f>
        <v>43973</v>
      </c>
      <c r="D739" s="6" t="str">
        <f>Descargas!E739</f>
        <v>https://resources.simonelectric.com/simon-material-formativo-vehiculo-electrico</v>
      </c>
      <c r="E739" s="20" t="str">
        <f t="shared" si="1"/>
        <v>607@eficiona.com</v>
      </c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</row>
    <row r="740" ht="15.75" customHeight="1">
      <c r="A740" s="18" t="str">
        <f>Descargas!A740</f>
        <v>608@sgingenieros.es</v>
      </c>
      <c r="B740" s="19" t="str">
        <f>IFERROR(__xludf.DUMMYFUNCTION("IF(OR(regexmatch(A740,"".*@simon.es$""),REGEXMATCH(A740,"".*@simon.pt$""),REGEXMATCH(A740,"".*@simonelectrica.com$""),REGEXMATCH(A740,"".*@hiberus.com$""),REGEXMATCH(A740,"".*@simonbrico.es$""),regexmatch(A740,"".*@simonelectric.com$"")),""null"",A740)"),"608@sgingenieros.es")</f>
        <v>608@sgingenieros.es</v>
      </c>
      <c r="C740" s="5">
        <f>IF(B740="null","null",Descargas!B740)</f>
        <v>43973</v>
      </c>
      <c r="D740" s="6" t="str">
        <f>Descargas!E740</f>
        <v>https://resources.simonelectric.com/simon-material-formativo-vehiculo-electrico</v>
      </c>
      <c r="E740" s="20" t="str">
        <f t="shared" si="1"/>
        <v>608@sgingenieros.es</v>
      </c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</row>
    <row r="741" ht="15.75" customHeight="1">
      <c r="A741" s="18" t="str">
        <f>Descargas!A741</f>
        <v>530@trilegend.com</v>
      </c>
      <c r="B741" s="19" t="str">
        <f>IFERROR(__xludf.DUMMYFUNCTION("IF(OR(regexmatch(A741,"".*@simon.es$""),REGEXMATCH(A741,"".*@simon.pt$""),REGEXMATCH(A741,"".*@simonelectrica.com$""),REGEXMATCH(A741,"".*@hiberus.com$""),REGEXMATCH(A741,"".*@simonbrico.es$""),regexmatch(A741,"".*@simonelectric.com$"")),""null"",A741)"),"530@trilegend.com")</f>
        <v>530@trilegend.com</v>
      </c>
      <c r="C741" s="5">
        <f>IF(B741="null","null",Descargas!B741)</f>
        <v>43973</v>
      </c>
      <c r="D741" s="6" t="str">
        <f>Descargas!E741</f>
        <v>https://resources.simonelectric.com/simon-material-formativo-vehiculo-electrico</v>
      </c>
      <c r="E741" s="20" t="str">
        <f t="shared" si="1"/>
        <v>530@trilegend.com</v>
      </c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</row>
    <row r="742" ht="15.75" customHeight="1">
      <c r="A742" s="18" t="str">
        <f>Descargas!A742</f>
        <v>609@ritelecenergia.es</v>
      </c>
      <c r="B742" s="19" t="str">
        <f>IFERROR(__xludf.DUMMYFUNCTION("IF(OR(regexmatch(A742,"".*@simon.es$""),REGEXMATCH(A742,"".*@simon.pt$""),REGEXMATCH(A742,"".*@simonelectrica.com$""),REGEXMATCH(A742,"".*@hiberus.com$""),REGEXMATCH(A742,"".*@simonbrico.es$""),regexmatch(A742,"".*@simonelectric.com$"")),""null"",A742)"),"609@ritelecenergia.es")</f>
        <v>609@ritelecenergia.es</v>
      </c>
      <c r="C742" s="5">
        <f>IF(B742="null","null",Descargas!B742)</f>
        <v>43973</v>
      </c>
      <c r="D742" s="6" t="str">
        <f>Descargas!E742</f>
        <v>https://resources.simonelectric.com/simon-material-formativo-vehiculo-electrico</v>
      </c>
      <c r="E742" s="20" t="str">
        <f t="shared" si="1"/>
        <v>609@ritelecenergia.es</v>
      </c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</row>
    <row r="743" ht="15.75" customHeight="1">
      <c r="A743" s="18" t="str">
        <f>Descargas!A743</f>
        <v>610@electricharger.com</v>
      </c>
      <c r="B743" s="19" t="str">
        <f>IFERROR(__xludf.DUMMYFUNCTION("IF(OR(regexmatch(A743,"".*@simon.es$""),REGEXMATCH(A743,"".*@simon.pt$""),REGEXMATCH(A743,"".*@simonelectrica.com$""),REGEXMATCH(A743,"".*@hiberus.com$""),REGEXMATCH(A743,"".*@simonbrico.es$""),regexmatch(A743,"".*@simonelectric.com$"")),""null"",A743)"),"610@electricharger.com")</f>
        <v>610@electricharger.com</v>
      </c>
      <c r="C743" s="5">
        <f>IF(B743="null","null",Descargas!B743)</f>
        <v>43973</v>
      </c>
      <c r="D743" s="6" t="str">
        <f>Descargas!E743</f>
        <v>https://resources.simonelectric.com/simon-ebook-vehiculo-electrico-ppc</v>
      </c>
      <c r="E743" s="20" t="str">
        <f t="shared" si="1"/>
        <v>610@electricharger.com</v>
      </c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</row>
    <row r="744" ht="15.75" customHeight="1">
      <c r="A744" s="18" t="str">
        <f>Descargas!A744</f>
        <v>611@santacruzdetenerife.es</v>
      </c>
      <c r="B744" s="19" t="str">
        <f>IFERROR(__xludf.DUMMYFUNCTION("IF(OR(regexmatch(A744,"".*@simon.es$""),REGEXMATCH(A744,"".*@simon.pt$""),REGEXMATCH(A744,"".*@simonelectrica.com$""),REGEXMATCH(A744,"".*@hiberus.com$""),REGEXMATCH(A744,"".*@simonbrico.es$""),regexmatch(A744,"".*@simonelectric.com$"")),""null"",A744)"),"611@santacruzdetenerife.es")</f>
        <v>611@santacruzdetenerife.es</v>
      </c>
      <c r="C744" s="5">
        <f>IF(B744="null","null",Descargas!B744)</f>
        <v>43973</v>
      </c>
      <c r="D744" s="6" t="str">
        <f>Descargas!E744</f>
        <v>https://resources.simonelectric.com/simon-material-formativo-vehiculo-electrico</v>
      </c>
      <c r="E744" s="20" t="str">
        <f t="shared" si="1"/>
        <v>611@santacruzdetenerife.es</v>
      </c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</row>
    <row r="745" ht="15.75" customHeight="1">
      <c r="A745" s="18" t="str">
        <f>Descargas!A745</f>
        <v>612@gmail.com</v>
      </c>
      <c r="B745" s="19" t="str">
        <f>IFERROR(__xludf.DUMMYFUNCTION("IF(OR(regexmatch(A745,"".*@simon.es$""),REGEXMATCH(A745,"".*@simon.pt$""),REGEXMATCH(A745,"".*@simonelectrica.com$""),REGEXMATCH(A745,"".*@hiberus.com$""),REGEXMATCH(A745,"".*@simonbrico.es$""),regexmatch(A745,"".*@simonelectric.com$"")),""null"",A745)"),"612@gmail.com")</f>
        <v>612@gmail.com</v>
      </c>
      <c r="C745" s="5">
        <f>IF(B745="null","null",Descargas!B745)</f>
        <v>43973</v>
      </c>
      <c r="D745" s="6" t="str">
        <f>Descargas!E745</f>
        <v>https://resources.simonelectric.com/simon-catalogo-vehiculo-electrico</v>
      </c>
      <c r="E745" s="20" t="str">
        <f t="shared" si="1"/>
        <v>612@gmail.com</v>
      </c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</row>
    <row r="746" ht="15.75" customHeight="1">
      <c r="A746" s="18" t="str">
        <f>Descargas!A746</f>
        <v>613@proingo.es</v>
      </c>
      <c r="B746" s="19" t="str">
        <f>IFERROR(__xludf.DUMMYFUNCTION("IF(OR(regexmatch(A746,"".*@simon.es$""),REGEXMATCH(A746,"".*@simon.pt$""),REGEXMATCH(A746,"".*@simonelectrica.com$""),REGEXMATCH(A746,"".*@hiberus.com$""),REGEXMATCH(A746,"".*@simonbrico.es$""),regexmatch(A746,"".*@simonelectric.com$"")),""null"",A746)"),"613@proingo.es")</f>
        <v>613@proingo.es</v>
      </c>
      <c r="C746" s="5">
        <f>IF(B746="null","null",Descargas!B746)</f>
        <v>43973</v>
      </c>
      <c r="D746" s="6" t="str">
        <f>Descargas!E746</f>
        <v>https://resources.simonelectric.com/simon-material-formativo-vehiculo-electrico</v>
      </c>
      <c r="E746" s="20" t="str">
        <f t="shared" si="1"/>
        <v>613@proingo.es</v>
      </c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</row>
    <row r="747" ht="15.75" customHeight="1">
      <c r="A747" s="18" t="str">
        <f>Descargas!A747</f>
        <v>614@valledeleste.es</v>
      </c>
      <c r="B747" s="19" t="str">
        <f>IFERROR(__xludf.DUMMYFUNCTION("IF(OR(regexmatch(A747,"".*@simon.es$""),REGEXMATCH(A747,"".*@simon.pt$""),REGEXMATCH(A747,"".*@simonelectrica.com$""),REGEXMATCH(A747,"".*@hiberus.com$""),REGEXMATCH(A747,"".*@simonbrico.es$""),regexmatch(A747,"".*@simonelectric.com$"")),""null"",A747)"),"614@valledeleste.es")</f>
        <v>614@valledeleste.es</v>
      </c>
      <c r="C747" s="5">
        <f>IF(B747="null","null",Descargas!B747)</f>
        <v>43973</v>
      </c>
      <c r="D747" s="6" t="str">
        <f>Descargas!E747</f>
        <v>https://resources.simonelectric.com/simon-material-formativo-vehiculo-electrico</v>
      </c>
      <c r="E747" s="20" t="str">
        <f t="shared" si="1"/>
        <v>614@valledeleste.es</v>
      </c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</row>
    <row r="748" ht="15.75" customHeight="1">
      <c r="A748" s="18" t="str">
        <f>Descargas!A748</f>
        <v>615@iealcazar.com</v>
      </c>
      <c r="B748" s="19" t="str">
        <f>IFERROR(__xludf.DUMMYFUNCTION("IF(OR(regexmatch(A748,"".*@simon.es$""),REGEXMATCH(A748,"".*@simon.pt$""),REGEXMATCH(A748,"".*@simonelectrica.com$""),REGEXMATCH(A748,"".*@hiberus.com$""),REGEXMATCH(A748,"".*@simonbrico.es$""),regexmatch(A748,"".*@simonelectric.com$"")),""null"",A748)"),"615@iealcazar.com")</f>
        <v>615@iealcazar.com</v>
      </c>
      <c r="C748" s="5">
        <f>IF(B748="null","null",Descargas!B748)</f>
        <v>43973</v>
      </c>
      <c r="D748" s="6" t="str">
        <f>Descargas!E748</f>
        <v>https://resources.simonelectric.com/simon-material-formativo-vehiculo-electrico</v>
      </c>
      <c r="E748" s="20" t="str">
        <f t="shared" si="1"/>
        <v>615@iealcazar.com</v>
      </c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</row>
    <row r="749" ht="15.75" customHeight="1">
      <c r="A749" s="18" t="str">
        <f>Descargas!A749</f>
        <v>616@a6ingenieria.es</v>
      </c>
      <c r="B749" s="19" t="str">
        <f>IFERROR(__xludf.DUMMYFUNCTION("IF(OR(regexmatch(A749,"".*@simon.es$""),REGEXMATCH(A749,"".*@simon.pt$""),REGEXMATCH(A749,"".*@simonelectrica.com$""),REGEXMATCH(A749,"".*@hiberus.com$""),REGEXMATCH(A749,"".*@simonbrico.es$""),regexmatch(A749,"".*@simonelectric.com$"")),""null"",A749)"),"616@a6ingenieria.es")</f>
        <v>616@a6ingenieria.es</v>
      </c>
      <c r="C749" s="5">
        <f>IF(B749="null","null",Descargas!B749)</f>
        <v>43973</v>
      </c>
      <c r="D749" s="6" t="str">
        <f>Descargas!E749</f>
        <v>https://resources.simonelectric.com/simon-material-formativo-vehiculo-electrico</v>
      </c>
      <c r="E749" s="20" t="str">
        <f t="shared" si="1"/>
        <v>616@a6ingenieria.es</v>
      </c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</row>
    <row r="750" ht="15.75" customHeight="1">
      <c r="A750" s="18" t="str">
        <f>Descargas!A750</f>
        <v>617@energia.eiffage.es</v>
      </c>
      <c r="B750" s="19" t="str">
        <f>IFERROR(__xludf.DUMMYFUNCTION("IF(OR(regexmatch(A750,"".*@simon.es$""),REGEXMATCH(A750,"".*@simon.pt$""),REGEXMATCH(A750,"".*@simonelectrica.com$""),REGEXMATCH(A750,"".*@hiberus.com$""),REGEXMATCH(A750,"".*@simonbrico.es$""),regexmatch(A750,"".*@simonelectric.com$"")),""null"",A750)"),"617@energia.eiffage.es")</f>
        <v>617@energia.eiffage.es</v>
      </c>
      <c r="C750" s="5">
        <f>IF(B750="null","null",Descargas!B750)</f>
        <v>43973</v>
      </c>
      <c r="D750" s="6" t="str">
        <f>Descargas!E750</f>
        <v>https://resources.simonelectric.com/simon-material-formativo-vehiculo-electrico</v>
      </c>
      <c r="E750" s="20" t="str">
        <f t="shared" si="1"/>
        <v>617@energia.eiffage.es</v>
      </c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</row>
    <row r="751" ht="15.75" customHeight="1">
      <c r="A751" s="18" t="str">
        <f>Descargas!A751</f>
        <v>618@ibil.es</v>
      </c>
      <c r="B751" s="19" t="str">
        <f>IFERROR(__xludf.DUMMYFUNCTION("IF(OR(regexmatch(A751,"".*@simon.es$""),REGEXMATCH(A751,"".*@simon.pt$""),REGEXMATCH(A751,"".*@simonelectrica.com$""),REGEXMATCH(A751,"".*@hiberus.com$""),REGEXMATCH(A751,"".*@simonbrico.es$""),regexmatch(A751,"".*@simonelectric.com$"")),""null"",A751)"),"618@ibil.es")</f>
        <v>618@ibil.es</v>
      </c>
      <c r="C751" s="5">
        <f>IF(B751="null","null",Descargas!B751)</f>
        <v>43973</v>
      </c>
      <c r="D751" s="6" t="str">
        <f>Descargas!E751</f>
        <v>https://resources.simonelectric.com/simon-material-formativo-vehiculo-electrico</v>
      </c>
      <c r="E751" s="20" t="str">
        <f t="shared" si="1"/>
        <v>618@ibil.es</v>
      </c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</row>
    <row r="752" ht="15.75" customHeight="1">
      <c r="A752" s="18" t="str">
        <f>Descargas!A752</f>
        <v>619@movistar.es</v>
      </c>
      <c r="B752" s="19" t="str">
        <f>IFERROR(__xludf.DUMMYFUNCTION("IF(OR(regexmatch(A752,"".*@simon.es$""),REGEXMATCH(A752,"".*@simon.pt$""),REGEXMATCH(A752,"".*@simonelectrica.com$""),REGEXMATCH(A752,"".*@hiberus.com$""),REGEXMATCH(A752,"".*@simonbrico.es$""),regexmatch(A752,"".*@simonelectric.com$"")),""null"",A752)"),"619@movistar.es")</f>
        <v>619@movistar.es</v>
      </c>
      <c r="C752" s="5">
        <f>IF(B752="null","null",Descargas!B752)</f>
        <v>43973</v>
      </c>
      <c r="D752" s="6" t="str">
        <f>Descargas!E752</f>
        <v>https://resources.simonelectric.com/simon-material-formativo-vehiculo-electrico</v>
      </c>
      <c r="E752" s="20" t="str">
        <f t="shared" si="1"/>
        <v>619@movistar.es</v>
      </c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</row>
    <row r="753" ht="15.75" customHeight="1">
      <c r="A753" s="18" t="str">
        <f>Descargas!A753</f>
        <v>620@loop-cn.com</v>
      </c>
      <c r="B753" s="19" t="str">
        <f>IFERROR(__xludf.DUMMYFUNCTION("IF(OR(regexmatch(A753,"".*@simon.es$""),REGEXMATCH(A753,"".*@simon.pt$""),REGEXMATCH(A753,"".*@simonelectrica.com$""),REGEXMATCH(A753,"".*@hiberus.com$""),REGEXMATCH(A753,"".*@simonbrico.es$""),regexmatch(A753,"".*@simonelectric.com$"")),""null"",A753)"),"620@loop-cn.com")</f>
        <v>620@loop-cn.com</v>
      </c>
      <c r="C753" s="5">
        <f>IF(B753="null","null",Descargas!B753)</f>
        <v>43973</v>
      </c>
      <c r="D753" s="6" t="str">
        <f>Descargas!E753</f>
        <v>https://resources.simonelectric.com/simon-material-formativo-vehiculo-electrico</v>
      </c>
      <c r="E753" s="20" t="str">
        <f t="shared" si="1"/>
        <v>620@loop-cn.com</v>
      </c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</row>
    <row r="754" ht="15.75" customHeight="1">
      <c r="A754" s="18" t="str">
        <f>Descargas!A754</f>
        <v>621@gmail.com</v>
      </c>
      <c r="B754" s="19" t="str">
        <f>IFERROR(__xludf.DUMMYFUNCTION("IF(OR(regexmatch(A754,"".*@simon.es$""),REGEXMATCH(A754,"".*@simon.pt$""),REGEXMATCH(A754,"".*@simonelectrica.com$""),REGEXMATCH(A754,"".*@hiberus.com$""),REGEXMATCH(A754,"".*@simonbrico.es$""),regexmatch(A754,"".*@simonelectric.com$"")),""null"",A754)"),"621@gmail.com")</f>
        <v>621@gmail.com</v>
      </c>
      <c r="C754" s="5">
        <f>IF(B754="null","null",Descargas!B754)</f>
        <v>43973</v>
      </c>
      <c r="D754" s="6" t="str">
        <f>Descargas!E754</f>
        <v>https://resources.simonelectric.com/simon-material-formativo-vehiculo-electrico</v>
      </c>
      <c r="E754" s="20" t="str">
        <f t="shared" si="1"/>
        <v>621@gmail.com</v>
      </c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</row>
    <row r="755" ht="15.75" customHeight="1">
      <c r="A755" s="18" t="str">
        <f>Descargas!A755</f>
        <v>621@gmail.com</v>
      </c>
      <c r="B755" s="19" t="str">
        <f>IFERROR(__xludf.DUMMYFUNCTION("IF(OR(regexmatch(A755,"".*@simon.es$""),REGEXMATCH(A755,"".*@simon.pt$""),REGEXMATCH(A755,"".*@simonelectrica.com$""),REGEXMATCH(A755,"".*@hiberus.com$""),REGEXMATCH(A755,"".*@simonbrico.es$""),regexmatch(A755,"".*@simonelectric.com$"")),""null"",A755)"),"621@gmail.com")</f>
        <v>621@gmail.com</v>
      </c>
      <c r="C755" s="5">
        <f>IF(B755="null","null",Descargas!B755)</f>
        <v>43973</v>
      </c>
      <c r="D755" s="6" t="str">
        <f>Descargas!E755</f>
        <v>https://resources.simonelectric.com/simon-material-formativo-vehiculo-electrico</v>
      </c>
      <c r="E755" s="20" t="str">
        <f t="shared" si="1"/>
        <v>621@gmail.com</v>
      </c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</row>
    <row r="756" ht="15.75" customHeight="1">
      <c r="A756" s="18" t="str">
        <f>Descargas!A756</f>
        <v>622@icingenieros.es</v>
      </c>
      <c r="B756" s="19" t="str">
        <f>IFERROR(__xludf.DUMMYFUNCTION("IF(OR(regexmatch(A756,"".*@simon.es$""),REGEXMATCH(A756,"".*@simon.pt$""),REGEXMATCH(A756,"".*@simonelectrica.com$""),REGEXMATCH(A756,"".*@hiberus.com$""),REGEXMATCH(A756,"".*@simonbrico.es$""),regexmatch(A756,"".*@simonelectric.com$"")),""null"",A756)"),"622@icingenieros.es")</f>
        <v>622@icingenieros.es</v>
      </c>
      <c r="C756" s="5">
        <f>IF(B756="null","null",Descargas!B756)</f>
        <v>43973</v>
      </c>
      <c r="D756" s="6" t="str">
        <f>Descargas!E756</f>
        <v>https://resources.simonelectric.com/simon-material-formativo-vehiculo-electrico</v>
      </c>
      <c r="E756" s="20" t="str">
        <f t="shared" si="1"/>
        <v>622@icingenieros.es</v>
      </c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</row>
    <row r="757" ht="15.75" customHeight="1">
      <c r="A757" s="18" t="str">
        <f>Descargas!A757</f>
        <v>536@adymus.es</v>
      </c>
      <c r="B757" s="19" t="str">
        <f>IFERROR(__xludf.DUMMYFUNCTION("IF(OR(regexmatch(A757,"".*@simon.es$""),REGEXMATCH(A757,"".*@simon.pt$""),REGEXMATCH(A757,"".*@simonelectrica.com$""),REGEXMATCH(A757,"".*@hiberus.com$""),REGEXMATCH(A757,"".*@simonbrico.es$""),regexmatch(A757,"".*@simonelectric.com$"")),""null"",A757)"),"536@adymus.es")</f>
        <v>536@adymus.es</v>
      </c>
      <c r="C757" s="5">
        <f>IF(B757="null","null",Descargas!B757)</f>
        <v>43973</v>
      </c>
      <c r="D757" s="6" t="str">
        <f>Descargas!E757</f>
        <v>https://resources.simonelectric.com/simon-material-formativo-vehiculo-electrico</v>
      </c>
      <c r="E757" s="20" t="str">
        <f t="shared" si="1"/>
        <v>536@adymus.es</v>
      </c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</row>
    <row r="758" ht="15.75" customHeight="1">
      <c r="A758" s="18" t="str">
        <f>Descargas!A758</f>
        <v>623@gmail.com</v>
      </c>
      <c r="B758" s="19" t="str">
        <f>IFERROR(__xludf.DUMMYFUNCTION("IF(OR(regexmatch(A758,"".*@simon.es$""),REGEXMATCH(A758,"".*@simon.pt$""),REGEXMATCH(A758,"".*@simonelectrica.com$""),REGEXMATCH(A758,"".*@hiberus.com$""),REGEXMATCH(A758,"".*@simonbrico.es$""),regexmatch(A758,"".*@simonelectric.com$"")),""null"",A758)"),"623@gmail.com")</f>
        <v>623@gmail.com</v>
      </c>
      <c r="C758" s="5">
        <f>IF(B758="null","null",Descargas!B758)</f>
        <v>43973</v>
      </c>
      <c r="D758" s="6" t="str">
        <f>Descargas!E758</f>
        <v>https://resources.simonelectric.com/simon-material-formativo-vehiculo-electrico</v>
      </c>
      <c r="E758" s="20" t="str">
        <f t="shared" si="1"/>
        <v>623@gmail.com</v>
      </c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</row>
    <row r="759" ht="15.75" customHeight="1">
      <c r="A759" s="18" t="str">
        <f>Descargas!A759</f>
        <v>624@inserty.net</v>
      </c>
      <c r="B759" s="19" t="str">
        <f>IFERROR(__xludf.DUMMYFUNCTION("IF(OR(regexmatch(A759,"".*@simon.es$""),REGEXMATCH(A759,"".*@simon.pt$""),REGEXMATCH(A759,"".*@simonelectrica.com$""),REGEXMATCH(A759,"".*@hiberus.com$""),REGEXMATCH(A759,"".*@simonbrico.es$""),regexmatch(A759,"".*@simonelectric.com$"")),""null"",A759)"),"624@inserty.net")</f>
        <v>624@inserty.net</v>
      </c>
      <c r="C759" s="5">
        <f>IF(B759="null","null",Descargas!B759)</f>
        <v>43973</v>
      </c>
      <c r="D759" s="6" t="str">
        <f>Descargas!E759</f>
        <v>https://resources.simonelectric.com/simon-material-formativo-vehiculo-electrico</v>
      </c>
      <c r="E759" s="20" t="str">
        <f t="shared" si="1"/>
        <v>624@inserty.net</v>
      </c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</row>
    <row r="760" ht="15.75" customHeight="1">
      <c r="A760" s="18" t="str">
        <f>Descargas!A760</f>
        <v>625@hotmail.com</v>
      </c>
      <c r="B760" s="19" t="str">
        <f>IFERROR(__xludf.DUMMYFUNCTION("IF(OR(regexmatch(A760,"".*@simon.es$""),REGEXMATCH(A760,"".*@simon.pt$""),REGEXMATCH(A760,"".*@simonelectrica.com$""),REGEXMATCH(A760,"".*@hiberus.com$""),REGEXMATCH(A760,"".*@simonbrico.es$""),regexmatch(A760,"".*@simonelectric.com$"")),""null"",A760)"),"625@hotmail.com")</f>
        <v>625@hotmail.com</v>
      </c>
      <c r="C760" s="5">
        <f>IF(B760="null","null",Descargas!B760)</f>
        <v>43973</v>
      </c>
      <c r="D760" s="6" t="str">
        <f>Descargas!E760</f>
        <v>https://resources.simonelectric.com/simon-material-formativo-vehiculo-electrico</v>
      </c>
      <c r="E760" s="20" t="str">
        <f t="shared" si="1"/>
        <v>625@hotmail.com</v>
      </c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</row>
    <row r="761" ht="15.75" customHeight="1">
      <c r="A761" s="18" t="str">
        <f>Descargas!A761</f>
        <v>626@yahoo.es</v>
      </c>
      <c r="B761" s="19" t="str">
        <f>IFERROR(__xludf.DUMMYFUNCTION("IF(OR(regexmatch(A761,"".*@simon.es$""),REGEXMATCH(A761,"".*@simon.pt$""),REGEXMATCH(A761,"".*@simonelectrica.com$""),REGEXMATCH(A761,"".*@hiberus.com$""),REGEXMATCH(A761,"".*@simonbrico.es$""),regexmatch(A761,"".*@simonelectric.com$"")),""null"",A761)"),"626@yahoo.es")</f>
        <v>626@yahoo.es</v>
      </c>
      <c r="C761" s="5">
        <f>IF(B761="null","null",Descargas!B761)</f>
        <v>43973</v>
      </c>
      <c r="D761" s="6" t="str">
        <f>Descargas!E761</f>
        <v>https://resources.simonelectric.com/simon-material-formativo-vehiculo-electrico</v>
      </c>
      <c r="E761" s="20" t="str">
        <f t="shared" si="1"/>
        <v>626@yahoo.es</v>
      </c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</row>
    <row r="762" ht="15.75" customHeight="1">
      <c r="A762" s="18" t="str">
        <f>Descargas!A762</f>
        <v>627@gmail.com</v>
      </c>
      <c r="B762" s="19" t="str">
        <f>IFERROR(__xludf.DUMMYFUNCTION("IF(OR(regexmatch(A762,"".*@simon.es$""),REGEXMATCH(A762,"".*@simon.pt$""),REGEXMATCH(A762,"".*@simonelectrica.com$""),REGEXMATCH(A762,"".*@hiberus.com$""),REGEXMATCH(A762,"".*@simonbrico.es$""),regexmatch(A762,"".*@simonelectric.com$"")),""null"",A762)"),"627@gmail.com")</f>
        <v>627@gmail.com</v>
      </c>
      <c r="C762" s="5">
        <f>IF(B762="null","null",Descargas!B762)</f>
        <v>43973</v>
      </c>
      <c r="D762" s="6" t="str">
        <f>Descargas!E762</f>
        <v>https://resources.simonelectric.com/simon-material-formativo-vehiculo-electrico</v>
      </c>
      <c r="E762" s="20" t="str">
        <f t="shared" si="1"/>
        <v>627@gmail.com</v>
      </c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</row>
    <row r="763" ht="15.75" customHeight="1">
      <c r="A763" s="18" t="str">
        <f>Descargas!A763</f>
        <v>628@inquo.es</v>
      </c>
      <c r="B763" s="19" t="str">
        <f>IFERROR(__xludf.DUMMYFUNCTION("IF(OR(regexmatch(A763,"".*@simon.es$""),REGEXMATCH(A763,"".*@simon.pt$""),REGEXMATCH(A763,"".*@simonelectrica.com$""),REGEXMATCH(A763,"".*@hiberus.com$""),REGEXMATCH(A763,"".*@simonbrico.es$""),regexmatch(A763,"".*@simonelectric.com$"")),""null"",A763)"),"628@inquo.es")</f>
        <v>628@inquo.es</v>
      </c>
      <c r="C763" s="5">
        <f>IF(B763="null","null",Descargas!B763)</f>
        <v>43973</v>
      </c>
      <c r="D763" s="6" t="str">
        <f>Descargas!E763</f>
        <v>https://resources.simonelectric.com/simon-material-formativo-vehiculo-electrico</v>
      </c>
      <c r="E763" s="20" t="str">
        <f t="shared" si="1"/>
        <v>628@inquo.es</v>
      </c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</row>
    <row r="764" ht="15.75" customHeight="1">
      <c r="A764" s="18" t="str">
        <f>Descargas!A764</f>
        <v>629@gmail.com</v>
      </c>
      <c r="B764" s="19" t="str">
        <f>IFERROR(__xludf.DUMMYFUNCTION("IF(OR(regexmatch(A764,"".*@simon.es$""),REGEXMATCH(A764,"".*@simon.pt$""),REGEXMATCH(A764,"".*@simonelectrica.com$""),REGEXMATCH(A764,"".*@hiberus.com$""),REGEXMATCH(A764,"".*@simonbrico.es$""),regexmatch(A764,"".*@simonelectric.com$"")),""null"",A764)"),"629@gmail.com")</f>
        <v>629@gmail.com</v>
      </c>
      <c r="C764" s="5">
        <f>IF(B764="null","null",Descargas!B764)</f>
        <v>43973</v>
      </c>
      <c r="D764" s="6" t="str">
        <f>Descargas!E764</f>
        <v>https://resources.simonelectric.com/simon-material-formativo-vehiculo-electrico</v>
      </c>
      <c r="E764" s="20" t="str">
        <f t="shared" si="1"/>
        <v>629@gmail.com</v>
      </c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</row>
    <row r="765" ht="15.75" customHeight="1">
      <c r="A765" s="18" t="str">
        <f>Descargas!A765</f>
        <v>630@melia.com</v>
      </c>
      <c r="B765" s="19" t="str">
        <f>IFERROR(__xludf.DUMMYFUNCTION("IF(OR(regexmatch(A765,"".*@simon.es$""),REGEXMATCH(A765,"".*@simon.pt$""),REGEXMATCH(A765,"".*@simonelectrica.com$""),REGEXMATCH(A765,"".*@hiberus.com$""),REGEXMATCH(A765,"".*@simonbrico.es$""),regexmatch(A765,"".*@simonelectric.com$"")),""null"",A765)"),"630@melia.com")</f>
        <v>630@melia.com</v>
      </c>
      <c r="C765" s="5">
        <f>IF(B765="null","null",Descargas!B765)</f>
        <v>43973</v>
      </c>
      <c r="D765" s="6" t="str">
        <f>Descargas!E765</f>
        <v>https://resources.simonelectric.com/simon-material-formativo-vehiculo-electrico</v>
      </c>
      <c r="E765" s="20" t="str">
        <f t="shared" si="1"/>
        <v>630@melia.com</v>
      </c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</row>
    <row r="766" ht="15.75" customHeight="1">
      <c r="A766" s="18" t="str">
        <f>Descargas!A766</f>
        <v>631@engie.com</v>
      </c>
      <c r="B766" s="19" t="str">
        <f>IFERROR(__xludf.DUMMYFUNCTION("IF(OR(regexmatch(A766,"".*@simon.es$""),REGEXMATCH(A766,"".*@simon.pt$""),REGEXMATCH(A766,"".*@simonelectrica.com$""),REGEXMATCH(A766,"".*@hiberus.com$""),REGEXMATCH(A766,"".*@simonbrico.es$""),regexmatch(A766,"".*@simonelectric.com$"")),""null"",A766)"),"631@engie.com")</f>
        <v>631@engie.com</v>
      </c>
      <c r="C766" s="5">
        <f>IF(B766="null","null",Descargas!B766)</f>
        <v>43973</v>
      </c>
      <c r="D766" s="6" t="str">
        <f>Descargas!E766</f>
        <v>https://resources.simonelectric.com/simon-material-formativo-vehiculo-electrico</v>
      </c>
      <c r="E766" s="20" t="str">
        <f t="shared" si="1"/>
        <v>631@engie.com</v>
      </c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</row>
    <row r="767" ht="15.75" customHeight="1">
      <c r="A767" s="18" t="str">
        <f>Descargas!A767</f>
        <v>632@gmail.com</v>
      </c>
      <c r="B767" s="19" t="str">
        <f>IFERROR(__xludf.DUMMYFUNCTION("IF(OR(regexmatch(A767,"".*@simon.es$""),REGEXMATCH(A767,"".*@simon.pt$""),REGEXMATCH(A767,"".*@simonelectrica.com$""),REGEXMATCH(A767,"".*@hiberus.com$""),REGEXMATCH(A767,"".*@simonbrico.es$""),regexmatch(A767,"".*@simonelectric.com$"")),""null"",A767)"),"632@gmail.com")</f>
        <v>632@gmail.com</v>
      </c>
      <c r="C767" s="5">
        <f>IF(B767="null","null",Descargas!B767)</f>
        <v>43973</v>
      </c>
      <c r="D767" s="6" t="str">
        <f>Descargas!E767</f>
        <v>https://resources.simonelectric.com/simon-material-formativo-vehiculo-electrico</v>
      </c>
      <c r="E767" s="20" t="str">
        <f t="shared" si="1"/>
        <v>632@gmail.com</v>
      </c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</row>
    <row r="768" ht="15.75" customHeight="1">
      <c r="A768" s="18" t="str">
        <f>Descargas!A768</f>
        <v>633@outlook.com</v>
      </c>
      <c r="B768" s="19" t="str">
        <f>IFERROR(__xludf.DUMMYFUNCTION("IF(OR(regexmatch(A768,"".*@simon.es$""),REGEXMATCH(A768,"".*@simon.pt$""),REGEXMATCH(A768,"".*@simonelectrica.com$""),REGEXMATCH(A768,"".*@hiberus.com$""),REGEXMATCH(A768,"".*@simonbrico.es$""),regexmatch(A768,"".*@simonelectric.com$"")),""null"",A768)"),"633@outlook.com")</f>
        <v>633@outlook.com</v>
      </c>
      <c r="C768" s="5">
        <f>IF(B768="null","null",Descargas!B768)</f>
        <v>43973</v>
      </c>
      <c r="D768" s="6" t="str">
        <f>Descargas!E768</f>
        <v>https://resources.simonelectric.com/simon-material-formativo-vehiculo-electrico</v>
      </c>
      <c r="E768" s="20" t="str">
        <f t="shared" si="1"/>
        <v>633@outlook.com</v>
      </c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</row>
    <row r="769" ht="15.75" customHeight="1">
      <c r="A769" s="18" t="str">
        <f>Descargas!A769</f>
        <v>634@easycharger.es</v>
      </c>
      <c r="B769" s="19" t="str">
        <f>IFERROR(__xludf.DUMMYFUNCTION("IF(OR(regexmatch(A769,"".*@simon.es$""),REGEXMATCH(A769,"".*@simon.pt$""),REGEXMATCH(A769,"".*@simonelectrica.com$""),REGEXMATCH(A769,"".*@hiberus.com$""),REGEXMATCH(A769,"".*@simonbrico.es$""),regexmatch(A769,"".*@simonelectric.com$"")),""null"",A769)"),"634@easycharger.es")</f>
        <v>634@easycharger.es</v>
      </c>
      <c r="C769" s="5">
        <f>IF(B769="null","null",Descargas!B769)</f>
        <v>43973</v>
      </c>
      <c r="D769" s="6" t="str">
        <f>Descargas!E769</f>
        <v>https://resources.simonelectric.com/simon-material-formativo-vehiculo-electrico</v>
      </c>
      <c r="E769" s="20" t="str">
        <f t="shared" si="1"/>
        <v>634@easycharger.es</v>
      </c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</row>
    <row r="770" ht="15.75" customHeight="1">
      <c r="A770" s="18" t="str">
        <f>Descargas!A770</f>
        <v>635@coneq.es</v>
      </c>
      <c r="B770" s="19" t="str">
        <f>IFERROR(__xludf.DUMMYFUNCTION("IF(OR(regexmatch(A770,"".*@simon.es$""),REGEXMATCH(A770,"".*@simon.pt$""),REGEXMATCH(A770,"".*@simonelectrica.com$""),REGEXMATCH(A770,"".*@hiberus.com$""),REGEXMATCH(A770,"".*@simonbrico.es$""),regexmatch(A770,"".*@simonelectric.com$"")),""null"",A770)"),"635@coneq.es")</f>
        <v>635@coneq.es</v>
      </c>
      <c r="C770" s="5">
        <f>IF(B770="null","null",Descargas!B770)</f>
        <v>43973</v>
      </c>
      <c r="D770" s="6" t="str">
        <f>Descargas!E770</f>
        <v>https://resources.simonelectric.com/simon-material-formativo-vehiculo-electrico</v>
      </c>
      <c r="E770" s="20" t="str">
        <f t="shared" si="1"/>
        <v>635@coneq.es</v>
      </c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</row>
    <row r="771" ht="15.75" customHeight="1">
      <c r="A771" s="18" t="str">
        <f>Descargas!A771</f>
        <v>636@csisuministros.com</v>
      </c>
      <c r="B771" s="19" t="str">
        <f>IFERROR(__xludf.DUMMYFUNCTION("IF(OR(regexmatch(A771,"".*@simon.es$""),REGEXMATCH(A771,"".*@simon.pt$""),REGEXMATCH(A771,"".*@simonelectrica.com$""),REGEXMATCH(A771,"".*@hiberus.com$""),REGEXMATCH(A771,"".*@simonbrico.es$""),regexmatch(A771,"".*@simonelectric.com$"")),""null"",A771)"),"636@csisuministros.com")</f>
        <v>636@csisuministros.com</v>
      </c>
      <c r="C771" s="5">
        <f>IF(B771="null","null",Descargas!B771)</f>
        <v>43973</v>
      </c>
      <c r="D771" s="6" t="str">
        <f>Descargas!E771</f>
        <v>https://resources.simonelectric.com/simon-material-formativo-vehiculo-electrico</v>
      </c>
      <c r="E771" s="20" t="str">
        <f t="shared" si="1"/>
        <v>636@csisuministros.com</v>
      </c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</row>
    <row r="772" ht="15.75" customHeight="1">
      <c r="A772" s="18" t="str">
        <f>Descargas!A772</f>
        <v>637@simon.es</v>
      </c>
      <c r="B772" s="19" t="str">
        <f>IFERROR(__xludf.DUMMYFUNCTION("IF(OR(regexmatch(A772,"".*@simon.es$""),REGEXMATCH(A772,"".*@simon.pt$""),REGEXMATCH(A772,"".*@simonelectrica.com$""),REGEXMATCH(A772,"".*@hiberus.com$""),REGEXMATCH(A772,"".*@simonbrico.es$""),regexmatch(A772,"".*@simonelectric.com$"")),""null"",A772)"),"null")</f>
        <v>null</v>
      </c>
      <c r="C772" s="5" t="str">
        <f>IF(B772="null","null",Descargas!B772)</f>
        <v>null</v>
      </c>
      <c r="D772" s="6" t="str">
        <f>Descargas!E772</f>
        <v>https://resources.simonelectric.com/simon-material-formativo-vehiculo-electrico</v>
      </c>
      <c r="E772" s="24" t="str">
        <f t="shared" si="1"/>
        <v/>
      </c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</row>
    <row r="773" ht="15.75" customHeight="1">
      <c r="A773" s="18" t="str">
        <f>Descargas!A773</f>
        <v>638@me.com</v>
      </c>
      <c r="B773" s="19" t="str">
        <f>IFERROR(__xludf.DUMMYFUNCTION("IF(OR(regexmatch(A773,"".*@simon.es$""),REGEXMATCH(A773,"".*@simon.pt$""),REGEXMATCH(A773,"".*@simonelectrica.com$""),REGEXMATCH(A773,"".*@hiberus.com$""),REGEXMATCH(A773,"".*@simonbrico.es$""),regexmatch(A773,"".*@simonelectric.com$"")),""null"",A773)"),"638@me.com")</f>
        <v>638@me.com</v>
      </c>
      <c r="C773" s="5">
        <f>IF(B773="null","null",Descargas!B773)</f>
        <v>43973</v>
      </c>
      <c r="D773" s="6" t="str">
        <f>Descargas!E773</f>
        <v>https://resources.simonelectric.com/simon-material-formativo-vehiculo-electrico</v>
      </c>
      <c r="E773" s="20" t="str">
        <f t="shared" si="1"/>
        <v>638@me.com</v>
      </c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</row>
    <row r="774" ht="15.75" customHeight="1">
      <c r="A774" s="18" t="str">
        <f>Descargas!A774</f>
        <v>639@rolearmais.pt</v>
      </c>
      <c r="B774" s="19" t="str">
        <f>IFERROR(__xludf.DUMMYFUNCTION("IF(OR(regexmatch(A774,"".*@simon.es$""),REGEXMATCH(A774,"".*@simon.pt$""),REGEXMATCH(A774,"".*@simonelectrica.com$""),REGEXMATCH(A774,"".*@hiberus.com$""),REGEXMATCH(A774,"".*@simonbrico.es$""),regexmatch(A774,"".*@simonelectric.com$"")),""null"",A774)"),"639@rolearmais.pt")</f>
        <v>639@rolearmais.pt</v>
      </c>
      <c r="C774" s="5">
        <f>IF(B774="null","null",Descargas!B774)</f>
        <v>43973</v>
      </c>
      <c r="D774" s="6" t="str">
        <f>Descargas!E774</f>
        <v>https://resources.simonelectric.com/simon-material-formativo-vehiculo-electrico</v>
      </c>
      <c r="E774" s="20" t="str">
        <f t="shared" si="1"/>
        <v>639@rolearmais.pt</v>
      </c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</row>
    <row r="775" ht="15.75" customHeight="1">
      <c r="A775" s="18" t="str">
        <f>Descargas!A775</f>
        <v>640@simon.es</v>
      </c>
      <c r="B775" s="19" t="str">
        <f>IFERROR(__xludf.DUMMYFUNCTION("IF(OR(regexmatch(A775,"".*@simon.es$""),REGEXMATCH(A775,"".*@simon.pt$""),REGEXMATCH(A775,"".*@simonelectrica.com$""),REGEXMATCH(A775,"".*@hiberus.com$""),REGEXMATCH(A775,"".*@simonbrico.es$""),regexmatch(A775,"".*@simonelectric.com$"")),""null"",A775)"),"null")</f>
        <v>null</v>
      </c>
      <c r="C775" s="5" t="str">
        <f>IF(B775="null","null",Descargas!B775)</f>
        <v>null</v>
      </c>
      <c r="D775" s="6" t="str">
        <f>Descargas!E775</f>
        <v>https://resources.simonelectric.com/simon-material-formativo-vehiculo-electrico</v>
      </c>
      <c r="E775" s="24" t="str">
        <f t="shared" si="1"/>
        <v/>
      </c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</row>
    <row r="776" ht="15.75" customHeight="1">
      <c r="A776" s="18" t="str">
        <f>Descargas!A776</f>
        <v>641@bodai.es</v>
      </c>
      <c r="B776" s="19" t="str">
        <f>IFERROR(__xludf.DUMMYFUNCTION("IF(OR(regexmatch(A776,"".*@simon.es$""),REGEXMATCH(A776,"".*@simon.pt$""),REGEXMATCH(A776,"".*@simonelectrica.com$""),REGEXMATCH(A776,"".*@hiberus.com$""),REGEXMATCH(A776,"".*@simonbrico.es$""),regexmatch(A776,"".*@simonelectric.com$"")),""null"",A776)"),"641@bodai.es")</f>
        <v>641@bodai.es</v>
      </c>
      <c r="C776" s="5">
        <f>IF(B776="null","null",Descargas!B776)</f>
        <v>43973</v>
      </c>
      <c r="D776" s="6" t="str">
        <f>Descargas!E776</f>
        <v>https://resources.simonelectric.com/simon-material-formativo-vehiculo-electrico</v>
      </c>
      <c r="E776" s="20" t="str">
        <f t="shared" si="1"/>
        <v>641@bodai.es</v>
      </c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</row>
    <row r="777" ht="15.75" customHeight="1">
      <c r="A777" s="18" t="str">
        <f>Descargas!A777</f>
        <v>642@ecoviv.eu</v>
      </c>
      <c r="B777" s="19" t="str">
        <f>IFERROR(__xludf.DUMMYFUNCTION("IF(OR(regexmatch(A777,"".*@simon.es$""),REGEXMATCH(A777,"".*@simon.pt$""),REGEXMATCH(A777,"".*@simonelectrica.com$""),REGEXMATCH(A777,"".*@hiberus.com$""),REGEXMATCH(A777,"".*@simonbrico.es$""),regexmatch(A777,"".*@simonelectric.com$"")),""null"",A777)"),"642@ecoviv.eu")</f>
        <v>642@ecoviv.eu</v>
      </c>
      <c r="C777" s="5">
        <f>IF(B777="null","null",Descargas!B777)</f>
        <v>43973</v>
      </c>
      <c r="D777" s="6" t="str">
        <f>Descargas!E777</f>
        <v>https://resources.simonelectric.com/simon-material-formativo-vehiculo-electrico</v>
      </c>
      <c r="E777" s="20" t="str">
        <f t="shared" si="1"/>
        <v>642@ecoviv.eu</v>
      </c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</row>
    <row r="778" ht="15.75" customHeight="1">
      <c r="A778" s="18" t="str">
        <f>Descargas!A778</f>
        <v>550@activate2.com</v>
      </c>
      <c r="B778" s="19" t="str">
        <f>IFERROR(__xludf.DUMMYFUNCTION("IF(OR(regexmatch(A778,"".*@simon.es$""),REGEXMATCH(A778,"".*@simon.pt$""),REGEXMATCH(A778,"".*@simonelectrica.com$""),REGEXMATCH(A778,"".*@hiberus.com$""),REGEXMATCH(A778,"".*@simonbrico.es$""),regexmatch(A778,"".*@simonelectric.com$"")),""null"",A778)"),"550@activate2.com")</f>
        <v>550@activate2.com</v>
      </c>
      <c r="C778" s="5">
        <f>IF(B778="null","null",Descargas!B778)</f>
        <v>43973</v>
      </c>
      <c r="D778" s="6" t="str">
        <f>Descargas!E778</f>
        <v>https://resources.simonelectric.com/simon-material-formativo-vehiculo-electrico</v>
      </c>
      <c r="E778" s="20" t="str">
        <f t="shared" si="1"/>
        <v>550@activate2.com</v>
      </c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</row>
    <row r="779" ht="15.75" customHeight="1">
      <c r="A779" s="18" t="str">
        <f>Descargas!A779</f>
        <v>643@gmail.com</v>
      </c>
      <c r="B779" s="19" t="str">
        <f>IFERROR(__xludf.DUMMYFUNCTION("IF(OR(regexmatch(A779,"".*@simon.es$""),REGEXMATCH(A779,"".*@simon.pt$""),REGEXMATCH(A779,"".*@simonelectrica.com$""),REGEXMATCH(A779,"".*@hiberus.com$""),REGEXMATCH(A779,"".*@simonbrico.es$""),regexmatch(A779,"".*@simonelectric.com$"")),""null"",A779)"),"643@gmail.com")</f>
        <v>643@gmail.com</v>
      </c>
      <c r="C779" s="5">
        <f>IF(B779="null","null",Descargas!B779)</f>
        <v>43973</v>
      </c>
      <c r="D779" s="6" t="str">
        <f>Descargas!E779</f>
        <v>https://resources.simonelectric.com/simon-material-formativo-vehiculo-electrico</v>
      </c>
      <c r="E779" s="20" t="str">
        <f t="shared" si="1"/>
        <v>643@gmail.com</v>
      </c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</row>
    <row r="780" ht="15.75" customHeight="1">
      <c r="A780" s="18" t="str">
        <f>Descargas!A780</f>
        <v>644@ebconsultores.com</v>
      </c>
      <c r="B780" s="19" t="str">
        <f>IFERROR(__xludf.DUMMYFUNCTION("IF(OR(regexmatch(A780,"".*@simon.es$""),REGEXMATCH(A780,"".*@simon.pt$""),REGEXMATCH(A780,"".*@simonelectrica.com$""),REGEXMATCH(A780,"".*@hiberus.com$""),REGEXMATCH(A780,"".*@simonbrico.es$""),regexmatch(A780,"".*@simonelectric.com$"")),""null"",A780)"),"644@ebconsultores.com")</f>
        <v>644@ebconsultores.com</v>
      </c>
      <c r="C780" s="5">
        <f>IF(B780="null","null",Descargas!B780)</f>
        <v>43973</v>
      </c>
      <c r="D780" s="6" t="str">
        <f>Descargas!E780</f>
        <v>https://resources.simonelectric.com/simon-material-formativo-vehiculo-electrico</v>
      </c>
      <c r="E780" s="20" t="str">
        <f t="shared" si="1"/>
        <v>644@ebconsultores.com</v>
      </c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</row>
    <row r="781" ht="15.75" customHeight="1">
      <c r="A781" s="18" t="str">
        <f>Descargas!A781</f>
        <v>645@confiplano.com</v>
      </c>
      <c r="B781" s="19" t="str">
        <f>IFERROR(__xludf.DUMMYFUNCTION("IF(OR(regexmatch(A781,"".*@simon.es$""),REGEXMATCH(A781,"".*@simon.pt$""),REGEXMATCH(A781,"".*@simonelectrica.com$""),REGEXMATCH(A781,"".*@hiberus.com$""),REGEXMATCH(A781,"".*@simonbrico.es$""),regexmatch(A781,"".*@simonelectric.com$"")),""null"",A781)"),"645@confiplano.com")</f>
        <v>645@confiplano.com</v>
      </c>
      <c r="C781" s="5">
        <f>IF(B781="null","null",Descargas!B781)</f>
        <v>43973</v>
      </c>
      <c r="D781" s="6" t="str">
        <f>Descargas!E781</f>
        <v>https://resources.simonelectric.com/simon-material-formativo-vehiculo-electrico</v>
      </c>
      <c r="E781" s="20" t="str">
        <f t="shared" si="1"/>
        <v>645@confiplano.com</v>
      </c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</row>
    <row r="782" ht="15.75" customHeight="1">
      <c r="A782" s="18" t="str">
        <f>Descargas!A782</f>
        <v>646@gmail.com</v>
      </c>
      <c r="B782" s="19" t="str">
        <f>IFERROR(__xludf.DUMMYFUNCTION("IF(OR(regexmatch(A782,"".*@simon.es$""),REGEXMATCH(A782,"".*@simon.pt$""),REGEXMATCH(A782,"".*@simonelectrica.com$""),REGEXMATCH(A782,"".*@hiberus.com$""),REGEXMATCH(A782,"".*@simonbrico.es$""),regexmatch(A782,"".*@simonelectric.com$"")),""null"",A782)"),"646@gmail.com")</f>
        <v>646@gmail.com</v>
      </c>
      <c r="C782" s="5">
        <f>IF(B782="null","null",Descargas!B782)</f>
        <v>43973</v>
      </c>
      <c r="D782" s="6" t="str">
        <f>Descargas!E782</f>
        <v>https://resources.simonelectric.com/simon-material-formativo-vehiculo-electrico</v>
      </c>
      <c r="E782" s="20" t="str">
        <f t="shared" si="1"/>
        <v>646@gmail.com</v>
      </c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</row>
    <row r="783" ht="15.75" customHeight="1">
      <c r="A783" s="18" t="str">
        <f>Descargas!A783</f>
        <v>545@serviciosenergeticoslp.es</v>
      </c>
      <c r="B783" s="19" t="str">
        <f>IFERROR(__xludf.DUMMYFUNCTION("IF(OR(regexmatch(A783,"".*@simon.es$""),REGEXMATCH(A783,"".*@simon.pt$""),REGEXMATCH(A783,"".*@simonelectrica.com$""),REGEXMATCH(A783,"".*@hiberus.com$""),REGEXMATCH(A783,"".*@simonbrico.es$""),regexmatch(A783,"".*@simonelectric.com$"")),""null"",A783)"),"545@serviciosenergeticoslp.es")</f>
        <v>545@serviciosenergeticoslp.es</v>
      </c>
      <c r="C783" s="5">
        <f>IF(B783="null","null",Descargas!B783)</f>
        <v>43973</v>
      </c>
      <c r="D783" s="6" t="str">
        <f>Descargas!E783</f>
        <v>https://resources.simonelectric.com/simon-material-formativo-vehiculo-electrico</v>
      </c>
      <c r="E783" s="20" t="str">
        <f t="shared" si="1"/>
        <v>545@serviciosenergeticoslp.es</v>
      </c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</row>
    <row r="784" ht="15.75" customHeight="1">
      <c r="A784" s="18" t="str">
        <f>Descargas!A784</f>
        <v>358@suris.es</v>
      </c>
      <c r="B784" s="19" t="str">
        <f>IFERROR(__xludf.DUMMYFUNCTION("IF(OR(regexmatch(A784,"".*@simon.es$""),REGEXMATCH(A784,"".*@simon.pt$""),REGEXMATCH(A784,"".*@simonelectrica.com$""),REGEXMATCH(A784,"".*@hiberus.com$""),REGEXMATCH(A784,"".*@simonbrico.es$""),regexmatch(A784,"".*@simonelectric.com$"")),""null"",A784)"),"358@suris.es")</f>
        <v>358@suris.es</v>
      </c>
      <c r="C784" s="5">
        <f>IF(B784="null","null",Descargas!B784)</f>
        <v>43973</v>
      </c>
      <c r="D784" s="6" t="str">
        <f>Descargas!E784</f>
        <v>https://resources.simonelectric.com/simon-material-formativo-vehiculo-electrico</v>
      </c>
      <c r="E784" s="20" t="str">
        <f t="shared" si="1"/>
        <v>358@suris.es</v>
      </c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</row>
    <row r="785" ht="15.75" customHeight="1">
      <c r="A785" s="18" t="str">
        <f>Descargas!A785</f>
        <v>552@engie.com</v>
      </c>
      <c r="B785" s="19" t="str">
        <f>IFERROR(__xludf.DUMMYFUNCTION("IF(OR(regexmatch(A785,"".*@simon.es$""),REGEXMATCH(A785,"".*@simon.pt$""),REGEXMATCH(A785,"".*@simonelectrica.com$""),REGEXMATCH(A785,"".*@hiberus.com$""),REGEXMATCH(A785,"".*@simonbrico.es$""),regexmatch(A785,"".*@simonelectric.com$"")),""null"",A785)"),"552@engie.com")</f>
        <v>552@engie.com</v>
      </c>
      <c r="C785" s="5">
        <f>IF(B785="null","null",Descargas!B785)</f>
        <v>43973</v>
      </c>
      <c r="D785" s="6" t="str">
        <f>Descargas!E785</f>
        <v>https://resources.simonelectric.com/simon-material-formativo-vehiculo-electrico</v>
      </c>
      <c r="E785" s="20" t="str">
        <f t="shared" si="1"/>
        <v>552@engie.com</v>
      </c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</row>
    <row r="786" ht="15.75" customHeight="1">
      <c r="A786" s="18" t="str">
        <f>Descargas!A786</f>
        <v>643@gmail.com</v>
      </c>
      <c r="B786" s="19" t="str">
        <f>IFERROR(__xludf.DUMMYFUNCTION("IF(OR(regexmatch(A786,"".*@simon.es$""),REGEXMATCH(A786,"".*@simon.pt$""),REGEXMATCH(A786,"".*@simonelectrica.com$""),REGEXMATCH(A786,"".*@hiberus.com$""),REGEXMATCH(A786,"".*@simonbrico.es$""),regexmatch(A786,"".*@simonelectric.com$"")),""null"",A786)"),"643@gmail.com")</f>
        <v>643@gmail.com</v>
      </c>
      <c r="C786" s="5">
        <f>IF(B786="null","null",Descargas!B786)</f>
        <v>43973</v>
      </c>
      <c r="D786" s="6" t="str">
        <f>Descargas!E786</f>
        <v>https://resources.simonelectric.com/simon-material-formativo-vehiculo-electrico</v>
      </c>
      <c r="E786" s="20" t="str">
        <f t="shared" si="1"/>
        <v>643@gmail.com</v>
      </c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</row>
    <row r="787" ht="15.75" customHeight="1">
      <c r="A787" s="18" t="str">
        <f>Descargas!A787</f>
        <v>643@gmail.com</v>
      </c>
      <c r="B787" s="19" t="str">
        <f>IFERROR(__xludf.DUMMYFUNCTION("IF(OR(regexmatch(A787,"".*@simon.es$""),REGEXMATCH(A787,"".*@simon.pt$""),REGEXMATCH(A787,"".*@simonelectrica.com$""),REGEXMATCH(A787,"".*@hiberus.com$""),REGEXMATCH(A787,"".*@simonbrico.es$""),regexmatch(A787,"".*@simonelectric.com$"")),""null"",A787)"),"643@gmail.com")</f>
        <v>643@gmail.com</v>
      </c>
      <c r="C787" s="5">
        <f>IF(B787="null","null",Descargas!B787)</f>
        <v>43973</v>
      </c>
      <c r="D787" s="6" t="str">
        <f>Descargas!E787</f>
        <v>https://resources.simonelectric.com/simon-material-formativo-vehiculo-electrico</v>
      </c>
      <c r="E787" s="20" t="str">
        <f t="shared" si="1"/>
        <v>643@gmail.com</v>
      </c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</row>
    <row r="788" ht="15.75" customHeight="1">
      <c r="A788" s="18" t="str">
        <f>Descargas!A788</f>
        <v>647@apis-ing.es</v>
      </c>
      <c r="B788" s="19" t="str">
        <f>IFERROR(__xludf.DUMMYFUNCTION("IF(OR(regexmatch(A788,"".*@simon.es$""),REGEXMATCH(A788,"".*@simon.pt$""),REGEXMATCH(A788,"".*@simonelectrica.com$""),REGEXMATCH(A788,"".*@hiberus.com$""),REGEXMATCH(A788,"".*@simonbrico.es$""),regexmatch(A788,"".*@simonelectric.com$"")),""null"",A788)"),"647@apis-ing.es")</f>
        <v>647@apis-ing.es</v>
      </c>
      <c r="C788" s="5">
        <f>IF(B788="null","null",Descargas!B788)</f>
        <v>43973</v>
      </c>
      <c r="D788" s="6" t="str">
        <f>Descargas!E788</f>
        <v>https://resources.simonelectric.com/simon-material-formativo-vehiculo-electrico</v>
      </c>
      <c r="E788" s="20" t="str">
        <f t="shared" si="1"/>
        <v>647@apis-ing.es</v>
      </c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</row>
    <row r="789" ht="15.75" customHeight="1">
      <c r="A789" s="18" t="str">
        <f>Descargas!A789</f>
        <v>648@bcnovatecnics.com</v>
      </c>
      <c r="B789" s="19" t="str">
        <f>IFERROR(__xludf.DUMMYFUNCTION("IF(OR(regexmatch(A789,"".*@simon.es$""),REGEXMATCH(A789,"".*@simon.pt$""),REGEXMATCH(A789,"".*@simonelectrica.com$""),REGEXMATCH(A789,"".*@hiberus.com$""),REGEXMATCH(A789,"".*@simonbrico.es$""),regexmatch(A789,"".*@simonelectric.com$"")),""null"",A789)"),"648@bcnovatecnics.com")</f>
        <v>648@bcnovatecnics.com</v>
      </c>
      <c r="C789" s="5">
        <f>IF(B789="null","null",Descargas!B789)</f>
        <v>43973</v>
      </c>
      <c r="D789" s="6" t="str">
        <f>Descargas!E789</f>
        <v>https://resources.simonelectric.com/simon-material-formativo-vehiculo-electrico</v>
      </c>
      <c r="E789" s="20" t="str">
        <f t="shared" si="1"/>
        <v>648@bcnovatecnics.com</v>
      </c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</row>
    <row r="790" ht="15.75" customHeight="1">
      <c r="A790" s="18" t="str">
        <f>Descargas!A790</f>
        <v>210@simon.pt</v>
      </c>
      <c r="B790" s="19" t="str">
        <f>IFERROR(__xludf.DUMMYFUNCTION("IF(OR(regexmatch(A790,"".*@simon.es$""),REGEXMATCH(A790,"".*@simon.pt$""),REGEXMATCH(A790,"".*@simonelectrica.com$""),REGEXMATCH(A790,"".*@hiberus.com$""),REGEXMATCH(A790,"".*@simonbrico.es$""),regexmatch(A790,"".*@simonelectric.com$"")),""null"",A790)"),"null")</f>
        <v>null</v>
      </c>
      <c r="C790" s="5" t="str">
        <f>IF(B790="null","null",Descargas!B790)</f>
        <v>null</v>
      </c>
      <c r="D790" s="6" t="str">
        <f>Descargas!E790</f>
        <v>https://resources.simonelectric.com/simon-material-formativo-vehiculo-electrico</v>
      </c>
      <c r="E790" s="24" t="str">
        <f t="shared" si="1"/>
        <v/>
      </c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</row>
    <row r="791" ht="15.75" customHeight="1">
      <c r="A791" s="18" t="str">
        <f>Descargas!A791</f>
        <v>649@yahoo.es</v>
      </c>
      <c r="B791" s="19" t="str">
        <f>IFERROR(__xludf.DUMMYFUNCTION("IF(OR(regexmatch(A791,"".*@simon.es$""),REGEXMATCH(A791,"".*@simon.pt$""),REGEXMATCH(A791,"".*@simonelectrica.com$""),REGEXMATCH(A791,"".*@hiberus.com$""),REGEXMATCH(A791,"".*@simonbrico.es$""),regexmatch(A791,"".*@simonelectric.com$"")),""null"",A791)"),"649@yahoo.es")</f>
        <v>649@yahoo.es</v>
      </c>
      <c r="C791" s="5">
        <f>IF(B791="null","null",Descargas!B791)</f>
        <v>43973</v>
      </c>
      <c r="D791" s="6" t="str">
        <f>Descargas!E791</f>
        <v>https://resources.simonelectric.com/simon-material-formativo-vehiculo-electrico</v>
      </c>
      <c r="E791" s="20" t="str">
        <f t="shared" si="1"/>
        <v>649@yahoo.es</v>
      </c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</row>
    <row r="792" ht="15.75" customHeight="1">
      <c r="A792" s="18" t="str">
        <f>Descargas!A792</f>
        <v>650@hotmail.com</v>
      </c>
      <c r="B792" s="19" t="str">
        <f>IFERROR(__xludf.DUMMYFUNCTION("IF(OR(regexmatch(A792,"".*@simon.es$""),REGEXMATCH(A792,"".*@simon.pt$""),REGEXMATCH(A792,"".*@simonelectrica.com$""),REGEXMATCH(A792,"".*@hiberus.com$""),REGEXMATCH(A792,"".*@simonbrico.es$""),regexmatch(A792,"".*@simonelectric.com$"")),""null"",A792)"),"650@hotmail.com")</f>
        <v>650@hotmail.com</v>
      </c>
      <c r="C792" s="5">
        <f>IF(B792="null","null",Descargas!B792)</f>
        <v>43973</v>
      </c>
      <c r="D792" s="6" t="str">
        <f>Descargas!E792</f>
        <v>https://resources.simonelectric.com/simon-material-formativo-vehiculo-electrico</v>
      </c>
      <c r="E792" s="20" t="str">
        <f t="shared" si="1"/>
        <v>650@hotmail.com</v>
      </c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</row>
    <row r="793" ht="15.75" customHeight="1">
      <c r="A793" s="18" t="str">
        <f>Descargas!A793</f>
        <v>651@coitim.es</v>
      </c>
      <c r="B793" s="19" t="str">
        <f>IFERROR(__xludf.DUMMYFUNCTION("IF(OR(regexmatch(A793,"".*@simon.es$""),REGEXMATCH(A793,"".*@simon.pt$""),REGEXMATCH(A793,"".*@simonelectrica.com$""),REGEXMATCH(A793,"".*@hiberus.com$""),REGEXMATCH(A793,"".*@simonbrico.es$""),regexmatch(A793,"".*@simonelectric.com$"")),""null"",A793)"),"651@coitim.es")</f>
        <v>651@coitim.es</v>
      </c>
      <c r="C793" s="5">
        <f>IF(B793="null","null",Descargas!B793)</f>
        <v>43973</v>
      </c>
      <c r="D793" s="6" t="str">
        <f>Descargas!E793</f>
        <v>https://resources.simonelectric.com/simon-material-formativo-vehiculo-electrico</v>
      </c>
      <c r="E793" s="20" t="str">
        <f t="shared" si="1"/>
        <v>651@coitim.es</v>
      </c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</row>
    <row r="794" ht="15.75" customHeight="1">
      <c r="A794" s="18" t="str">
        <f>Descargas!A794</f>
        <v>652@miesasa.com</v>
      </c>
      <c r="B794" s="19" t="str">
        <f>IFERROR(__xludf.DUMMYFUNCTION("IF(OR(regexmatch(A794,"".*@simon.es$""),REGEXMATCH(A794,"".*@simon.pt$""),REGEXMATCH(A794,"".*@simonelectrica.com$""),REGEXMATCH(A794,"".*@hiberus.com$""),REGEXMATCH(A794,"".*@simonbrico.es$""),regexmatch(A794,"".*@simonelectric.com$"")),""null"",A794)"),"652@miesasa.com")</f>
        <v>652@miesasa.com</v>
      </c>
      <c r="C794" s="5">
        <f>IF(B794="null","null",Descargas!B794)</f>
        <v>43973</v>
      </c>
      <c r="D794" s="6" t="str">
        <f>Descargas!E794</f>
        <v>https://resources.simonelectric.com/simon-material-formativo-vehiculo-electrico</v>
      </c>
      <c r="E794" s="20" t="str">
        <f t="shared" si="1"/>
        <v>652@miesasa.com</v>
      </c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</row>
    <row r="795" ht="15.75" customHeight="1">
      <c r="A795" s="18" t="str">
        <f>Descargas!A795</f>
        <v>555@yahoo.es</v>
      </c>
      <c r="B795" s="19" t="str">
        <f>IFERROR(__xludf.DUMMYFUNCTION("IF(OR(regexmatch(A795,"".*@simon.es$""),REGEXMATCH(A795,"".*@simon.pt$""),REGEXMATCH(A795,"".*@simonelectrica.com$""),REGEXMATCH(A795,"".*@hiberus.com$""),REGEXMATCH(A795,"".*@simonbrico.es$""),regexmatch(A795,"".*@simonelectric.com$"")),""null"",A795)"),"555@yahoo.es")</f>
        <v>555@yahoo.es</v>
      </c>
      <c r="C795" s="5">
        <f>IF(B795="null","null",Descargas!B795)</f>
        <v>43973</v>
      </c>
      <c r="D795" s="6" t="str">
        <f>Descargas!E795</f>
        <v>https://resources.simonelectric.com/simon-material-formativo-vehiculo-electrico</v>
      </c>
      <c r="E795" s="20" t="str">
        <f t="shared" si="1"/>
        <v>555@yahoo.es</v>
      </c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</row>
    <row r="796" ht="15.75" customHeight="1">
      <c r="A796" s="18" t="str">
        <f>Descargas!A796</f>
        <v>653@hotmail.com</v>
      </c>
      <c r="B796" s="19" t="str">
        <f>IFERROR(__xludf.DUMMYFUNCTION("IF(OR(regexmatch(A796,"".*@simon.es$""),REGEXMATCH(A796,"".*@simon.pt$""),REGEXMATCH(A796,"".*@simonelectrica.com$""),REGEXMATCH(A796,"".*@hiberus.com$""),REGEXMATCH(A796,"".*@simonbrico.es$""),regexmatch(A796,"".*@simonelectric.com$"")),""null"",A796)"),"653@hotmail.com")</f>
        <v>653@hotmail.com</v>
      </c>
      <c r="C796" s="5">
        <f>IF(B796="null","null",Descargas!B796)</f>
        <v>43973</v>
      </c>
      <c r="D796" s="6" t="str">
        <f>Descargas!E796</f>
        <v>https://resources.simonelectric.com/simon-catalogo-vehiculo-electrico</v>
      </c>
      <c r="E796" s="20" t="str">
        <f t="shared" si="1"/>
        <v>653@hotmail.com</v>
      </c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</row>
    <row r="797" ht="15.75" customHeight="1">
      <c r="A797" s="18" t="str">
        <f>Descargas!A797</f>
        <v>302@loalnet.com</v>
      </c>
      <c r="B797" s="19" t="str">
        <f>IFERROR(__xludf.DUMMYFUNCTION("IF(OR(regexmatch(A797,"".*@simon.es$""),REGEXMATCH(A797,"".*@simon.pt$""),REGEXMATCH(A797,"".*@simonelectrica.com$""),REGEXMATCH(A797,"".*@hiberus.com$""),REGEXMATCH(A797,"".*@simonbrico.es$""),regexmatch(A797,"".*@simonelectric.com$"")),""null"",A797)"),"302@loalnet.com")</f>
        <v>302@loalnet.com</v>
      </c>
      <c r="C797" s="5">
        <f>IF(B797="null","null",Descargas!B797)</f>
        <v>43973</v>
      </c>
      <c r="D797" s="6" t="str">
        <f>Descargas!E797</f>
        <v>https://resources.simonelectric.com/simon-material-formativo-vehiculo-electrico</v>
      </c>
      <c r="E797" s="20" t="str">
        <f t="shared" si="1"/>
        <v>302@loalnet.com</v>
      </c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</row>
    <row r="798" ht="15.75" customHeight="1">
      <c r="A798" s="18" t="str">
        <f>Descargas!A798</f>
        <v>654@staperpetua.cat</v>
      </c>
      <c r="B798" s="19" t="str">
        <f>IFERROR(__xludf.DUMMYFUNCTION("IF(OR(regexmatch(A798,"".*@simon.es$""),REGEXMATCH(A798,"".*@simon.pt$""),REGEXMATCH(A798,"".*@simonelectrica.com$""),REGEXMATCH(A798,"".*@hiberus.com$""),REGEXMATCH(A798,"".*@simonbrico.es$""),regexmatch(A798,"".*@simonelectric.com$"")),""null"",A798)"),"654@staperpetua.cat")</f>
        <v>654@staperpetua.cat</v>
      </c>
      <c r="C798" s="5">
        <f>IF(B798="null","null",Descargas!B798)</f>
        <v>43973</v>
      </c>
      <c r="D798" s="6" t="str">
        <f>Descargas!E798</f>
        <v>https://resources.simonelectric.com/simon-material-formativo-vehiculo-electrico</v>
      </c>
      <c r="E798" s="20" t="str">
        <f t="shared" si="1"/>
        <v>654@staperpetua.cat</v>
      </c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</row>
    <row r="799" ht="15.75" customHeight="1">
      <c r="A799" s="18" t="str">
        <f>Descargas!A799</f>
        <v>655@seproi.com</v>
      </c>
      <c r="B799" s="19" t="str">
        <f>IFERROR(__xludf.DUMMYFUNCTION("IF(OR(regexmatch(A799,"".*@simon.es$""),REGEXMATCH(A799,"".*@simon.pt$""),REGEXMATCH(A799,"".*@simonelectrica.com$""),REGEXMATCH(A799,"".*@hiberus.com$""),REGEXMATCH(A799,"".*@simonbrico.es$""),regexmatch(A799,"".*@simonelectric.com$"")),""null"",A799)"),"655@seproi.com")</f>
        <v>655@seproi.com</v>
      </c>
      <c r="C799" s="5">
        <f>IF(B799="null","null",Descargas!B799)</f>
        <v>43973</v>
      </c>
      <c r="D799" s="6" t="str">
        <f>Descargas!E799</f>
        <v>https://resources.simonelectric.com/simon-material-formativo-vehiculo-electrico</v>
      </c>
      <c r="E799" s="20" t="str">
        <f t="shared" si="1"/>
        <v>655@seproi.com</v>
      </c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</row>
    <row r="800" ht="15.75" customHeight="1">
      <c r="A800" s="18" t="str">
        <f>Descargas!A800</f>
        <v>187@castelyfernandez.es</v>
      </c>
      <c r="B800" s="19" t="str">
        <f>IFERROR(__xludf.DUMMYFUNCTION("IF(OR(regexmatch(A800,"".*@simon.es$""),REGEXMATCH(A800,"".*@simon.pt$""),REGEXMATCH(A800,"".*@simonelectrica.com$""),REGEXMATCH(A800,"".*@hiberus.com$""),REGEXMATCH(A800,"".*@simonbrico.es$""),regexmatch(A800,"".*@simonelectric.com$"")),""null"",A800)"),"187@castelyfernandez.es")</f>
        <v>187@castelyfernandez.es</v>
      </c>
      <c r="C800" s="5">
        <f>IF(B800="null","null",Descargas!B800)</f>
        <v>43973</v>
      </c>
      <c r="D800" s="6" t="str">
        <f>Descargas!E800</f>
        <v>https://resources.simonelectric.com/simon-material-formativo-vehiculo-electrico</v>
      </c>
      <c r="E800" s="20" t="str">
        <f t="shared" si="1"/>
        <v>187@castelyfernandez.es</v>
      </c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</row>
    <row r="801" ht="15.75" customHeight="1">
      <c r="A801" s="18" t="str">
        <f>Descargas!A801</f>
        <v>656@gmail.com</v>
      </c>
      <c r="B801" s="19" t="str">
        <f>IFERROR(__xludf.DUMMYFUNCTION("IF(OR(regexmatch(A801,"".*@simon.es$""),REGEXMATCH(A801,"".*@simon.pt$""),REGEXMATCH(A801,"".*@simonelectrica.com$""),REGEXMATCH(A801,"".*@hiberus.com$""),REGEXMATCH(A801,"".*@simonbrico.es$""),regexmatch(A801,"".*@simonelectric.com$"")),""null"",A801)"),"656@gmail.com")</f>
        <v>656@gmail.com</v>
      </c>
      <c r="C801" s="5">
        <f>IF(B801="null","null",Descargas!B801)</f>
        <v>43973</v>
      </c>
      <c r="D801" s="6" t="str">
        <f>Descargas!E801</f>
        <v>https://resources.simonelectric.com/simon-material-formativo-vehiculo-electrico</v>
      </c>
      <c r="E801" s="20" t="str">
        <f t="shared" si="1"/>
        <v>656@gmail.com</v>
      </c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</row>
    <row r="802" ht="15.75" customHeight="1">
      <c r="A802" s="18" t="str">
        <f>Descargas!A802</f>
        <v>207@tecnicasyrecursos.com</v>
      </c>
      <c r="B802" s="19" t="str">
        <f>IFERROR(__xludf.DUMMYFUNCTION("IF(OR(regexmatch(A802,"".*@simon.es$""),REGEXMATCH(A802,"".*@simon.pt$""),REGEXMATCH(A802,"".*@simonelectrica.com$""),REGEXMATCH(A802,"".*@hiberus.com$""),REGEXMATCH(A802,"".*@simonbrico.es$""),regexmatch(A802,"".*@simonelectric.com$"")),""null"",A802)"),"207@tecnicasyrecursos.com")</f>
        <v>207@tecnicasyrecursos.com</v>
      </c>
      <c r="C802" s="5">
        <f>IF(B802="null","null",Descargas!B802)</f>
        <v>43973</v>
      </c>
      <c r="D802" s="6" t="str">
        <f>Descargas!E802</f>
        <v>https://resources.simonelectric.com/simon-material-formativo-vehiculo-electrico</v>
      </c>
      <c r="E802" s="20" t="str">
        <f t="shared" si="1"/>
        <v>207@tecnicasyrecursos.com</v>
      </c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</row>
    <row r="803" ht="15.75" customHeight="1">
      <c r="A803" s="18" t="str">
        <f>Descargas!A803</f>
        <v>657@enaire.es</v>
      </c>
      <c r="B803" s="19" t="str">
        <f>IFERROR(__xludf.DUMMYFUNCTION("IF(OR(regexmatch(A803,"".*@simon.es$""),REGEXMATCH(A803,"".*@simon.pt$""),REGEXMATCH(A803,"".*@simonelectrica.com$""),REGEXMATCH(A803,"".*@hiberus.com$""),REGEXMATCH(A803,"".*@simonbrico.es$""),regexmatch(A803,"".*@simonelectric.com$"")),""null"",A803)"),"657@enaire.es")</f>
        <v>657@enaire.es</v>
      </c>
      <c r="C803" s="5">
        <f>IF(B803="null","null",Descargas!B803)</f>
        <v>43973</v>
      </c>
      <c r="D803" s="6" t="str">
        <f>Descargas!E803</f>
        <v>https://resources.simonelectric.com/simon-material-formativo-vehiculo-electrico</v>
      </c>
      <c r="E803" s="20" t="str">
        <f t="shared" si="1"/>
        <v>657@enaire.es</v>
      </c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</row>
    <row r="804" ht="15.75" customHeight="1">
      <c r="A804" s="18" t="str">
        <f>Descargas!A804</f>
        <v>658@gmail.com</v>
      </c>
      <c r="B804" s="19" t="str">
        <f>IFERROR(__xludf.DUMMYFUNCTION("IF(OR(regexmatch(A804,"".*@simon.es$""),REGEXMATCH(A804,"".*@simon.pt$""),REGEXMATCH(A804,"".*@simonelectrica.com$""),REGEXMATCH(A804,"".*@hiberus.com$""),REGEXMATCH(A804,"".*@simonbrico.es$""),regexmatch(A804,"".*@simonelectric.com$"")),""null"",A804)"),"658@gmail.com")</f>
        <v>658@gmail.com</v>
      </c>
      <c r="C804" s="5">
        <f>IF(B804="null","null",Descargas!B804)</f>
        <v>43973</v>
      </c>
      <c r="D804" s="6" t="str">
        <f>Descargas!E804</f>
        <v>https://resources.simonelectric.com/simon-ebook-vehiculo-electrico</v>
      </c>
      <c r="E804" s="20" t="str">
        <f t="shared" si="1"/>
        <v>658@gmail.com</v>
      </c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</row>
    <row r="805" ht="15.75" customHeight="1">
      <c r="A805" s="18" t="str">
        <f>Descargas!A805</f>
        <v>659@gleeds.es</v>
      </c>
      <c r="B805" s="19" t="str">
        <f>IFERROR(__xludf.DUMMYFUNCTION("IF(OR(regexmatch(A805,"".*@simon.es$""),REGEXMATCH(A805,"".*@simon.pt$""),REGEXMATCH(A805,"".*@simonelectrica.com$""),REGEXMATCH(A805,"".*@hiberus.com$""),REGEXMATCH(A805,"".*@simonbrico.es$""),regexmatch(A805,"".*@simonelectric.com$"")),""null"",A805)"),"659@gleeds.es")</f>
        <v>659@gleeds.es</v>
      </c>
      <c r="C805" s="5">
        <f>IF(B805="null","null",Descargas!B805)</f>
        <v>43973</v>
      </c>
      <c r="D805" s="6" t="str">
        <f>Descargas!E805</f>
        <v>https://resources.simonelectric.com/simon-material-formativo-vehiculo-electrico</v>
      </c>
      <c r="E805" s="20" t="str">
        <f t="shared" si="1"/>
        <v>659@gleeds.es</v>
      </c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</row>
    <row r="806" ht="15.75" customHeight="1">
      <c r="A806" s="18" t="str">
        <f>Descargas!A806</f>
        <v>660@unex.net</v>
      </c>
      <c r="B806" s="19" t="str">
        <f>IFERROR(__xludf.DUMMYFUNCTION("IF(OR(regexmatch(A806,"".*@simon.es$""),REGEXMATCH(A806,"".*@simon.pt$""),REGEXMATCH(A806,"".*@simonelectrica.com$""),REGEXMATCH(A806,"".*@hiberus.com$""),REGEXMATCH(A806,"".*@simonbrico.es$""),regexmatch(A806,"".*@simonelectric.com$"")),""null"",A806)"),"660@unex.net")</f>
        <v>660@unex.net</v>
      </c>
      <c r="C806" s="5">
        <f>IF(B806="null","null",Descargas!B806)</f>
        <v>43973</v>
      </c>
      <c r="D806" s="6" t="str">
        <f>Descargas!E806</f>
        <v>https://resources.simonelectric.com/simon-material-formativo-vehiculo-electrico</v>
      </c>
      <c r="E806" s="20" t="str">
        <f t="shared" si="1"/>
        <v>660@unex.net</v>
      </c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</row>
    <row r="807" ht="15.75" customHeight="1">
      <c r="A807" s="18" t="str">
        <f>Descargas!A807</f>
        <v>661@horus.es</v>
      </c>
      <c r="B807" s="19" t="str">
        <f>IFERROR(__xludf.DUMMYFUNCTION("IF(OR(regexmatch(A807,"".*@simon.es$""),REGEXMATCH(A807,"".*@simon.pt$""),REGEXMATCH(A807,"".*@simonelectrica.com$""),REGEXMATCH(A807,"".*@hiberus.com$""),REGEXMATCH(A807,"".*@simonbrico.es$""),regexmatch(A807,"".*@simonelectric.com$"")),""null"",A807)"),"661@horus.es")</f>
        <v>661@horus.es</v>
      </c>
      <c r="C807" s="5">
        <f>IF(B807="null","null",Descargas!B807)</f>
        <v>43973</v>
      </c>
      <c r="D807" s="6" t="str">
        <f>Descargas!E807</f>
        <v>https://resources.simonelectric.com/simon-material-formativo-vehiculo-electrico</v>
      </c>
      <c r="E807" s="20" t="str">
        <f t="shared" si="1"/>
        <v>661@horus.es</v>
      </c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</row>
    <row r="808" ht="15.75" customHeight="1">
      <c r="A808" s="18" t="str">
        <f>Descargas!A808</f>
        <v>662@3cid.es</v>
      </c>
      <c r="B808" s="19" t="str">
        <f>IFERROR(__xludf.DUMMYFUNCTION("IF(OR(regexmatch(A808,"".*@simon.es$""),REGEXMATCH(A808,"".*@simon.pt$""),REGEXMATCH(A808,"".*@simonelectrica.com$""),REGEXMATCH(A808,"".*@hiberus.com$""),REGEXMATCH(A808,"".*@simonbrico.es$""),regexmatch(A808,"".*@simonelectric.com$"")),""null"",A808)"),"662@3cid.es")</f>
        <v>662@3cid.es</v>
      </c>
      <c r="C808" s="5">
        <f>IF(B808="null","null",Descargas!B808)</f>
        <v>43973</v>
      </c>
      <c r="D808" s="6" t="str">
        <f>Descargas!E808</f>
        <v>https://resources.simonelectric.com/simon-material-formativo-vehiculo-electrico</v>
      </c>
      <c r="E808" s="20" t="str">
        <f t="shared" si="1"/>
        <v>662@3cid.es</v>
      </c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</row>
    <row r="809" ht="15.75" customHeight="1">
      <c r="A809" s="18" t="str">
        <f>Descargas!A809</f>
        <v>663@hotmail.com</v>
      </c>
      <c r="B809" s="19" t="str">
        <f>IFERROR(__xludf.DUMMYFUNCTION("IF(OR(regexmatch(A809,"".*@simon.es$""),REGEXMATCH(A809,"".*@simon.pt$""),REGEXMATCH(A809,"".*@simonelectrica.com$""),REGEXMATCH(A809,"".*@hiberus.com$""),REGEXMATCH(A809,"".*@simonbrico.es$""),regexmatch(A809,"".*@simonelectric.com$"")),""null"",A809)"),"663@hotmail.com")</f>
        <v>663@hotmail.com</v>
      </c>
      <c r="C809" s="5">
        <f>IF(B809="null","null",Descargas!B809)</f>
        <v>43973</v>
      </c>
      <c r="D809" s="6" t="str">
        <f>Descargas!E809</f>
        <v>https://resources.simonelectric.com/simon-material-formativo-vehiculo-electrico</v>
      </c>
      <c r="E809" s="20" t="str">
        <f t="shared" si="1"/>
        <v>663@hotmail.com</v>
      </c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</row>
    <row r="810" ht="15.75" customHeight="1">
      <c r="A810" s="18" t="str">
        <f>Descargas!A810</f>
        <v>355@gmail.com</v>
      </c>
      <c r="B810" s="19" t="str">
        <f>IFERROR(__xludf.DUMMYFUNCTION("IF(OR(regexmatch(A810,"".*@simon.es$""),REGEXMATCH(A810,"".*@simon.pt$""),REGEXMATCH(A810,"".*@simonelectrica.com$""),REGEXMATCH(A810,"".*@hiberus.com$""),REGEXMATCH(A810,"".*@simonbrico.es$""),regexmatch(A810,"".*@simonelectric.com$"")),""null"",A810)"),"355@gmail.com")</f>
        <v>355@gmail.com</v>
      </c>
      <c r="C810" s="5">
        <f>IF(B810="null","null",Descargas!B810)</f>
        <v>43973</v>
      </c>
      <c r="D810" s="6" t="str">
        <f>Descargas!E810</f>
        <v>https://resources.simonelectric.com/simon-material-formativo-vehiculo-electrico</v>
      </c>
      <c r="E810" s="20" t="str">
        <f t="shared" si="1"/>
        <v>355@gmail.com</v>
      </c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</row>
    <row r="811" ht="15.75" customHeight="1">
      <c r="A811" s="18" t="str">
        <f>Descargas!A811</f>
        <v>664@hotmail.es</v>
      </c>
      <c r="B811" s="19" t="str">
        <f>IFERROR(__xludf.DUMMYFUNCTION("IF(OR(regexmatch(A811,"".*@simon.es$""),REGEXMATCH(A811,"".*@simon.pt$""),REGEXMATCH(A811,"".*@simonelectrica.com$""),REGEXMATCH(A811,"".*@hiberus.com$""),REGEXMATCH(A811,"".*@simonbrico.es$""),regexmatch(A811,"".*@simonelectric.com$"")),""null"",A811)"),"664@hotmail.es")</f>
        <v>664@hotmail.es</v>
      </c>
      <c r="C811" s="5">
        <f>IF(B811="null","null",Descargas!B811)</f>
        <v>43973</v>
      </c>
      <c r="D811" s="6" t="str">
        <f>Descargas!E811</f>
        <v>https://resources.simonelectric.com/simon-material-formativo-vehiculo-electrico</v>
      </c>
      <c r="E811" s="20" t="str">
        <f t="shared" si="1"/>
        <v>664@hotmail.es</v>
      </c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</row>
    <row r="812" ht="15.75" customHeight="1">
      <c r="A812" s="18" t="str">
        <f>Descargas!A812</f>
        <v>665@gmail.com</v>
      </c>
      <c r="B812" s="19" t="str">
        <f>IFERROR(__xludf.DUMMYFUNCTION("IF(OR(regexmatch(A812,"".*@simon.es$""),REGEXMATCH(A812,"".*@simon.pt$""),REGEXMATCH(A812,"".*@simonelectrica.com$""),REGEXMATCH(A812,"".*@hiberus.com$""),REGEXMATCH(A812,"".*@simonbrico.es$""),regexmatch(A812,"".*@simonelectric.com$"")),""null"",A812)"),"665@gmail.com")</f>
        <v>665@gmail.com</v>
      </c>
      <c r="C812" s="5">
        <f>IF(B812="null","null",Descargas!B812)</f>
        <v>43973</v>
      </c>
      <c r="D812" s="6" t="str">
        <f>Descargas!E812</f>
        <v>https://resources.simonelectric.com/simon-material-formativo-vehiculo-electrico</v>
      </c>
      <c r="E812" s="20" t="str">
        <f t="shared" si="1"/>
        <v>665@gmail.com</v>
      </c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</row>
    <row r="813" ht="15.75" customHeight="1">
      <c r="A813" s="18" t="str">
        <f>Descargas!A813</f>
        <v>666@ighmallorca.com</v>
      </c>
      <c r="B813" s="19" t="str">
        <f>IFERROR(__xludf.DUMMYFUNCTION("IF(OR(regexmatch(A813,"".*@simon.es$""),REGEXMATCH(A813,"".*@simon.pt$""),REGEXMATCH(A813,"".*@simonelectrica.com$""),REGEXMATCH(A813,"".*@hiberus.com$""),REGEXMATCH(A813,"".*@simonbrico.es$""),regexmatch(A813,"".*@simonelectric.com$"")),""null"",A813)"),"666@ighmallorca.com")</f>
        <v>666@ighmallorca.com</v>
      </c>
      <c r="C813" s="5">
        <f>IF(B813="null","null",Descargas!B813)</f>
        <v>43973</v>
      </c>
      <c r="D813" s="6" t="str">
        <f>Descargas!E813</f>
        <v>https://resources.simonelectric.com/simon-material-formativo-vehiculo-electrico</v>
      </c>
      <c r="E813" s="20" t="str">
        <f t="shared" si="1"/>
        <v>666@ighmallorca.com</v>
      </c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</row>
    <row r="814" ht="15.75" customHeight="1">
      <c r="A814" s="18" t="str">
        <f>Descargas!A814</f>
        <v>667@ces2010.es</v>
      </c>
      <c r="B814" s="19" t="str">
        <f>IFERROR(__xludf.DUMMYFUNCTION("IF(OR(regexmatch(A814,"".*@simon.es$""),REGEXMATCH(A814,"".*@simon.pt$""),REGEXMATCH(A814,"".*@simonelectrica.com$""),REGEXMATCH(A814,"".*@hiberus.com$""),REGEXMATCH(A814,"".*@simonbrico.es$""),regexmatch(A814,"".*@simonelectric.com$"")),""null"",A814)"),"667@ces2010.es")</f>
        <v>667@ces2010.es</v>
      </c>
      <c r="C814" s="5">
        <f>IF(B814="null","null",Descargas!B814)</f>
        <v>43973</v>
      </c>
      <c r="D814" s="6" t="str">
        <f>Descargas!E814</f>
        <v>https://resources.simonelectric.com/simon-material-formativo-vehiculo-electrico</v>
      </c>
      <c r="E814" s="20" t="str">
        <f t="shared" si="1"/>
        <v>667@ces2010.es</v>
      </c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</row>
    <row r="815" ht="15.75" customHeight="1">
      <c r="A815" s="18" t="str">
        <f>Descargas!A815</f>
        <v>664@hotmail.es</v>
      </c>
      <c r="B815" s="19" t="str">
        <f>IFERROR(__xludf.DUMMYFUNCTION("IF(OR(regexmatch(A815,"".*@simon.es$""),REGEXMATCH(A815,"".*@simon.pt$""),REGEXMATCH(A815,"".*@simonelectrica.com$""),REGEXMATCH(A815,"".*@hiberus.com$""),REGEXMATCH(A815,"".*@simonbrico.es$""),regexmatch(A815,"".*@simonelectric.com$"")),""null"",A815)"),"664@hotmail.es")</f>
        <v>664@hotmail.es</v>
      </c>
      <c r="C815" s="5">
        <f>IF(B815="null","null",Descargas!B815)</f>
        <v>43973</v>
      </c>
      <c r="D815" s="6" t="str">
        <f>Descargas!E815</f>
        <v>https://resources.simonelectric.com/simon-material-formativo-vehiculo-electrico</v>
      </c>
      <c r="E815" s="20" t="str">
        <f t="shared" si="1"/>
        <v>664@hotmail.es</v>
      </c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</row>
    <row r="816" ht="15.75" customHeight="1">
      <c r="A816" s="18" t="str">
        <f>Descargas!A816</f>
        <v>668@dipucordoba.es</v>
      </c>
      <c r="B816" s="19" t="str">
        <f>IFERROR(__xludf.DUMMYFUNCTION("IF(OR(regexmatch(A816,"".*@simon.es$""),REGEXMATCH(A816,"".*@simon.pt$""),REGEXMATCH(A816,"".*@simonelectrica.com$""),REGEXMATCH(A816,"".*@hiberus.com$""),REGEXMATCH(A816,"".*@simonbrico.es$""),regexmatch(A816,"".*@simonelectric.com$"")),""null"",A816)"),"668@dipucordoba.es")</f>
        <v>668@dipucordoba.es</v>
      </c>
      <c r="C816" s="5">
        <f>IF(B816="null","null",Descargas!B816)</f>
        <v>43973</v>
      </c>
      <c r="D816" s="6" t="str">
        <f>Descargas!E816</f>
        <v>https://resources.simonelectric.com/simon-material-formativo-vehiculo-electrico</v>
      </c>
      <c r="E816" s="20" t="str">
        <f t="shared" si="1"/>
        <v>668@dipucordoba.es</v>
      </c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</row>
    <row r="817" ht="15.75" customHeight="1">
      <c r="A817" s="18" t="str">
        <f>Descargas!A817</f>
        <v>418@proyectosict.net</v>
      </c>
      <c r="B817" s="19" t="str">
        <f>IFERROR(__xludf.DUMMYFUNCTION("IF(OR(regexmatch(A817,"".*@simon.es$""),REGEXMATCH(A817,"".*@simon.pt$""),REGEXMATCH(A817,"".*@simonelectrica.com$""),REGEXMATCH(A817,"".*@hiberus.com$""),REGEXMATCH(A817,"".*@simonbrico.es$""),regexmatch(A817,"".*@simonelectric.com$"")),""null"",A817)"),"418@proyectosict.net")</f>
        <v>418@proyectosict.net</v>
      </c>
      <c r="C817" s="5">
        <f>IF(B817="null","null",Descargas!B817)</f>
        <v>43973</v>
      </c>
      <c r="D817" s="6" t="str">
        <f>Descargas!E817</f>
        <v>https://resources.simonelectric.com/simon-material-formativo-vehiculo-electrico</v>
      </c>
      <c r="E817" s="20" t="str">
        <f t="shared" si="1"/>
        <v>418@proyectosict.net</v>
      </c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</row>
    <row r="818" ht="15.75" customHeight="1">
      <c r="A818" s="18" t="str">
        <f>Descargas!A818</f>
        <v>669@hotmail.com</v>
      </c>
      <c r="B818" s="19" t="str">
        <f>IFERROR(__xludf.DUMMYFUNCTION("IF(OR(regexmatch(A818,"".*@simon.es$""),REGEXMATCH(A818,"".*@simon.pt$""),REGEXMATCH(A818,"".*@simonelectrica.com$""),REGEXMATCH(A818,"".*@hiberus.com$""),REGEXMATCH(A818,"".*@simonbrico.es$""),regexmatch(A818,"".*@simonelectric.com$"")),""null"",A818)"),"669@hotmail.com")</f>
        <v>669@hotmail.com</v>
      </c>
      <c r="C818" s="5">
        <f>IF(B818="null","null",Descargas!B818)</f>
        <v>43973</v>
      </c>
      <c r="D818" s="6" t="str">
        <f>Descargas!E818</f>
        <v>https://resources.simonelectric.com/simon-material-formativo-vehiculo-electrico</v>
      </c>
      <c r="E818" s="20" t="str">
        <f t="shared" si="1"/>
        <v>669@hotmail.com</v>
      </c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</row>
    <row r="819" ht="15.75" customHeight="1">
      <c r="A819" s="18" t="str">
        <f>Descargas!A819</f>
        <v>551@mdvproyectos.es</v>
      </c>
      <c r="B819" s="19" t="str">
        <f>IFERROR(__xludf.DUMMYFUNCTION("IF(OR(regexmatch(A819,"".*@simon.es$""),REGEXMATCH(A819,"".*@simon.pt$""),REGEXMATCH(A819,"".*@simonelectrica.com$""),REGEXMATCH(A819,"".*@hiberus.com$""),REGEXMATCH(A819,"".*@simonbrico.es$""),regexmatch(A819,"".*@simonelectric.com$"")),""null"",A819)"),"551@mdvproyectos.es")</f>
        <v>551@mdvproyectos.es</v>
      </c>
      <c r="C819" s="5">
        <f>IF(B819="null","null",Descargas!B819)</f>
        <v>43973</v>
      </c>
      <c r="D819" s="6" t="str">
        <f>Descargas!E819</f>
        <v>https://resources.simonelectric.com/simon-material-formativo-vehiculo-electrico</v>
      </c>
      <c r="E819" s="20" t="str">
        <f t="shared" si="1"/>
        <v>551@mdvproyectos.es</v>
      </c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</row>
    <row r="820" ht="15.75" customHeight="1">
      <c r="A820" s="18" t="str">
        <f>Descargas!A820</f>
        <v>670@nogawatio.es</v>
      </c>
      <c r="B820" s="19" t="str">
        <f>IFERROR(__xludf.DUMMYFUNCTION("IF(OR(regexmatch(A820,"".*@simon.es$""),REGEXMATCH(A820,"".*@simon.pt$""),REGEXMATCH(A820,"".*@simonelectrica.com$""),REGEXMATCH(A820,"".*@hiberus.com$""),REGEXMATCH(A820,"".*@simonbrico.es$""),regexmatch(A820,"".*@simonelectric.com$"")),""null"",A820)"),"670@nogawatio.es")</f>
        <v>670@nogawatio.es</v>
      </c>
      <c r="C820" s="5">
        <f>IF(B820="null","null",Descargas!B820)</f>
        <v>43973</v>
      </c>
      <c r="D820" s="6" t="str">
        <f>Descargas!E820</f>
        <v>https://resources.simonelectric.com/simon-material-formativo-vehiculo-electrico</v>
      </c>
      <c r="E820" s="20" t="str">
        <f t="shared" si="1"/>
        <v>670@nogawatio.es</v>
      </c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</row>
    <row r="821" ht="15.75" customHeight="1">
      <c r="A821" s="18" t="str">
        <f>Descargas!A821</f>
        <v>671@csisuministros.com</v>
      </c>
      <c r="B821" s="19" t="str">
        <f>IFERROR(__xludf.DUMMYFUNCTION("IF(OR(regexmatch(A821,"".*@simon.es$""),REGEXMATCH(A821,"".*@simon.pt$""),REGEXMATCH(A821,"".*@simonelectrica.com$""),REGEXMATCH(A821,"".*@hiberus.com$""),REGEXMATCH(A821,"".*@simonbrico.es$""),regexmatch(A821,"".*@simonelectric.com$"")),""null"",A821)"),"671@csisuministros.com")</f>
        <v>671@csisuministros.com</v>
      </c>
      <c r="C821" s="5">
        <f>IF(B821="null","null",Descargas!B821)</f>
        <v>43973</v>
      </c>
      <c r="D821" s="6" t="str">
        <f>Descargas!E821</f>
        <v>https://resources.simonelectric.com/simon-material-formativo-vehiculo-electrico</v>
      </c>
      <c r="E821" s="20" t="str">
        <f t="shared" si="1"/>
        <v>671@csisuministros.com</v>
      </c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</row>
    <row r="822" ht="15.75" customHeight="1">
      <c r="A822" s="18" t="str">
        <f>Descargas!A822</f>
        <v>672@gmail.com</v>
      </c>
      <c r="B822" s="19" t="str">
        <f>IFERROR(__xludf.DUMMYFUNCTION("IF(OR(regexmatch(A822,"".*@simon.es$""),REGEXMATCH(A822,"".*@simon.pt$""),REGEXMATCH(A822,"".*@simonelectrica.com$""),REGEXMATCH(A822,"".*@hiberus.com$""),REGEXMATCH(A822,"".*@simonbrico.es$""),regexmatch(A822,"".*@simonelectric.com$"")),""null"",A822)"),"672@gmail.com")</f>
        <v>672@gmail.com</v>
      </c>
      <c r="C822" s="5">
        <f>IF(B822="null","null",Descargas!B822)</f>
        <v>43973</v>
      </c>
      <c r="D822" s="6" t="str">
        <f>Descargas!E822</f>
        <v>https://resources.simonelectric.com/simon-material-formativo-vehiculo-electrico</v>
      </c>
      <c r="E822" s="20" t="str">
        <f t="shared" si="1"/>
        <v>672@gmail.com</v>
      </c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</row>
    <row r="823" ht="15.75" customHeight="1">
      <c r="A823" s="18" t="str">
        <f>Descargas!A823</f>
        <v>673@gmail.com</v>
      </c>
      <c r="B823" s="19" t="str">
        <f>IFERROR(__xludf.DUMMYFUNCTION("IF(OR(regexmatch(A823,"".*@simon.es$""),REGEXMATCH(A823,"".*@simon.pt$""),REGEXMATCH(A823,"".*@simonelectrica.com$""),REGEXMATCH(A823,"".*@hiberus.com$""),REGEXMATCH(A823,"".*@simonbrico.es$""),regexmatch(A823,"".*@simonelectric.com$"")),""null"",A823)"),"673@gmail.com")</f>
        <v>673@gmail.com</v>
      </c>
      <c r="C823" s="5">
        <f>IF(B823="null","null",Descargas!B823)</f>
        <v>43973</v>
      </c>
      <c r="D823" s="6" t="str">
        <f>Descargas!E823</f>
        <v>https://resources.simonelectric.com/simon-material-formativo-vehiculo-electrico</v>
      </c>
      <c r="E823" s="20" t="str">
        <f t="shared" si="1"/>
        <v>673@gmail.com</v>
      </c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</row>
    <row r="824" ht="15.75" customHeight="1">
      <c r="A824" s="18" t="str">
        <f>Descargas!A824</f>
        <v>610@electricharger.com</v>
      </c>
      <c r="B824" s="19" t="str">
        <f>IFERROR(__xludf.DUMMYFUNCTION("IF(OR(regexmatch(A824,"".*@simon.es$""),REGEXMATCH(A824,"".*@simon.pt$""),REGEXMATCH(A824,"".*@simonelectrica.com$""),REGEXMATCH(A824,"".*@hiberus.com$""),REGEXMATCH(A824,"".*@simonbrico.es$""),regexmatch(A824,"".*@simonelectric.com$"")),""null"",A824)"),"610@electricharger.com")</f>
        <v>610@electricharger.com</v>
      </c>
      <c r="C824" s="5">
        <f>IF(B824="null","null",Descargas!B824)</f>
        <v>43973</v>
      </c>
      <c r="D824" s="6" t="str">
        <f>Descargas!E824</f>
        <v>https://resources.simonelectric.com/simon-material-formativo-vehiculo-electrico</v>
      </c>
      <c r="E824" s="20" t="str">
        <f t="shared" si="1"/>
        <v>610@electricharger.com</v>
      </c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</row>
    <row r="825" ht="15.75" customHeight="1">
      <c r="A825" s="18" t="str">
        <f>Descargas!A825</f>
        <v>674@coitt.es</v>
      </c>
      <c r="B825" s="19" t="str">
        <f>IFERROR(__xludf.DUMMYFUNCTION("IF(OR(regexmatch(A825,"".*@simon.es$""),REGEXMATCH(A825,"".*@simon.pt$""),REGEXMATCH(A825,"".*@simonelectrica.com$""),REGEXMATCH(A825,"".*@hiberus.com$""),REGEXMATCH(A825,"".*@simonbrico.es$""),regexmatch(A825,"".*@simonelectric.com$"")),""null"",A825)"),"674@coitt.es")</f>
        <v>674@coitt.es</v>
      </c>
      <c r="C825" s="5">
        <f>IF(B825="null","null",Descargas!B825)</f>
        <v>43973</v>
      </c>
      <c r="D825" s="6" t="str">
        <f>Descargas!E825</f>
        <v>https://resources.simonelectric.com/simon-material-formativo-vehiculo-electrico</v>
      </c>
      <c r="E825" s="20" t="str">
        <f t="shared" si="1"/>
        <v>674@coitt.es</v>
      </c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</row>
    <row r="826" ht="15.75" customHeight="1">
      <c r="A826" s="18" t="str">
        <f>Descargas!A826</f>
        <v>675@aclingenieria.com</v>
      </c>
      <c r="B826" s="19" t="str">
        <f>IFERROR(__xludf.DUMMYFUNCTION("IF(OR(regexmatch(A826,"".*@simon.es$""),REGEXMATCH(A826,"".*@simon.pt$""),REGEXMATCH(A826,"".*@simonelectrica.com$""),REGEXMATCH(A826,"".*@hiberus.com$""),REGEXMATCH(A826,"".*@simonbrico.es$""),regexmatch(A826,"".*@simonelectric.com$"")),""null"",A826)"),"675@aclingenieria.com")</f>
        <v>675@aclingenieria.com</v>
      </c>
      <c r="C826" s="5">
        <f>IF(B826="null","null",Descargas!B826)</f>
        <v>43973</v>
      </c>
      <c r="D826" s="6" t="str">
        <f>Descargas!E826</f>
        <v>https://resources.simonelectric.com/simon-material-formativo-vehiculo-electrico</v>
      </c>
      <c r="E826" s="20" t="str">
        <f t="shared" si="1"/>
        <v>675@aclingenieria.com</v>
      </c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</row>
    <row r="827" ht="15.75" customHeight="1">
      <c r="A827" s="18" t="str">
        <f>Descargas!A827</f>
        <v>676@promec.es</v>
      </c>
      <c r="B827" s="19" t="str">
        <f>IFERROR(__xludf.DUMMYFUNCTION("IF(OR(regexmatch(A827,"".*@simon.es$""),REGEXMATCH(A827,"".*@simon.pt$""),REGEXMATCH(A827,"".*@simonelectrica.com$""),REGEXMATCH(A827,"".*@hiberus.com$""),REGEXMATCH(A827,"".*@simonbrico.es$""),regexmatch(A827,"".*@simonelectric.com$"")),""null"",A827)"),"676@promec.es")</f>
        <v>676@promec.es</v>
      </c>
      <c r="C827" s="5">
        <f>IF(B827="null","null",Descargas!B827)</f>
        <v>43973</v>
      </c>
      <c r="D827" s="6" t="str">
        <f>Descargas!E827</f>
        <v>https://resources.simonelectric.com/simon-material-formativo-vehiculo-electrico</v>
      </c>
      <c r="E827" s="20" t="str">
        <f t="shared" si="1"/>
        <v>676@promec.es</v>
      </c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</row>
    <row r="828" ht="15.75" customHeight="1">
      <c r="A828" s="18" t="str">
        <f>Descargas!A828</f>
        <v>217@esypro.net</v>
      </c>
      <c r="B828" s="19" t="str">
        <f>IFERROR(__xludf.DUMMYFUNCTION("IF(OR(regexmatch(A828,"".*@simon.es$""),REGEXMATCH(A828,"".*@simon.pt$""),REGEXMATCH(A828,"".*@simonelectrica.com$""),REGEXMATCH(A828,"".*@hiberus.com$""),REGEXMATCH(A828,"".*@simonbrico.es$""),regexmatch(A828,"".*@simonelectric.com$"")),""null"",A828)"),"217@esypro.net")</f>
        <v>217@esypro.net</v>
      </c>
      <c r="C828" s="5">
        <f>IF(B828="null","null",Descargas!B828)</f>
        <v>43973</v>
      </c>
      <c r="D828" s="6" t="str">
        <f>Descargas!E828</f>
        <v>https://resources.simonelectric.com/simon-material-formativo-vehiculo-electrico</v>
      </c>
      <c r="E828" s="20" t="str">
        <f t="shared" si="1"/>
        <v>217@esypro.net</v>
      </c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</row>
    <row r="829" ht="15.75" customHeight="1">
      <c r="A829" s="18" t="str">
        <f>Descargas!A829</f>
        <v>677@gmail.com</v>
      </c>
      <c r="B829" s="19" t="str">
        <f>IFERROR(__xludf.DUMMYFUNCTION("IF(OR(regexmatch(A829,"".*@simon.es$""),REGEXMATCH(A829,"".*@simon.pt$""),REGEXMATCH(A829,"".*@simonelectrica.com$""),REGEXMATCH(A829,"".*@hiberus.com$""),REGEXMATCH(A829,"".*@simonbrico.es$""),regexmatch(A829,"".*@simonelectric.com$"")),""null"",A829)"),"677@gmail.com")</f>
        <v>677@gmail.com</v>
      </c>
      <c r="C829" s="5">
        <f>IF(B829="null","null",Descargas!B829)</f>
        <v>43973</v>
      </c>
      <c r="D829" s="6" t="str">
        <f>Descargas!E829</f>
        <v>https://resources.simonelectric.com/simon-material-formativo-vehiculo-electrico</v>
      </c>
      <c r="E829" s="20" t="str">
        <f t="shared" si="1"/>
        <v>677@gmail.com</v>
      </c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</row>
    <row r="830" ht="15.75" customHeight="1">
      <c r="A830" s="18" t="str">
        <f>Descargas!A830</f>
        <v>678@nh-hotels.com</v>
      </c>
      <c r="B830" s="19" t="str">
        <f>IFERROR(__xludf.DUMMYFUNCTION("IF(OR(regexmatch(A830,"".*@simon.es$""),REGEXMATCH(A830,"".*@simon.pt$""),REGEXMATCH(A830,"".*@simonelectrica.com$""),REGEXMATCH(A830,"".*@hiberus.com$""),REGEXMATCH(A830,"".*@simonbrico.es$""),regexmatch(A830,"".*@simonelectric.com$"")),""null"",A830)"),"678@nh-hotels.com")</f>
        <v>678@nh-hotels.com</v>
      </c>
      <c r="C830" s="5">
        <f>IF(B830="null","null",Descargas!B830)</f>
        <v>43973</v>
      </c>
      <c r="D830" s="6" t="str">
        <f>Descargas!E830</f>
        <v>https://resources.simonelectric.com/simon-material-formativo-vehiculo-electrico</v>
      </c>
      <c r="E830" s="20" t="str">
        <f t="shared" si="1"/>
        <v>678@nh-hotels.com</v>
      </c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</row>
    <row r="831" ht="15.75" customHeight="1">
      <c r="A831" s="18" t="str">
        <f>Descargas!A831</f>
        <v>679@hotmail.com</v>
      </c>
      <c r="B831" s="19" t="str">
        <f>IFERROR(__xludf.DUMMYFUNCTION("IF(OR(regexmatch(A831,"".*@simon.es$""),REGEXMATCH(A831,"".*@simon.pt$""),REGEXMATCH(A831,"".*@simonelectrica.com$""),REGEXMATCH(A831,"".*@hiberus.com$""),REGEXMATCH(A831,"".*@simonbrico.es$""),regexmatch(A831,"".*@simonelectric.com$"")),""null"",A831)"),"679@hotmail.com")</f>
        <v>679@hotmail.com</v>
      </c>
      <c r="C831" s="5">
        <f>IF(B831="null","null",Descargas!B831)</f>
        <v>43973</v>
      </c>
      <c r="D831" s="6" t="str">
        <f>Descargas!E831</f>
        <v>https://resources.simonelectric.com/simon-material-formativo-vehiculo-electrico</v>
      </c>
      <c r="E831" s="20" t="str">
        <f t="shared" si="1"/>
        <v>679@hotmail.com</v>
      </c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</row>
    <row r="832" ht="15.75" customHeight="1">
      <c r="A832" s="18" t="str">
        <f>Descargas!A832</f>
        <v>680@chargeguru.com</v>
      </c>
      <c r="B832" s="19" t="str">
        <f>IFERROR(__xludf.DUMMYFUNCTION("IF(OR(regexmatch(A832,"".*@simon.es$""),REGEXMATCH(A832,"".*@simon.pt$""),REGEXMATCH(A832,"".*@simonelectrica.com$""),REGEXMATCH(A832,"".*@hiberus.com$""),REGEXMATCH(A832,"".*@simonbrico.es$""),regexmatch(A832,"".*@simonelectric.com$"")),""null"",A832)"),"680@chargeguru.com")</f>
        <v>680@chargeguru.com</v>
      </c>
      <c r="C832" s="5">
        <f>IF(B832="null","null",Descargas!B832)</f>
        <v>43973</v>
      </c>
      <c r="D832" s="6" t="str">
        <f>Descargas!E832</f>
        <v>https://resources.simonelectric.com/simon-material-formativo-vehiculo-electrico</v>
      </c>
      <c r="E832" s="20" t="str">
        <f t="shared" si="1"/>
        <v>680@chargeguru.com</v>
      </c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</row>
    <row r="833" ht="15.75" customHeight="1">
      <c r="A833" s="18" t="str">
        <f>Descargas!A833</f>
        <v>681@electricidadbalaguer.es</v>
      </c>
      <c r="B833" s="19" t="str">
        <f>IFERROR(__xludf.DUMMYFUNCTION("IF(OR(regexmatch(A833,"".*@simon.es$""),REGEXMATCH(A833,"".*@simon.pt$""),REGEXMATCH(A833,"".*@simonelectrica.com$""),REGEXMATCH(A833,"".*@hiberus.com$""),REGEXMATCH(A833,"".*@simonbrico.es$""),regexmatch(A833,"".*@simonelectric.com$"")),""null"",A833)"),"681@electricidadbalaguer.es")</f>
        <v>681@electricidadbalaguer.es</v>
      </c>
      <c r="C833" s="5">
        <f>IF(B833="null","null",Descargas!B833)</f>
        <v>43973</v>
      </c>
      <c r="D833" s="6" t="str">
        <f>Descargas!E833</f>
        <v>https://resources.simonelectric.com/simon-material-formativo-vehiculo-electrico</v>
      </c>
      <c r="E833" s="20" t="str">
        <f t="shared" si="1"/>
        <v>681@electricidadbalaguer.es</v>
      </c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</row>
    <row r="834" ht="15.75" customHeight="1">
      <c r="A834" s="18" t="str">
        <f>Descargas!A834</f>
        <v>206@jgingenieros.es</v>
      </c>
      <c r="B834" s="19" t="str">
        <f>IFERROR(__xludf.DUMMYFUNCTION("IF(OR(regexmatch(A834,"".*@simon.es$""),REGEXMATCH(A834,"".*@simon.pt$""),REGEXMATCH(A834,"".*@simonelectrica.com$""),REGEXMATCH(A834,"".*@hiberus.com$""),REGEXMATCH(A834,"".*@simonbrico.es$""),regexmatch(A834,"".*@simonelectric.com$"")),""null"",A834)"),"206@jgingenieros.es")</f>
        <v>206@jgingenieros.es</v>
      </c>
      <c r="C834" s="5">
        <f>IF(B834="null","null",Descargas!B834)</f>
        <v>43973</v>
      </c>
      <c r="D834" s="6" t="str">
        <f>Descargas!E834</f>
        <v>https://resources.simonelectric.com/simon-material-formativo-vehiculo-electrico</v>
      </c>
      <c r="E834" s="20" t="str">
        <f t="shared" si="1"/>
        <v>206@jgingenieros.es</v>
      </c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</row>
    <row r="835" ht="15.75" customHeight="1">
      <c r="A835" s="18" t="str">
        <f>Descargas!A835</f>
        <v>543@andreumanteniment.com</v>
      </c>
      <c r="B835" s="19" t="str">
        <f>IFERROR(__xludf.DUMMYFUNCTION("IF(OR(regexmatch(A835,"".*@simon.es$""),REGEXMATCH(A835,"".*@simon.pt$""),REGEXMATCH(A835,"".*@simonelectrica.com$""),REGEXMATCH(A835,"".*@hiberus.com$""),REGEXMATCH(A835,"".*@simonbrico.es$""),regexmatch(A835,"".*@simonelectric.com$"")),""null"",A835)"),"543@andreumanteniment.com")</f>
        <v>543@andreumanteniment.com</v>
      </c>
      <c r="C835" s="5">
        <f>IF(B835="null","null",Descargas!B835)</f>
        <v>43973</v>
      </c>
      <c r="D835" s="6" t="str">
        <f>Descargas!E835</f>
        <v>https://resources.simonelectric.com/simon-material-formativo-vehiculo-electrico</v>
      </c>
      <c r="E835" s="20" t="str">
        <f t="shared" si="1"/>
        <v>543@andreumanteniment.com</v>
      </c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</row>
    <row r="836" ht="15.75" customHeight="1">
      <c r="A836" s="18" t="str">
        <f>Descargas!A836</f>
        <v>682@gmail.com</v>
      </c>
      <c r="B836" s="19" t="str">
        <f>IFERROR(__xludf.DUMMYFUNCTION("IF(OR(regexmatch(A836,"".*@simon.es$""),REGEXMATCH(A836,"".*@simon.pt$""),REGEXMATCH(A836,"".*@simonelectrica.com$""),REGEXMATCH(A836,"".*@hiberus.com$""),REGEXMATCH(A836,"".*@simonbrico.es$""),regexmatch(A836,"".*@simonelectric.com$"")),""null"",A836)"),"682@gmail.com")</f>
        <v>682@gmail.com</v>
      </c>
      <c r="C836" s="5">
        <f>IF(B836="null","null",Descargas!B836)</f>
        <v>43973</v>
      </c>
      <c r="D836" s="6" t="str">
        <f>Descargas!E836</f>
        <v>https://resources.simonelectric.com/simon-material-formativo-vehiculo-electrico</v>
      </c>
      <c r="E836" s="20" t="str">
        <f t="shared" si="1"/>
        <v>682@gmail.com</v>
      </c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</row>
    <row r="837" ht="15.75" customHeight="1">
      <c r="A837" s="18" t="str">
        <f>Descargas!A837</f>
        <v>549@gmail.com</v>
      </c>
      <c r="B837" s="19" t="str">
        <f>IFERROR(__xludf.DUMMYFUNCTION("IF(OR(regexmatch(A837,"".*@simon.es$""),REGEXMATCH(A837,"".*@simon.pt$""),REGEXMATCH(A837,"".*@simonelectrica.com$""),REGEXMATCH(A837,"".*@hiberus.com$""),REGEXMATCH(A837,"".*@simonbrico.es$""),regexmatch(A837,"".*@simonelectric.com$"")),""null"",A837)"),"549@gmail.com")</f>
        <v>549@gmail.com</v>
      </c>
      <c r="C837" s="5">
        <f>IF(B837="null","null",Descargas!B837)</f>
        <v>43973</v>
      </c>
      <c r="D837" s="6" t="str">
        <f>Descargas!E837</f>
        <v>https://resources.simonelectric.com/simon-material-formativo-vehiculo-electrico</v>
      </c>
      <c r="E837" s="20" t="str">
        <f t="shared" si="1"/>
        <v>549@gmail.com</v>
      </c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</row>
    <row r="838" ht="15.75" customHeight="1">
      <c r="A838" s="18" t="str">
        <f>Descargas!A838</f>
        <v>683@hagergroup.com</v>
      </c>
      <c r="B838" s="19" t="str">
        <f>IFERROR(__xludf.DUMMYFUNCTION("IF(OR(regexmatch(A838,"".*@simon.es$""),REGEXMATCH(A838,"".*@simon.pt$""),REGEXMATCH(A838,"".*@simonelectrica.com$""),REGEXMATCH(A838,"".*@hiberus.com$""),REGEXMATCH(A838,"".*@simonbrico.es$""),regexmatch(A838,"".*@simonelectric.com$"")),""null"",A838)"),"683@hagergroup.com")</f>
        <v>683@hagergroup.com</v>
      </c>
      <c r="C838" s="5">
        <f>IF(B838="null","null",Descargas!B838)</f>
        <v>43973</v>
      </c>
      <c r="D838" s="6" t="str">
        <f>Descargas!E838</f>
        <v>https://resources.simonelectric.com/simon-material-formativo-vehiculo-electrico</v>
      </c>
      <c r="E838" s="20" t="str">
        <f t="shared" si="1"/>
        <v>683@hagergroup.com</v>
      </c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</row>
    <row r="839" ht="15.75" customHeight="1">
      <c r="A839" s="18" t="str">
        <f>Descargas!A839</f>
        <v>684@gmail.com</v>
      </c>
      <c r="B839" s="19" t="str">
        <f>IFERROR(__xludf.DUMMYFUNCTION("IF(OR(regexmatch(A839,"".*@simon.es$""),REGEXMATCH(A839,"".*@simon.pt$""),REGEXMATCH(A839,"".*@simonelectrica.com$""),REGEXMATCH(A839,"".*@hiberus.com$""),REGEXMATCH(A839,"".*@simonbrico.es$""),regexmatch(A839,"".*@simonelectric.com$"")),""null"",A839)"),"684@gmail.com")</f>
        <v>684@gmail.com</v>
      </c>
      <c r="C839" s="5">
        <f>IF(B839="null","null",Descargas!B839)</f>
        <v>43973</v>
      </c>
      <c r="D839" s="6" t="str">
        <f>Descargas!E839</f>
        <v>https://resources.simonelectric.com/simon-material-formativo-vehiculo-electrico</v>
      </c>
      <c r="E839" s="20" t="str">
        <f t="shared" si="1"/>
        <v>684@gmail.com</v>
      </c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</row>
    <row r="840" ht="15.75" customHeight="1">
      <c r="A840" s="18" t="str">
        <f>Descargas!A840</f>
        <v>685@climava.com</v>
      </c>
      <c r="B840" s="19" t="str">
        <f>IFERROR(__xludf.DUMMYFUNCTION("IF(OR(regexmatch(A840,"".*@simon.es$""),REGEXMATCH(A840,"".*@simon.pt$""),REGEXMATCH(A840,"".*@simonelectrica.com$""),REGEXMATCH(A840,"".*@hiberus.com$""),REGEXMATCH(A840,"".*@simonbrico.es$""),regexmatch(A840,"".*@simonelectric.com$"")),""null"",A840)"),"685@climava.com")</f>
        <v>685@climava.com</v>
      </c>
      <c r="C840" s="5">
        <f>IF(B840="null","null",Descargas!B840)</f>
        <v>43973</v>
      </c>
      <c r="D840" s="6" t="str">
        <f>Descargas!E840</f>
        <v>https://resources.simonelectric.com/simon-material-formativo-vehiculo-electrico</v>
      </c>
      <c r="E840" s="20" t="str">
        <f t="shared" si="1"/>
        <v>685@climava.com</v>
      </c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</row>
    <row r="841" ht="15.75" customHeight="1">
      <c r="A841" s="18" t="str">
        <f>Descargas!A841</f>
        <v>686@electro-h.es</v>
      </c>
      <c r="B841" s="19" t="str">
        <f>IFERROR(__xludf.DUMMYFUNCTION("IF(OR(regexmatch(A841,"".*@simon.es$""),REGEXMATCH(A841,"".*@simon.pt$""),REGEXMATCH(A841,"".*@simonelectrica.com$""),REGEXMATCH(A841,"".*@hiberus.com$""),REGEXMATCH(A841,"".*@simonbrico.es$""),regexmatch(A841,"".*@simonelectric.com$"")),""null"",A841)"),"686@electro-h.es")</f>
        <v>686@electro-h.es</v>
      </c>
      <c r="C841" s="5">
        <f>IF(B841="null","null",Descargas!B841)</f>
        <v>43973</v>
      </c>
      <c r="D841" s="6" t="str">
        <f>Descargas!E841</f>
        <v>https://resources.simonelectric.com/simon-material-formativo-vehiculo-electrico</v>
      </c>
      <c r="E841" s="20" t="str">
        <f t="shared" si="1"/>
        <v>686@electro-h.es</v>
      </c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</row>
    <row r="842" ht="15.75" customHeight="1">
      <c r="A842" s="18" t="str">
        <f>Descargas!A842</f>
        <v>535@bgp.es</v>
      </c>
      <c r="B842" s="19" t="str">
        <f>IFERROR(__xludf.DUMMYFUNCTION("IF(OR(regexmatch(A842,"".*@simon.es$""),REGEXMATCH(A842,"".*@simon.pt$""),REGEXMATCH(A842,"".*@simonelectrica.com$""),REGEXMATCH(A842,"".*@hiberus.com$""),REGEXMATCH(A842,"".*@simonbrico.es$""),regexmatch(A842,"".*@simonelectric.com$"")),""null"",A842)"),"535@bgp.es")</f>
        <v>535@bgp.es</v>
      </c>
      <c r="C842" s="5">
        <f>IF(B842="null","null",Descargas!B842)</f>
        <v>43973</v>
      </c>
      <c r="D842" s="6" t="str">
        <f>Descargas!E842</f>
        <v>https://resources.simonelectric.com/simon-material-formativo-vehiculo-electrico</v>
      </c>
      <c r="E842" s="20" t="str">
        <f t="shared" si="1"/>
        <v>535@bgp.es</v>
      </c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</row>
    <row r="843" ht="15.75" customHeight="1">
      <c r="A843" s="18" t="str">
        <f>Descargas!A843</f>
        <v>687@outlook.es</v>
      </c>
      <c r="B843" s="19" t="str">
        <f>IFERROR(__xludf.DUMMYFUNCTION("IF(OR(regexmatch(A843,"".*@simon.es$""),REGEXMATCH(A843,"".*@simon.pt$""),REGEXMATCH(A843,"".*@simonelectrica.com$""),REGEXMATCH(A843,"".*@hiberus.com$""),REGEXMATCH(A843,"".*@simonbrico.es$""),regexmatch(A843,"".*@simonelectric.com$"")),""null"",A843)"),"687@outlook.es")</f>
        <v>687@outlook.es</v>
      </c>
      <c r="C843" s="5">
        <f>IF(B843="null","null",Descargas!B843)</f>
        <v>43973</v>
      </c>
      <c r="D843" s="6" t="str">
        <f>Descargas!E843</f>
        <v>https://resources.simonelectric.com/simon-material-formativo-vehiculo-electrico</v>
      </c>
      <c r="E843" s="20" t="str">
        <f t="shared" si="1"/>
        <v>687@outlook.es</v>
      </c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</row>
    <row r="844" ht="15.75" customHeight="1">
      <c r="A844" s="18" t="str">
        <f>Descargas!A844</f>
        <v>688@legrandgroup.es</v>
      </c>
      <c r="B844" s="19" t="str">
        <f>IFERROR(__xludf.DUMMYFUNCTION("IF(OR(regexmatch(A844,"".*@simon.es$""),REGEXMATCH(A844,"".*@simon.pt$""),REGEXMATCH(A844,"".*@simonelectrica.com$""),REGEXMATCH(A844,"".*@hiberus.com$""),REGEXMATCH(A844,"".*@simonbrico.es$""),regexmatch(A844,"".*@simonelectric.com$"")),""null"",A844)"),"688@legrandgroup.es")</f>
        <v>688@legrandgroup.es</v>
      </c>
      <c r="C844" s="5">
        <f>IF(B844="null","null",Descargas!B844)</f>
        <v>43973</v>
      </c>
      <c r="D844" s="6" t="str">
        <f>Descargas!E844</f>
        <v>https://resources.simonelectric.com/simon-material-formativo-vehiculo-electrico</v>
      </c>
      <c r="E844" s="20" t="str">
        <f t="shared" si="1"/>
        <v>688@legrandgroup.es</v>
      </c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</row>
    <row r="845" ht="15.75" customHeight="1">
      <c r="A845" s="18" t="str">
        <f>Descargas!A845</f>
        <v>689@arbonapiza.com</v>
      </c>
      <c r="B845" s="19" t="str">
        <f>IFERROR(__xludf.DUMMYFUNCTION("IF(OR(regexmatch(A845,"".*@simon.es$""),REGEXMATCH(A845,"".*@simon.pt$""),REGEXMATCH(A845,"".*@simonelectrica.com$""),REGEXMATCH(A845,"".*@hiberus.com$""),REGEXMATCH(A845,"".*@simonbrico.es$""),regexmatch(A845,"".*@simonelectric.com$"")),""null"",A845)"),"689@arbonapiza.com")</f>
        <v>689@arbonapiza.com</v>
      </c>
      <c r="C845" s="5">
        <f>IF(B845="null","null",Descargas!B845)</f>
        <v>43973</v>
      </c>
      <c r="D845" s="6" t="str">
        <f>Descargas!E845</f>
        <v>https://resources.simonelectric.com/simon-material-formativo-vehiculo-electrico</v>
      </c>
      <c r="E845" s="20" t="str">
        <f t="shared" si="1"/>
        <v>689@arbonapiza.com</v>
      </c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</row>
    <row r="846" ht="15.75" customHeight="1">
      <c r="A846" s="18" t="str">
        <f>Descargas!A846</f>
        <v>690@dllgroup.com</v>
      </c>
      <c r="B846" s="19" t="str">
        <f>IFERROR(__xludf.DUMMYFUNCTION("IF(OR(regexmatch(A846,"".*@simon.es$""),REGEXMATCH(A846,"".*@simon.pt$""),REGEXMATCH(A846,"".*@simonelectrica.com$""),REGEXMATCH(A846,"".*@hiberus.com$""),REGEXMATCH(A846,"".*@simonbrico.es$""),regexmatch(A846,"".*@simonelectric.com$"")),""null"",A846)"),"690@dllgroup.com")</f>
        <v>690@dllgroup.com</v>
      </c>
      <c r="C846" s="5">
        <f>IF(B846="null","null",Descargas!B846)</f>
        <v>43973</v>
      </c>
      <c r="D846" s="6" t="str">
        <f>Descargas!E846</f>
        <v>https://resources.simonelectric.com/simon-material-formativo-vehiculo-electrico</v>
      </c>
      <c r="E846" s="20" t="str">
        <f t="shared" si="1"/>
        <v>690@dllgroup.com</v>
      </c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</row>
    <row r="847" ht="15.75" customHeight="1">
      <c r="A847" s="18" t="str">
        <f>Descargas!A847</f>
        <v>357@cesvimap.com</v>
      </c>
      <c r="B847" s="19" t="str">
        <f>IFERROR(__xludf.DUMMYFUNCTION("IF(OR(regexmatch(A847,"".*@simon.es$""),REGEXMATCH(A847,"".*@simon.pt$""),REGEXMATCH(A847,"".*@simonelectrica.com$""),REGEXMATCH(A847,"".*@hiberus.com$""),REGEXMATCH(A847,"".*@simonbrico.es$""),regexmatch(A847,"".*@simonelectric.com$"")),""null"",A847)"),"357@cesvimap.com")</f>
        <v>357@cesvimap.com</v>
      </c>
      <c r="C847" s="5">
        <f>IF(B847="null","null",Descargas!B847)</f>
        <v>43973</v>
      </c>
      <c r="D847" s="6" t="str">
        <f>Descargas!E847</f>
        <v>https://resources.simonelectric.com/simon-material-formativo-vehiculo-electrico</v>
      </c>
      <c r="E847" s="20" t="str">
        <f t="shared" si="1"/>
        <v>357@cesvimap.com</v>
      </c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</row>
    <row r="848" ht="15.75" customHeight="1">
      <c r="A848" s="18" t="str">
        <f>Descargas!A848</f>
        <v>313@inelbo.eiffage.es</v>
      </c>
      <c r="B848" s="19" t="str">
        <f>IFERROR(__xludf.DUMMYFUNCTION("IF(OR(regexmatch(A848,"".*@simon.es$""),REGEXMATCH(A848,"".*@simon.pt$""),REGEXMATCH(A848,"".*@simonelectrica.com$""),REGEXMATCH(A848,"".*@hiberus.com$""),REGEXMATCH(A848,"".*@simonbrico.es$""),regexmatch(A848,"".*@simonelectric.com$"")),""null"",A848)"),"313@inelbo.eiffage.es")</f>
        <v>313@inelbo.eiffage.es</v>
      </c>
      <c r="C848" s="5">
        <f>IF(B848="null","null",Descargas!B848)</f>
        <v>43973</v>
      </c>
      <c r="D848" s="6" t="str">
        <f>Descargas!E848</f>
        <v>https://resources.simonelectric.com/simon-material-formativo-vehiculo-electrico</v>
      </c>
      <c r="E848" s="20" t="str">
        <f t="shared" si="1"/>
        <v>313@inelbo.eiffage.es</v>
      </c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</row>
    <row r="849" ht="15.75" customHeight="1">
      <c r="A849" s="18" t="str">
        <f>Descargas!A849</f>
        <v>691@cbre.com</v>
      </c>
      <c r="B849" s="19" t="str">
        <f>IFERROR(__xludf.DUMMYFUNCTION("IF(OR(regexmatch(A849,"".*@simon.es$""),REGEXMATCH(A849,"".*@simon.pt$""),REGEXMATCH(A849,"".*@simonelectrica.com$""),REGEXMATCH(A849,"".*@hiberus.com$""),REGEXMATCH(A849,"".*@simonbrico.es$""),regexmatch(A849,"".*@simonelectric.com$"")),""null"",A849)"),"691@cbre.com")</f>
        <v>691@cbre.com</v>
      </c>
      <c r="C849" s="5">
        <f>IF(B849="null","null",Descargas!B849)</f>
        <v>43973</v>
      </c>
      <c r="D849" s="6" t="str">
        <f>Descargas!E849</f>
        <v>https://resources.simonelectric.com/simon-material-formativo-vehiculo-electrico</v>
      </c>
      <c r="E849" s="20" t="str">
        <f t="shared" si="1"/>
        <v>691@cbre.com</v>
      </c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</row>
    <row r="850" ht="15.75" customHeight="1">
      <c r="A850" s="18" t="str">
        <f>Descargas!A850</f>
        <v>692@gmail.com</v>
      </c>
      <c r="B850" s="19" t="str">
        <f>IFERROR(__xludf.DUMMYFUNCTION("IF(OR(regexmatch(A850,"".*@simon.es$""),REGEXMATCH(A850,"".*@simon.pt$""),REGEXMATCH(A850,"".*@simonelectrica.com$""),REGEXMATCH(A850,"".*@hiberus.com$""),REGEXMATCH(A850,"".*@simonbrico.es$""),regexmatch(A850,"".*@simonelectric.com$"")),""null"",A850)"),"692@gmail.com")</f>
        <v>692@gmail.com</v>
      </c>
      <c r="C850" s="5">
        <f>IF(B850="null","null",Descargas!B850)</f>
        <v>43973</v>
      </c>
      <c r="D850" s="6" t="str">
        <f>Descargas!E850</f>
        <v>https://resources.simonelectric.com/simon-ebook-vehiculo-electrico-ppc</v>
      </c>
      <c r="E850" s="20" t="str">
        <f t="shared" si="1"/>
        <v>692@gmail.com</v>
      </c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</row>
    <row r="851" ht="15.75" customHeight="1">
      <c r="A851" s="18" t="str">
        <f>Descargas!A851</f>
        <v>693@yahoo.com.mx</v>
      </c>
      <c r="B851" s="19" t="str">
        <f>IFERROR(__xludf.DUMMYFUNCTION("IF(OR(regexmatch(A851,"".*@simon.es$""),REGEXMATCH(A851,"".*@simon.pt$""),REGEXMATCH(A851,"".*@simonelectrica.com$""),REGEXMATCH(A851,"".*@hiberus.com$""),REGEXMATCH(A851,"".*@simonbrico.es$""),regexmatch(A851,"".*@simonelectric.com$"")),""null"",A851)"),"693@yahoo.com.mx")</f>
        <v>693@yahoo.com.mx</v>
      </c>
      <c r="C851" s="5">
        <f>IF(B851="null","null",Descargas!B851)</f>
        <v>43973</v>
      </c>
      <c r="D851" s="6" t="str">
        <f>Descargas!E851</f>
        <v>https://resources.simonelectric.com/simon-ebook-vehiculo-electrico</v>
      </c>
      <c r="E851" s="20" t="str">
        <f t="shared" si="1"/>
        <v>693@yahoo.com.mx</v>
      </c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</row>
    <row r="852" ht="15.75" customHeight="1">
      <c r="A852" s="18" t="str">
        <f>Descargas!A852</f>
        <v>694@gmail.com</v>
      </c>
      <c r="B852" s="19" t="str">
        <f>IFERROR(__xludf.DUMMYFUNCTION("IF(OR(regexmatch(A852,"".*@simon.es$""),REGEXMATCH(A852,"".*@simon.pt$""),REGEXMATCH(A852,"".*@simonelectrica.com$""),REGEXMATCH(A852,"".*@hiberus.com$""),REGEXMATCH(A852,"".*@simonbrico.es$""),regexmatch(A852,"".*@simonelectric.com$"")),""null"",A852)"),"694@gmail.com")</f>
        <v>694@gmail.com</v>
      </c>
      <c r="C852" s="5">
        <f>IF(B852="null","null",Descargas!B852)</f>
        <v>43972</v>
      </c>
      <c r="D852" s="6" t="str">
        <f>Descargas!E852</f>
        <v>https://resources.simonelectric.com/simon-ebook-vehiculo-electrico-ppc</v>
      </c>
      <c r="E852" s="20" t="str">
        <f t="shared" si="1"/>
        <v>694@gmail.com</v>
      </c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</row>
    <row r="853" ht="15.75" customHeight="1">
      <c r="A853" s="18" t="str">
        <f>Descargas!A853</f>
        <v>695@gmail.com</v>
      </c>
      <c r="B853" s="19" t="str">
        <f>IFERROR(__xludf.DUMMYFUNCTION("IF(OR(regexmatch(A853,"".*@simon.es$""),REGEXMATCH(A853,"".*@simon.pt$""),REGEXMATCH(A853,"".*@simonelectrica.com$""),REGEXMATCH(A853,"".*@hiberus.com$""),REGEXMATCH(A853,"".*@simonbrico.es$""),regexmatch(A853,"".*@simonelectric.com$"")),""null"",A853)"),"695@gmail.com")</f>
        <v>695@gmail.com</v>
      </c>
      <c r="C853" s="5">
        <f>IF(B853="null","null",Descargas!B853)</f>
        <v>43972</v>
      </c>
      <c r="D853" s="6" t="str">
        <f>Descargas!E853</f>
        <v>https://resources.simonelectric.com/simon-catalogo-vehiculo-electrico</v>
      </c>
      <c r="E853" s="20" t="str">
        <f t="shared" si="1"/>
        <v>695@gmail.com</v>
      </c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</row>
    <row r="854" ht="15.75" customHeight="1">
      <c r="A854" s="18" t="str">
        <f>Descargas!A854</f>
        <v>696@rlinstalacioneselectricas.com</v>
      </c>
      <c r="B854" s="19" t="str">
        <f>IFERROR(__xludf.DUMMYFUNCTION("IF(OR(regexmatch(A854,"".*@simon.es$""),REGEXMATCH(A854,"".*@simon.pt$""),REGEXMATCH(A854,"".*@simonelectrica.com$""),REGEXMATCH(A854,"".*@hiberus.com$""),REGEXMATCH(A854,"".*@simonbrico.es$""),regexmatch(A854,"".*@simonelectric.com$"")),""null"",A854)"),"696@rlinstalacioneselectricas.com")</f>
        <v>696@rlinstalacioneselectricas.com</v>
      </c>
      <c r="C854" s="5">
        <f>IF(B854="null","null",Descargas!B854)</f>
        <v>43972</v>
      </c>
      <c r="D854" s="6" t="str">
        <f>Descargas!E854</f>
        <v>https://resources.simonelectric.com/simon-ebook-vehiculo-electrico</v>
      </c>
      <c r="E854" s="20" t="str">
        <f t="shared" si="1"/>
        <v>696@rlinstalacioneselectricas.com</v>
      </c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</row>
    <row r="855" ht="15.75" customHeight="1">
      <c r="A855" s="18" t="str">
        <f>Descargas!A855</f>
        <v>398@ciudaddelosmuchachos.com</v>
      </c>
      <c r="B855" s="19" t="str">
        <f>IFERROR(__xludf.DUMMYFUNCTION("IF(OR(regexmatch(A855,"".*@simon.es$""),REGEXMATCH(A855,"".*@simon.pt$""),REGEXMATCH(A855,"".*@simonelectrica.com$""),REGEXMATCH(A855,"".*@hiberus.com$""),REGEXMATCH(A855,"".*@simonbrico.es$""),regexmatch(A855,"".*@simonelectric.com$"")),""null"",A855)"),"398@ciudaddelosmuchachos.com")</f>
        <v>398@ciudaddelosmuchachos.com</v>
      </c>
      <c r="C855" s="5">
        <f>IF(B855="null","null",Descargas!B855)</f>
        <v>43972</v>
      </c>
      <c r="D855" s="6" t="str">
        <f>Descargas!E855</f>
        <v>https://resources.simonelectric.com/simon-catalogo-vehiculo-electrico</v>
      </c>
      <c r="E855" s="20" t="str">
        <f t="shared" si="1"/>
        <v>398@ciudaddelosmuchachos.com</v>
      </c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</row>
    <row r="856" ht="15.75" customHeight="1">
      <c r="A856" s="18" t="str">
        <f>Descargas!A856</f>
        <v>289@gmail.com</v>
      </c>
      <c r="B856" s="19" t="str">
        <f>IFERROR(__xludf.DUMMYFUNCTION("IF(OR(regexmatch(A856,"".*@simon.es$""),REGEXMATCH(A856,"".*@simon.pt$""),REGEXMATCH(A856,"".*@simonelectrica.com$""),REGEXMATCH(A856,"".*@hiberus.com$""),REGEXMATCH(A856,"".*@simonbrico.es$""),regexmatch(A856,"".*@simonelectric.com$"")),""null"",A856)"),"289@gmail.com")</f>
        <v>289@gmail.com</v>
      </c>
      <c r="C856" s="5">
        <f>IF(B856="null","null",Descargas!B856)</f>
        <v>43972</v>
      </c>
      <c r="D856" s="6" t="str">
        <f>Descargas!E856</f>
        <v>https://resources.simonelectric.com/simon-material-formativo-vehiculo-electrico</v>
      </c>
      <c r="E856" s="20" t="str">
        <f t="shared" si="1"/>
        <v>289@gmail.com</v>
      </c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</row>
    <row r="857" ht="15.75" customHeight="1">
      <c r="A857" s="18" t="str">
        <f>Descargas!A857</f>
        <v>697@ingedomsl.com</v>
      </c>
      <c r="B857" s="19" t="str">
        <f>IFERROR(__xludf.DUMMYFUNCTION("IF(OR(regexmatch(A857,"".*@simon.es$""),REGEXMATCH(A857,"".*@simon.pt$""),REGEXMATCH(A857,"".*@simonelectrica.com$""),REGEXMATCH(A857,"".*@hiberus.com$""),REGEXMATCH(A857,"".*@simonbrico.es$""),regexmatch(A857,"".*@simonelectric.com$"")),""null"",A857)"),"697@ingedomsl.com")</f>
        <v>697@ingedomsl.com</v>
      </c>
      <c r="C857" s="5">
        <f>IF(B857="null","null",Descargas!B857)</f>
        <v>43972</v>
      </c>
      <c r="D857" s="6" t="str">
        <f>Descargas!E857</f>
        <v>https://resources.simonelectric.com/simon-catalogo-vehiculo-electrico</v>
      </c>
      <c r="E857" s="20" t="str">
        <f t="shared" si="1"/>
        <v>697@ingedomsl.com</v>
      </c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</row>
    <row r="858" ht="15.75" customHeight="1">
      <c r="A858" s="18" t="str">
        <f>Descargas!A858</f>
        <v>698@gmail.com</v>
      </c>
      <c r="B858" s="19" t="str">
        <f>IFERROR(__xludf.DUMMYFUNCTION("IF(OR(regexmatch(A858,"".*@simon.es$""),REGEXMATCH(A858,"".*@simon.pt$""),REGEXMATCH(A858,"".*@simonelectrica.com$""),REGEXMATCH(A858,"".*@hiberus.com$""),REGEXMATCH(A858,"".*@simonbrico.es$""),regexmatch(A858,"".*@simonelectric.com$"")),""null"",A858)"),"698@gmail.com")</f>
        <v>698@gmail.com</v>
      </c>
      <c r="C858" s="5">
        <f>IF(B858="null","null",Descargas!B858)</f>
        <v>43972</v>
      </c>
      <c r="D858" s="6" t="str">
        <f>Descargas!E858</f>
        <v>https://resources.simonelectric.com/simon-material-formativo-vehiculo-electrico</v>
      </c>
      <c r="E858" s="20" t="str">
        <f t="shared" si="1"/>
        <v>698@gmail.com</v>
      </c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</row>
    <row r="859" ht="15.75" customHeight="1">
      <c r="A859" s="18" t="str">
        <f>Descargas!A859</f>
        <v>601@gmail.com</v>
      </c>
      <c r="B859" s="19" t="str">
        <f>IFERROR(__xludf.DUMMYFUNCTION("IF(OR(regexmatch(A859,"".*@simon.es$""),REGEXMATCH(A859,"".*@simon.pt$""),REGEXMATCH(A859,"".*@simonelectrica.com$""),REGEXMATCH(A859,"".*@hiberus.com$""),REGEXMATCH(A859,"".*@simonbrico.es$""),regexmatch(A859,"".*@simonelectric.com$"")),""null"",A859)"),"601@gmail.com")</f>
        <v>601@gmail.com</v>
      </c>
      <c r="C859" s="5">
        <f>IF(B859="null","null",Descargas!B859)</f>
        <v>43972</v>
      </c>
      <c r="D859" s="6" t="str">
        <f>Descargas!E859</f>
        <v>https://resources.simonelectric.com/simon-ebook-vehiculo-electrico</v>
      </c>
      <c r="E859" s="20" t="str">
        <f t="shared" si="1"/>
        <v>601@gmail.com</v>
      </c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</row>
    <row r="860" ht="15.75" customHeight="1">
      <c r="A860" s="18" t="str">
        <f>Descargas!A860</f>
        <v>516@hotmail.es</v>
      </c>
      <c r="B860" s="19" t="str">
        <f>IFERROR(__xludf.DUMMYFUNCTION("IF(OR(regexmatch(A860,"".*@simon.es$""),REGEXMATCH(A860,"".*@simon.pt$""),REGEXMATCH(A860,"".*@simonelectrica.com$""),REGEXMATCH(A860,"".*@hiberus.com$""),REGEXMATCH(A860,"".*@simonbrico.es$""),regexmatch(A860,"".*@simonelectric.com$"")),""null"",A860)"),"516@hotmail.es")</f>
        <v>516@hotmail.es</v>
      </c>
      <c r="C860" s="5">
        <f>IF(B860="null","null",Descargas!B860)</f>
        <v>43972</v>
      </c>
      <c r="D860" s="6" t="str">
        <f>Descargas!E860</f>
        <v>https://resources.simonelectric.com/simon-catalogo-vehiculo-electrico</v>
      </c>
      <c r="E860" s="20" t="str">
        <f t="shared" si="1"/>
        <v>516@hotmail.es</v>
      </c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</row>
    <row r="861" ht="15.75" customHeight="1">
      <c r="A861" s="18" t="str">
        <f>Descargas!A861</f>
        <v>699@unisystems.es</v>
      </c>
      <c r="B861" s="19" t="str">
        <f>IFERROR(__xludf.DUMMYFUNCTION("IF(OR(regexmatch(A861,"".*@simon.es$""),REGEXMATCH(A861,"".*@simon.pt$""),REGEXMATCH(A861,"".*@simonelectrica.com$""),REGEXMATCH(A861,"".*@hiberus.com$""),REGEXMATCH(A861,"".*@simonbrico.es$""),regexmatch(A861,"".*@simonelectric.com$"")),""null"",A861)"),"699@unisystems.es")</f>
        <v>699@unisystems.es</v>
      </c>
      <c r="C861" s="5">
        <f>IF(B861="null","null",Descargas!B861)</f>
        <v>43972</v>
      </c>
      <c r="D861" s="6" t="str">
        <f>Descargas!E861</f>
        <v>https://resources.simonelectric.com/simon-ebook-vehiculo-electrico</v>
      </c>
      <c r="E861" s="20" t="str">
        <f t="shared" si="1"/>
        <v>699@unisystems.es</v>
      </c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</row>
    <row r="862" ht="15.75" customHeight="1">
      <c r="A862" s="18" t="str">
        <f>Descargas!A862</f>
        <v>700@gmail.com</v>
      </c>
      <c r="B862" s="19" t="str">
        <f>IFERROR(__xludf.DUMMYFUNCTION("IF(OR(regexmatch(A862,"".*@simon.es$""),REGEXMATCH(A862,"".*@simon.pt$""),REGEXMATCH(A862,"".*@simonelectrica.com$""),REGEXMATCH(A862,"".*@hiberus.com$""),REGEXMATCH(A862,"".*@simonbrico.es$""),regexmatch(A862,"".*@simonelectric.com$"")),""null"",A862)"),"700@gmail.com")</f>
        <v>700@gmail.com</v>
      </c>
      <c r="C862" s="5">
        <f>IF(B862="null","null",Descargas!B862)</f>
        <v>43972</v>
      </c>
      <c r="D862" s="6" t="str">
        <f>Descargas!E862</f>
        <v>https://resources.simonelectric.com/simon-ebook-vehiculo-electrico</v>
      </c>
      <c r="E862" s="20" t="str">
        <f t="shared" si="1"/>
        <v>700@gmail.com</v>
      </c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</row>
    <row r="863" ht="15.75" customHeight="1">
      <c r="A863" s="18" t="str">
        <f>Descargas!A863</f>
        <v>575@hotmail.com</v>
      </c>
      <c r="B863" s="19" t="str">
        <f>IFERROR(__xludf.DUMMYFUNCTION("IF(OR(regexmatch(A863,"".*@simon.es$""),REGEXMATCH(A863,"".*@simon.pt$""),REGEXMATCH(A863,"".*@simonelectrica.com$""),REGEXMATCH(A863,"".*@hiberus.com$""),REGEXMATCH(A863,"".*@simonbrico.es$""),regexmatch(A863,"".*@simonelectric.com$"")),""null"",A863)"),"575@hotmail.com")</f>
        <v>575@hotmail.com</v>
      </c>
      <c r="C863" s="5">
        <f>IF(B863="null","null",Descargas!B863)</f>
        <v>43972</v>
      </c>
      <c r="D863" s="6" t="str">
        <f>Descargas!E863</f>
        <v>https://resources.simonelectric.com/simon-catalogo-vehiculo-electrico</v>
      </c>
      <c r="E863" s="20" t="str">
        <f t="shared" si="1"/>
        <v>575@hotmail.com</v>
      </c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</row>
    <row r="864" ht="15.75" customHeight="1">
      <c r="A864" s="18" t="str">
        <f>Descargas!A864</f>
        <v>627@gmail.com</v>
      </c>
      <c r="B864" s="19" t="str">
        <f>IFERROR(__xludf.DUMMYFUNCTION("IF(OR(regexmatch(A864,"".*@simon.es$""),REGEXMATCH(A864,"".*@simon.pt$""),REGEXMATCH(A864,"".*@simonelectrica.com$""),REGEXMATCH(A864,"".*@hiberus.com$""),REGEXMATCH(A864,"".*@simonbrico.es$""),regexmatch(A864,"".*@simonelectric.com$"")),""null"",A864)"),"627@gmail.com")</f>
        <v>627@gmail.com</v>
      </c>
      <c r="C864" s="5">
        <f>IF(B864="null","null",Descargas!B864)</f>
        <v>43972</v>
      </c>
      <c r="D864" s="6" t="str">
        <f>Descargas!E864</f>
        <v>https://resources.simonelectric.com/simon-catalogo-vehiculo-electrico</v>
      </c>
      <c r="E864" s="20" t="str">
        <f t="shared" si="1"/>
        <v>627@gmail.com</v>
      </c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</row>
    <row r="865" ht="15.75" customHeight="1">
      <c r="A865" s="18" t="str">
        <f>Descargas!A865</f>
        <v>701@gmail.com</v>
      </c>
      <c r="B865" s="19" t="str">
        <f>IFERROR(__xludf.DUMMYFUNCTION("IF(OR(regexmatch(A865,"".*@simon.es$""),REGEXMATCH(A865,"".*@simon.pt$""),REGEXMATCH(A865,"".*@simonelectrica.com$""),REGEXMATCH(A865,"".*@hiberus.com$""),REGEXMATCH(A865,"".*@simonbrico.es$""),regexmatch(A865,"".*@simonelectric.com$"")),""null"",A865)"),"701@gmail.com")</f>
        <v>701@gmail.com</v>
      </c>
      <c r="C865" s="5">
        <f>IF(B865="null","null",Descargas!B865)</f>
        <v>43972</v>
      </c>
      <c r="D865" s="6" t="str">
        <f>Descargas!E865</f>
        <v>https://resources.simonelectric.com/simon-ebook-vehiculo-electrico</v>
      </c>
      <c r="E865" s="20" t="str">
        <f t="shared" si="1"/>
        <v>701@gmail.com</v>
      </c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</row>
    <row r="866" ht="15.75" customHeight="1">
      <c r="A866" s="18" t="str">
        <f>Descargas!A866</f>
        <v>702@hotmail.com</v>
      </c>
      <c r="B866" s="19" t="str">
        <f>IFERROR(__xludf.DUMMYFUNCTION("IF(OR(regexmatch(A866,"".*@simon.es$""),REGEXMATCH(A866,"".*@simon.pt$""),REGEXMATCH(A866,"".*@simonelectrica.com$""),REGEXMATCH(A866,"".*@hiberus.com$""),REGEXMATCH(A866,"".*@simonbrico.es$""),regexmatch(A866,"".*@simonelectric.com$"")),""null"",A866)"),"702@hotmail.com")</f>
        <v>702@hotmail.com</v>
      </c>
      <c r="C866" s="5">
        <f>IF(B866="null","null",Descargas!B866)</f>
        <v>43972</v>
      </c>
      <c r="D866" s="6" t="str">
        <f>Descargas!E866</f>
        <v>https://resources.simonelectric.com/simon-ebook-vehiculo-electrico</v>
      </c>
      <c r="E866" s="20" t="str">
        <f t="shared" si="1"/>
        <v>702@hotmail.com</v>
      </c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</row>
    <row r="867" ht="15.75" customHeight="1">
      <c r="A867" s="18" t="str">
        <f>Descargas!A867</f>
        <v>703@gmail.com</v>
      </c>
      <c r="B867" s="19" t="str">
        <f>IFERROR(__xludf.DUMMYFUNCTION("IF(OR(regexmatch(A867,"".*@simon.es$""),REGEXMATCH(A867,"".*@simon.pt$""),REGEXMATCH(A867,"".*@simonelectrica.com$""),REGEXMATCH(A867,"".*@hiberus.com$""),REGEXMATCH(A867,"".*@simonbrico.es$""),regexmatch(A867,"".*@simonelectric.com$"")),""null"",A867)"),"703@gmail.com")</f>
        <v>703@gmail.com</v>
      </c>
      <c r="C867" s="5">
        <f>IF(B867="null","null",Descargas!B867)</f>
        <v>43972</v>
      </c>
      <c r="D867" s="6" t="str">
        <f>Descargas!E867</f>
        <v>https://resources.simonelectric.com/simon-ebook-vehiculo-electrico</v>
      </c>
      <c r="E867" s="20" t="str">
        <f t="shared" si="1"/>
        <v>703@gmail.com</v>
      </c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</row>
    <row r="868" ht="15.75" customHeight="1">
      <c r="A868" s="18" t="str">
        <f>Descargas!A868</f>
        <v>704@gmail.com</v>
      </c>
      <c r="B868" s="19" t="str">
        <f>IFERROR(__xludf.DUMMYFUNCTION("IF(OR(regexmatch(A868,"".*@simon.es$""),REGEXMATCH(A868,"".*@simon.pt$""),REGEXMATCH(A868,"".*@simonelectrica.com$""),REGEXMATCH(A868,"".*@hiberus.com$""),REGEXMATCH(A868,"".*@simonbrico.es$""),regexmatch(A868,"".*@simonelectric.com$"")),""null"",A868)"),"704@gmail.com")</f>
        <v>704@gmail.com</v>
      </c>
      <c r="C868" s="5">
        <f>IF(B868="null","null",Descargas!B868)</f>
        <v>43972</v>
      </c>
      <c r="D868" s="6" t="str">
        <f>Descargas!E868</f>
        <v>https://resources.simonelectric.com/simon-catalogo-vehiculo-electrico</v>
      </c>
      <c r="E868" s="20" t="str">
        <f t="shared" si="1"/>
        <v>704@gmail.com</v>
      </c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</row>
    <row r="869" ht="15.75" customHeight="1">
      <c r="A869" s="18" t="str">
        <f>Descargas!A869</f>
        <v>705@gmail.com</v>
      </c>
      <c r="B869" s="19" t="str">
        <f>IFERROR(__xludf.DUMMYFUNCTION("IF(OR(regexmatch(A869,"".*@simon.es$""),REGEXMATCH(A869,"".*@simon.pt$""),REGEXMATCH(A869,"".*@simonelectrica.com$""),REGEXMATCH(A869,"".*@hiberus.com$""),REGEXMATCH(A869,"".*@simonbrico.es$""),regexmatch(A869,"".*@simonelectric.com$"")),""null"",A869)"),"705@gmail.com")</f>
        <v>705@gmail.com</v>
      </c>
      <c r="C869" s="5">
        <f>IF(B869="null","null",Descargas!B869)</f>
        <v>43972</v>
      </c>
      <c r="D869" s="6" t="str">
        <f>Descargas!E869</f>
        <v>https://resources.simonelectric.com/simon-ebook-vehiculo-electrico</v>
      </c>
      <c r="E869" s="20" t="str">
        <f t="shared" si="1"/>
        <v>705@gmail.com</v>
      </c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</row>
    <row r="870" ht="15.75" customHeight="1">
      <c r="A870" s="18" t="str">
        <f>Descargas!A870</f>
        <v>705@gmail.com</v>
      </c>
      <c r="B870" s="19" t="str">
        <f>IFERROR(__xludf.DUMMYFUNCTION("IF(OR(regexmatch(A870,"".*@simon.es$""),REGEXMATCH(A870,"".*@simon.pt$""),REGEXMATCH(A870,"".*@simonelectrica.com$""),REGEXMATCH(A870,"".*@hiberus.com$""),REGEXMATCH(A870,"".*@simonbrico.es$""),regexmatch(A870,"".*@simonelectric.com$"")),""null"",A870)"),"705@gmail.com")</f>
        <v>705@gmail.com</v>
      </c>
      <c r="C870" s="5">
        <f>IF(B870="null","null",Descargas!B870)</f>
        <v>43972</v>
      </c>
      <c r="D870" s="6" t="str">
        <f>Descargas!E870</f>
        <v>https://resources.simonelectric.com/simon-ebook-vehiculo-electrico</v>
      </c>
      <c r="E870" s="20" t="str">
        <f t="shared" si="1"/>
        <v>705@gmail.com</v>
      </c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</row>
    <row r="871" ht="15.75" customHeight="1">
      <c r="A871" s="18" t="str">
        <f>Descargas!A871</f>
        <v>706@juntaex.es</v>
      </c>
      <c r="B871" s="19" t="str">
        <f>IFERROR(__xludf.DUMMYFUNCTION("IF(OR(regexmatch(A871,"".*@simon.es$""),REGEXMATCH(A871,"".*@simon.pt$""),REGEXMATCH(A871,"".*@simonelectrica.com$""),REGEXMATCH(A871,"".*@hiberus.com$""),REGEXMATCH(A871,"".*@simonbrico.es$""),regexmatch(A871,"".*@simonelectric.com$"")),""null"",A871)"),"706@juntaex.es")</f>
        <v>706@juntaex.es</v>
      </c>
      <c r="C871" s="5">
        <f>IF(B871="null","null",Descargas!B871)</f>
        <v>43972</v>
      </c>
      <c r="D871" s="6" t="str">
        <f>Descargas!E871</f>
        <v>https://resources.simonelectric.com/simon-catalogo-vehiculo-electrico</v>
      </c>
      <c r="E871" s="20" t="str">
        <f t="shared" si="1"/>
        <v>706@juntaex.es</v>
      </c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</row>
    <row r="872" ht="15.75" customHeight="1">
      <c r="A872" s="18" t="str">
        <f>Descargas!A872</f>
        <v>707@ufd.es</v>
      </c>
      <c r="B872" s="19" t="str">
        <f>IFERROR(__xludf.DUMMYFUNCTION("IF(OR(regexmatch(A872,"".*@simon.es$""),REGEXMATCH(A872,"".*@simon.pt$""),REGEXMATCH(A872,"".*@simonelectrica.com$""),REGEXMATCH(A872,"".*@hiberus.com$""),REGEXMATCH(A872,"".*@simonbrico.es$""),regexmatch(A872,"".*@simonelectric.com$"")),""null"",A872)"),"707@ufd.es")</f>
        <v>707@ufd.es</v>
      </c>
      <c r="C872" s="5">
        <f>IF(B872="null","null",Descargas!B872)</f>
        <v>43972</v>
      </c>
      <c r="D872" s="6" t="str">
        <f>Descargas!E872</f>
        <v>https://resources.simonelectric.com/simon-ebook-vehiculo-electrico</v>
      </c>
      <c r="E872" s="20" t="str">
        <f t="shared" si="1"/>
        <v>707@ufd.es</v>
      </c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</row>
    <row r="873" ht="15.75" customHeight="1">
      <c r="A873" s="18" t="str">
        <f>Descargas!A873</f>
        <v>708@zaker.com</v>
      </c>
      <c r="B873" s="19" t="str">
        <f>IFERROR(__xludf.DUMMYFUNCTION("IF(OR(regexmatch(A873,"".*@simon.es$""),REGEXMATCH(A873,"".*@simon.pt$""),REGEXMATCH(A873,"".*@simonelectrica.com$""),REGEXMATCH(A873,"".*@hiberus.com$""),REGEXMATCH(A873,"".*@simonbrico.es$""),regexmatch(A873,"".*@simonelectric.com$"")),""null"",A873)"),"708@zaker.com")</f>
        <v>708@zaker.com</v>
      </c>
      <c r="C873" s="5">
        <f>IF(B873="null","null",Descargas!B873)</f>
        <v>43972</v>
      </c>
      <c r="D873" s="6" t="str">
        <f>Descargas!E873</f>
        <v>https://resources.simonelectric.com/simon-catalogo-vehiculo-electrico</v>
      </c>
      <c r="E873" s="20" t="str">
        <f t="shared" si="1"/>
        <v>708@zaker.com</v>
      </c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</row>
    <row r="874" ht="15.75" customHeight="1">
      <c r="A874" s="18" t="str">
        <f>Descargas!A874</f>
        <v>708@zaker.com</v>
      </c>
      <c r="B874" s="19" t="str">
        <f>IFERROR(__xludf.DUMMYFUNCTION("IF(OR(regexmatch(A874,"".*@simon.es$""),REGEXMATCH(A874,"".*@simon.pt$""),REGEXMATCH(A874,"".*@simonelectrica.com$""),REGEXMATCH(A874,"".*@hiberus.com$""),REGEXMATCH(A874,"".*@simonbrico.es$""),regexmatch(A874,"".*@simonelectric.com$"")),""null"",A874)"),"708@zaker.com")</f>
        <v>708@zaker.com</v>
      </c>
      <c r="C874" s="5">
        <f>IF(B874="null","null",Descargas!B874)</f>
        <v>43972</v>
      </c>
      <c r="D874" s="6" t="str">
        <f>Descargas!E874</f>
        <v>https://resources.simonelectric.com/simon-ebook-vehiculo-electrico</v>
      </c>
      <c r="E874" s="20" t="str">
        <f t="shared" si="1"/>
        <v>708@zaker.com</v>
      </c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</row>
    <row r="875" ht="15.75" customHeight="1">
      <c r="A875" s="18" t="str">
        <f>Descargas!A875</f>
        <v>709@gmail.com</v>
      </c>
      <c r="B875" s="19" t="str">
        <f>IFERROR(__xludf.DUMMYFUNCTION("IF(OR(regexmatch(A875,"".*@simon.es$""),REGEXMATCH(A875,"".*@simon.pt$""),REGEXMATCH(A875,"".*@simonelectrica.com$""),REGEXMATCH(A875,"".*@hiberus.com$""),REGEXMATCH(A875,"".*@simonbrico.es$""),regexmatch(A875,"".*@simonelectric.com$"")),""null"",A875)"),"709@gmail.com")</f>
        <v>709@gmail.com</v>
      </c>
      <c r="C875" s="5">
        <f>IF(B875="null","null",Descargas!B875)</f>
        <v>43972</v>
      </c>
      <c r="D875" s="6" t="str">
        <f>Descargas!E875</f>
        <v>https://resources.simonelectric.com/simon-catalogo-vehiculo-electrico</v>
      </c>
      <c r="E875" s="20" t="str">
        <f t="shared" si="1"/>
        <v>709@gmail.com</v>
      </c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</row>
    <row r="876" ht="15.75" customHeight="1">
      <c r="A876" s="18" t="str">
        <f>Descargas!A876</f>
        <v>602@gmail.com</v>
      </c>
      <c r="B876" s="19" t="str">
        <f>IFERROR(__xludf.DUMMYFUNCTION("IF(OR(regexmatch(A876,"".*@simon.es$""),REGEXMATCH(A876,"".*@simon.pt$""),REGEXMATCH(A876,"".*@simonelectrica.com$""),REGEXMATCH(A876,"".*@hiberus.com$""),REGEXMATCH(A876,"".*@simonbrico.es$""),regexmatch(A876,"".*@simonelectric.com$"")),""null"",A876)"),"602@gmail.com")</f>
        <v>602@gmail.com</v>
      </c>
      <c r="C876" s="5">
        <f>IF(B876="null","null",Descargas!B876)</f>
        <v>43972</v>
      </c>
      <c r="D876" s="6" t="str">
        <f>Descargas!E876</f>
        <v>https://resources.simonelectric.com/simon-ebook-vehiculo-electrico</v>
      </c>
      <c r="E876" s="20" t="str">
        <f t="shared" si="1"/>
        <v>602@gmail.com</v>
      </c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</row>
    <row r="877" ht="15.75" customHeight="1">
      <c r="A877" s="18" t="str">
        <f>Descargas!A877</f>
        <v>710@hotmail.com</v>
      </c>
      <c r="B877" s="19" t="str">
        <f>IFERROR(__xludf.DUMMYFUNCTION("IF(OR(regexmatch(A877,"".*@simon.es$""),REGEXMATCH(A877,"".*@simon.pt$""),REGEXMATCH(A877,"".*@simonelectrica.com$""),REGEXMATCH(A877,"".*@hiberus.com$""),REGEXMATCH(A877,"".*@simonbrico.es$""),regexmatch(A877,"".*@simonelectric.com$"")),""null"",A877)"),"710@hotmail.com")</f>
        <v>710@hotmail.com</v>
      </c>
      <c r="C877" s="5">
        <f>IF(B877="null","null",Descargas!B877)</f>
        <v>43972</v>
      </c>
      <c r="D877" s="6" t="str">
        <f>Descargas!E877</f>
        <v>https://resources.simonelectric.com/simon-ebook-vehiculo-electrico</v>
      </c>
      <c r="E877" s="20" t="str">
        <f t="shared" si="1"/>
        <v>710@hotmail.com</v>
      </c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</row>
    <row r="878" ht="15.75" customHeight="1">
      <c r="A878" s="18" t="str">
        <f>Descargas!A878</f>
        <v>670@nogawatio.es</v>
      </c>
      <c r="B878" s="19" t="str">
        <f>IFERROR(__xludf.DUMMYFUNCTION("IF(OR(regexmatch(A878,"".*@simon.es$""),REGEXMATCH(A878,"".*@simon.pt$""),REGEXMATCH(A878,"".*@simonelectrica.com$""),REGEXMATCH(A878,"".*@hiberus.com$""),REGEXMATCH(A878,"".*@simonbrico.es$""),regexmatch(A878,"".*@simonelectric.com$"")),""null"",A878)"),"670@nogawatio.es")</f>
        <v>670@nogawatio.es</v>
      </c>
      <c r="C878" s="5">
        <f>IF(B878="null","null",Descargas!B878)</f>
        <v>43972</v>
      </c>
      <c r="D878" s="6" t="str">
        <f>Descargas!E878</f>
        <v>https://resources.simonelectric.com/simon-ebook-vehiculo-electrico</v>
      </c>
      <c r="E878" s="20" t="str">
        <f t="shared" si="1"/>
        <v>670@nogawatio.es</v>
      </c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</row>
    <row r="879" ht="15.75" customHeight="1">
      <c r="A879" s="18" t="str">
        <f>Descargas!A879</f>
        <v>711@hotmail.com</v>
      </c>
      <c r="B879" s="19" t="str">
        <f>IFERROR(__xludf.DUMMYFUNCTION("IF(OR(regexmatch(A879,"".*@simon.es$""),REGEXMATCH(A879,"".*@simon.pt$""),REGEXMATCH(A879,"".*@simonelectrica.com$""),REGEXMATCH(A879,"".*@hiberus.com$""),REGEXMATCH(A879,"".*@simonbrico.es$""),regexmatch(A879,"".*@simonelectric.com$"")),""null"",A879)"),"711@hotmail.com")</f>
        <v>711@hotmail.com</v>
      </c>
      <c r="C879" s="5">
        <f>IF(B879="null","null",Descargas!B879)</f>
        <v>43972</v>
      </c>
      <c r="D879" s="6" t="str">
        <f>Descargas!E879</f>
        <v>https://resources.simonelectric.com/simon-ebook-vehiculo-electrico</v>
      </c>
      <c r="E879" s="20" t="str">
        <f t="shared" si="1"/>
        <v>711@hotmail.com</v>
      </c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</row>
    <row r="880" ht="15.75" customHeight="1">
      <c r="A880" s="18" t="str">
        <f>Descargas!A880</f>
        <v>607@eficiona.com</v>
      </c>
      <c r="B880" s="19" t="str">
        <f>IFERROR(__xludf.DUMMYFUNCTION("IF(OR(regexmatch(A880,"".*@simon.es$""),REGEXMATCH(A880,"".*@simon.pt$""),REGEXMATCH(A880,"".*@simonelectrica.com$""),REGEXMATCH(A880,"".*@hiberus.com$""),REGEXMATCH(A880,"".*@simonbrico.es$""),regexmatch(A880,"".*@simonelectric.com$"")),""null"",A880)"),"607@eficiona.com")</f>
        <v>607@eficiona.com</v>
      </c>
      <c r="C880" s="5">
        <f>IF(B880="null","null",Descargas!B880)</f>
        <v>43972</v>
      </c>
      <c r="D880" s="6" t="str">
        <f>Descargas!E880</f>
        <v>https://resources.simonelectric.com/simon-catalogo-vehiculo-electrico</v>
      </c>
      <c r="E880" s="20" t="str">
        <f t="shared" si="1"/>
        <v>607@eficiona.com</v>
      </c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</row>
    <row r="881" ht="15.75" customHeight="1">
      <c r="A881" s="18" t="str">
        <f>Descargas!A881</f>
        <v>603@tenmega.pt</v>
      </c>
      <c r="B881" s="19" t="str">
        <f>IFERROR(__xludf.DUMMYFUNCTION("IF(OR(regexmatch(A881,"".*@simon.es$""),REGEXMATCH(A881,"".*@simon.pt$""),REGEXMATCH(A881,"".*@simonelectrica.com$""),REGEXMATCH(A881,"".*@hiberus.com$""),REGEXMATCH(A881,"".*@simonbrico.es$""),regexmatch(A881,"".*@simonelectric.com$"")),""null"",A881)"),"603@tenmega.pt")</f>
        <v>603@tenmega.pt</v>
      </c>
      <c r="C881" s="5">
        <f>IF(B881="null","null",Descargas!B881)</f>
        <v>43972</v>
      </c>
      <c r="D881" s="6" t="str">
        <f>Descargas!E881</f>
        <v>https://resources.simonelectric.com/simon-ebook-vehiculo-electrico</v>
      </c>
      <c r="E881" s="20" t="str">
        <f t="shared" si="1"/>
        <v>603@tenmega.pt</v>
      </c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</row>
    <row r="882" ht="15.75" customHeight="1">
      <c r="A882" s="18" t="str">
        <f>Descargas!A882</f>
        <v>712@gjautomotive.com</v>
      </c>
      <c r="B882" s="19" t="str">
        <f>IFERROR(__xludf.DUMMYFUNCTION("IF(OR(regexmatch(A882,"".*@simon.es$""),REGEXMATCH(A882,"".*@simon.pt$""),REGEXMATCH(A882,"".*@simonelectrica.com$""),REGEXMATCH(A882,"".*@hiberus.com$""),REGEXMATCH(A882,"".*@simonbrico.es$""),regexmatch(A882,"".*@simonelectric.com$"")),""null"",A882)"),"712@gjautomotive.com")</f>
        <v>712@gjautomotive.com</v>
      </c>
      <c r="C882" s="5">
        <f>IF(B882="null","null",Descargas!B882)</f>
        <v>43972</v>
      </c>
      <c r="D882" s="6" t="str">
        <f>Descargas!E882</f>
        <v>https://resources.simonelectric.com/simon-ebook-vehiculo-electrico</v>
      </c>
      <c r="E882" s="20" t="str">
        <f t="shared" si="1"/>
        <v>712@gjautomotive.com</v>
      </c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</row>
    <row r="883" ht="15.75" customHeight="1">
      <c r="A883" s="18" t="str">
        <f>Descargas!A883</f>
        <v>713@gmail.com</v>
      </c>
      <c r="B883" s="19" t="str">
        <f>IFERROR(__xludf.DUMMYFUNCTION("IF(OR(regexmatch(A883,"".*@simon.es$""),REGEXMATCH(A883,"".*@simon.pt$""),REGEXMATCH(A883,"".*@simonelectrica.com$""),REGEXMATCH(A883,"".*@hiberus.com$""),REGEXMATCH(A883,"".*@simonbrico.es$""),regexmatch(A883,"".*@simonelectric.com$"")),""null"",A883)"),"713@gmail.com")</f>
        <v>713@gmail.com</v>
      </c>
      <c r="C883" s="5">
        <f>IF(B883="null","null",Descargas!B883)</f>
        <v>43972</v>
      </c>
      <c r="D883" s="6" t="str">
        <f>Descargas!E883</f>
        <v>https://resources.simonelectric.com/simon-ebook-vehiculo-electrico</v>
      </c>
      <c r="E883" s="20" t="str">
        <f t="shared" si="1"/>
        <v>713@gmail.com</v>
      </c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</row>
    <row r="884" ht="15.75" customHeight="1">
      <c r="A884" s="18" t="str">
        <f>Descargas!A884</f>
        <v>714@hotmail.com</v>
      </c>
      <c r="B884" s="19" t="str">
        <f>IFERROR(__xludf.DUMMYFUNCTION("IF(OR(regexmatch(A884,"".*@simon.es$""),REGEXMATCH(A884,"".*@simon.pt$""),REGEXMATCH(A884,"".*@simonelectrica.com$""),REGEXMATCH(A884,"".*@hiberus.com$""),REGEXMATCH(A884,"".*@simonbrico.es$""),regexmatch(A884,"".*@simonelectric.com$"")),""null"",A884)"),"714@hotmail.com")</f>
        <v>714@hotmail.com</v>
      </c>
      <c r="C884" s="5">
        <f>IF(B884="null","null",Descargas!B884)</f>
        <v>43972</v>
      </c>
      <c r="D884" s="6" t="str">
        <f>Descargas!E884</f>
        <v>https://resources.simonelectric.com/simon-ebook-vehiculo-electrico</v>
      </c>
      <c r="E884" s="20" t="str">
        <f t="shared" si="1"/>
        <v>714@hotmail.com</v>
      </c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</row>
    <row r="885" ht="15.75" customHeight="1">
      <c r="A885" s="18" t="str">
        <f>Descargas!A885</f>
        <v>715@gmail.com</v>
      </c>
      <c r="B885" s="19" t="str">
        <f>IFERROR(__xludf.DUMMYFUNCTION("IF(OR(regexmatch(A885,"".*@simon.es$""),REGEXMATCH(A885,"".*@simon.pt$""),REGEXMATCH(A885,"".*@simonelectrica.com$""),REGEXMATCH(A885,"".*@hiberus.com$""),REGEXMATCH(A885,"".*@simonbrico.es$""),regexmatch(A885,"".*@simonelectric.com$"")),""null"",A885)"),"715@gmail.com")</f>
        <v>715@gmail.com</v>
      </c>
      <c r="C885" s="5">
        <f>IF(B885="null","null",Descargas!B885)</f>
        <v>43972</v>
      </c>
      <c r="D885" s="6" t="str">
        <f>Descargas!E885</f>
        <v>https://resources.simonelectric.com/simon-ebook-vehiculo-electrico</v>
      </c>
      <c r="E885" s="20" t="str">
        <f t="shared" si="1"/>
        <v>715@gmail.com</v>
      </c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</row>
    <row r="886" ht="15.75" customHeight="1">
      <c r="A886" s="18" t="str">
        <f>Descargas!A886</f>
        <v>716@gmail.com</v>
      </c>
      <c r="B886" s="19" t="str">
        <f>IFERROR(__xludf.DUMMYFUNCTION("IF(OR(regexmatch(A886,"".*@simon.es$""),REGEXMATCH(A886,"".*@simon.pt$""),REGEXMATCH(A886,"".*@simonelectrica.com$""),REGEXMATCH(A886,"".*@hiberus.com$""),REGEXMATCH(A886,"".*@simonbrico.es$""),regexmatch(A886,"".*@simonelectric.com$"")),""null"",A886)"),"716@gmail.com")</f>
        <v>716@gmail.com</v>
      </c>
      <c r="C886" s="5">
        <f>IF(B886="null","null",Descargas!B886)</f>
        <v>43972</v>
      </c>
      <c r="D886" s="6" t="str">
        <f>Descargas!E886</f>
        <v>https://resources.simonelectric.com/simon-catalogo-vehiculo-electrico</v>
      </c>
      <c r="E886" s="20" t="str">
        <f t="shared" si="1"/>
        <v>716@gmail.com</v>
      </c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</row>
    <row r="887" ht="15.75" customHeight="1">
      <c r="A887" s="18" t="str">
        <f>Descargas!A887</f>
        <v>642@ecoviv.eu</v>
      </c>
      <c r="B887" s="19" t="str">
        <f>IFERROR(__xludf.DUMMYFUNCTION("IF(OR(regexmatch(A887,"".*@simon.es$""),REGEXMATCH(A887,"".*@simon.pt$""),REGEXMATCH(A887,"".*@simonelectrica.com$""),REGEXMATCH(A887,"".*@hiberus.com$""),REGEXMATCH(A887,"".*@simonbrico.es$""),regexmatch(A887,"".*@simonelectric.com$"")),""null"",A887)"),"642@ecoviv.eu")</f>
        <v>642@ecoviv.eu</v>
      </c>
      <c r="C887" s="5">
        <f>IF(B887="null","null",Descargas!B887)</f>
        <v>43972</v>
      </c>
      <c r="D887" s="6" t="str">
        <f>Descargas!E887</f>
        <v>https://resources.simonelectric.com/simon-ebook-vehiculo-electrico</v>
      </c>
      <c r="E887" s="20" t="str">
        <f t="shared" si="1"/>
        <v>642@ecoviv.eu</v>
      </c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</row>
    <row r="888" ht="15.75" customHeight="1">
      <c r="A888" s="18" t="str">
        <f>Descargas!A888</f>
        <v>662@3cid.es</v>
      </c>
      <c r="B888" s="19" t="str">
        <f>IFERROR(__xludf.DUMMYFUNCTION("IF(OR(regexmatch(A888,"".*@simon.es$""),REGEXMATCH(A888,"".*@simon.pt$""),REGEXMATCH(A888,"".*@simonelectrica.com$""),REGEXMATCH(A888,"".*@hiberus.com$""),REGEXMATCH(A888,"".*@simonbrico.es$""),regexmatch(A888,"".*@simonelectric.com$"")),""null"",A888)"),"662@3cid.es")</f>
        <v>662@3cid.es</v>
      </c>
      <c r="C888" s="5">
        <f>IF(B888="null","null",Descargas!B888)</f>
        <v>43972</v>
      </c>
      <c r="D888" s="6" t="str">
        <f>Descargas!E888</f>
        <v>https://resources.simonelectric.com/simon-ebook-vehiculo-electrico</v>
      </c>
      <c r="E888" s="20" t="str">
        <f t="shared" si="1"/>
        <v>662@3cid.es</v>
      </c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</row>
    <row r="889" ht="15.75" customHeight="1">
      <c r="A889" s="18" t="str">
        <f>Descargas!A889</f>
        <v>717@rtve.es</v>
      </c>
      <c r="B889" s="19" t="str">
        <f>IFERROR(__xludf.DUMMYFUNCTION("IF(OR(regexmatch(A889,"".*@simon.es$""),REGEXMATCH(A889,"".*@simon.pt$""),REGEXMATCH(A889,"".*@simonelectrica.com$""),REGEXMATCH(A889,"".*@hiberus.com$""),REGEXMATCH(A889,"".*@simonbrico.es$""),regexmatch(A889,"".*@simonelectric.com$"")),""null"",A889)"),"717@rtve.es")</f>
        <v>717@rtve.es</v>
      </c>
      <c r="C889" s="5">
        <f>IF(B889="null","null",Descargas!B889)</f>
        <v>43972</v>
      </c>
      <c r="D889" s="6" t="str">
        <f>Descargas!E889</f>
        <v>https://resources.simonelectric.com/simon-ebook-vehiculo-electrico</v>
      </c>
      <c r="E889" s="20" t="str">
        <f t="shared" si="1"/>
        <v>717@rtve.es</v>
      </c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</row>
    <row r="890" ht="15.75" customHeight="1">
      <c r="A890" s="18" t="str">
        <f>Descargas!A890</f>
        <v>718@poweringcar.com</v>
      </c>
      <c r="B890" s="19" t="str">
        <f>IFERROR(__xludf.DUMMYFUNCTION("IF(OR(regexmatch(A890,"".*@simon.es$""),REGEXMATCH(A890,"".*@simon.pt$""),REGEXMATCH(A890,"".*@simonelectrica.com$""),REGEXMATCH(A890,"".*@hiberus.com$""),REGEXMATCH(A890,"".*@simonbrico.es$""),regexmatch(A890,"".*@simonelectric.com$"")),""null"",A890)"),"718@poweringcar.com")</f>
        <v>718@poweringcar.com</v>
      </c>
      <c r="C890" s="5">
        <f>IF(B890="null","null",Descargas!B890)</f>
        <v>43972</v>
      </c>
      <c r="D890" s="6" t="str">
        <f>Descargas!E890</f>
        <v>https://resources.simonelectric.com/simon-ebook-vehiculo-electrico</v>
      </c>
      <c r="E890" s="20" t="str">
        <f t="shared" si="1"/>
        <v>718@poweringcar.com</v>
      </c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</row>
    <row r="891" ht="15.75" customHeight="1">
      <c r="A891" s="18" t="str">
        <f>Descargas!A891</f>
        <v>719@gmail.com</v>
      </c>
      <c r="B891" s="19" t="str">
        <f>IFERROR(__xludf.DUMMYFUNCTION("IF(OR(regexmatch(A891,"".*@simon.es$""),REGEXMATCH(A891,"".*@simon.pt$""),REGEXMATCH(A891,"".*@simonelectrica.com$""),REGEXMATCH(A891,"".*@hiberus.com$""),REGEXMATCH(A891,"".*@simonbrico.es$""),regexmatch(A891,"".*@simonelectric.com$"")),""null"",A891)"),"719@gmail.com")</f>
        <v>719@gmail.com</v>
      </c>
      <c r="C891" s="5">
        <f>IF(B891="null","null",Descargas!B891)</f>
        <v>43972</v>
      </c>
      <c r="D891" s="6" t="str">
        <f>Descargas!E891</f>
        <v>https://resources.simonelectric.com/simon-catalogo-vehiculo-electrico</v>
      </c>
      <c r="E891" s="20" t="str">
        <f t="shared" si="1"/>
        <v>719@gmail.com</v>
      </c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</row>
    <row r="892" ht="15.75" customHeight="1">
      <c r="A892" s="18" t="str">
        <f>Descargas!A892</f>
        <v>720@pgiengineering.com</v>
      </c>
      <c r="B892" s="19" t="str">
        <f>IFERROR(__xludf.DUMMYFUNCTION("IF(OR(regexmatch(A892,"".*@simon.es$""),REGEXMATCH(A892,"".*@simon.pt$""),REGEXMATCH(A892,"".*@simonelectrica.com$""),REGEXMATCH(A892,"".*@hiberus.com$""),REGEXMATCH(A892,"".*@simonbrico.es$""),regexmatch(A892,"".*@simonelectric.com$"")),""null"",A892)"),"720@pgiengineering.com")</f>
        <v>720@pgiengineering.com</v>
      </c>
      <c r="C892" s="5">
        <f>IF(B892="null","null",Descargas!B892)</f>
        <v>43972</v>
      </c>
      <c r="D892" s="6" t="str">
        <f>Descargas!E892</f>
        <v>https://resources.simonelectric.com/simon-catalogo-vehiculo-electrico</v>
      </c>
      <c r="E892" s="20" t="str">
        <f t="shared" si="1"/>
        <v>720@pgiengineering.com</v>
      </c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</row>
    <row r="893" ht="15.75" customHeight="1">
      <c r="A893" s="18" t="str">
        <f>Descargas!A893</f>
        <v>721@gmail.com</v>
      </c>
      <c r="B893" s="19" t="str">
        <f>IFERROR(__xludf.DUMMYFUNCTION("IF(OR(regexmatch(A893,"".*@simon.es$""),REGEXMATCH(A893,"".*@simon.pt$""),REGEXMATCH(A893,"".*@simonelectrica.com$""),REGEXMATCH(A893,"".*@hiberus.com$""),REGEXMATCH(A893,"".*@simonbrico.es$""),regexmatch(A893,"".*@simonelectric.com$"")),""null"",A893)"),"721@gmail.com")</f>
        <v>721@gmail.com</v>
      </c>
      <c r="C893" s="5">
        <f>IF(B893="null","null",Descargas!B893)</f>
        <v>43972</v>
      </c>
      <c r="D893" s="6" t="str">
        <f>Descargas!E893</f>
        <v>https://resources.simonelectric.com/simon-catalogo-vehiculo-electrico</v>
      </c>
      <c r="E893" s="20" t="str">
        <f t="shared" si="1"/>
        <v>721@gmail.com</v>
      </c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</row>
    <row r="894" ht="15.75" customHeight="1">
      <c r="A894" s="18" t="str">
        <f>Descargas!A894</f>
        <v>722@gmail.com</v>
      </c>
      <c r="B894" s="19" t="str">
        <f>IFERROR(__xludf.DUMMYFUNCTION("IF(OR(regexmatch(A894,"".*@simon.es$""),REGEXMATCH(A894,"".*@simon.pt$""),REGEXMATCH(A894,"".*@simonelectrica.com$""),REGEXMATCH(A894,"".*@hiberus.com$""),REGEXMATCH(A894,"".*@simonbrico.es$""),regexmatch(A894,"".*@simonelectric.com$"")),""null"",A894)"),"722@gmail.com")</f>
        <v>722@gmail.com</v>
      </c>
      <c r="C894" s="5">
        <f>IF(B894="null","null",Descargas!B894)</f>
        <v>43972</v>
      </c>
      <c r="D894" s="6" t="str">
        <f>Descargas!E894</f>
        <v>https://resources.simonelectric.com/simon-ebook-vehiculo-electrico</v>
      </c>
      <c r="E894" s="20" t="str">
        <f t="shared" si="1"/>
        <v>722@gmail.com</v>
      </c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</row>
    <row r="895" ht="15.75" customHeight="1">
      <c r="A895" s="18" t="str">
        <f>Descargas!A895</f>
        <v>723@gmail.com</v>
      </c>
      <c r="B895" s="19" t="str">
        <f>IFERROR(__xludf.DUMMYFUNCTION("IF(OR(regexmatch(A895,"".*@simon.es$""),REGEXMATCH(A895,"".*@simon.pt$""),REGEXMATCH(A895,"".*@simonelectrica.com$""),REGEXMATCH(A895,"".*@hiberus.com$""),REGEXMATCH(A895,"".*@simonbrico.es$""),regexmatch(A895,"".*@simonelectric.com$"")),""null"",A895)"),"723@gmail.com")</f>
        <v>723@gmail.com</v>
      </c>
      <c r="C895" s="5">
        <f>IF(B895="null","null",Descargas!B895)</f>
        <v>43972</v>
      </c>
      <c r="D895" s="6" t="str">
        <f>Descargas!E895</f>
        <v>https://resources.simonelectric.com/simon-ebook-vehiculo-electrico</v>
      </c>
      <c r="E895" s="20" t="str">
        <f t="shared" si="1"/>
        <v>723@gmail.com</v>
      </c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</row>
    <row r="896" ht="15.75" customHeight="1">
      <c r="A896" s="18" t="str">
        <f>Descargas!A896</f>
        <v>724@gmail.com</v>
      </c>
      <c r="B896" s="19" t="str">
        <f>IFERROR(__xludf.DUMMYFUNCTION("IF(OR(regexmatch(A896,"".*@simon.es$""),REGEXMATCH(A896,"".*@simon.pt$""),REGEXMATCH(A896,"".*@simonelectrica.com$""),REGEXMATCH(A896,"".*@hiberus.com$""),REGEXMATCH(A896,"".*@simonbrico.es$""),regexmatch(A896,"".*@simonelectric.com$"")),""null"",A896)"),"724@gmail.com")</f>
        <v>724@gmail.com</v>
      </c>
      <c r="C896" s="5">
        <f>IF(B896="null","null",Descargas!B896)</f>
        <v>43972</v>
      </c>
      <c r="D896" s="6" t="str">
        <f>Descargas!E896</f>
        <v>https://resources.simonelectric.com/simon-catalogo-vehiculo-electrico</v>
      </c>
      <c r="E896" s="20" t="str">
        <f t="shared" si="1"/>
        <v>724@gmail.com</v>
      </c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</row>
    <row r="897" ht="15.75" customHeight="1">
      <c r="A897" s="18" t="str">
        <f>Descargas!A897</f>
        <v>725@gmail.com</v>
      </c>
      <c r="B897" s="19" t="str">
        <f>IFERROR(__xludf.DUMMYFUNCTION("IF(OR(regexmatch(A897,"".*@simon.es$""),REGEXMATCH(A897,"".*@simon.pt$""),REGEXMATCH(A897,"".*@simonelectrica.com$""),REGEXMATCH(A897,"".*@hiberus.com$""),REGEXMATCH(A897,"".*@simonbrico.es$""),regexmatch(A897,"".*@simonelectric.com$"")),""null"",A897)"),"725@gmail.com")</f>
        <v>725@gmail.com</v>
      </c>
      <c r="C897" s="5">
        <f>IF(B897="null","null",Descargas!B897)</f>
        <v>43972</v>
      </c>
      <c r="D897" s="6" t="str">
        <f>Descargas!E897</f>
        <v>https://resources.simonelectric.com/simon-ebook-vehiculo-electrico</v>
      </c>
      <c r="E897" s="20" t="str">
        <f t="shared" si="1"/>
        <v>725@gmail.com</v>
      </c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</row>
    <row r="898" ht="15.75" customHeight="1">
      <c r="A898" s="18" t="str">
        <f>Descargas!A898</f>
        <v>726@gmail.com</v>
      </c>
      <c r="B898" s="19" t="str">
        <f>IFERROR(__xludf.DUMMYFUNCTION("IF(OR(regexmatch(A898,"".*@simon.es$""),REGEXMATCH(A898,"".*@simon.pt$""),REGEXMATCH(A898,"".*@simonelectrica.com$""),REGEXMATCH(A898,"".*@hiberus.com$""),REGEXMATCH(A898,"".*@simonbrico.es$""),regexmatch(A898,"".*@simonelectric.com$"")),""null"",A898)"),"726@gmail.com")</f>
        <v>726@gmail.com</v>
      </c>
      <c r="C898" s="5">
        <f>IF(B898="null","null",Descargas!B898)</f>
        <v>43972</v>
      </c>
      <c r="D898" s="6" t="str">
        <f>Descargas!E898</f>
        <v>https://resources.simonelectric.com/simon-catalogo-vehiculo-electrico</v>
      </c>
      <c r="E898" s="20" t="str">
        <f t="shared" si="1"/>
        <v>726@gmail.com</v>
      </c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</row>
    <row r="899" ht="15.75" customHeight="1">
      <c r="A899" s="18" t="str">
        <f>Descargas!A899</f>
        <v>335@faepac.org</v>
      </c>
      <c r="B899" s="19" t="str">
        <f>IFERROR(__xludf.DUMMYFUNCTION("IF(OR(regexmatch(A899,"".*@simon.es$""),REGEXMATCH(A899,"".*@simon.pt$""),REGEXMATCH(A899,"".*@simonelectrica.com$""),REGEXMATCH(A899,"".*@hiberus.com$""),REGEXMATCH(A899,"".*@simonbrico.es$""),regexmatch(A899,"".*@simonelectric.com$"")),""null"",A899)"),"335@faepac.org")</f>
        <v>335@faepac.org</v>
      </c>
      <c r="C899" s="5">
        <f>IF(B899="null","null",Descargas!B899)</f>
        <v>43972</v>
      </c>
      <c r="D899" s="6" t="str">
        <f>Descargas!E899</f>
        <v>https://resources.simonelectric.com/simon-ebook-vehiculo-electrico</v>
      </c>
      <c r="E899" s="20" t="str">
        <f t="shared" si="1"/>
        <v>335@faepac.org</v>
      </c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</row>
    <row r="900" ht="15.75" customHeight="1">
      <c r="A900" s="18" t="str">
        <f>Descargas!A900</f>
        <v>726@gmail.com</v>
      </c>
      <c r="B900" s="19" t="str">
        <f>IFERROR(__xludf.DUMMYFUNCTION("IF(OR(regexmatch(A900,"".*@simon.es$""),REGEXMATCH(A900,"".*@simon.pt$""),REGEXMATCH(A900,"".*@simonelectrica.com$""),REGEXMATCH(A900,"".*@hiberus.com$""),REGEXMATCH(A900,"".*@simonbrico.es$""),regexmatch(A900,"".*@simonelectric.com$"")),""null"",A900)"),"726@gmail.com")</f>
        <v>726@gmail.com</v>
      </c>
      <c r="C900" s="5">
        <f>IF(B900="null","null",Descargas!B900)</f>
        <v>43972</v>
      </c>
      <c r="D900" s="6" t="str">
        <f>Descargas!E900</f>
        <v>https://resources.simonelectric.com/simon-ebook-vehiculo-electrico</v>
      </c>
      <c r="E900" s="20" t="str">
        <f t="shared" si="1"/>
        <v>726@gmail.com</v>
      </c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</row>
    <row r="901" ht="15.75" customHeight="1">
      <c r="A901" s="18" t="str">
        <f>Descargas!A901</f>
        <v>727@membrives.es</v>
      </c>
      <c r="B901" s="19" t="str">
        <f>IFERROR(__xludf.DUMMYFUNCTION("IF(OR(regexmatch(A901,"".*@simon.es$""),REGEXMATCH(A901,"".*@simon.pt$""),REGEXMATCH(A901,"".*@simonelectrica.com$""),REGEXMATCH(A901,"".*@hiberus.com$""),REGEXMATCH(A901,"".*@simonbrico.es$""),regexmatch(A901,"".*@simonelectric.com$"")),""null"",A901)"),"727@membrives.es")</f>
        <v>727@membrives.es</v>
      </c>
      <c r="C901" s="5">
        <f>IF(B901="null","null",Descargas!B901)</f>
        <v>43972</v>
      </c>
      <c r="D901" s="6" t="str">
        <f>Descargas!E901</f>
        <v>https://resources.simonelectric.com/simon-material-formativo-vehiculo-electrico</v>
      </c>
      <c r="E901" s="20" t="str">
        <f t="shared" si="1"/>
        <v>727@membrives.es</v>
      </c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</row>
    <row r="902" ht="15.75" customHeight="1">
      <c r="A902" s="18" t="str">
        <f>Descargas!A902</f>
        <v>641@bodai.es</v>
      </c>
      <c r="B902" s="19" t="str">
        <f>IFERROR(__xludf.DUMMYFUNCTION("IF(OR(regexmatch(A902,"".*@simon.es$""),REGEXMATCH(A902,"".*@simon.pt$""),REGEXMATCH(A902,"".*@simonelectrica.com$""),REGEXMATCH(A902,"".*@hiberus.com$""),REGEXMATCH(A902,"".*@simonbrico.es$""),regexmatch(A902,"".*@simonelectric.com$"")),""null"",A902)"),"641@bodai.es")</f>
        <v>641@bodai.es</v>
      </c>
      <c r="C902" s="5">
        <f>IF(B902="null","null",Descargas!B902)</f>
        <v>43972</v>
      </c>
      <c r="D902" s="6" t="str">
        <f>Descargas!E902</f>
        <v>https://resources.simonelectric.com/simon-ebook-vehiculo-electrico</v>
      </c>
      <c r="E902" s="20" t="str">
        <f t="shared" si="1"/>
        <v>641@bodai.es</v>
      </c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</row>
    <row r="903" ht="15.75" customHeight="1">
      <c r="A903" s="18" t="str">
        <f>Descargas!A903</f>
        <v>728@calambre.net</v>
      </c>
      <c r="B903" s="19" t="str">
        <f>IFERROR(__xludf.DUMMYFUNCTION("IF(OR(regexmatch(A903,"".*@simon.es$""),REGEXMATCH(A903,"".*@simon.pt$""),REGEXMATCH(A903,"".*@simonelectrica.com$""),REGEXMATCH(A903,"".*@hiberus.com$""),REGEXMATCH(A903,"".*@simonbrico.es$""),regexmatch(A903,"".*@simonelectric.com$"")),""null"",A903)"),"728@calambre.net")</f>
        <v>728@calambre.net</v>
      </c>
      <c r="C903" s="5">
        <f>IF(B903="null","null",Descargas!B903)</f>
        <v>43972</v>
      </c>
      <c r="D903" s="6" t="str">
        <f>Descargas!E903</f>
        <v>https://resources.simonelectric.com/simon-ebook-vehiculo-electrico</v>
      </c>
      <c r="E903" s="20" t="str">
        <f t="shared" si="1"/>
        <v>728@calambre.net</v>
      </c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</row>
    <row r="904" ht="15.75" customHeight="1">
      <c r="A904" s="18" t="str">
        <f>Descargas!A904</f>
        <v>729@gmail.com</v>
      </c>
      <c r="B904" s="19" t="str">
        <f>IFERROR(__xludf.DUMMYFUNCTION("IF(OR(regexmatch(A904,"".*@simon.es$""),REGEXMATCH(A904,"".*@simon.pt$""),REGEXMATCH(A904,"".*@simonelectrica.com$""),REGEXMATCH(A904,"".*@hiberus.com$""),REGEXMATCH(A904,"".*@simonbrico.es$""),regexmatch(A904,"".*@simonelectric.com$"")),""null"",A904)"),"729@gmail.com")</f>
        <v>729@gmail.com</v>
      </c>
      <c r="C904" s="5">
        <f>IF(B904="null","null",Descargas!B904)</f>
        <v>43972</v>
      </c>
      <c r="D904" s="6" t="str">
        <f>Descargas!E904</f>
        <v>https://resources.simonelectric.com/simon-ebook-vehiculo-electrico</v>
      </c>
      <c r="E904" s="20" t="str">
        <f t="shared" si="1"/>
        <v>729@gmail.com</v>
      </c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</row>
    <row r="905" ht="15.75" customHeight="1">
      <c r="A905" s="18" t="str">
        <f>Descargas!A905</f>
        <v>463@gmail.com</v>
      </c>
      <c r="B905" s="19" t="str">
        <f>IFERROR(__xludf.DUMMYFUNCTION("IF(OR(regexmatch(A905,"".*@simon.es$""),REGEXMATCH(A905,"".*@simon.pt$""),REGEXMATCH(A905,"".*@simonelectrica.com$""),REGEXMATCH(A905,"".*@hiberus.com$""),REGEXMATCH(A905,"".*@simonbrico.es$""),regexmatch(A905,"".*@simonelectric.com$"")),""null"",A905)"),"463@gmail.com")</f>
        <v>463@gmail.com</v>
      </c>
      <c r="C905" s="5">
        <f>IF(B905="null","null",Descargas!B905)</f>
        <v>43972</v>
      </c>
      <c r="D905" s="6" t="str">
        <f>Descargas!E905</f>
        <v>https://resources.simonelectric.com/simon-ebook-vehiculo-electrico</v>
      </c>
      <c r="E905" s="20" t="str">
        <f t="shared" si="1"/>
        <v>463@gmail.com</v>
      </c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</row>
    <row r="906" ht="15.75" customHeight="1">
      <c r="A906" s="18" t="str">
        <f>Descargas!A906</f>
        <v>730@hotmail.com</v>
      </c>
      <c r="B906" s="19" t="str">
        <f>IFERROR(__xludf.DUMMYFUNCTION("IF(OR(regexmatch(A906,"".*@simon.es$""),REGEXMATCH(A906,"".*@simon.pt$""),REGEXMATCH(A906,"".*@simonelectrica.com$""),REGEXMATCH(A906,"".*@hiberus.com$""),REGEXMATCH(A906,"".*@simonbrico.es$""),regexmatch(A906,"".*@simonelectric.com$"")),""null"",A906)"),"730@hotmail.com")</f>
        <v>730@hotmail.com</v>
      </c>
      <c r="C906" s="5">
        <f>IF(B906="null","null",Descargas!B906)</f>
        <v>43972</v>
      </c>
      <c r="D906" s="6" t="str">
        <f>Descargas!E906</f>
        <v>https://resources.simonelectric.com/simon-catalogo-vehiculo-electrico</v>
      </c>
      <c r="E906" s="20" t="str">
        <f t="shared" si="1"/>
        <v>730@hotmail.com</v>
      </c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</row>
    <row r="907" ht="15.75" customHeight="1">
      <c r="A907" s="18" t="str">
        <f>Descargas!A907</f>
        <v>731@bonoboenergy.com</v>
      </c>
      <c r="B907" s="19" t="str">
        <f>IFERROR(__xludf.DUMMYFUNCTION("IF(OR(regexmatch(A907,"".*@simon.es$""),REGEXMATCH(A907,"".*@simon.pt$""),REGEXMATCH(A907,"".*@simonelectrica.com$""),REGEXMATCH(A907,"".*@hiberus.com$""),REGEXMATCH(A907,"".*@simonbrico.es$""),regexmatch(A907,"".*@simonelectric.com$"")),""null"",A907)"),"731@bonoboenergy.com")</f>
        <v>731@bonoboenergy.com</v>
      </c>
      <c r="C907" s="5">
        <f>IF(B907="null","null",Descargas!B907)</f>
        <v>43972</v>
      </c>
      <c r="D907" s="6" t="str">
        <f>Descargas!E907</f>
        <v>https://resources.simonelectric.com/simon-catalogo-vehiculo-electrico</v>
      </c>
      <c r="E907" s="20" t="str">
        <f t="shared" si="1"/>
        <v>731@bonoboenergy.com</v>
      </c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</row>
    <row r="908" ht="15.75" customHeight="1">
      <c r="A908" s="18" t="str">
        <f>Descargas!A908</f>
        <v>644@ebconsultores.com</v>
      </c>
      <c r="B908" s="19" t="str">
        <f>IFERROR(__xludf.DUMMYFUNCTION("IF(OR(regexmatch(A908,"".*@simon.es$""),REGEXMATCH(A908,"".*@simon.pt$""),REGEXMATCH(A908,"".*@simonelectrica.com$""),REGEXMATCH(A908,"".*@hiberus.com$""),REGEXMATCH(A908,"".*@simonbrico.es$""),regexmatch(A908,"".*@simonelectric.com$"")),""null"",A908)"),"644@ebconsultores.com")</f>
        <v>644@ebconsultores.com</v>
      </c>
      <c r="C908" s="5">
        <f>IF(B908="null","null",Descargas!B908)</f>
        <v>43972</v>
      </c>
      <c r="D908" s="6" t="str">
        <f>Descargas!E908</f>
        <v>https://resources.simonelectric.com/simon-ebook-vehiculo-electrico</v>
      </c>
      <c r="E908" s="20" t="str">
        <f t="shared" si="1"/>
        <v>644@ebconsultores.com</v>
      </c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</row>
    <row r="909" ht="15.75" customHeight="1">
      <c r="A909" s="18" t="str">
        <f>Descargas!A909</f>
        <v>732@vcejudo.es</v>
      </c>
      <c r="B909" s="19" t="str">
        <f>IFERROR(__xludf.DUMMYFUNCTION("IF(OR(regexmatch(A909,"".*@simon.es$""),REGEXMATCH(A909,"".*@simon.pt$""),REGEXMATCH(A909,"".*@simonelectrica.com$""),REGEXMATCH(A909,"".*@hiberus.com$""),REGEXMATCH(A909,"".*@simonbrico.es$""),regexmatch(A909,"".*@simonelectric.com$"")),""null"",A909)"),"732@vcejudo.es")</f>
        <v>732@vcejudo.es</v>
      </c>
      <c r="C909" s="5">
        <f>IF(B909="null","null",Descargas!B909)</f>
        <v>43972</v>
      </c>
      <c r="D909" s="6" t="str">
        <f>Descargas!E909</f>
        <v>https://resources.simonelectric.com/simon-catalogo-vehiculo-electrico</v>
      </c>
      <c r="E909" s="20" t="str">
        <f t="shared" si="1"/>
        <v>732@vcejudo.es</v>
      </c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</row>
    <row r="910" ht="15.75" customHeight="1">
      <c r="A910" s="18" t="str">
        <f>Descargas!A910</f>
        <v>733@gmail.com</v>
      </c>
      <c r="B910" s="19" t="str">
        <f>IFERROR(__xludf.DUMMYFUNCTION("IF(OR(regexmatch(A910,"".*@simon.es$""),REGEXMATCH(A910,"".*@simon.pt$""),REGEXMATCH(A910,"".*@simonelectrica.com$""),REGEXMATCH(A910,"".*@hiberus.com$""),REGEXMATCH(A910,"".*@simonbrico.es$""),regexmatch(A910,"".*@simonelectric.com$"")),""null"",A910)"),"733@gmail.com")</f>
        <v>733@gmail.com</v>
      </c>
      <c r="C910" s="5">
        <f>IF(B910="null","null",Descargas!B910)</f>
        <v>43972</v>
      </c>
      <c r="D910" s="6" t="str">
        <f>Descargas!E910</f>
        <v>https://resources.simonelectric.com/simon-ebook-vehiculo-electrico</v>
      </c>
      <c r="E910" s="20" t="str">
        <f t="shared" si="1"/>
        <v>733@gmail.com</v>
      </c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</row>
    <row r="911" ht="15.75" customHeight="1">
      <c r="A911" s="18" t="str">
        <f>Descargas!A911</f>
        <v>734@gmail.com</v>
      </c>
      <c r="B911" s="19" t="str">
        <f>IFERROR(__xludf.DUMMYFUNCTION("IF(OR(regexmatch(A911,"".*@simon.es$""),REGEXMATCH(A911,"".*@simon.pt$""),REGEXMATCH(A911,"".*@simonelectrica.com$""),REGEXMATCH(A911,"".*@hiberus.com$""),REGEXMATCH(A911,"".*@simonbrico.es$""),regexmatch(A911,"".*@simonelectric.com$"")),""null"",A911)"),"734@gmail.com")</f>
        <v>734@gmail.com</v>
      </c>
      <c r="C911" s="5">
        <f>IF(B911="null","null",Descargas!B911)</f>
        <v>43972</v>
      </c>
      <c r="D911" s="6" t="str">
        <f>Descargas!E911</f>
        <v>https://resources.simonelectric.com/simon-ebook-vehiculo-electrico</v>
      </c>
      <c r="E911" s="20" t="str">
        <f t="shared" si="1"/>
        <v>734@gmail.com</v>
      </c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</row>
    <row r="912" ht="15.75" customHeight="1">
      <c r="A912" s="18" t="str">
        <f>Descargas!A912</f>
        <v>735@serveiskronier55.com</v>
      </c>
      <c r="B912" s="19" t="str">
        <f>IFERROR(__xludf.DUMMYFUNCTION("IF(OR(regexmatch(A912,"".*@simon.es$""),REGEXMATCH(A912,"".*@simon.pt$""),REGEXMATCH(A912,"".*@simonelectrica.com$""),REGEXMATCH(A912,"".*@hiberus.com$""),REGEXMATCH(A912,"".*@simonbrico.es$""),regexmatch(A912,"".*@simonelectric.com$"")),""null"",A912)"),"735@serveiskronier55.com")</f>
        <v>735@serveiskronier55.com</v>
      </c>
      <c r="C912" s="5">
        <f>IF(B912="null","null",Descargas!B912)</f>
        <v>43972</v>
      </c>
      <c r="D912" s="6" t="str">
        <f>Descargas!E912</f>
        <v>https://resources.simonelectric.com/simon-catalogo-vehiculo-electrico</v>
      </c>
      <c r="E912" s="20" t="str">
        <f t="shared" si="1"/>
        <v>735@serveiskronier55.com</v>
      </c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</row>
    <row r="913" ht="15.75" customHeight="1">
      <c r="A913" s="18" t="str">
        <f>Descargas!A913</f>
        <v>650@hotmail.com</v>
      </c>
      <c r="B913" s="19" t="str">
        <f>IFERROR(__xludf.DUMMYFUNCTION("IF(OR(regexmatch(A913,"".*@simon.es$""),REGEXMATCH(A913,"".*@simon.pt$""),REGEXMATCH(A913,"".*@simonelectrica.com$""),REGEXMATCH(A913,"".*@hiberus.com$""),REGEXMATCH(A913,"".*@simonbrico.es$""),regexmatch(A913,"".*@simonelectric.com$"")),""null"",A913)"),"650@hotmail.com")</f>
        <v>650@hotmail.com</v>
      </c>
      <c r="C913" s="5">
        <f>IF(B913="null","null",Descargas!B913)</f>
        <v>43972</v>
      </c>
      <c r="D913" s="6" t="str">
        <f>Descargas!E913</f>
        <v>https://resources.simonelectric.com/simon-catalogo-vehiculo-electrico</v>
      </c>
      <c r="E913" s="20" t="str">
        <f t="shared" si="1"/>
        <v>650@hotmail.com</v>
      </c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</row>
    <row r="914" ht="15.75" customHeight="1">
      <c r="A914" s="18" t="str">
        <f>Descargas!A914</f>
        <v>736@yahoo.com</v>
      </c>
      <c r="B914" s="19" t="str">
        <f>IFERROR(__xludf.DUMMYFUNCTION("IF(OR(regexmatch(A914,"".*@simon.es$""),REGEXMATCH(A914,"".*@simon.pt$""),REGEXMATCH(A914,"".*@simonelectrica.com$""),REGEXMATCH(A914,"".*@hiberus.com$""),REGEXMATCH(A914,"".*@simonbrico.es$""),regexmatch(A914,"".*@simonelectric.com$"")),""null"",A914)"),"736@yahoo.com")</f>
        <v>736@yahoo.com</v>
      </c>
      <c r="C914" s="5">
        <f>IF(B914="null","null",Descargas!B914)</f>
        <v>43972</v>
      </c>
      <c r="D914" s="6" t="str">
        <f>Descargas!E914</f>
        <v>https://resources.simonelectric.com/simon-catalogo-vehiculo-electrico</v>
      </c>
      <c r="E914" s="20" t="str">
        <f t="shared" si="1"/>
        <v>736@yahoo.com</v>
      </c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</row>
    <row r="915" ht="15.75" customHeight="1">
      <c r="A915" s="18" t="str">
        <f>Descargas!A915</f>
        <v>668@dipucordoba.es</v>
      </c>
      <c r="B915" s="19" t="str">
        <f>IFERROR(__xludf.DUMMYFUNCTION("IF(OR(regexmatch(A915,"".*@simon.es$""),REGEXMATCH(A915,"".*@simon.pt$""),REGEXMATCH(A915,"".*@simonelectrica.com$""),REGEXMATCH(A915,"".*@hiberus.com$""),REGEXMATCH(A915,"".*@simonbrico.es$""),regexmatch(A915,"".*@simonelectric.com$"")),""null"",A915)"),"668@dipucordoba.es")</f>
        <v>668@dipucordoba.es</v>
      </c>
      <c r="C915" s="5">
        <f>IF(B915="null","null",Descargas!B915)</f>
        <v>43972</v>
      </c>
      <c r="D915" s="6" t="str">
        <f>Descargas!E915</f>
        <v>https://resources.simonelectric.com/simon-catalogo-vehiculo-electrico</v>
      </c>
      <c r="E915" s="20" t="str">
        <f t="shared" si="1"/>
        <v>668@dipucordoba.es</v>
      </c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</row>
    <row r="916" ht="15.75" customHeight="1">
      <c r="A916" s="18" t="str">
        <f>Descargas!A916</f>
        <v>737@lagingenieros.es</v>
      </c>
      <c r="B916" s="19" t="str">
        <f>IFERROR(__xludf.DUMMYFUNCTION("IF(OR(regexmatch(A916,"".*@simon.es$""),REGEXMATCH(A916,"".*@simon.pt$""),REGEXMATCH(A916,"".*@simonelectrica.com$""),REGEXMATCH(A916,"".*@hiberus.com$""),REGEXMATCH(A916,"".*@simonbrico.es$""),regexmatch(A916,"".*@simonelectric.com$"")),""null"",A916)"),"737@lagingenieros.es")</f>
        <v>737@lagingenieros.es</v>
      </c>
      <c r="C916" s="5">
        <f>IF(B916="null","null",Descargas!B916)</f>
        <v>43972</v>
      </c>
      <c r="D916" s="6" t="str">
        <f>Descargas!E916</f>
        <v>https://resources.simonelectric.com/simon-catalogo-vehiculo-electrico</v>
      </c>
      <c r="E916" s="20" t="str">
        <f t="shared" si="1"/>
        <v>737@lagingenieros.es</v>
      </c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</row>
    <row r="917" ht="15.75" customHeight="1">
      <c r="A917" s="18" t="str">
        <f>Descargas!A917</f>
        <v>738@caatvalencia.es</v>
      </c>
      <c r="B917" s="19" t="str">
        <f>IFERROR(__xludf.DUMMYFUNCTION("IF(OR(regexmatch(A917,"".*@simon.es$""),REGEXMATCH(A917,"".*@simon.pt$""),REGEXMATCH(A917,"".*@simonelectrica.com$""),REGEXMATCH(A917,"".*@hiberus.com$""),REGEXMATCH(A917,"".*@simonbrico.es$""),regexmatch(A917,"".*@simonelectric.com$"")),""null"",A917)"),"738@caatvalencia.es")</f>
        <v>738@caatvalencia.es</v>
      </c>
      <c r="C917" s="5">
        <f>IF(B917="null","null",Descargas!B917)</f>
        <v>43972</v>
      </c>
      <c r="D917" s="6" t="str">
        <f>Descargas!E917</f>
        <v>https://resources.simonelectric.com/simon-catalogo-vehiculo-electrico</v>
      </c>
      <c r="E917" s="20" t="str">
        <f t="shared" si="1"/>
        <v>738@caatvalencia.es</v>
      </c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</row>
    <row r="918" ht="15.75" customHeight="1">
      <c r="A918" s="18" t="str">
        <f>Descargas!A918</f>
        <v>739@isf-esp.com</v>
      </c>
      <c r="B918" s="19" t="str">
        <f>IFERROR(__xludf.DUMMYFUNCTION("IF(OR(regexmatch(A918,"".*@simon.es$""),REGEXMATCH(A918,"".*@simon.pt$""),REGEXMATCH(A918,"".*@simonelectrica.com$""),REGEXMATCH(A918,"".*@hiberus.com$""),REGEXMATCH(A918,"".*@simonbrico.es$""),regexmatch(A918,"".*@simonelectric.com$"")),""null"",A918)"),"739@isf-esp.com")</f>
        <v>739@isf-esp.com</v>
      </c>
      <c r="C918" s="5">
        <f>IF(B918="null","null",Descargas!B918)</f>
        <v>43972</v>
      </c>
      <c r="D918" s="6" t="str">
        <f>Descargas!E918</f>
        <v>https://resources.simonelectric.com/simon-catalogo-vehiculo-electrico</v>
      </c>
      <c r="E918" s="20" t="str">
        <f t="shared" si="1"/>
        <v>739@isf-esp.com</v>
      </c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</row>
    <row r="919" ht="15.75" customHeight="1">
      <c r="A919" s="18" t="str">
        <f>Descargas!A919</f>
        <v>740@cee.com.es</v>
      </c>
      <c r="B919" s="19" t="str">
        <f>IFERROR(__xludf.DUMMYFUNCTION("IF(OR(regexmatch(A919,"".*@simon.es$""),REGEXMATCH(A919,"".*@simon.pt$""),REGEXMATCH(A919,"".*@simonelectrica.com$""),REGEXMATCH(A919,"".*@hiberus.com$""),REGEXMATCH(A919,"".*@simonbrico.es$""),regexmatch(A919,"".*@simonelectric.com$"")),""null"",A919)"),"740@cee.com.es")</f>
        <v>740@cee.com.es</v>
      </c>
      <c r="C919" s="5">
        <f>IF(B919="null","null",Descargas!B919)</f>
        <v>43972</v>
      </c>
      <c r="D919" s="6" t="str">
        <f>Descargas!E919</f>
        <v>https://resources.simonelectric.com/simon-catalogo-vehiculo-electrico</v>
      </c>
      <c r="E919" s="20" t="str">
        <f t="shared" si="1"/>
        <v>740@cee.com.es</v>
      </c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</row>
    <row r="920" ht="15.75" customHeight="1">
      <c r="A920" s="18" t="str">
        <f>Descargas!A920</f>
        <v>741@dieselsanchez.com</v>
      </c>
      <c r="B920" s="19" t="str">
        <f>IFERROR(__xludf.DUMMYFUNCTION("IF(OR(regexmatch(A920,"".*@simon.es$""),REGEXMATCH(A920,"".*@simon.pt$""),REGEXMATCH(A920,"".*@simonelectrica.com$""),REGEXMATCH(A920,"".*@hiberus.com$""),REGEXMATCH(A920,"".*@simonbrico.es$""),regexmatch(A920,"".*@simonelectric.com$"")),""null"",A920)"),"741@dieselsanchez.com")</f>
        <v>741@dieselsanchez.com</v>
      </c>
      <c r="C920" s="5">
        <f>IF(B920="null","null",Descargas!B920)</f>
        <v>43972</v>
      </c>
      <c r="D920" s="6" t="str">
        <f>Descargas!E920</f>
        <v>https://resources.simonelectric.com/simon-catalogo-vehiculo-electrico</v>
      </c>
      <c r="E920" s="20" t="str">
        <f t="shared" si="1"/>
        <v>741@dieselsanchez.com</v>
      </c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</row>
    <row r="921" ht="15.75" customHeight="1">
      <c r="A921" s="18" t="str">
        <f>Descargas!A921</f>
        <v>742@acoeman.com</v>
      </c>
      <c r="B921" s="19" t="str">
        <f>IFERROR(__xludf.DUMMYFUNCTION("IF(OR(regexmatch(A921,"".*@simon.es$""),REGEXMATCH(A921,"".*@simon.pt$""),REGEXMATCH(A921,"".*@simonelectrica.com$""),REGEXMATCH(A921,"".*@hiberus.com$""),REGEXMATCH(A921,"".*@simonbrico.es$""),regexmatch(A921,"".*@simonelectric.com$"")),""null"",A921)"),"742@acoeman.com")</f>
        <v>742@acoeman.com</v>
      </c>
      <c r="C921" s="5">
        <f>IF(B921="null","null",Descargas!B921)</f>
        <v>43972</v>
      </c>
      <c r="D921" s="6" t="str">
        <f>Descargas!E921</f>
        <v>https://resources.simonelectric.com/simon-ebook-vehiculo-electrico</v>
      </c>
      <c r="E921" s="20" t="str">
        <f t="shared" si="1"/>
        <v>742@acoeman.com</v>
      </c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</row>
    <row r="922" ht="15.75" customHeight="1">
      <c r="A922" s="18" t="str">
        <f>Descargas!A922</f>
        <v>743@bahiguell.com</v>
      </c>
      <c r="B922" s="19" t="str">
        <f>IFERROR(__xludf.DUMMYFUNCTION("IF(OR(regexmatch(A922,"".*@simon.es$""),REGEXMATCH(A922,"".*@simon.pt$""),REGEXMATCH(A922,"".*@simonelectrica.com$""),REGEXMATCH(A922,"".*@hiberus.com$""),REGEXMATCH(A922,"".*@simonbrico.es$""),regexmatch(A922,"".*@simonelectric.com$"")),""null"",A922)"),"743@bahiguell.com")</f>
        <v>743@bahiguell.com</v>
      </c>
      <c r="C922" s="5">
        <f>IF(B922="null","null",Descargas!B922)</f>
        <v>43972</v>
      </c>
      <c r="D922" s="6" t="str">
        <f>Descargas!E922</f>
        <v>https://resources.simonelectric.com/simon-catalogo-vehiculo-electrico</v>
      </c>
      <c r="E922" s="20" t="str">
        <f t="shared" si="1"/>
        <v>743@bahiguell.com</v>
      </c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</row>
    <row r="923" ht="15.75" customHeight="1">
      <c r="A923" s="18" t="str">
        <f>Descargas!A923</f>
        <v>744@gmail.com</v>
      </c>
      <c r="B923" s="19" t="str">
        <f>IFERROR(__xludf.DUMMYFUNCTION("IF(OR(regexmatch(A923,"".*@simon.es$""),REGEXMATCH(A923,"".*@simon.pt$""),REGEXMATCH(A923,"".*@simonelectrica.com$""),REGEXMATCH(A923,"".*@hiberus.com$""),REGEXMATCH(A923,"".*@simonbrico.es$""),regexmatch(A923,"".*@simonelectric.com$"")),""null"",A923)"),"744@gmail.com")</f>
        <v>744@gmail.com</v>
      </c>
      <c r="C923" s="5">
        <f>IF(B923="null","null",Descargas!B923)</f>
        <v>43972</v>
      </c>
      <c r="D923" s="6" t="str">
        <f>Descargas!E923</f>
        <v>https://resources.simonelectric.com/simon-material-formativo-vehiculo-electrico</v>
      </c>
      <c r="E923" s="20" t="str">
        <f t="shared" si="1"/>
        <v>744@gmail.com</v>
      </c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</row>
    <row r="924" ht="15.75" customHeight="1">
      <c r="A924" s="18" t="str">
        <f>Descargas!A924</f>
        <v>578@gmail.com</v>
      </c>
      <c r="B924" s="19" t="str">
        <f>IFERROR(__xludf.DUMMYFUNCTION("IF(OR(regexmatch(A924,"".*@simon.es$""),REGEXMATCH(A924,"".*@simon.pt$""),REGEXMATCH(A924,"".*@simonelectrica.com$""),REGEXMATCH(A924,"".*@hiberus.com$""),REGEXMATCH(A924,"".*@simonbrico.es$""),regexmatch(A924,"".*@simonelectric.com$"")),""null"",A924)"),"578@gmail.com")</f>
        <v>578@gmail.com</v>
      </c>
      <c r="C924" s="5">
        <f>IF(B924="null","null",Descargas!B924)</f>
        <v>43972</v>
      </c>
      <c r="D924" s="6" t="str">
        <f>Descargas!E924</f>
        <v>https://resources.simonelectric.com/simon-catalogo-vehiculo-electrico</v>
      </c>
      <c r="E924" s="20" t="str">
        <f t="shared" si="1"/>
        <v>578@gmail.com</v>
      </c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</row>
    <row r="925" ht="15.75" customHeight="1">
      <c r="A925" s="18" t="str">
        <f>Descargas!A925</f>
        <v>745@geinstal.com</v>
      </c>
      <c r="B925" s="19" t="str">
        <f>IFERROR(__xludf.DUMMYFUNCTION("IF(OR(regexmatch(A925,"".*@simon.es$""),REGEXMATCH(A925,"".*@simon.pt$""),REGEXMATCH(A925,"".*@simonelectrica.com$""),REGEXMATCH(A925,"".*@hiberus.com$""),REGEXMATCH(A925,"".*@simonbrico.es$""),regexmatch(A925,"".*@simonelectric.com$"")),""null"",A925)"),"745@geinstal.com")</f>
        <v>745@geinstal.com</v>
      </c>
      <c r="C925" s="5">
        <f>IF(B925="null","null",Descargas!B925)</f>
        <v>43972</v>
      </c>
      <c r="D925" s="6" t="str">
        <f>Descargas!E925</f>
        <v>https://resources.simonelectric.com/simon-ebook-vehiculo-electrico</v>
      </c>
      <c r="E925" s="20" t="str">
        <f t="shared" si="1"/>
        <v>745@geinstal.com</v>
      </c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</row>
    <row r="926" ht="15.75" customHeight="1">
      <c r="A926" s="18" t="str">
        <f>Descargas!A926</f>
        <v>746@msn.com</v>
      </c>
      <c r="B926" s="19" t="str">
        <f>IFERROR(__xludf.DUMMYFUNCTION("IF(OR(regexmatch(A926,"".*@simon.es$""),REGEXMATCH(A926,"".*@simon.pt$""),REGEXMATCH(A926,"".*@simonelectrica.com$""),REGEXMATCH(A926,"".*@hiberus.com$""),REGEXMATCH(A926,"".*@simonbrico.es$""),regexmatch(A926,"".*@simonelectric.com$"")),""null"",A926)"),"746@msn.com")</f>
        <v>746@msn.com</v>
      </c>
      <c r="C926" s="5">
        <f>IF(B926="null","null",Descargas!B926)</f>
        <v>43972</v>
      </c>
      <c r="D926" s="6" t="str">
        <f>Descargas!E926</f>
        <v>https://resources.simonelectric.com/simon-catalogo-vehiculo-electrico</v>
      </c>
      <c r="E926" s="20" t="str">
        <f t="shared" si="1"/>
        <v>746@msn.com</v>
      </c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</row>
    <row r="927" ht="15.75" customHeight="1">
      <c r="A927" s="18" t="str">
        <f>Descargas!A927</f>
        <v>499@netcabo.pt</v>
      </c>
      <c r="B927" s="19" t="str">
        <f>IFERROR(__xludf.DUMMYFUNCTION("IF(OR(regexmatch(A927,"".*@simon.es$""),REGEXMATCH(A927,"".*@simon.pt$""),REGEXMATCH(A927,"".*@simonelectrica.com$""),REGEXMATCH(A927,"".*@hiberus.com$""),REGEXMATCH(A927,"".*@simonbrico.es$""),regexmatch(A927,"".*@simonelectric.com$"")),""null"",A927)"),"499@netcabo.pt")</f>
        <v>499@netcabo.pt</v>
      </c>
      <c r="C927" s="5">
        <f>IF(B927="null","null",Descargas!B927)</f>
        <v>43972</v>
      </c>
      <c r="D927" s="6" t="str">
        <f>Descargas!E927</f>
        <v>https://resources.simonelectric.com/simon-ebook-vehiculo-electrico</v>
      </c>
      <c r="E927" s="20" t="str">
        <f t="shared" si="1"/>
        <v>499@netcabo.pt</v>
      </c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</row>
    <row r="928" ht="15.75" customHeight="1">
      <c r="A928" s="18" t="str">
        <f>Descargas!A928</f>
        <v>664@hotmail.es</v>
      </c>
      <c r="B928" s="19" t="str">
        <f>IFERROR(__xludf.DUMMYFUNCTION("IF(OR(regexmatch(A928,"".*@simon.es$""),REGEXMATCH(A928,"".*@simon.pt$""),REGEXMATCH(A928,"".*@simonelectrica.com$""),REGEXMATCH(A928,"".*@hiberus.com$""),REGEXMATCH(A928,"".*@simonbrico.es$""),regexmatch(A928,"".*@simonelectric.com$"")),""null"",A928)"),"664@hotmail.es")</f>
        <v>664@hotmail.es</v>
      </c>
      <c r="C928" s="5">
        <f>IF(B928="null","null",Descargas!B928)</f>
        <v>43972</v>
      </c>
      <c r="D928" s="6" t="str">
        <f>Descargas!E928</f>
        <v>https://resources.simonelectric.com/simon-ebook-vehiculo-electrico</v>
      </c>
      <c r="E928" s="20" t="str">
        <f t="shared" si="1"/>
        <v>664@hotmail.es</v>
      </c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</row>
    <row r="929" ht="15.75" customHeight="1">
      <c r="A929" s="18" t="str">
        <f>Descargas!A929</f>
        <v>592@garciacomas.com</v>
      </c>
      <c r="B929" s="19" t="str">
        <f>IFERROR(__xludf.DUMMYFUNCTION("IF(OR(regexmatch(A929,"".*@simon.es$""),REGEXMATCH(A929,"".*@simon.pt$""),REGEXMATCH(A929,"".*@simonelectrica.com$""),REGEXMATCH(A929,"".*@hiberus.com$""),REGEXMATCH(A929,"".*@simonbrico.es$""),regexmatch(A929,"".*@simonelectric.com$"")),""null"",A929)"),"592@garciacomas.com")</f>
        <v>592@garciacomas.com</v>
      </c>
      <c r="C929" s="5">
        <f>IF(B929="null","null",Descargas!B929)</f>
        <v>43972</v>
      </c>
      <c r="D929" s="6" t="str">
        <f>Descargas!E929</f>
        <v>https://resources.simonelectric.com/simon-ebook-vehiculo-electrico</v>
      </c>
      <c r="E929" s="20" t="str">
        <f t="shared" si="1"/>
        <v>592@garciacomas.com</v>
      </c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</row>
    <row r="930" ht="15.75" customHeight="1">
      <c r="A930" s="18" t="str">
        <f>Descargas!A930</f>
        <v>592@garciacomas.com</v>
      </c>
      <c r="B930" s="19" t="str">
        <f>IFERROR(__xludf.DUMMYFUNCTION("IF(OR(regexmatch(A930,"".*@simon.es$""),REGEXMATCH(A930,"".*@simon.pt$""),REGEXMATCH(A930,"".*@simonelectrica.com$""),REGEXMATCH(A930,"".*@hiberus.com$""),REGEXMATCH(A930,"".*@simonbrico.es$""),regexmatch(A930,"".*@simonelectric.com$"")),""null"",A930)"),"592@garciacomas.com")</f>
        <v>592@garciacomas.com</v>
      </c>
      <c r="C930" s="5">
        <f>IF(B930="null","null",Descargas!B930)</f>
        <v>43972</v>
      </c>
      <c r="D930" s="6" t="str">
        <f>Descargas!E930</f>
        <v>https://resources.simonelectric.com/simon-catalogo-vehiculo-electrico</v>
      </c>
      <c r="E930" s="20" t="str">
        <f t="shared" si="1"/>
        <v>592@garciacomas.com</v>
      </c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</row>
    <row r="931" ht="15.75" customHeight="1">
      <c r="A931" s="18" t="str">
        <f>Descargas!A931</f>
        <v>747@tecnicas.es</v>
      </c>
      <c r="B931" s="19" t="str">
        <f>IFERROR(__xludf.DUMMYFUNCTION("IF(OR(regexmatch(A931,"".*@simon.es$""),REGEXMATCH(A931,"".*@simon.pt$""),REGEXMATCH(A931,"".*@simonelectrica.com$""),REGEXMATCH(A931,"".*@hiberus.com$""),REGEXMATCH(A931,"".*@simonbrico.es$""),regexmatch(A931,"".*@simonelectric.com$"")),""null"",A931)"),"747@tecnicas.es")</f>
        <v>747@tecnicas.es</v>
      </c>
      <c r="C931" s="5">
        <f>IF(B931="null","null",Descargas!B931)</f>
        <v>43971</v>
      </c>
      <c r="D931" s="6" t="str">
        <f>Descargas!E931</f>
        <v>https://resources.simonelectric.com/simon-catalogo-vehiculo-electrico</v>
      </c>
      <c r="E931" s="20" t="str">
        <f t="shared" si="1"/>
        <v>747@tecnicas.es</v>
      </c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</row>
    <row r="932" ht="15.75" customHeight="1">
      <c r="A932" s="18" t="str">
        <f>Descargas!A932</f>
        <v>748@gmail.com</v>
      </c>
      <c r="B932" s="19" t="str">
        <f>IFERROR(__xludf.DUMMYFUNCTION("IF(OR(regexmatch(A932,"".*@simon.es$""),REGEXMATCH(A932,"".*@simon.pt$""),REGEXMATCH(A932,"".*@simonelectrica.com$""),REGEXMATCH(A932,"".*@hiberus.com$""),REGEXMATCH(A932,"".*@simonbrico.es$""),regexmatch(A932,"".*@simonelectric.com$"")),""null"",A932)"),"748@gmail.com")</f>
        <v>748@gmail.com</v>
      </c>
      <c r="C932" s="5">
        <f>IF(B932="null","null",Descargas!B932)</f>
        <v>43971</v>
      </c>
      <c r="D932" s="6" t="str">
        <f>Descargas!E932</f>
        <v>https://resources.simonelectric.com/simon-ebook-vehiculo-electrico-0</v>
      </c>
      <c r="E932" s="20" t="str">
        <f t="shared" si="1"/>
        <v>748@gmail.com</v>
      </c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</row>
    <row r="933" ht="15.75" customHeight="1">
      <c r="A933" s="18" t="str">
        <f>Descargas!A933</f>
        <v>749@gmail.com</v>
      </c>
      <c r="B933" s="19" t="str">
        <f>IFERROR(__xludf.DUMMYFUNCTION("IF(OR(regexmatch(A933,"".*@simon.es$""),REGEXMATCH(A933,"".*@simon.pt$""),REGEXMATCH(A933,"".*@simonelectrica.com$""),REGEXMATCH(A933,"".*@hiberus.com$""),REGEXMATCH(A933,"".*@simonbrico.es$""),regexmatch(A933,"".*@simonelectric.com$"")),""null"",A933)"),"749@gmail.com")</f>
        <v>749@gmail.com</v>
      </c>
      <c r="C933" s="5">
        <f>IF(B933="null","null",Descargas!B933)</f>
        <v>43971</v>
      </c>
      <c r="D933" s="6" t="str">
        <f>Descargas!E933</f>
        <v>https://resources.simonelectric.com/simon-catalogo-vehiculo-electrico</v>
      </c>
      <c r="E933" s="20" t="str">
        <f t="shared" si="1"/>
        <v>749@gmail.com</v>
      </c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</row>
    <row r="934" ht="15.75" customHeight="1">
      <c r="A934" s="18" t="str">
        <f>Descargas!A934</f>
        <v>528@gmail.com</v>
      </c>
      <c r="B934" s="19" t="str">
        <f>IFERROR(__xludf.DUMMYFUNCTION("IF(OR(regexmatch(A934,"".*@simon.es$""),REGEXMATCH(A934,"".*@simon.pt$""),REGEXMATCH(A934,"".*@simonelectrica.com$""),REGEXMATCH(A934,"".*@hiberus.com$""),REGEXMATCH(A934,"".*@simonbrico.es$""),regexmatch(A934,"".*@simonelectric.com$"")),""null"",A934)"),"528@gmail.com")</f>
        <v>528@gmail.com</v>
      </c>
      <c r="C934" s="5">
        <f>IF(B934="null","null",Descargas!B934)</f>
        <v>43971</v>
      </c>
      <c r="D934" s="6" t="str">
        <f>Descargas!E934</f>
        <v>https://resources.simonelectric.com/simon-catalogo-vehiculo-electrico</v>
      </c>
      <c r="E934" s="20" t="str">
        <f t="shared" si="1"/>
        <v>528@gmail.com</v>
      </c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</row>
    <row r="935" ht="15.75" customHeight="1">
      <c r="A935" s="18" t="str">
        <f>Descargas!A935</f>
        <v>750@germaniaweb.com</v>
      </c>
      <c r="B935" s="19" t="str">
        <f>IFERROR(__xludf.DUMMYFUNCTION("IF(OR(regexmatch(A935,"".*@simon.es$""),REGEXMATCH(A935,"".*@simon.pt$""),REGEXMATCH(A935,"".*@simonelectrica.com$""),REGEXMATCH(A935,"".*@hiberus.com$""),REGEXMATCH(A935,"".*@simonbrico.es$""),regexmatch(A935,"".*@simonelectric.com$"")),""null"",A935)"),"750@germaniaweb.com")</f>
        <v>750@germaniaweb.com</v>
      </c>
      <c r="C935" s="5">
        <f>IF(B935="null","null",Descargas!B935)</f>
        <v>43971</v>
      </c>
      <c r="D935" s="6" t="str">
        <f>Descargas!E935</f>
        <v>https://resources.simonelectric.com/simon-ebook-vehiculo-electrico</v>
      </c>
      <c r="E935" s="20" t="str">
        <f t="shared" si="1"/>
        <v>750@germaniaweb.com</v>
      </c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</row>
    <row r="936" ht="15.75" customHeight="1">
      <c r="A936" s="18" t="str">
        <f>Descargas!A936</f>
        <v>751@ecium.es</v>
      </c>
      <c r="B936" s="19" t="str">
        <f>IFERROR(__xludf.DUMMYFUNCTION("IF(OR(regexmatch(A936,"".*@simon.es$""),REGEXMATCH(A936,"".*@simon.pt$""),REGEXMATCH(A936,"".*@simonelectrica.com$""),REGEXMATCH(A936,"".*@hiberus.com$""),REGEXMATCH(A936,"".*@simonbrico.es$""),regexmatch(A936,"".*@simonelectric.com$"")),""null"",A936)"),"751@ecium.es")</f>
        <v>751@ecium.es</v>
      </c>
      <c r="C936" s="5">
        <f>IF(B936="null","null",Descargas!B936)</f>
        <v>43971</v>
      </c>
      <c r="D936" s="6" t="str">
        <f>Descargas!E936</f>
        <v>https://resources.simonelectric.com/simon-ebook-vehiculo-electrico-ppc</v>
      </c>
      <c r="E936" s="20" t="str">
        <f t="shared" si="1"/>
        <v>751@ecium.es</v>
      </c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</row>
    <row r="937" ht="15.75" customHeight="1">
      <c r="A937" s="18" t="str">
        <f>Descargas!A937</f>
        <v>752@hotmail.com</v>
      </c>
      <c r="B937" s="19" t="str">
        <f>IFERROR(__xludf.DUMMYFUNCTION("IF(OR(regexmatch(A937,"".*@simon.es$""),REGEXMATCH(A937,"".*@simon.pt$""),REGEXMATCH(A937,"".*@simonelectrica.com$""),REGEXMATCH(A937,"".*@hiberus.com$""),REGEXMATCH(A937,"".*@simonbrico.es$""),regexmatch(A937,"".*@simonelectric.com$"")),""null"",A937)"),"752@hotmail.com")</f>
        <v>752@hotmail.com</v>
      </c>
      <c r="C937" s="5">
        <f>IF(B937="null","null",Descargas!B937)</f>
        <v>43971</v>
      </c>
      <c r="D937" s="6" t="str">
        <f>Descargas!E937</f>
        <v>https://resources.simonelectric.com/simon-catalogo-vehiculo-electrico</v>
      </c>
      <c r="E937" s="20" t="str">
        <f t="shared" si="1"/>
        <v>752@hotmail.com</v>
      </c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</row>
    <row r="938" ht="15.75" customHeight="1">
      <c r="A938" s="18" t="str">
        <f>Descargas!A938</f>
        <v>753@arquinur.es</v>
      </c>
      <c r="B938" s="19" t="str">
        <f>IFERROR(__xludf.DUMMYFUNCTION("IF(OR(regexmatch(A938,"".*@simon.es$""),REGEXMATCH(A938,"".*@simon.pt$""),REGEXMATCH(A938,"".*@simonelectrica.com$""),REGEXMATCH(A938,"".*@hiberus.com$""),REGEXMATCH(A938,"".*@simonbrico.es$""),regexmatch(A938,"".*@simonelectric.com$"")),""null"",A938)"),"753@arquinur.es")</f>
        <v>753@arquinur.es</v>
      </c>
      <c r="C938" s="5">
        <f>IF(B938="null","null",Descargas!B938)</f>
        <v>43971</v>
      </c>
      <c r="D938" s="6" t="str">
        <f>Descargas!E938</f>
        <v>https://resources.simonelectric.com/simon-ebook-vehiculo-electrico-ppc</v>
      </c>
      <c r="E938" s="20" t="str">
        <f t="shared" si="1"/>
        <v>753@arquinur.es</v>
      </c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</row>
    <row r="939" ht="15.75" customHeight="1">
      <c r="A939" s="18" t="str">
        <f>Descargas!A939</f>
        <v>754@gmail.com</v>
      </c>
      <c r="B939" s="19" t="str">
        <f>IFERROR(__xludf.DUMMYFUNCTION("IF(OR(regexmatch(A939,"".*@simon.es$""),REGEXMATCH(A939,"".*@simon.pt$""),REGEXMATCH(A939,"".*@simonelectrica.com$""),REGEXMATCH(A939,"".*@hiberus.com$""),REGEXMATCH(A939,"".*@simonbrico.es$""),regexmatch(A939,"".*@simonelectric.com$"")),""null"",A939)"),"754@gmail.com")</f>
        <v>754@gmail.com</v>
      </c>
      <c r="C939" s="5">
        <f>IF(B939="null","null",Descargas!B939)</f>
        <v>43971</v>
      </c>
      <c r="D939" s="6" t="str">
        <f>Descargas!E939</f>
        <v>https://resources.simonelectric.com/simon-catalogo-vehiculo-electrico</v>
      </c>
      <c r="E939" s="20" t="str">
        <f t="shared" si="1"/>
        <v>754@gmail.com</v>
      </c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</row>
    <row r="940" ht="15.75" customHeight="1">
      <c r="A940" s="18" t="str">
        <f>Descargas!A940</f>
        <v>755@coitt.es</v>
      </c>
      <c r="B940" s="19" t="str">
        <f>IFERROR(__xludf.DUMMYFUNCTION("IF(OR(regexmatch(A940,"".*@simon.es$""),REGEXMATCH(A940,"".*@simon.pt$""),REGEXMATCH(A940,"".*@simonelectrica.com$""),REGEXMATCH(A940,"".*@hiberus.com$""),REGEXMATCH(A940,"".*@simonbrico.es$""),regexmatch(A940,"".*@simonelectric.com$"")),""null"",A940)"),"755@coitt.es")</f>
        <v>755@coitt.es</v>
      </c>
      <c r="C940" s="5">
        <f>IF(B940="null","null",Descargas!B940)</f>
        <v>43971</v>
      </c>
      <c r="D940" s="6" t="str">
        <f>Descargas!E940</f>
        <v>https://resources.simonelectric.com/simon-material-formativo-vehiculo-electrico</v>
      </c>
      <c r="E940" s="20" t="str">
        <f t="shared" si="1"/>
        <v>755@coitt.es</v>
      </c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</row>
    <row r="941" ht="15.75" customHeight="1">
      <c r="A941" s="18" t="str">
        <f>Descargas!A941</f>
        <v>756@gsima.es</v>
      </c>
      <c r="B941" s="19" t="str">
        <f>IFERROR(__xludf.DUMMYFUNCTION("IF(OR(regexmatch(A941,"".*@simon.es$""),REGEXMATCH(A941,"".*@simon.pt$""),REGEXMATCH(A941,"".*@simonelectrica.com$""),REGEXMATCH(A941,"".*@hiberus.com$""),REGEXMATCH(A941,"".*@simonbrico.es$""),regexmatch(A941,"".*@simonelectric.com$"")),""null"",A941)"),"756@gsima.es")</f>
        <v>756@gsima.es</v>
      </c>
      <c r="C941" s="5">
        <f>IF(B941="null","null",Descargas!B941)</f>
        <v>43971</v>
      </c>
      <c r="D941" s="6" t="str">
        <f>Descargas!E941</f>
        <v>https://resources.simonelectric.com/simon-material-formativo-vehiculo-electrico</v>
      </c>
      <c r="E941" s="20" t="str">
        <f t="shared" si="1"/>
        <v>756@gsima.es</v>
      </c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</row>
    <row r="942" ht="15.75" customHeight="1">
      <c r="A942" s="18" t="str">
        <f>Descargas!A942</f>
        <v>757@integra-sti.com</v>
      </c>
      <c r="B942" s="19" t="str">
        <f>IFERROR(__xludf.DUMMYFUNCTION("IF(OR(regexmatch(A942,"".*@simon.es$""),REGEXMATCH(A942,"".*@simon.pt$""),REGEXMATCH(A942,"".*@simonelectrica.com$""),REGEXMATCH(A942,"".*@hiberus.com$""),REGEXMATCH(A942,"".*@simonbrico.es$""),regexmatch(A942,"".*@simonelectric.com$"")),""null"",A942)"),"757@integra-sti.com")</f>
        <v>757@integra-sti.com</v>
      </c>
      <c r="C942" s="5">
        <f>IF(B942="null","null",Descargas!B942)</f>
        <v>43971</v>
      </c>
      <c r="D942" s="6" t="str">
        <f>Descargas!E942</f>
        <v>https://resources.simonelectric.com/simon-ebook-vehiculo-electrico</v>
      </c>
      <c r="E942" s="20" t="str">
        <f t="shared" si="1"/>
        <v>757@integra-sti.com</v>
      </c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</row>
    <row r="943" ht="15.75" customHeight="1">
      <c r="A943" s="18" t="str">
        <f>Descargas!A943</f>
        <v>599@gmail.com</v>
      </c>
      <c r="B943" s="19" t="str">
        <f>IFERROR(__xludf.DUMMYFUNCTION("IF(OR(regexmatch(A943,"".*@simon.es$""),REGEXMATCH(A943,"".*@simon.pt$""),REGEXMATCH(A943,"".*@simonelectrica.com$""),REGEXMATCH(A943,"".*@hiberus.com$""),REGEXMATCH(A943,"".*@simonbrico.es$""),regexmatch(A943,"".*@simonelectric.com$"")),""null"",A943)"),"599@gmail.com")</f>
        <v>599@gmail.com</v>
      </c>
      <c r="C943" s="5">
        <f>IF(B943="null","null",Descargas!B943)</f>
        <v>43971</v>
      </c>
      <c r="D943" s="6" t="str">
        <f>Descargas!E943</f>
        <v>https://resources.simonelectric.com/simon-catalogo-vehiculo-electrico</v>
      </c>
      <c r="E943" s="20" t="str">
        <f t="shared" si="1"/>
        <v>599@gmail.com</v>
      </c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</row>
    <row r="944" ht="15.75" customHeight="1">
      <c r="A944" s="18" t="str">
        <f>Descargas!A944</f>
        <v>758@ingenieros.com</v>
      </c>
      <c r="B944" s="19" t="str">
        <f>IFERROR(__xludf.DUMMYFUNCTION("IF(OR(regexmatch(A944,"".*@simon.es$""),REGEXMATCH(A944,"".*@simon.pt$""),REGEXMATCH(A944,"".*@simonelectrica.com$""),REGEXMATCH(A944,"".*@hiberus.com$""),REGEXMATCH(A944,"".*@simonbrico.es$""),regexmatch(A944,"".*@simonelectric.com$"")),""null"",A944)"),"758@ingenieros.com")</f>
        <v>758@ingenieros.com</v>
      </c>
      <c r="C944" s="5">
        <f>IF(B944="null","null",Descargas!B944)</f>
        <v>43971</v>
      </c>
      <c r="D944" s="6" t="str">
        <f>Descargas!E944</f>
        <v>https://resources.simonelectric.com/simon-catalogo-vehiculo-electrico</v>
      </c>
      <c r="E944" s="20" t="str">
        <f t="shared" si="1"/>
        <v>758@ingenieros.com</v>
      </c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</row>
    <row r="945" ht="15.75" customHeight="1">
      <c r="A945" s="18" t="str">
        <f>Descargas!A945</f>
        <v>758@ingenieros.com</v>
      </c>
      <c r="B945" s="19" t="str">
        <f>IFERROR(__xludf.DUMMYFUNCTION("IF(OR(regexmatch(A945,"".*@simon.es$""),REGEXMATCH(A945,"".*@simon.pt$""),REGEXMATCH(A945,"".*@simonelectrica.com$""),REGEXMATCH(A945,"".*@hiberus.com$""),REGEXMATCH(A945,"".*@simonbrico.es$""),regexmatch(A945,"".*@simonelectric.com$"")),""null"",A945)"),"758@ingenieros.com")</f>
        <v>758@ingenieros.com</v>
      </c>
      <c r="C945" s="5">
        <f>IF(B945="null","null",Descargas!B945)</f>
        <v>43971</v>
      </c>
      <c r="D945" s="6" t="str">
        <f>Descargas!E945</f>
        <v>https://resources.simonelectric.com/simon-ebook-vehiculo-electrico</v>
      </c>
      <c r="E945" s="20" t="str">
        <f t="shared" si="1"/>
        <v>758@ingenieros.com</v>
      </c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</row>
    <row r="946" ht="15.75" customHeight="1">
      <c r="A946" s="18" t="str">
        <f>Descargas!A946</f>
        <v>759@hotmail.com</v>
      </c>
      <c r="B946" s="19" t="str">
        <f>IFERROR(__xludf.DUMMYFUNCTION("IF(OR(regexmatch(A946,"".*@simon.es$""),REGEXMATCH(A946,"".*@simon.pt$""),REGEXMATCH(A946,"".*@simonelectrica.com$""),REGEXMATCH(A946,"".*@hiberus.com$""),REGEXMATCH(A946,"".*@simonbrico.es$""),regexmatch(A946,"".*@simonelectric.com$"")),""null"",A946)"),"759@hotmail.com")</f>
        <v>759@hotmail.com</v>
      </c>
      <c r="C946" s="5">
        <f>IF(B946="null","null",Descargas!B946)</f>
        <v>43971</v>
      </c>
      <c r="D946" s="6" t="str">
        <f>Descargas!E946</f>
        <v>https://resources.simonelectric.com/simon-material-formativo-vehiculo-electrico</v>
      </c>
      <c r="E946" s="20" t="str">
        <f t="shared" si="1"/>
        <v>759@hotmail.com</v>
      </c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</row>
    <row r="947" ht="15.75" customHeight="1">
      <c r="A947" s="18" t="str">
        <f>Descargas!A947</f>
        <v>684@gmail.com</v>
      </c>
      <c r="B947" s="19" t="str">
        <f>IFERROR(__xludf.DUMMYFUNCTION("IF(OR(regexmatch(A947,"".*@simon.es$""),REGEXMATCH(A947,"".*@simon.pt$""),REGEXMATCH(A947,"".*@simonelectrica.com$""),REGEXMATCH(A947,"".*@hiberus.com$""),REGEXMATCH(A947,"".*@simonbrico.es$""),regexmatch(A947,"".*@simonelectric.com$"")),""null"",A947)"),"684@gmail.com")</f>
        <v>684@gmail.com</v>
      </c>
      <c r="C947" s="5">
        <f>IF(B947="null","null",Descargas!B947)</f>
        <v>43971</v>
      </c>
      <c r="D947" s="6" t="str">
        <f>Descargas!E947</f>
        <v>https://resources.simonelectric.com/simon-catalogo-vehiculo-electrico</v>
      </c>
      <c r="E947" s="20" t="str">
        <f t="shared" si="1"/>
        <v>684@gmail.com</v>
      </c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</row>
    <row r="948" ht="15.75" customHeight="1">
      <c r="A948" s="18" t="str">
        <f>Descargas!A948</f>
        <v>596@gmail.com</v>
      </c>
      <c r="B948" s="19" t="str">
        <f>IFERROR(__xludf.DUMMYFUNCTION("IF(OR(regexmatch(A948,"".*@simon.es$""),REGEXMATCH(A948,"".*@simon.pt$""),REGEXMATCH(A948,"".*@simonelectrica.com$""),REGEXMATCH(A948,"".*@hiberus.com$""),REGEXMATCH(A948,"".*@simonbrico.es$""),regexmatch(A948,"".*@simonelectric.com$"")),""null"",A948)"),"596@gmail.com")</f>
        <v>596@gmail.com</v>
      </c>
      <c r="C948" s="5">
        <f>IF(B948="null","null",Descargas!B948)</f>
        <v>43971</v>
      </c>
      <c r="D948" s="6" t="str">
        <f>Descargas!E948</f>
        <v>https://resources.simonelectric.com/simon-catalogo-vehiculo-electrico</v>
      </c>
      <c r="E948" s="20" t="str">
        <f t="shared" si="1"/>
        <v>596@gmail.com</v>
      </c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</row>
    <row r="949" ht="15.75" customHeight="1">
      <c r="A949" s="18" t="str">
        <f>Descargas!A949</f>
        <v>760@hotmail.com</v>
      </c>
      <c r="B949" s="19" t="str">
        <f>IFERROR(__xludf.DUMMYFUNCTION("IF(OR(regexmatch(A949,"".*@simon.es$""),REGEXMATCH(A949,"".*@simon.pt$""),REGEXMATCH(A949,"".*@simonelectrica.com$""),REGEXMATCH(A949,"".*@hiberus.com$""),REGEXMATCH(A949,"".*@simonbrico.es$""),regexmatch(A949,"".*@simonelectric.com$"")),""null"",A949)"),"760@hotmail.com")</f>
        <v>760@hotmail.com</v>
      </c>
      <c r="C949" s="5">
        <f>IF(B949="null","null",Descargas!B949)</f>
        <v>43971</v>
      </c>
      <c r="D949" s="6" t="str">
        <f>Descargas!E949</f>
        <v>https://resources.simonelectric.com/simon-ebook-vehiculo-electrico-ppc</v>
      </c>
      <c r="E949" s="20" t="str">
        <f t="shared" si="1"/>
        <v>760@hotmail.com</v>
      </c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</row>
    <row r="950" ht="15.75" customHeight="1">
      <c r="A950" s="18" t="str">
        <f>Descargas!A950</f>
        <v>761@insfuert.es</v>
      </c>
      <c r="B950" s="19" t="str">
        <f>IFERROR(__xludf.DUMMYFUNCTION("IF(OR(regexmatch(A950,"".*@simon.es$""),REGEXMATCH(A950,"".*@simon.pt$""),REGEXMATCH(A950,"".*@simonelectrica.com$""),REGEXMATCH(A950,"".*@hiberus.com$""),REGEXMATCH(A950,"".*@simonbrico.es$""),regexmatch(A950,"".*@simonelectric.com$"")),""null"",A950)"),"761@insfuert.es")</f>
        <v>761@insfuert.es</v>
      </c>
      <c r="C950" s="5">
        <f>IF(B950="null","null",Descargas!B950)</f>
        <v>43971</v>
      </c>
      <c r="D950" s="6" t="str">
        <f>Descargas!E950</f>
        <v>https://resources.simonelectric.com/simon-material-formativo-vehiculo-electrico</v>
      </c>
      <c r="E950" s="20" t="str">
        <f t="shared" si="1"/>
        <v>761@insfuert.es</v>
      </c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</row>
    <row r="951" ht="15.75" customHeight="1">
      <c r="A951" s="18" t="str">
        <f>Descargas!A951</f>
        <v>762@hotmail.com</v>
      </c>
      <c r="B951" s="19" t="str">
        <f>IFERROR(__xludf.DUMMYFUNCTION("IF(OR(regexmatch(A951,"".*@simon.es$""),REGEXMATCH(A951,"".*@simon.pt$""),REGEXMATCH(A951,"".*@simonelectrica.com$""),REGEXMATCH(A951,"".*@hiberus.com$""),REGEXMATCH(A951,"".*@simonbrico.es$""),regexmatch(A951,"".*@simonelectric.com$"")),""null"",A951)"),"762@hotmail.com")</f>
        <v>762@hotmail.com</v>
      </c>
      <c r="C951" s="5">
        <f>IF(B951="null","null",Descargas!B951)</f>
        <v>43971</v>
      </c>
      <c r="D951" s="6" t="str">
        <f>Descargas!E951</f>
        <v>https://resources.simonelectric.com/simon-material-formativo-vehiculo-electrico</v>
      </c>
      <c r="E951" s="20" t="str">
        <f t="shared" si="1"/>
        <v>762@hotmail.com</v>
      </c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</row>
    <row r="952" ht="15.75" customHeight="1">
      <c r="A952" s="18" t="str">
        <f>Descargas!A952</f>
        <v>663@hotmail.com</v>
      </c>
      <c r="B952" s="19" t="str">
        <f>IFERROR(__xludf.DUMMYFUNCTION("IF(OR(regexmatch(A952,"".*@simon.es$""),REGEXMATCH(A952,"".*@simon.pt$""),REGEXMATCH(A952,"".*@simonelectrica.com$""),REGEXMATCH(A952,"".*@hiberus.com$""),REGEXMATCH(A952,"".*@simonbrico.es$""),regexmatch(A952,"".*@simonelectric.com$"")),""null"",A952)"),"663@hotmail.com")</f>
        <v>663@hotmail.com</v>
      </c>
      <c r="C952" s="5">
        <f>IF(B952="null","null",Descargas!B952)</f>
        <v>43971</v>
      </c>
      <c r="D952" s="6" t="str">
        <f>Descargas!E952</f>
        <v>https://resources.simonelectric.com/simon-catalogo-vehiculo-electrico</v>
      </c>
      <c r="E952" s="20" t="str">
        <f t="shared" si="1"/>
        <v>663@hotmail.com</v>
      </c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</row>
    <row r="953" ht="15.75" customHeight="1">
      <c r="A953" s="18" t="str">
        <f>Descargas!A953</f>
        <v>689@arbonapiza.com</v>
      </c>
      <c r="B953" s="19" t="str">
        <f>IFERROR(__xludf.DUMMYFUNCTION("IF(OR(regexmatch(A953,"".*@simon.es$""),REGEXMATCH(A953,"".*@simon.pt$""),REGEXMATCH(A953,"".*@simonelectrica.com$""),REGEXMATCH(A953,"".*@hiberus.com$""),REGEXMATCH(A953,"".*@simonbrico.es$""),regexmatch(A953,"".*@simonelectric.com$"")),""null"",A953)"),"689@arbonapiza.com")</f>
        <v>689@arbonapiza.com</v>
      </c>
      <c r="C953" s="5">
        <f>IF(B953="null","null",Descargas!B953)</f>
        <v>43971</v>
      </c>
      <c r="D953" s="6" t="str">
        <f>Descargas!E953</f>
        <v>https://resources.simonelectric.com/simon-catalogo-vehiculo-electrico</v>
      </c>
      <c r="E953" s="20" t="str">
        <f t="shared" si="1"/>
        <v>689@arbonapiza.com</v>
      </c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</row>
    <row r="954" ht="15.75" customHeight="1">
      <c r="A954" s="18" t="str">
        <f>Descargas!A954</f>
        <v>763@gmail.com</v>
      </c>
      <c r="B954" s="19" t="str">
        <f>IFERROR(__xludf.DUMMYFUNCTION("IF(OR(regexmatch(A954,"".*@simon.es$""),REGEXMATCH(A954,"".*@simon.pt$""),REGEXMATCH(A954,"".*@simonelectrica.com$""),REGEXMATCH(A954,"".*@hiberus.com$""),REGEXMATCH(A954,"".*@simonbrico.es$""),regexmatch(A954,"".*@simonelectric.com$"")),""null"",A954)"),"763@gmail.com")</f>
        <v>763@gmail.com</v>
      </c>
      <c r="C954" s="5">
        <f>IF(B954="null","null",Descargas!B954)</f>
        <v>43971</v>
      </c>
      <c r="D954" s="6" t="str">
        <f>Descargas!E954</f>
        <v>https://resources.simonelectric.com/simon-ebook-vehiculo-electrico</v>
      </c>
      <c r="E954" s="20" t="str">
        <f t="shared" si="1"/>
        <v>763@gmail.com</v>
      </c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</row>
    <row r="955" ht="15.75" customHeight="1">
      <c r="A955" s="18" t="str">
        <f>Descargas!A955</f>
        <v>764@nova-electrica.com</v>
      </c>
      <c r="B955" s="19" t="str">
        <f>IFERROR(__xludf.DUMMYFUNCTION("IF(OR(regexmatch(A955,"".*@simon.es$""),REGEXMATCH(A955,"".*@simon.pt$""),REGEXMATCH(A955,"".*@simonelectrica.com$""),REGEXMATCH(A955,"".*@hiberus.com$""),REGEXMATCH(A955,"".*@simonbrico.es$""),regexmatch(A955,"".*@simonelectric.com$"")),""null"",A955)"),"764@nova-electrica.com")</f>
        <v>764@nova-electrica.com</v>
      </c>
      <c r="C955" s="5">
        <f>IF(B955="null","null",Descargas!B955)</f>
        <v>43971</v>
      </c>
      <c r="D955" s="6" t="str">
        <f>Descargas!E955</f>
        <v>https://resources.simonelectric.com/simon-catalogo-vehiculo-electrico</v>
      </c>
      <c r="E955" s="20" t="str">
        <f t="shared" si="1"/>
        <v>764@nova-electrica.com</v>
      </c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</row>
    <row r="956" ht="15.75" customHeight="1">
      <c r="A956" s="18" t="str">
        <f>Descargas!A956</f>
        <v>765@gmail.com</v>
      </c>
      <c r="B956" s="19" t="str">
        <f>IFERROR(__xludf.DUMMYFUNCTION("IF(OR(regexmatch(A956,"".*@simon.es$""),REGEXMATCH(A956,"".*@simon.pt$""),REGEXMATCH(A956,"".*@simonelectrica.com$""),REGEXMATCH(A956,"".*@hiberus.com$""),REGEXMATCH(A956,"".*@simonbrico.es$""),regexmatch(A956,"".*@simonelectric.com$"")),""null"",A956)"),"765@gmail.com")</f>
        <v>765@gmail.com</v>
      </c>
      <c r="C956" s="5">
        <f>IF(B956="null","null",Descargas!B956)</f>
        <v>43971</v>
      </c>
      <c r="D956" s="6" t="str">
        <f>Descargas!E956</f>
        <v>https://resources.simonelectric.com/simon-ebook-vehiculo-electrico</v>
      </c>
      <c r="E956" s="20" t="str">
        <f t="shared" si="1"/>
        <v>765@gmail.com</v>
      </c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</row>
    <row r="957" ht="15.75" customHeight="1">
      <c r="A957" s="18" t="str">
        <f>Descargas!A957</f>
        <v>765@gmail.com</v>
      </c>
      <c r="B957" s="19" t="str">
        <f>IFERROR(__xludf.DUMMYFUNCTION("IF(OR(regexmatch(A957,"".*@simon.es$""),REGEXMATCH(A957,"".*@simon.pt$""),REGEXMATCH(A957,"".*@simonelectrica.com$""),REGEXMATCH(A957,"".*@hiberus.com$""),REGEXMATCH(A957,"".*@simonbrico.es$""),regexmatch(A957,"".*@simonelectric.com$"")),""null"",A957)"),"765@gmail.com")</f>
        <v>765@gmail.com</v>
      </c>
      <c r="C957" s="5">
        <f>IF(B957="null","null",Descargas!B957)</f>
        <v>43971</v>
      </c>
      <c r="D957" s="6" t="str">
        <f>Descargas!E957</f>
        <v>https://resources.simonelectric.com/simon-catalogo-vehiculo-electrico</v>
      </c>
      <c r="E957" s="20" t="str">
        <f t="shared" si="1"/>
        <v>765@gmail.com</v>
      </c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</row>
    <row r="958" ht="15.75" customHeight="1">
      <c r="A958" s="18" t="str">
        <f>Descargas!A958</f>
        <v>576@gmail.com</v>
      </c>
      <c r="B958" s="19" t="str">
        <f>IFERROR(__xludf.DUMMYFUNCTION("IF(OR(regexmatch(A958,"".*@simon.es$""),REGEXMATCH(A958,"".*@simon.pt$""),REGEXMATCH(A958,"".*@simonelectrica.com$""),REGEXMATCH(A958,"".*@hiberus.com$""),REGEXMATCH(A958,"".*@simonbrico.es$""),regexmatch(A958,"".*@simonelectric.com$"")),""null"",A958)"),"576@gmail.com")</f>
        <v>576@gmail.com</v>
      </c>
      <c r="C958" s="5">
        <f>IF(B958="null","null",Descargas!B958)</f>
        <v>43971</v>
      </c>
      <c r="D958" s="6" t="str">
        <f>Descargas!E958</f>
        <v>https://resources.simonelectric.com/simon-catalogo-vehiculo-electrico</v>
      </c>
      <c r="E958" s="20" t="str">
        <f t="shared" si="1"/>
        <v>576@gmail.com</v>
      </c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</row>
    <row r="959" ht="15.75" customHeight="1">
      <c r="A959" s="18" t="str">
        <f>Descargas!A959</f>
        <v>766@hotmail.com</v>
      </c>
      <c r="B959" s="19" t="str">
        <f>IFERROR(__xludf.DUMMYFUNCTION("IF(OR(regexmatch(A959,"".*@simon.es$""),REGEXMATCH(A959,"".*@simon.pt$""),REGEXMATCH(A959,"".*@simonelectrica.com$""),REGEXMATCH(A959,"".*@hiberus.com$""),REGEXMATCH(A959,"".*@simonbrico.es$""),regexmatch(A959,"".*@simonelectric.com$"")),""null"",A959)"),"766@hotmail.com")</f>
        <v>766@hotmail.com</v>
      </c>
      <c r="C959" s="5">
        <f>IF(B959="null","null",Descargas!B959)</f>
        <v>43971</v>
      </c>
      <c r="D959" s="6" t="str">
        <f>Descargas!E959</f>
        <v>https://resources.simonelectric.com/simon-catalogo-vehiculo-electrico</v>
      </c>
      <c r="E959" s="20" t="str">
        <f t="shared" si="1"/>
        <v>766@hotmail.com</v>
      </c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</row>
    <row r="960" ht="15.75" customHeight="1">
      <c r="A960" s="18" t="str">
        <f>Descargas!A960</f>
        <v>767@rexel.es</v>
      </c>
      <c r="B960" s="19" t="str">
        <f>IFERROR(__xludf.DUMMYFUNCTION("IF(OR(regexmatch(A960,"".*@simon.es$""),REGEXMATCH(A960,"".*@simon.pt$""),REGEXMATCH(A960,"".*@simonelectrica.com$""),REGEXMATCH(A960,"".*@hiberus.com$""),REGEXMATCH(A960,"".*@simonbrico.es$""),regexmatch(A960,"".*@simonelectric.com$"")),""null"",A960)"),"767@rexel.es")</f>
        <v>767@rexel.es</v>
      </c>
      <c r="C960" s="5">
        <f>IF(B960="null","null",Descargas!B960)</f>
        <v>43971</v>
      </c>
      <c r="D960" s="6" t="str">
        <f>Descargas!E960</f>
        <v>https://resources.simonelectric.com/simon-ebook-vehiculo-electrico</v>
      </c>
      <c r="E960" s="20" t="str">
        <f t="shared" si="1"/>
        <v>767@rexel.es</v>
      </c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</row>
    <row r="961" ht="15.75" customHeight="1">
      <c r="A961" s="18" t="str">
        <f>Descargas!A961</f>
        <v>634@easycharger.es</v>
      </c>
      <c r="B961" s="19" t="str">
        <f>IFERROR(__xludf.DUMMYFUNCTION("IF(OR(regexmatch(A961,"".*@simon.es$""),REGEXMATCH(A961,"".*@simon.pt$""),REGEXMATCH(A961,"".*@simonelectrica.com$""),REGEXMATCH(A961,"".*@hiberus.com$""),REGEXMATCH(A961,"".*@simonbrico.es$""),regexmatch(A961,"".*@simonelectric.com$"")),""null"",A961)"),"634@easycharger.es")</f>
        <v>634@easycharger.es</v>
      </c>
      <c r="C961" s="5">
        <f>IF(B961="null","null",Descargas!B961)</f>
        <v>43971</v>
      </c>
      <c r="D961" s="6" t="str">
        <f>Descargas!E961</f>
        <v>https://resources.simonelectric.com/simon-catalogo-vehiculo-electrico</v>
      </c>
      <c r="E961" s="20" t="str">
        <f t="shared" si="1"/>
        <v>634@easycharger.es</v>
      </c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</row>
    <row r="962" ht="15.75" customHeight="1">
      <c r="A962" s="18" t="str">
        <f>Descargas!A962</f>
        <v>768@gmail.com</v>
      </c>
      <c r="B962" s="19" t="str">
        <f>IFERROR(__xludf.DUMMYFUNCTION("IF(OR(regexmatch(A962,"".*@simon.es$""),REGEXMATCH(A962,"".*@simon.pt$""),REGEXMATCH(A962,"".*@simonelectrica.com$""),REGEXMATCH(A962,"".*@hiberus.com$""),REGEXMATCH(A962,"".*@simonbrico.es$""),regexmatch(A962,"".*@simonelectric.com$"")),""null"",A962)"),"768@gmail.com")</f>
        <v>768@gmail.com</v>
      </c>
      <c r="C962" s="5">
        <f>IF(B962="null","null",Descargas!B962)</f>
        <v>43971</v>
      </c>
      <c r="D962" s="6" t="str">
        <f>Descargas!E962</f>
        <v>https://resources.simonelectric.com/simon-catalogo-vehiculo-electrico</v>
      </c>
      <c r="E962" s="20" t="str">
        <f t="shared" si="1"/>
        <v>768@gmail.com</v>
      </c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</row>
    <row r="963" ht="15.75" customHeight="1">
      <c r="A963" s="18" t="str">
        <f>Descargas!A963</f>
        <v>769@gmail.com</v>
      </c>
      <c r="B963" s="19" t="str">
        <f>IFERROR(__xludf.DUMMYFUNCTION("IF(OR(regexmatch(A963,"".*@simon.es$""),REGEXMATCH(A963,"".*@simon.pt$""),REGEXMATCH(A963,"".*@simonelectrica.com$""),REGEXMATCH(A963,"".*@hiberus.com$""),REGEXMATCH(A963,"".*@simonbrico.es$""),regexmatch(A963,"".*@simonelectric.com$"")),""null"",A963)"),"769@gmail.com")</f>
        <v>769@gmail.com</v>
      </c>
      <c r="C963" s="5">
        <f>IF(B963="null","null",Descargas!B963)</f>
        <v>43971</v>
      </c>
      <c r="D963" s="6" t="str">
        <f>Descargas!E963</f>
        <v>https://resources.simonelectric.com/simon-catalogo-vehiculo-electrico</v>
      </c>
      <c r="E963" s="20" t="str">
        <f t="shared" si="1"/>
        <v>769@gmail.com</v>
      </c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</row>
    <row r="964" ht="15.75" customHeight="1">
      <c r="A964" s="18" t="str">
        <f>Descargas!A964</f>
        <v>770@inmotiza.com</v>
      </c>
      <c r="B964" s="19" t="str">
        <f>IFERROR(__xludf.DUMMYFUNCTION("IF(OR(regexmatch(A964,"".*@simon.es$""),REGEXMATCH(A964,"".*@simon.pt$""),REGEXMATCH(A964,"".*@simonelectrica.com$""),REGEXMATCH(A964,"".*@hiberus.com$""),REGEXMATCH(A964,"".*@simonbrico.es$""),regexmatch(A964,"".*@simonelectric.com$"")),""null"",A964)"),"770@inmotiza.com")</f>
        <v>770@inmotiza.com</v>
      </c>
      <c r="C964" s="5">
        <f>IF(B964="null","null",Descargas!B964)</f>
        <v>43971</v>
      </c>
      <c r="D964" s="6" t="str">
        <f>Descargas!E964</f>
        <v>https://resources.simonelectric.com/simon-ebook-vehiculo-electrico</v>
      </c>
      <c r="E964" s="20" t="str">
        <f t="shared" si="1"/>
        <v>770@inmotiza.com</v>
      </c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</row>
    <row r="965" ht="15.75" customHeight="1">
      <c r="A965" s="18" t="str">
        <f>Descargas!A965</f>
        <v>629@gmail.com</v>
      </c>
      <c r="B965" s="19" t="str">
        <f>IFERROR(__xludf.DUMMYFUNCTION("IF(OR(regexmatch(A965,"".*@simon.es$""),REGEXMATCH(A965,"".*@simon.pt$""),REGEXMATCH(A965,"".*@simonelectrica.com$""),REGEXMATCH(A965,"".*@hiberus.com$""),REGEXMATCH(A965,"".*@simonbrico.es$""),regexmatch(A965,"".*@simonelectric.com$"")),""null"",A965)"),"629@gmail.com")</f>
        <v>629@gmail.com</v>
      </c>
      <c r="C965" s="5">
        <f>IF(B965="null","null",Descargas!B965)</f>
        <v>43971</v>
      </c>
      <c r="D965" s="6" t="str">
        <f>Descargas!E965</f>
        <v>https://resources.simonelectric.com/simon-catalogo-vehiculo-electrico</v>
      </c>
      <c r="E965" s="20" t="str">
        <f t="shared" si="1"/>
        <v>629@gmail.com</v>
      </c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</row>
    <row r="966" ht="15.75" customHeight="1">
      <c r="A966" s="18" t="str">
        <f>Descargas!A966</f>
        <v>4@gmail.com</v>
      </c>
      <c r="B966" s="19" t="str">
        <f>IFERROR(__xludf.DUMMYFUNCTION("IF(OR(regexmatch(A966,"".*@simon.es$""),REGEXMATCH(A966,"".*@simon.pt$""),REGEXMATCH(A966,"".*@simonelectrica.com$""),REGEXMATCH(A966,"".*@hiberus.com$""),REGEXMATCH(A966,"".*@simonbrico.es$""),regexmatch(A966,"".*@simonelectric.com$"")),""null"",A966)"),"4@gmail.com")</f>
        <v>4@gmail.com</v>
      </c>
      <c r="C966" s="5">
        <f>IF(B966="null","null",Descargas!B966)</f>
        <v>43971</v>
      </c>
      <c r="D966" s="6" t="str">
        <f>Descargas!E966</f>
        <v>https://resources.simonelectric.com/simon-catalogo-vehiculo-electrico</v>
      </c>
      <c r="E966" s="20" t="str">
        <f t="shared" si="1"/>
        <v>4@gmail.com</v>
      </c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</row>
    <row r="967" ht="15.75" customHeight="1">
      <c r="A967" s="18" t="str">
        <f>Descargas!A967</f>
        <v>367@yahoo.es</v>
      </c>
      <c r="B967" s="19" t="str">
        <f>IFERROR(__xludf.DUMMYFUNCTION("IF(OR(regexmatch(A967,"".*@simon.es$""),REGEXMATCH(A967,"".*@simon.pt$""),REGEXMATCH(A967,"".*@simonelectrica.com$""),REGEXMATCH(A967,"".*@hiberus.com$""),REGEXMATCH(A967,"".*@simonbrico.es$""),regexmatch(A967,"".*@simonelectric.com$"")),""null"",A967)"),"367@yahoo.es")</f>
        <v>367@yahoo.es</v>
      </c>
      <c r="C967" s="5">
        <f>IF(B967="null","null",Descargas!B967)</f>
        <v>43971</v>
      </c>
      <c r="D967" s="6" t="str">
        <f>Descargas!E967</f>
        <v>https://resources.simonelectric.com/simon-catalogo-vehiculo-electrico</v>
      </c>
      <c r="E967" s="20" t="str">
        <f t="shared" si="1"/>
        <v>367@yahoo.es</v>
      </c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</row>
    <row r="968" ht="15.75" customHeight="1">
      <c r="A968" s="18" t="str">
        <f>Descargas!A968</f>
        <v>771@solutions30.com</v>
      </c>
      <c r="B968" s="19" t="str">
        <f>IFERROR(__xludf.DUMMYFUNCTION("IF(OR(regexmatch(A968,"".*@simon.es$""),REGEXMATCH(A968,"".*@simon.pt$""),REGEXMATCH(A968,"".*@simonelectrica.com$""),REGEXMATCH(A968,"".*@hiberus.com$""),REGEXMATCH(A968,"".*@simonbrico.es$""),regexmatch(A968,"".*@simonelectric.com$"")),""null"",A968)"),"771@solutions30.com")</f>
        <v>771@solutions30.com</v>
      </c>
      <c r="C968" s="5">
        <f>IF(B968="null","null",Descargas!B968)</f>
        <v>43971</v>
      </c>
      <c r="D968" s="6" t="str">
        <f>Descargas!E968</f>
        <v>https://resources.simonelectric.com/simon-catalogo-vehiculo-electrico</v>
      </c>
      <c r="E968" s="20" t="str">
        <f t="shared" si="1"/>
        <v>771@solutions30.com</v>
      </c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</row>
    <row r="969" ht="15.75" customHeight="1">
      <c r="A969" s="18" t="str">
        <f>Descargas!A969</f>
        <v>772@faen.es</v>
      </c>
      <c r="B969" s="19" t="str">
        <f>IFERROR(__xludf.DUMMYFUNCTION("IF(OR(regexmatch(A969,"".*@simon.es$""),REGEXMATCH(A969,"".*@simon.pt$""),REGEXMATCH(A969,"".*@simonelectrica.com$""),REGEXMATCH(A969,"".*@hiberus.com$""),REGEXMATCH(A969,"".*@simonbrico.es$""),regexmatch(A969,"".*@simonelectric.com$"")),""null"",A969)"),"772@faen.es")</f>
        <v>772@faen.es</v>
      </c>
      <c r="C969" s="5">
        <f>IF(B969="null","null",Descargas!B969)</f>
        <v>43971</v>
      </c>
      <c r="D969" s="6" t="str">
        <f>Descargas!E969</f>
        <v>https://resources.simonelectric.com/simon-catalogo-vehiculo-electrico</v>
      </c>
      <c r="E969" s="20" t="str">
        <f t="shared" si="1"/>
        <v>772@faen.es</v>
      </c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</row>
    <row r="970" ht="15.75" customHeight="1">
      <c r="A970" s="18" t="str">
        <f>Descargas!A970</f>
        <v>773@perequart.com</v>
      </c>
      <c r="B970" s="19" t="str">
        <f>IFERROR(__xludf.DUMMYFUNCTION("IF(OR(regexmatch(A970,"".*@simon.es$""),REGEXMATCH(A970,"".*@simon.pt$""),REGEXMATCH(A970,"".*@simonelectrica.com$""),REGEXMATCH(A970,"".*@hiberus.com$""),REGEXMATCH(A970,"".*@simonbrico.es$""),regexmatch(A970,"".*@simonelectric.com$"")),""null"",A970)"),"773@perequart.com")</f>
        <v>773@perequart.com</v>
      </c>
      <c r="C970" s="5">
        <f>IF(B970="null","null",Descargas!B970)</f>
        <v>43971</v>
      </c>
      <c r="D970" s="6" t="str">
        <f>Descargas!E970</f>
        <v>https://resources.simonelectric.com/simon-material-formativo-vehiculo-electrico</v>
      </c>
      <c r="E970" s="20" t="str">
        <f t="shared" si="1"/>
        <v>773@perequart.com</v>
      </c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</row>
    <row r="971" ht="15.75" customHeight="1">
      <c r="A971" s="18" t="str">
        <f>Descargas!A971</f>
        <v>601@gmail.com</v>
      </c>
      <c r="B971" s="19" t="str">
        <f>IFERROR(__xludf.DUMMYFUNCTION("IF(OR(regexmatch(A971,"".*@simon.es$""),REGEXMATCH(A971,"".*@simon.pt$""),REGEXMATCH(A971,"".*@simonelectrica.com$""),REGEXMATCH(A971,"".*@hiberus.com$""),REGEXMATCH(A971,"".*@simonbrico.es$""),regexmatch(A971,"".*@simonelectric.com$"")),""null"",A971)"),"601@gmail.com")</f>
        <v>601@gmail.com</v>
      </c>
      <c r="C971" s="5">
        <f>IF(B971="null","null",Descargas!B971)</f>
        <v>43971</v>
      </c>
      <c r="D971" s="6" t="str">
        <f>Descargas!E971</f>
        <v>https://resources.simonelectric.com/simon-catalogo-vehiculo-electrico</v>
      </c>
      <c r="E971" s="20" t="str">
        <f t="shared" si="1"/>
        <v>601@gmail.com</v>
      </c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</row>
    <row r="972" ht="15.75" customHeight="1">
      <c r="A972" s="18" t="str">
        <f>Descargas!A972</f>
        <v>774@urgon.es</v>
      </c>
      <c r="B972" s="19" t="str">
        <f>IFERROR(__xludf.DUMMYFUNCTION("IF(OR(regexmatch(A972,"".*@simon.es$""),REGEXMATCH(A972,"".*@simon.pt$""),REGEXMATCH(A972,"".*@simonelectrica.com$""),REGEXMATCH(A972,"".*@hiberus.com$""),REGEXMATCH(A972,"".*@simonbrico.es$""),regexmatch(A972,"".*@simonelectric.com$"")),""null"",A972)"),"774@urgon.es")</f>
        <v>774@urgon.es</v>
      </c>
      <c r="C972" s="5">
        <f>IF(B972="null","null",Descargas!B972)</f>
        <v>43971</v>
      </c>
      <c r="D972" s="6" t="str">
        <f>Descargas!E972</f>
        <v>https://resources.simonelectric.com/simon-catalogo-vehiculo-electrico</v>
      </c>
      <c r="E972" s="20" t="str">
        <f t="shared" si="1"/>
        <v>774@urgon.es</v>
      </c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</row>
    <row r="973" ht="15.75" customHeight="1">
      <c r="A973" s="18" t="str">
        <f>Descargas!A973</f>
        <v>775@yahoo.es</v>
      </c>
      <c r="B973" s="19" t="str">
        <f>IFERROR(__xludf.DUMMYFUNCTION("IF(OR(regexmatch(A973,"".*@simon.es$""),REGEXMATCH(A973,"".*@simon.pt$""),REGEXMATCH(A973,"".*@simonelectrica.com$""),REGEXMATCH(A973,"".*@hiberus.com$""),REGEXMATCH(A973,"".*@simonbrico.es$""),regexmatch(A973,"".*@simonelectric.com$"")),""null"",A973)"),"775@yahoo.es")</f>
        <v>775@yahoo.es</v>
      </c>
      <c r="C973" s="5">
        <f>IF(B973="null","null",Descargas!B973)</f>
        <v>43971</v>
      </c>
      <c r="D973" s="6" t="str">
        <f>Descargas!E973</f>
        <v>https://resources.simonelectric.com/simon-catalogo-vehiculo-electrico</v>
      </c>
      <c r="E973" s="20" t="str">
        <f t="shared" si="1"/>
        <v>775@yahoo.es</v>
      </c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</row>
    <row r="974" ht="15.75" customHeight="1">
      <c r="A974" s="18" t="str">
        <f>Descargas!A974</f>
        <v>702@hotmail.com</v>
      </c>
      <c r="B974" s="19" t="str">
        <f>IFERROR(__xludf.DUMMYFUNCTION("IF(OR(regexmatch(A974,"".*@simon.es$""),REGEXMATCH(A974,"".*@simon.pt$""),REGEXMATCH(A974,"".*@simonelectrica.com$""),REGEXMATCH(A974,"".*@hiberus.com$""),REGEXMATCH(A974,"".*@simonbrico.es$""),regexmatch(A974,"".*@simonelectric.com$"")),""null"",A974)"),"702@hotmail.com")</f>
        <v>702@hotmail.com</v>
      </c>
      <c r="C974" s="5">
        <f>IF(B974="null","null",Descargas!B974)</f>
        <v>43971</v>
      </c>
      <c r="D974" s="6" t="str">
        <f>Descargas!E974</f>
        <v>https://resources.simonelectric.com/simon-catalogo-vehiculo-electrico</v>
      </c>
      <c r="E974" s="20" t="str">
        <f t="shared" si="1"/>
        <v>702@hotmail.com</v>
      </c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</row>
    <row r="975" ht="15.75" customHeight="1">
      <c r="A975" s="18" t="str">
        <f>Descargas!A975</f>
        <v>776@entepi.com</v>
      </c>
      <c r="B975" s="19" t="str">
        <f>IFERROR(__xludf.DUMMYFUNCTION("IF(OR(regexmatch(A975,"".*@simon.es$""),REGEXMATCH(A975,"".*@simon.pt$""),REGEXMATCH(A975,"".*@simonelectrica.com$""),REGEXMATCH(A975,"".*@hiberus.com$""),REGEXMATCH(A975,"".*@simonbrico.es$""),regexmatch(A975,"".*@simonelectric.com$"")),""null"",A975)"),"776@entepi.com")</f>
        <v>776@entepi.com</v>
      </c>
      <c r="C975" s="5">
        <f>IF(B975="null","null",Descargas!B975)</f>
        <v>43971</v>
      </c>
      <c r="D975" s="6" t="str">
        <f>Descargas!E975</f>
        <v>https://resources.simonelectric.com/simon-ebook-vehiculo-electrico</v>
      </c>
      <c r="E975" s="20" t="str">
        <f t="shared" si="1"/>
        <v>776@entepi.com</v>
      </c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</row>
    <row r="976" ht="15.75" customHeight="1">
      <c r="A976" s="18" t="str">
        <f>Descargas!A976</f>
        <v>498@gmail.com</v>
      </c>
      <c r="B976" s="19" t="str">
        <f>IFERROR(__xludf.DUMMYFUNCTION("IF(OR(regexmatch(A976,"".*@simon.es$""),REGEXMATCH(A976,"".*@simon.pt$""),REGEXMATCH(A976,"".*@simonelectrica.com$""),REGEXMATCH(A976,"".*@hiberus.com$""),REGEXMATCH(A976,"".*@simonbrico.es$""),regexmatch(A976,"".*@simonelectric.com$"")),""null"",A976)"),"498@gmail.com")</f>
        <v>498@gmail.com</v>
      </c>
      <c r="C976" s="5">
        <f>IF(B976="null","null",Descargas!B976)</f>
        <v>43971</v>
      </c>
      <c r="D976" s="6" t="str">
        <f>Descargas!E976</f>
        <v>https://resources.simonelectric.com/simon-catalogo-vehiculo-electrico</v>
      </c>
      <c r="E976" s="20" t="str">
        <f t="shared" si="1"/>
        <v>498@gmail.com</v>
      </c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</row>
    <row r="977" ht="15.75" customHeight="1">
      <c r="A977" s="18" t="str">
        <f>Descargas!A977</f>
        <v>207@tecnicasyrecursos.com</v>
      </c>
      <c r="B977" s="19" t="str">
        <f>IFERROR(__xludf.DUMMYFUNCTION("IF(OR(regexmatch(A977,"".*@simon.es$""),REGEXMATCH(A977,"".*@simon.pt$""),REGEXMATCH(A977,"".*@simonelectrica.com$""),REGEXMATCH(A977,"".*@hiberus.com$""),REGEXMATCH(A977,"".*@simonbrico.es$""),regexmatch(A977,"".*@simonelectric.com$"")),""null"",A977)"),"207@tecnicasyrecursos.com")</f>
        <v>207@tecnicasyrecursos.com</v>
      </c>
      <c r="C977" s="5">
        <f>IF(B977="null","null",Descargas!B977)</f>
        <v>43971</v>
      </c>
      <c r="D977" s="6" t="str">
        <f>Descargas!E977</f>
        <v>https://resources.simonelectric.com/simon-catalogo-vehiculo-electrico</v>
      </c>
      <c r="E977" s="20" t="str">
        <f t="shared" si="1"/>
        <v>207@tecnicasyrecursos.com</v>
      </c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</row>
    <row r="978" ht="15.75" customHeight="1">
      <c r="A978" s="18" t="str">
        <f>Descargas!A978</f>
        <v>777@onofflife.es</v>
      </c>
      <c r="B978" s="19" t="str">
        <f>IFERROR(__xludf.DUMMYFUNCTION("IF(OR(regexmatch(A978,"".*@simon.es$""),REGEXMATCH(A978,"".*@simon.pt$""),REGEXMATCH(A978,"".*@simonelectrica.com$""),REGEXMATCH(A978,"".*@hiberus.com$""),REGEXMATCH(A978,"".*@simonbrico.es$""),regexmatch(A978,"".*@simonelectric.com$"")),""null"",A978)"),"777@onofflife.es")</f>
        <v>777@onofflife.es</v>
      </c>
      <c r="C978" s="5">
        <f>IF(B978="null","null",Descargas!B978)</f>
        <v>43971</v>
      </c>
      <c r="D978" s="6" t="str">
        <f>Descargas!E978</f>
        <v>https://resources.simonelectric.com/simon-catalogo-vehiculo-electrico</v>
      </c>
      <c r="E978" s="20" t="str">
        <f t="shared" si="1"/>
        <v>777@onofflife.es</v>
      </c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</row>
    <row r="979" ht="15.75" customHeight="1">
      <c r="A979" s="18" t="str">
        <f>Descargas!A979</f>
        <v>676@promec.es</v>
      </c>
      <c r="B979" s="19" t="str">
        <f>IFERROR(__xludf.DUMMYFUNCTION("IF(OR(regexmatch(A979,"".*@simon.es$""),REGEXMATCH(A979,"".*@simon.pt$""),REGEXMATCH(A979,"".*@simonelectrica.com$""),REGEXMATCH(A979,"".*@hiberus.com$""),REGEXMATCH(A979,"".*@simonbrico.es$""),regexmatch(A979,"".*@simonelectric.com$"")),""null"",A979)"),"676@promec.es")</f>
        <v>676@promec.es</v>
      </c>
      <c r="C979" s="5">
        <f>IF(B979="null","null",Descargas!B979)</f>
        <v>43971</v>
      </c>
      <c r="D979" s="6" t="str">
        <f>Descargas!E979</f>
        <v>https://resources.simonelectric.com/simon-catalogo-vehiculo-electrico</v>
      </c>
      <c r="E979" s="20" t="str">
        <f t="shared" si="1"/>
        <v>676@promec.es</v>
      </c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</row>
    <row r="980" ht="15.75" customHeight="1">
      <c r="A980" s="18" t="str">
        <f>Descargas!A980</f>
        <v>778@gmail.com</v>
      </c>
      <c r="B980" s="19" t="str">
        <f>IFERROR(__xludf.DUMMYFUNCTION("IF(OR(regexmatch(A980,"".*@simon.es$""),REGEXMATCH(A980,"".*@simon.pt$""),REGEXMATCH(A980,"".*@simonelectrica.com$""),REGEXMATCH(A980,"".*@hiberus.com$""),REGEXMATCH(A980,"".*@simonbrico.es$""),regexmatch(A980,"".*@simonelectric.com$"")),""null"",A980)"),"778@gmail.com")</f>
        <v>778@gmail.com</v>
      </c>
      <c r="C980" s="5">
        <f>IF(B980="null","null",Descargas!B980)</f>
        <v>43971</v>
      </c>
      <c r="D980" s="6" t="str">
        <f>Descargas!E980</f>
        <v>https://resources.simonelectric.com/simon-ebook-vehiculo-electrico-ppc</v>
      </c>
      <c r="E980" s="20" t="str">
        <f t="shared" si="1"/>
        <v>778@gmail.com</v>
      </c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</row>
    <row r="981" ht="15.75" customHeight="1">
      <c r="A981" s="18" t="str">
        <f>Descargas!A981</f>
        <v>597@svingenieria.com.co</v>
      </c>
      <c r="B981" s="19" t="str">
        <f>IFERROR(__xludf.DUMMYFUNCTION("IF(OR(regexmatch(A981,"".*@simon.es$""),REGEXMATCH(A981,"".*@simon.pt$""),REGEXMATCH(A981,"".*@simonelectrica.com$""),REGEXMATCH(A981,"".*@hiberus.com$""),REGEXMATCH(A981,"".*@simonbrico.es$""),regexmatch(A981,"".*@simonelectric.com$"")),""null"",A981)"),"597@svingenieria.com.co")</f>
        <v>597@svingenieria.com.co</v>
      </c>
      <c r="C981" s="5">
        <f>IF(B981="null","null",Descargas!B981)</f>
        <v>43970</v>
      </c>
      <c r="D981" s="6" t="str">
        <f>Descargas!E981</f>
        <v>https://resources.simonelectric.com/simon-catalogo-vehiculo-electrico</v>
      </c>
      <c r="E981" s="20" t="str">
        <f t="shared" si="1"/>
        <v>597@svingenieria.com.co</v>
      </c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</row>
    <row r="982" ht="15.75" customHeight="1">
      <c r="A982" s="18" t="str">
        <f>Descargas!A982</f>
        <v>779@gmail.com</v>
      </c>
      <c r="B982" s="19" t="str">
        <f>IFERROR(__xludf.DUMMYFUNCTION("IF(OR(regexmatch(A982,"".*@simon.es$""),REGEXMATCH(A982,"".*@simon.pt$""),REGEXMATCH(A982,"".*@simonelectrica.com$""),REGEXMATCH(A982,"".*@hiberus.com$""),REGEXMATCH(A982,"".*@simonbrico.es$""),regexmatch(A982,"".*@simonelectric.com$"")),""null"",A982)"),"779@gmail.com")</f>
        <v>779@gmail.com</v>
      </c>
      <c r="C982" s="5">
        <f>IF(B982="null","null",Descargas!B982)</f>
        <v>43970</v>
      </c>
      <c r="D982" s="6" t="str">
        <f>Descargas!E982</f>
        <v>https://resources.simonelectric.com/simon-catalogo-vehiculo-electrico</v>
      </c>
      <c r="E982" s="20" t="str">
        <f t="shared" si="1"/>
        <v>779@gmail.com</v>
      </c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</row>
    <row r="983" ht="15.75" customHeight="1">
      <c r="A983" s="18" t="str">
        <f>Descargas!A983</f>
        <v>780@hotmail.com</v>
      </c>
      <c r="B983" s="19" t="str">
        <f>IFERROR(__xludf.DUMMYFUNCTION("IF(OR(regexmatch(A983,"".*@simon.es$""),REGEXMATCH(A983,"".*@simon.pt$""),REGEXMATCH(A983,"".*@simonelectrica.com$""),REGEXMATCH(A983,"".*@hiberus.com$""),REGEXMATCH(A983,"".*@simonbrico.es$""),regexmatch(A983,"".*@simonelectric.com$"")),""null"",A983)"),"780@hotmail.com")</f>
        <v>780@hotmail.com</v>
      </c>
      <c r="C983" s="5">
        <f>IF(B983="null","null",Descargas!B983)</f>
        <v>43970</v>
      </c>
      <c r="D983" s="6" t="str">
        <f>Descargas!E983</f>
        <v>https://resources.simonelectric.com/simon-ebook-vehiculo-electrico-ppc</v>
      </c>
      <c r="E983" s="20" t="str">
        <f t="shared" si="1"/>
        <v>780@hotmail.com</v>
      </c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</row>
    <row r="984" ht="15.75" customHeight="1">
      <c r="A984" s="18" t="str">
        <f>Descargas!A984</f>
        <v>781@gmail.com</v>
      </c>
      <c r="B984" s="19" t="str">
        <f>IFERROR(__xludf.DUMMYFUNCTION("IF(OR(regexmatch(A984,"".*@simon.es$""),REGEXMATCH(A984,"".*@simon.pt$""),REGEXMATCH(A984,"".*@simonelectrica.com$""),REGEXMATCH(A984,"".*@hiberus.com$""),REGEXMATCH(A984,"".*@simonbrico.es$""),regexmatch(A984,"".*@simonelectric.com$"")),""null"",A984)"),"781@gmail.com")</f>
        <v>781@gmail.com</v>
      </c>
      <c r="C984" s="5">
        <f>IF(B984="null","null",Descargas!B984)</f>
        <v>43970</v>
      </c>
      <c r="D984" s="6" t="str">
        <f>Descargas!E984</f>
        <v>https://resources.simonelectric.com/simon-ebook-vehiculo-electrico</v>
      </c>
      <c r="E984" s="20" t="str">
        <f t="shared" si="1"/>
        <v>781@gmail.com</v>
      </c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</row>
    <row r="985" ht="15.75" customHeight="1">
      <c r="A985" s="18" t="str">
        <f>Descargas!A985</f>
        <v>647@apis-ing.es</v>
      </c>
      <c r="B985" s="19" t="str">
        <f>IFERROR(__xludf.DUMMYFUNCTION("IF(OR(regexmatch(A985,"".*@simon.es$""),REGEXMATCH(A985,"".*@simon.pt$""),REGEXMATCH(A985,"".*@simonelectrica.com$""),REGEXMATCH(A985,"".*@hiberus.com$""),REGEXMATCH(A985,"".*@simonbrico.es$""),regexmatch(A985,"".*@simonelectric.com$"")),""null"",A985)"),"647@apis-ing.es")</f>
        <v>647@apis-ing.es</v>
      </c>
      <c r="C985" s="5">
        <f>IF(B985="null","null",Descargas!B985)</f>
        <v>43970</v>
      </c>
      <c r="D985" s="6" t="str">
        <f>Descargas!E985</f>
        <v>https://resources.simonelectric.com/simon-ebook-vehiculo-electrico</v>
      </c>
      <c r="E985" s="20" t="str">
        <f t="shared" si="1"/>
        <v>647@apis-ing.es</v>
      </c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</row>
    <row r="986" ht="15.75" customHeight="1">
      <c r="A986" s="18" t="str">
        <f>Descargas!A986</f>
        <v>782@gmail.com</v>
      </c>
      <c r="B986" s="19" t="str">
        <f>IFERROR(__xludf.DUMMYFUNCTION("IF(OR(regexmatch(A986,"".*@simon.es$""),REGEXMATCH(A986,"".*@simon.pt$""),REGEXMATCH(A986,"".*@simonelectrica.com$""),REGEXMATCH(A986,"".*@hiberus.com$""),REGEXMATCH(A986,"".*@simonbrico.es$""),regexmatch(A986,"".*@simonelectric.com$"")),""null"",A986)"),"782@gmail.com")</f>
        <v>782@gmail.com</v>
      </c>
      <c r="C986" s="5">
        <f>IF(B986="null","null",Descargas!B986)</f>
        <v>43970</v>
      </c>
      <c r="D986" s="6" t="str">
        <f>Descargas!E986</f>
        <v>https://resources.simonelectric.com/simon-ebook-vehiculo-electrico-ppc</v>
      </c>
      <c r="E986" s="20" t="str">
        <f t="shared" si="1"/>
        <v>782@gmail.com</v>
      </c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</row>
    <row r="987" ht="15.75" customHeight="1">
      <c r="A987" s="18" t="str">
        <f>Descargas!A987</f>
        <v>783@diexfe.com</v>
      </c>
      <c r="B987" s="19" t="str">
        <f>IFERROR(__xludf.DUMMYFUNCTION("IF(OR(regexmatch(A987,"".*@simon.es$""),REGEXMATCH(A987,"".*@simon.pt$""),REGEXMATCH(A987,"".*@simonelectrica.com$""),REGEXMATCH(A987,"".*@hiberus.com$""),REGEXMATCH(A987,"".*@simonbrico.es$""),regexmatch(A987,"".*@simonelectric.com$"")),""null"",A987)"),"783@diexfe.com")</f>
        <v>783@diexfe.com</v>
      </c>
      <c r="C987" s="5">
        <f>IF(B987="null","null",Descargas!B987)</f>
        <v>43970</v>
      </c>
      <c r="D987" s="6" t="str">
        <f>Descargas!E987</f>
        <v>https://resources.simonelectric.com/simon-catalogo-vehiculo-electrico</v>
      </c>
      <c r="E987" s="20" t="str">
        <f t="shared" si="1"/>
        <v>783@diexfe.com</v>
      </c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</row>
    <row r="988" ht="15.75" customHeight="1">
      <c r="A988" s="18" t="str">
        <f>Descargas!A988</f>
        <v>783@diexfe.com</v>
      </c>
      <c r="B988" s="19" t="str">
        <f>IFERROR(__xludf.DUMMYFUNCTION("IF(OR(regexmatch(A988,"".*@simon.es$""),REGEXMATCH(A988,"".*@simon.pt$""),REGEXMATCH(A988,"".*@simonelectrica.com$""),REGEXMATCH(A988,"".*@hiberus.com$""),REGEXMATCH(A988,"".*@simonbrico.es$""),regexmatch(A988,"".*@simonelectric.com$"")),""null"",A988)"),"783@diexfe.com")</f>
        <v>783@diexfe.com</v>
      </c>
      <c r="C988" s="5">
        <f>IF(B988="null","null",Descargas!B988)</f>
        <v>43970</v>
      </c>
      <c r="D988" s="6" t="str">
        <f>Descargas!E988</f>
        <v>https://resources.simonelectric.com/simon-ebook-vehiculo-electrico</v>
      </c>
      <c r="E988" s="20" t="str">
        <f t="shared" si="1"/>
        <v>783@diexfe.com</v>
      </c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</row>
    <row r="989" ht="15.75" customHeight="1">
      <c r="A989" s="18" t="str">
        <f>Descargas!A989</f>
        <v>784@live.com</v>
      </c>
      <c r="B989" s="19" t="str">
        <f>IFERROR(__xludf.DUMMYFUNCTION("IF(OR(regexmatch(A989,"".*@simon.es$""),REGEXMATCH(A989,"".*@simon.pt$""),REGEXMATCH(A989,"".*@simonelectrica.com$""),REGEXMATCH(A989,"".*@hiberus.com$""),REGEXMATCH(A989,"".*@simonbrico.es$""),regexmatch(A989,"".*@simonelectric.com$"")),""null"",A989)"),"784@live.com")</f>
        <v>784@live.com</v>
      </c>
      <c r="C989" s="5">
        <f>IF(B989="null","null",Descargas!B989)</f>
        <v>43970</v>
      </c>
      <c r="D989" s="6" t="str">
        <f>Descargas!E989</f>
        <v>https://resources.simonelectric.com/simon-ebook-vehiculo-electrico</v>
      </c>
      <c r="E989" s="20" t="str">
        <f t="shared" si="1"/>
        <v>784@live.com</v>
      </c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</row>
    <row r="990" ht="15.75" customHeight="1">
      <c r="A990" s="18" t="str">
        <f>Descargas!A990</f>
        <v>785@gabrielcorchero.org</v>
      </c>
      <c r="B990" s="19" t="str">
        <f>IFERROR(__xludf.DUMMYFUNCTION("IF(OR(regexmatch(A990,"".*@simon.es$""),REGEXMATCH(A990,"".*@simon.pt$""),REGEXMATCH(A990,"".*@simonelectrica.com$""),REGEXMATCH(A990,"".*@hiberus.com$""),REGEXMATCH(A990,"".*@simonbrico.es$""),regexmatch(A990,"".*@simonelectric.com$"")),""null"",A990)"),"785@gabrielcorchero.org")</f>
        <v>785@gabrielcorchero.org</v>
      </c>
      <c r="C990" s="5">
        <f>IF(B990="null","null",Descargas!B990)</f>
        <v>43970</v>
      </c>
      <c r="D990" s="6" t="str">
        <f>Descargas!E990</f>
        <v>https://resources.simonelectric.com/simon-catalogo-vehiculo-electrico</v>
      </c>
      <c r="E990" s="20" t="str">
        <f t="shared" si="1"/>
        <v>785@gabrielcorchero.org</v>
      </c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</row>
    <row r="991" ht="15.75" customHeight="1">
      <c r="A991" s="18" t="str">
        <f>Descargas!A991</f>
        <v>591@alterenergy.com.ar</v>
      </c>
      <c r="B991" s="19" t="str">
        <f>IFERROR(__xludf.DUMMYFUNCTION("IF(OR(regexmatch(A991,"".*@simon.es$""),REGEXMATCH(A991,"".*@simon.pt$""),REGEXMATCH(A991,"".*@simonelectrica.com$""),REGEXMATCH(A991,"".*@hiberus.com$""),REGEXMATCH(A991,"".*@simonbrico.es$""),regexmatch(A991,"".*@simonelectric.com$"")),""null"",A991)"),"591@alterenergy.com.ar")</f>
        <v>591@alterenergy.com.ar</v>
      </c>
      <c r="C991" s="5">
        <f>IF(B991="null","null",Descargas!B991)</f>
        <v>43970</v>
      </c>
      <c r="D991" s="6" t="str">
        <f>Descargas!E991</f>
        <v>https://resources.simonelectric.com/simon-ebook-vehiculo-electrico</v>
      </c>
      <c r="E991" s="20" t="str">
        <f t="shared" si="1"/>
        <v>591@alterenergy.com.ar</v>
      </c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</row>
    <row r="992" ht="15.75" customHeight="1">
      <c r="A992" s="18" t="str">
        <f>Descargas!A992</f>
        <v>786@grupoelectrostocks.com</v>
      </c>
      <c r="B992" s="19" t="str">
        <f>IFERROR(__xludf.DUMMYFUNCTION("IF(OR(regexmatch(A992,"".*@simon.es$""),REGEXMATCH(A992,"".*@simon.pt$""),REGEXMATCH(A992,"".*@simonelectrica.com$""),REGEXMATCH(A992,"".*@hiberus.com$""),REGEXMATCH(A992,"".*@simonbrico.es$""),regexmatch(A992,"".*@simonelectric.com$"")),""null"",A992)"),"786@grupoelectrostocks.com")</f>
        <v>786@grupoelectrostocks.com</v>
      </c>
      <c r="C992" s="5">
        <f>IF(B992="null","null",Descargas!B992)</f>
        <v>43970</v>
      </c>
      <c r="D992" s="6" t="str">
        <f>Descargas!E992</f>
        <v>https://resources.simonelectric.com/simon-catalogo-vehiculo-electrico</v>
      </c>
      <c r="E992" s="20" t="str">
        <f t="shared" si="1"/>
        <v>786@grupoelectrostocks.com</v>
      </c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</row>
    <row r="993" ht="15.75" customHeight="1">
      <c r="A993" s="18" t="str">
        <f>Descargas!A993</f>
        <v>787@electricidadoriagomez.com</v>
      </c>
      <c r="B993" s="19" t="str">
        <f>IFERROR(__xludf.DUMMYFUNCTION("IF(OR(regexmatch(A993,"".*@simon.es$""),REGEXMATCH(A993,"".*@simon.pt$""),REGEXMATCH(A993,"".*@simonelectrica.com$""),REGEXMATCH(A993,"".*@hiberus.com$""),REGEXMATCH(A993,"".*@simonbrico.es$""),regexmatch(A993,"".*@simonelectric.com$"")),""null"",A993)"),"787@electricidadoriagomez.com")</f>
        <v>787@electricidadoriagomez.com</v>
      </c>
      <c r="C993" s="5">
        <f>IF(B993="null","null",Descargas!B993)</f>
        <v>43970</v>
      </c>
      <c r="D993" s="6" t="str">
        <f>Descargas!E993</f>
        <v>https://resources.simonelectric.com/simon-catalogo-vehiculo-electrico</v>
      </c>
      <c r="E993" s="20" t="str">
        <f t="shared" si="1"/>
        <v>787@electricidadoriagomez.com</v>
      </c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</row>
    <row r="994" ht="15.75" customHeight="1">
      <c r="A994" s="18" t="str">
        <f>Descargas!A994</f>
        <v>788@casvicuatro.es</v>
      </c>
      <c r="B994" s="19" t="str">
        <f>IFERROR(__xludf.DUMMYFUNCTION("IF(OR(regexmatch(A994,"".*@simon.es$""),REGEXMATCH(A994,"".*@simon.pt$""),REGEXMATCH(A994,"".*@simonelectrica.com$""),REGEXMATCH(A994,"".*@hiberus.com$""),REGEXMATCH(A994,"".*@simonbrico.es$""),regexmatch(A994,"".*@simonelectric.com$"")),""null"",A994)"),"788@casvicuatro.es")</f>
        <v>788@casvicuatro.es</v>
      </c>
      <c r="C994" s="5">
        <f>IF(B994="null","null",Descargas!B994)</f>
        <v>43970</v>
      </c>
      <c r="D994" s="6" t="str">
        <f>Descargas!E994</f>
        <v>https://resources.simonelectric.com/simon-ebook-vehiculo-electrico</v>
      </c>
      <c r="E994" s="20" t="str">
        <f t="shared" si="1"/>
        <v>788@casvicuatro.es</v>
      </c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</row>
    <row r="995" ht="15.75" customHeight="1">
      <c r="A995" s="18" t="str">
        <f>Descargas!A995</f>
        <v>789@simsabdn.cat</v>
      </c>
      <c r="B995" s="19" t="str">
        <f>IFERROR(__xludf.DUMMYFUNCTION("IF(OR(regexmatch(A995,"".*@simon.es$""),REGEXMATCH(A995,"".*@simon.pt$""),REGEXMATCH(A995,"".*@simonelectrica.com$""),REGEXMATCH(A995,"".*@hiberus.com$""),REGEXMATCH(A995,"".*@simonbrico.es$""),regexmatch(A995,"".*@simonelectric.com$"")),""null"",A995)"),"789@simsabdn.cat")</f>
        <v>789@simsabdn.cat</v>
      </c>
      <c r="C995" s="5">
        <f>IF(B995="null","null",Descargas!B995)</f>
        <v>43970</v>
      </c>
      <c r="D995" s="6" t="str">
        <f>Descargas!E995</f>
        <v>https://resources.simonelectric.com/simon-ebook-vehiculo-electrico</v>
      </c>
      <c r="E995" s="20" t="str">
        <f t="shared" si="1"/>
        <v>789@simsabdn.cat</v>
      </c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</row>
    <row r="996" ht="15.75" customHeight="1">
      <c r="A996" s="18" t="str">
        <f>Descargas!A996</f>
        <v>790@yahoo.com.ar</v>
      </c>
      <c r="B996" s="19" t="str">
        <f>IFERROR(__xludf.DUMMYFUNCTION("IF(OR(regexmatch(A996,"".*@simon.es$""),REGEXMATCH(A996,"".*@simon.pt$""),REGEXMATCH(A996,"".*@simonelectrica.com$""),REGEXMATCH(A996,"".*@hiberus.com$""),REGEXMATCH(A996,"".*@simonbrico.es$""),regexmatch(A996,"".*@simonelectric.com$"")),""null"",A996)"),"790@yahoo.com.ar")</f>
        <v>790@yahoo.com.ar</v>
      </c>
      <c r="C996" s="5">
        <f>IF(B996="null","null",Descargas!B996)</f>
        <v>43970</v>
      </c>
      <c r="D996" s="6" t="str">
        <f>Descargas!E996</f>
        <v>https://resources.simonelectric.com/simon-catalogo-vehiculo-electrico</v>
      </c>
      <c r="E996" s="20" t="str">
        <f t="shared" si="1"/>
        <v>790@yahoo.com.ar</v>
      </c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</row>
    <row r="997" ht="15.75" customHeight="1">
      <c r="A997" s="18" t="str">
        <f>Descargas!A997</f>
        <v>791@hotmail.com</v>
      </c>
      <c r="B997" s="19" t="str">
        <f>IFERROR(__xludf.DUMMYFUNCTION("IF(OR(regexmatch(A997,"".*@simon.es$""),REGEXMATCH(A997,"".*@simon.pt$""),REGEXMATCH(A997,"".*@simonelectrica.com$""),REGEXMATCH(A997,"".*@hiberus.com$""),REGEXMATCH(A997,"".*@simonbrico.es$""),regexmatch(A997,"".*@simonelectric.com$"")),""null"",A997)"),"791@hotmail.com")</f>
        <v>791@hotmail.com</v>
      </c>
      <c r="C997" s="5">
        <f>IF(B997="null","null",Descargas!B997)</f>
        <v>43970</v>
      </c>
      <c r="D997" s="6" t="str">
        <f>Descargas!E997</f>
        <v>https://resources.simonelectric.com/simon-ebook-vehiculo-electrico</v>
      </c>
      <c r="E997" s="20" t="str">
        <f t="shared" si="1"/>
        <v>791@hotmail.com</v>
      </c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</row>
    <row r="998" ht="15.75" customHeight="1">
      <c r="A998" s="18" t="str">
        <f>Descargas!A998</f>
        <v>792@gva.es</v>
      </c>
      <c r="B998" s="19" t="str">
        <f>IFERROR(__xludf.DUMMYFUNCTION("IF(OR(regexmatch(A998,"".*@simon.es$""),REGEXMATCH(A998,"".*@simon.pt$""),REGEXMATCH(A998,"".*@simonelectrica.com$""),REGEXMATCH(A998,"".*@hiberus.com$""),REGEXMATCH(A998,"".*@simonbrico.es$""),regexmatch(A998,"".*@simonelectric.com$"")),""null"",A998)"),"792@gva.es")</f>
        <v>792@gva.es</v>
      </c>
      <c r="C998" s="5">
        <f>IF(B998="null","null",Descargas!B998)</f>
        <v>43970</v>
      </c>
      <c r="D998" s="6" t="str">
        <f>Descargas!E998</f>
        <v>https://resources.simonelectric.com/simon-catalogo-vehiculo-electrico</v>
      </c>
      <c r="E998" s="20" t="str">
        <f t="shared" si="1"/>
        <v>792@gva.es</v>
      </c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</row>
    <row r="999" ht="15.75" customHeight="1">
      <c r="A999" s="18" t="str">
        <f>Descargas!A999</f>
        <v>793@gmail.com</v>
      </c>
      <c r="B999" s="19" t="str">
        <f>IFERROR(__xludf.DUMMYFUNCTION("IF(OR(regexmatch(A999,"".*@simon.es$""),REGEXMATCH(A999,"".*@simon.pt$""),REGEXMATCH(A999,"".*@simonelectrica.com$""),REGEXMATCH(A999,"".*@hiberus.com$""),REGEXMATCH(A999,"".*@simonbrico.es$""),regexmatch(A999,"".*@simonelectric.com$"")),""null"",A999)"),"793@gmail.com")</f>
        <v>793@gmail.com</v>
      </c>
      <c r="C999" s="5">
        <f>IF(B999="null","null",Descargas!B999)</f>
        <v>43969</v>
      </c>
      <c r="D999" s="6" t="str">
        <f>Descargas!E999</f>
        <v>https://resources.simonelectric.com/simon-ebook-vehiculo-electrico-ppc</v>
      </c>
      <c r="E999" s="20" t="str">
        <f t="shared" si="1"/>
        <v>793@gmail.com</v>
      </c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</row>
    <row r="1000" ht="15.75" customHeight="1">
      <c r="A1000" s="18" t="str">
        <f>Descargas!A1000</f>
        <v>745@geinstal.com</v>
      </c>
      <c r="B1000" s="19" t="str">
        <f>IFERROR(__xludf.DUMMYFUNCTION("IF(OR(regexmatch(A1000,"".*@simon.es$""),REGEXMATCH(A1000,"".*@simon.pt$""),REGEXMATCH(A1000,"".*@simonelectrica.com$""),REGEXMATCH(A1000,"".*@hiberus.com$""),REGEXMATCH(A1000,"".*@simonbrico.es$""),regexmatch(A1000,"".*@simonelectric.com$"")),""null"",A1"&amp;"000)"),"745@geinstal.com")</f>
        <v>745@geinstal.com</v>
      </c>
      <c r="C1000" s="5">
        <f>IF(B1000="null","null",Descargas!B1000)</f>
        <v>43969</v>
      </c>
      <c r="D1000" s="6" t="str">
        <f>Descargas!E1000</f>
        <v>https://resources.simonelectric.com/simon-catalogo-vehiculo-electrico</v>
      </c>
      <c r="E1000" s="20" t="str">
        <f t="shared" si="1"/>
        <v>745@geinstal.com</v>
      </c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</row>
    <row r="1001" ht="15.75" customHeight="1">
      <c r="A1001" s="18" t="str">
        <f>Descargas!A1001</f>
        <v>794@somoselectricistas.com</v>
      </c>
      <c r="B1001" s="19" t="str">
        <f>IFERROR(__xludf.DUMMYFUNCTION("IF(OR(regexmatch(A1001,"".*@simon.es$""),REGEXMATCH(A1001,"".*@simon.pt$""),REGEXMATCH(A1001,"".*@simonelectrica.com$""),REGEXMATCH(A1001,"".*@hiberus.com$""),REGEXMATCH(A1001,"".*@simonbrico.es$""),regexmatch(A1001,"".*@simonelectric.com$"")),""null"",A1"&amp;"001)"),"794@somoselectricistas.com")</f>
        <v>794@somoselectricistas.com</v>
      </c>
      <c r="C1001" s="5">
        <f>IF(B1001="null","null",Descargas!B1001)</f>
        <v>43969</v>
      </c>
      <c r="D1001" s="6" t="str">
        <f>Descargas!E1001</f>
        <v>https://resources.simonelectric.com/simon-catalogo-vehiculo-electrico</v>
      </c>
      <c r="E1001" s="20" t="str">
        <f t="shared" si="1"/>
        <v>794@somoselectricistas.com</v>
      </c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</row>
    <row r="1002" ht="15.75" customHeight="1">
      <c r="A1002" s="18" t="str">
        <f>Descargas!A1002</f>
        <v>794@somoselectricistas.com</v>
      </c>
      <c r="B1002" s="19" t="str">
        <f>IFERROR(__xludf.DUMMYFUNCTION("IF(OR(regexmatch(A1002,"".*@simon.es$""),REGEXMATCH(A1002,"".*@simon.pt$""),REGEXMATCH(A1002,"".*@simonelectrica.com$""),REGEXMATCH(A1002,"".*@hiberus.com$""),REGEXMATCH(A1002,"".*@simonbrico.es$""),regexmatch(A1002,"".*@simonelectric.com$"")),""null"",A1"&amp;"002)"),"794@somoselectricistas.com")</f>
        <v>794@somoselectricistas.com</v>
      </c>
      <c r="C1002" s="5">
        <f>IF(B1002="null","null",Descargas!B1002)</f>
        <v>43969</v>
      </c>
      <c r="D1002" s="6" t="str">
        <f>Descargas!E1002</f>
        <v>https://resources.simonelectric.com/simon-ebook-vehiculo-electrico</v>
      </c>
      <c r="E1002" s="20" t="str">
        <f t="shared" si="1"/>
        <v>794@somoselectricistas.com</v>
      </c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</row>
    <row r="1003" ht="15.75" customHeight="1">
      <c r="A1003" s="18" t="str">
        <f>Descargas!A1003</f>
        <v>795@lomosamovilidad.com</v>
      </c>
      <c r="B1003" s="19" t="str">
        <f>IFERROR(__xludf.DUMMYFUNCTION("IF(OR(regexmatch(A1003,"".*@simon.es$""),REGEXMATCH(A1003,"".*@simon.pt$""),REGEXMATCH(A1003,"".*@simonelectrica.com$""),REGEXMATCH(A1003,"".*@hiberus.com$""),REGEXMATCH(A1003,"".*@simonbrico.es$""),regexmatch(A1003,"".*@simonelectric.com$"")),""null"",A1"&amp;"003)"),"795@lomosamovilidad.com")</f>
        <v>795@lomosamovilidad.com</v>
      </c>
      <c r="C1003" s="5">
        <f>IF(B1003="null","null",Descargas!B1003)</f>
        <v>43969</v>
      </c>
      <c r="D1003" s="6" t="str">
        <f>Descargas!E1003</f>
        <v>https://resources.simonelectric.com/simon-ebook-vehiculo-electrico</v>
      </c>
      <c r="E1003" s="20" t="str">
        <f t="shared" si="1"/>
        <v>795@lomosamovilidad.com</v>
      </c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</row>
    <row r="1004" ht="15.75" customHeight="1">
      <c r="A1004" s="18" t="str">
        <f>Descargas!A1004</f>
        <v>796@gmail.com</v>
      </c>
      <c r="B1004" s="19" t="str">
        <f>IFERROR(__xludf.DUMMYFUNCTION("IF(OR(regexmatch(A1004,"".*@simon.es$""),REGEXMATCH(A1004,"".*@simon.pt$""),REGEXMATCH(A1004,"".*@simonelectrica.com$""),REGEXMATCH(A1004,"".*@hiberus.com$""),REGEXMATCH(A1004,"".*@simonbrico.es$""),regexmatch(A1004,"".*@simonelectric.com$"")),""null"",A1"&amp;"004)"),"796@gmail.com")</f>
        <v>796@gmail.com</v>
      </c>
      <c r="C1004" s="5">
        <f>IF(B1004="null","null",Descargas!B1004)</f>
        <v>43969</v>
      </c>
      <c r="D1004" s="6" t="str">
        <f>Descargas!E1004</f>
        <v>https://resources.simonelectric.com/simon-ebook-vehiculo-electrico</v>
      </c>
      <c r="E1004" s="20" t="str">
        <f t="shared" si="1"/>
        <v>796@gmail.com</v>
      </c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</row>
    <row r="1005" ht="15.75" customHeight="1">
      <c r="A1005" s="18" t="str">
        <f>Descargas!A1005</f>
        <v>797@gmail.com</v>
      </c>
      <c r="B1005" s="19" t="str">
        <f>IFERROR(__xludf.DUMMYFUNCTION("IF(OR(regexmatch(A1005,"".*@simon.es$""),REGEXMATCH(A1005,"".*@simon.pt$""),REGEXMATCH(A1005,"".*@simonelectrica.com$""),REGEXMATCH(A1005,"".*@hiberus.com$""),REGEXMATCH(A1005,"".*@simonbrico.es$""),regexmatch(A1005,"".*@simonelectric.com$"")),""null"",A1"&amp;"005)"),"797@gmail.com")</f>
        <v>797@gmail.com</v>
      </c>
      <c r="C1005" s="5">
        <f>IF(B1005="null","null",Descargas!B1005)</f>
        <v>43969</v>
      </c>
      <c r="D1005" s="6" t="str">
        <f>Descargas!E1005</f>
        <v>https://resources.simonelectric.com/simon-catalogo-vehiculo-electrico</v>
      </c>
      <c r="E1005" s="20" t="str">
        <f t="shared" si="1"/>
        <v>797@gmail.com</v>
      </c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</row>
    <row r="1006" ht="15.75" customHeight="1">
      <c r="A1006" s="18" t="str">
        <f>Descargas!A1006</f>
        <v>609@ritelecenergia.es</v>
      </c>
      <c r="B1006" s="19" t="str">
        <f>IFERROR(__xludf.DUMMYFUNCTION("IF(OR(regexmatch(A1006,"".*@simon.es$""),REGEXMATCH(A1006,"".*@simon.pt$""),REGEXMATCH(A1006,"".*@simonelectrica.com$""),REGEXMATCH(A1006,"".*@hiberus.com$""),REGEXMATCH(A1006,"".*@simonbrico.es$""),regexmatch(A1006,"".*@simonelectric.com$"")),""null"",A1"&amp;"006)"),"609@ritelecenergia.es")</f>
        <v>609@ritelecenergia.es</v>
      </c>
      <c r="C1006" s="5">
        <f>IF(B1006="null","null",Descargas!B1006)</f>
        <v>43969</v>
      </c>
      <c r="D1006" s="6" t="str">
        <f>Descargas!E1006</f>
        <v>https://resources.simonelectric.com/simon-catalogo-vehiculo-electrico</v>
      </c>
      <c r="E1006" s="20" t="str">
        <f t="shared" si="1"/>
        <v>609@ritelecenergia.es</v>
      </c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</row>
    <row r="1007" ht="15.75" customHeight="1">
      <c r="A1007" s="18" t="str">
        <f>Descargas!A1007</f>
        <v>798@gmail.com</v>
      </c>
      <c r="B1007" s="19" t="str">
        <f>IFERROR(__xludf.DUMMYFUNCTION("IF(OR(regexmatch(A1007,"".*@simon.es$""),REGEXMATCH(A1007,"".*@simon.pt$""),REGEXMATCH(A1007,"".*@simonelectrica.com$""),REGEXMATCH(A1007,"".*@hiberus.com$""),REGEXMATCH(A1007,"".*@simonbrico.es$""),regexmatch(A1007,"".*@simonelectric.com$"")),""null"",A1"&amp;"007)"),"798@gmail.com")</f>
        <v>798@gmail.com</v>
      </c>
      <c r="C1007" s="5">
        <f>IF(B1007="null","null",Descargas!B1007)</f>
        <v>43969</v>
      </c>
      <c r="D1007" s="6" t="str">
        <f>Descargas!E1007</f>
        <v>https://resources.simonelectric.com/simon-ebook-vehiculo-electrico</v>
      </c>
      <c r="E1007" s="20" t="str">
        <f t="shared" si="1"/>
        <v>798@gmail.com</v>
      </c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</row>
    <row r="1008" ht="15.75" customHeight="1">
      <c r="A1008" s="18" t="str">
        <f>Descargas!A1008</f>
        <v>799@yahoo.es</v>
      </c>
      <c r="B1008" s="19" t="str">
        <f>IFERROR(__xludf.DUMMYFUNCTION("IF(OR(regexmatch(A1008,"".*@simon.es$""),REGEXMATCH(A1008,"".*@simon.pt$""),REGEXMATCH(A1008,"".*@simonelectrica.com$""),REGEXMATCH(A1008,"".*@hiberus.com$""),REGEXMATCH(A1008,"".*@simonbrico.es$""),regexmatch(A1008,"".*@simonelectric.com$"")),""null"",A1"&amp;"008)"),"799@yahoo.es")</f>
        <v>799@yahoo.es</v>
      </c>
      <c r="C1008" s="5">
        <f>IF(B1008="null","null",Descargas!B1008)</f>
        <v>43969</v>
      </c>
      <c r="D1008" s="6" t="str">
        <f>Descargas!E1008</f>
        <v>https://resources.simonelectric.com/simon-catalogo-vehiculo-electrico</v>
      </c>
      <c r="E1008" s="20" t="str">
        <f t="shared" si="1"/>
        <v>799@yahoo.es</v>
      </c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</row>
    <row r="1009" ht="15.75" customHeight="1">
      <c r="A1009" s="18" t="str">
        <f>Descargas!A1009</f>
        <v>800@taubertek.com</v>
      </c>
      <c r="B1009" s="19" t="str">
        <f>IFERROR(__xludf.DUMMYFUNCTION("IF(OR(regexmatch(A1009,"".*@simon.es$""),REGEXMATCH(A1009,"".*@simon.pt$""),REGEXMATCH(A1009,"".*@simonelectrica.com$""),REGEXMATCH(A1009,"".*@hiberus.com$""),REGEXMATCH(A1009,"".*@simonbrico.es$""),regexmatch(A1009,"".*@simonelectric.com$"")),""null"",A1"&amp;"009)"),"800@taubertek.com")</f>
        <v>800@taubertek.com</v>
      </c>
      <c r="C1009" s="5">
        <f>IF(B1009="null","null",Descargas!B1009)</f>
        <v>43969</v>
      </c>
      <c r="D1009" s="6" t="str">
        <f>Descargas!E1009</f>
        <v>https://resources.simonelectric.com/simon-ebook-vehiculo-electrico</v>
      </c>
      <c r="E1009" s="20" t="str">
        <f t="shared" si="1"/>
        <v>800@taubertek.com</v>
      </c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</row>
    <row r="1010" ht="15.75" customHeight="1">
      <c r="A1010" s="18" t="str">
        <f>Descargas!A1010</f>
        <v>800@taubertek.com</v>
      </c>
      <c r="B1010" s="19" t="str">
        <f>IFERROR(__xludf.DUMMYFUNCTION("IF(OR(regexmatch(A1010,"".*@simon.es$""),REGEXMATCH(A1010,"".*@simon.pt$""),REGEXMATCH(A1010,"".*@simonelectrica.com$""),REGEXMATCH(A1010,"".*@hiberus.com$""),REGEXMATCH(A1010,"".*@simonbrico.es$""),regexmatch(A1010,"".*@simonelectric.com$"")),""null"",A1"&amp;"010)"),"800@taubertek.com")</f>
        <v>800@taubertek.com</v>
      </c>
      <c r="C1010" s="5">
        <f>IF(B1010="null","null",Descargas!B1010)</f>
        <v>43969</v>
      </c>
      <c r="D1010" s="6" t="str">
        <f>Descargas!E1010</f>
        <v>https://resources.simonelectric.com/simon-ebook-vehiculo-electrico</v>
      </c>
      <c r="E1010" s="20" t="str">
        <f t="shared" si="1"/>
        <v>800@taubertek.com</v>
      </c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</row>
    <row r="1011" ht="15.75" customHeight="1">
      <c r="A1011" s="18" t="str">
        <f>Descargas!A1011</f>
        <v>13@inel.es</v>
      </c>
      <c r="B1011" s="19" t="str">
        <f>IFERROR(__xludf.DUMMYFUNCTION("IF(OR(regexmatch(A1011,"".*@simon.es$""),REGEXMATCH(A1011,"".*@simon.pt$""),REGEXMATCH(A1011,"".*@simonelectrica.com$""),REGEXMATCH(A1011,"".*@hiberus.com$""),REGEXMATCH(A1011,"".*@simonbrico.es$""),regexmatch(A1011,"".*@simonelectric.com$"")),""null"",A1"&amp;"011)"),"13@inel.es")</f>
        <v>13@inel.es</v>
      </c>
      <c r="C1011" s="5">
        <f>IF(B1011="null","null",Descargas!B1011)</f>
        <v>43969</v>
      </c>
      <c r="D1011" s="6" t="str">
        <f>Descargas!E1011</f>
        <v>https://resources.simonelectric.com/simon-catalogo-vehiculo-electrico</v>
      </c>
      <c r="E1011" s="20" t="str">
        <f t="shared" si="1"/>
        <v>13@inel.es</v>
      </c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</row>
    <row r="1012" ht="15.75" customHeight="1">
      <c r="A1012" s="18" t="str">
        <f>Descargas!A1012</f>
        <v>710@hotmail.com</v>
      </c>
      <c r="B1012" s="19" t="str">
        <f>IFERROR(__xludf.DUMMYFUNCTION("IF(OR(regexmatch(A1012,"".*@simon.es$""),REGEXMATCH(A1012,"".*@simon.pt$""),REGEXMATCH(A1012,"".*@simonelectrica.com$""),REGEXMATCH(A1012,"".*@hiberus.com$""),REGEXMATCH(A1012,"".*@simonbrico.es$""),regexmatch(A1012,"".*@simonelectric.com$"")),""null"",A1"&amp;"012)"),"710@hotmail.com")</f>
        <v>710@hotmail.com</v>
      </c>
      <c r="C1012" s="5">
        <f>IF(B1012="null","null",Descargas!B1012)</f>
        <v>43969</v>
      </c>
      <c r="D1012" s="6" t="str">
        <f>Descargas!E1012</f>
        <v>https://resources.simonelectric.com/simon-catalogo-vehiculo-electrico</v>
      </c>
      <c r="E1012" s="20" t="str">
        <f t="shared" si="1"/>
        <v>710@hotmail.com</v>
      </c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</row>
    <row r="1013" ht="15.75" customHeight="1">
      <c r="A1013" s="18" t="str">
        <f>Descargas!A1013</f>
        <v>801@hotmail.es</v>
      </c>
      <c r="B1013" s="19" t="str">
        <f>IFERROR(__xludf.DUMMYFUNCTION("IF(OR(regexmatch(A1013,"".*@simon.es$""),REGEXMATCH(A1013,"".*@simon.pt$""),REGEXMATCH(A1013,"".*@simonelectrica.com$""),REGEXMATCH(A1013,"".*@hiberus.com$""),REGEXMATCH(A1013,"".*@simonbrico.es$""),regexmatch(A1013,"".*@simonelectric.com$"")),""null"",A1"&amp;"013)"),"801@hotmail.es")</f>
        <v>801@hotmail.es</v>
      </c>
      <c r="C1013" s="5">
        <f>IF(B1013="null","null",Descargas!B1013)</f>
        <v>43969</v>
      </c>
      <c r="D1013" s="6" t="str">
        <f>Descargas!E1013</f>
        <v>https://resources.simonelectric.com/simon-catalogo-vehiculo-electrico</v>
      </c>
      <c r="E1013" s="20" t="str">
        <f t="shared" si="1"/>
        <v>801@hotmail.es</v>
      </c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</row>
    <row r="1014" ht="15.75" customHeight="1">
      <c r="A1014" s="18" t="str">
        <f>Descargas!A1014</f>
        <v>802@hotmail.com</v>
      </c>
      <c r="B1014" s="19" t="str">
        <f>IFERROR(__xludf.DUMMYFUNCTION("IF(OR(regexmatch(A1014,"".*@simon.es$""),REGEXMATCH(A1014,"".*@simon.pt$""),REGEXMATCH(A1014,"".*@simonelectrica.com$""),REGEXMATCH(A1014,"".*@hiberus.com$""),REGEXMATCH(A1014,"".*@simonbrico.es$""),regexmatch(A1014,"".*@simonelectric.com$"")),""null"",A1"&amp;"014)"),"802@hotmail.com")</f>
        <v>802@hotmail.com</v>
      </c>
      <c r="C1014" s="5">
        <f>IF(B1014="null","null",Descargas!B1014)</f>
        <v>43969</v>
      </c>
      <c r="D1014" s="6" t="str">
        <f>Descargas!E1014</f>
        <v>https://resources.simonelectric.com/simon-catalogo-vehiculo-electrico</v>
      </c>
      <c r="E1014" s="20" t="str">
        <f t="shared" si="1"/>
        <v>802@hotmail.com</v>
      </c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</row>
    <row r="1015" ht="15.75" customHeight="1">
      <c r="A1015" s="18" t="str">
        <f>Descargas!A1015</f>
        <v>802@hotmail.com</v>
      </c>
      <c r="B1015" s="19" t="str">
        <f>IFERROR(__xludf.DUMMYFUNCTION("IF(OR(regexmatch(A1015,"".*@simon.es$""),REGEXMATCH(A1015,"".*@simon.pt$""),REGEXMATCH(A1015,"".*@simonelectrica.com$""),REGEXMATCH(A1015,"".*@hiberus.com$""),REGEXMATCH(A1015,"".*@simonbrico.es$""),regexmatch(A1015,"".*@simonelectric.com$"")),""null"",A1"&amp;"015)"),"802@hotmail.com")</f>
        <v>802@hotmail.com</v>
      </c>
      <c r="C1015" s="5">
        <f>IF(B1015="null","null",Descargas!B1015)</f>
        <v>43969</v>
      </c>
      <c r="D1015" s="6" t="str">
        <f>Descargas!E1015</f>
        <v>https://resources.simonelectric.com/simon-ebook-vehiculo-electrico</v>
      </c>
      <c r="E1015" s="20" t="str">
        <f t="shared" si="1"/>
        <v>802@hotmail.com</v>
      </c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</row>
    <row r="1016" ht="15.75" customHeight="1">
      <c r="A1016" s="18" t="str">
        <f>Descargas!A1016</f>
        <v>803@outlook.com</v>
      </c>
      <c r="B1016" s="19" t="str">
        <f>IFERROR(__xludf.DUMMYFUNCTION("IF(OR(regexmatch(A1016,"".*@simon.es$""),REGEXMATCH(A1016,"".*@simon.pt$""),REGEXMATCH(A1016,"".*@simonelectrica.com$""),REGEXMATCH(A1016,"".*@hiberus.com$""),REGEXMATCH(A1016,"".*@simonbrico.es$""),regexmatch(A1016,"".*@simonelectric.com$"")),""null"",A1"&amp;"016)"),"803@outlook.com")</f>
        <v>803@outlook.com</v>
      </c>
      <c r="C1016" s="5">
        <f>IF(B1016="null","null",Descargas!B1016)</f>
        <v>43969</v>
      </c>
      <c r="D1016" s="6" t="str">
        <f>Descargas!E1016</f>
        <v>https://resources.simonelectric.com/simon-catalogo-vehiculo-electrico</v>
      </c>
      <c r="E1016" s="20" t="str">
        <f t="shared" si="1"/>
        <v>803@outlook.com</v>
      </c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</row>
    <row r="1017" ht="15.75" customHeight="1">
      <c r="A1017" s="18" t="str">
        <f>Descargas!A1017</f>
        <v>804@monrabal.net</v>
      </c>
      <c r="B1017" s="19" t="str">
        <f>IFERROR(__xludf.DUMMYFUNCTION("IF(OR(regexmatch(A1017,"".*@simon.es$""),REGEXMATCH(A1017,"".*@simon.pt$""),REGEXMATCH(A1017,"".*@simonelectrica.com$""),REGEXMATCH(A1017,"".*@hiberus.com$""),REGEXMATCH(A1017,"".*@simonbrico.es$""),regexmatch(A1017,"".*@simonelectric.com$"")),""null"",A1"&amp;"017)"),"804@monrabal.net")</f>
        <v>804@monrabal.net</v>
      </c>
      <c r="C1017" s="5">
        <f>IF(B1017="null","null",Descargas!B1017)</f>
        <v>43969</v>
      </c>
      <c r="D1017" s="6" t="str">
        <f>Descargas!E1017</f>
        <v>https://resources.simonelectric.com/simon-catalogo-vehiculo-electrico</v>
      </c>
      <c r="E1017" s="20" t="str">
        <f t="shared" si="1"/>
        <v>804@monrabal.net</v>
      </c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</row>
    <row r="1018" ht="15.75" customHeight="1">
      <c r="A1018" s="18" t="str">
        <f>Descargas!A1018</f>
        <v>805@gmail.com</v>
      </c>
      <c r="B1018" s="19" t="str">
        <f>IFERROR(__xludf.DUMMYFUNCTION("IF(OR(regexmatch(A1018,"".*@simon.es$""),REGEXMATCH(A1018,"".*@simon.pt$""),REGEXMATCH(A1018,"".*@simonelectrica.com$""),REGEXMATCH(A1018,"".*@hiberus.com$""),REGEXMATCH(A1018,"".*@simonbrico.es$""),regexmatch(A1018,"".*@simonelectric.com$"")),""null"",A1"&amp;"018)"),"805@gmail.com")</f>
        <v>805@gmail.com</v>
      </c>
      <c r="C1018" s="5">
        <f>IF(B1018="null","null",Descargas!B1018)</f>
        <v>43969</v>
      </c>
      <c r="D1018" s="6" t="str">
        <f>Descargas!E1018</f>
        <v>https://resources.simonelectric.com/simon-catalogo-vehiculo-electrico</v>
      </c>
      <c r="E1018" s="20" t="str">
        <f t="shared" si="1"/>
        <v>805@gmail.com</v>
      </c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</row>
    <row r="1019" ht="15.75" customHeight="1">
      <c r="A1019" s="18" t="str">
        <f>Descargas!A1019</f>
        <v>664@hotmail.es</v>
      </c>
      <c r="B1019" s="19" t="str">
        <f>IFERROR(__xludf.DUMMYFUNCTION("IF(OR(regexmatch(A1019,"".*@simon.es$""),REGEXMATCH(A1019,"".*@simon.pt$""),REGEXMATCH(A1019,"".*@simonelectrica.com$""),REGEXMATCH(A1019,"".*@hiberus.com$""),REGEXMATCH(A1019,"".*@simonbrico.es$""),regexmatch(A1019,"".*@simonelectric.com$"")),""null"",A1"&amp;"019)"),"664@hotmail.es")</f>
        <v>664@hotmail.es</v>
      </c>
      <c r="C1019" s="5">
        <f>IF(B1019="null","null",Descargas!B1019)</f>
        <v>43969</v>
      </c>
      <c r="D1019" s="6" t="str">
        <f>Descargas!E1019</f>
        <v>https://resources.simonelectric.com/simon-catalogo-vehiculo-electrico</v>
      </c>
      <c r="E1019" s="20" t="str">
        <f t="shared" si="1"/>
        <v>664@hotmail.es</v>
      </c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</row>
    <row r="1020" ht="15.75" customHeight="1">
      <c r="A1020" s="18" t="str">
        <f>Descargas!A1020</f>
        <v>806@gmail.com</v>
      </c>
      <c r="B1020" s="19" t="str">
        <f>IFERROR(__xludf.DUMMYFUNCTION("IF(OR(regexmatch(A1020,"".*@simon.es$""),REGEXMATCH(A1020,"".*@simon.pt$""),REGEXMATCH(A1020,"".*@simonelectrica.com$""),REGEXMATCH(A1020,"".*@hiberus.com$""),REGEXMATCH(A1020,"".*@simonbrico.es$""),regexmatch(A1020,"".*@simonelectric.com$"")),""null"",A1"&amp;"020)"),"806@gmail.com")</f>
        <v>806@gmail.com</v>
      </c>
      <c r="C1020" s="5">
        <f>IF(B1020="null","null",Descargas!B1020)</f>
        <v>43969</v>
      </c>
      <c r="D1020" s="6" t="str">
        <f>Descargas!E1020</f>
        <v>https://resources.simonelectric.com/simon-catalogo-vehiculo-electrico</v>
      </c>
      <c r="E1020" s="20" t="str">
        <f t="shared" si="1"/>
        <v>806@gmail.com</v>
      </c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</row>
    <row r="1021" ht="15.75" customHeight="1">
      <c r="A1021" s="18" t="str">
        <f>Descargas!A1021</f>
        <v>707@ufd.es</v>
      </c>
      <c r="B1021" s="19" t="str">
        <f>IFERROR(__xludf.DUMMYFUNCTION("IF(OR(regexmatch(A1021,"".*@simon.es$""),REGEXMATCH(A1021,"".*@simon.pt$""),REGEXMATCH(A1021,"".*@simonelectrica.com$""),REGEXMATCH(A1021,"".*@hiberus.com$""),REGEXMATCH(A1021,"".*@simonbrico.es$""),regexmatch(A1021,"".*@simonelectric.com$"")),""null"",A1"&amp;"021)"),"707@ufd.es")</f>
        <v>707@ufd.es</v>
      </c>
      <c r="C1021" s="5">
        <f>IF(B1021="null","null",Descargas!B1021)</f>
        <v>43969</v>
      </c>
      <c r="D1021" s="6" t="str">
        <f>Descargas!E1021</f>
        <v>https://resources.simonelectric.com/simon-catalogo-vehiculo-electrico</v>
      </c>
      <c r="E1021" s="20" t="str">
        <f t="shared" si="1"/>
        <v>707@ufd.es</v>
      </c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</row>
    <row r="1022" ht="15.75" customHeight="1">
      <c r="A1022" s="18" t="str">
        <f>Descargas!A1022</f>
        <v>499@netcabo.pt</v>
      </c>
      <c r="B1022" s="19" t="str">
        <f>IFERROR(__xludf.DUMMYFUNCTION("IF(OR(regexmatch(A1022,"".*@simon.es$""),REGEXMATCH(A1022,"".*@simon.pt$""),REGEXMATCH(A1022,"".*@simonelectrica.com$""),REGEXMATCH(A1022,"".*@hiberus.com$""),REGEXMATCH(A1022,"".*@simonbrico.es$""),regexmatch(A1022,"".*@simonelectric.com$"")),""null"",A1"&amp;"022)"),"499@netcabo.pt")</f>
        <v>499@netcabo.pt</v>
      </c>
      <c r="C1022" s="5">
        <f>IF(B1022="null","null",Descargas!B1022)</f>
        <v>43969</v>
      </c>
      <c r="D1022" s="6" t="str">
        <f>Descargas!E1022</f>
        <v>https://resources.simonelectric.com/simon-catalogo-vehiculo-electrico</v>
      </c>
      <c r="E1022" s="20" t="str">
        <f t="shared" si="1"/>
        <v>499@netcabo.pt</v>
      </c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</row>
    <row r="1023" ht="15.75" customHeight="1">
      <c r="A1023" s="18" t="str">
        <f>Descargas!A1023</f>
        <v>418@proyectosict.net</v>
      </c>
      <c r="B1023" s="19" t="str">
        <f>IFERROR(__xludf.DUMMYFUNCTION("IF(OR(regexmatch(A1023,"".*@simon.es$""),REGEXMATCH(A1023,"".*@simon.pt$""),REGEXMATCH(A1023,"".*@simonelectrica.com$""),REGEXMATCH(A1023,"".*@hiberus.com$""),REGEXMATCH(A1023,"".*@simonbrico.es$""),regexmatch(A1023,"".*@simonelectric.com$"")),""null"",A1"&amp;"023)"),"418@proyectosict.net")</f>
        <v>418@proyectosict.net</v>
      </c>
      <c r="C1023" s="5">
        <f>IF(B1023="null","null",Descargas!B1023)</f>
        <v>43969</v>
      </c>
      <c r="D1023" s="6" t="str">
        <f>Descargas!E1023</f>
        <v>https://resources.simonelectric.com/simon-catalogo-vehiculo-electrico</v>
      </c>
      <c r="E1023" s="20" t="str">
        <f t="shared" si="1"/>
        <v>418@proyectosict.net</v>
      </c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</row>
    <row r="1024" ht="15.75" customHeight="1">
      <c r="A1024" s="18" t="str">
        <f>Descargas!A1024</f>
        <v>807@gmail.com</v>
      </c>
      <c r="B1024" s="19" t="str">
        <f>IFERROR(__xludf.DUMMYFUNCTION("IF(OR(regexmatch(A1024,"".*@simon.es$""),REGEXMATCH(A1024,"".*@simon.pt$""),REGEXMATCH(A1024,"".*@simonelectrica.com$""),REGEXMATCH(A1024,"".*@hiberus.com$""),REGEXMATCH(A1024,"".*@simonbrico.es$""),regexmatch(A1024,"".*@simonelectric.com$"")),""null"",A1"&amp;"024)"),"807@gmail.com")</f>
        <v>807@gmail.com</v>
      </c>
      <c r="C1024" s="5">
        <f>IF(B1024="null","null",Descargas!B1024)</f>
        <v>43969</v>
      </c>
      <c r="D1024" s="6" t="str">
        <f>Descargas!E1024</f>
        <v>https://resources.simonelectric.com/simon-catalogo-vehiculo-electrico</v>
      </c>
      <c r="E1024" s="20" t="str">
        <f t="shared" si="1"/>
        <v>807@gmail.com</v>
      </c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</row>
    <row r="1025" ht="15.75" customHeight="1">
      <c r="A1025" s="18" t="str">
        <f>Descargas!A1025</f>
        <v>808@ale.es</v>
      </c>
      <c r="B1025" s="19" t="str">
        <f>IFERROR(__xludf.DUMMYFUNCTION("IF(OR(regexmatch(A1025,"".*@simon.es$""),REGEXMATCH(A1025,"".*@simon.pt$""),REGEXMATCH(A1025,"".*@simonelectrica.com$""),REGEXMATCH(A1025,"".*@hiberus.com$""),REGEXMATCH(A1025,"".*@simonbrico.es$""),regexmatch(A1025,"".*@simonelectric.com$"")),""null"",A1"&amp;"025)"),"808@ale.es")</f>
        <v>808@ale.es</v>
      </c>
      <c r="C1025" s="5">
        <f>IF(B1025="null","null",Descargas!B1025)</f>
        <v>43969</v>
      </c>
      <c r="D1025" s="6" t="str">
        <f>Descargas!E1025</f>
        <v>https://resources.simonelectric.com/simon-catalogo-vehiculo-electrico</v>
      </c>
      <c r="E1025" s="20" t="str">
        <f t="shared" si="1"/>
        <v>808@ale.es</v>
      </c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</row>
    <row r="1026" ht="15.75" customHeight="1">
      <c r="A1026" s="18" t="str">
        <f>Descargas!A1026</f>
        <v>659@gleeds.es</v>
      </c>
      <c r="B1026" s="19" t="str">
        <f>IFERROR(__xludf.DUMMYFUNCTION("IF(OR(regexmatch(A1026,"".*@simon.es$""),REGEXMATCH(A1026,"".*@simon.pt$""),REGEXMATCH(A1026,"".*@simonelectrica.com$""),REGEXMATCH(A1026,"".*@hiberus.com$""),REGEXMATCH(A1026,"".*@simonbrico.es$""),regexmatch(A1026,"".*@simonelectric.com$"")),""null"",A1"&amp;"026)"),"659@gleeds.es")</f>
        <v>659@gleeds.es</v>
      </c>
      <c r="C1026" s="5">
        <f>IF(B1026="null","null",Descargas!B1026)</f>
        <v>43969</v>
      </c>
      <c r="D1026" s="6" t="str">
        <f>Descargas!E1026</f>
        <v>https://resources.simonelectric.com/simon-catalogo-vehiculo-electrico</v>
      </c>
      <c r="E1026" s="20" t="str">
        <f t="shared" si="1"/>
        <v>659@gleeds.es</v>
      </c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</row>
    <row r="1027" ht="15.75" customHeight="1">
      <c r="A1027" s="18" t="str">
        <f>Descargas!A1027</f>
        <v>809@naturgy.com</v>
      </c>
      <c r="B1027" s="19" t="str">
        <f>IFERROR(__xludf.DUMMYFUNCTION("IF(OR(regexmatch(A1027,"".*@simon.es$""),REGEXMATCH(A1027,"".*@simon.pt$""),REGEXMATCH(A1027,"".*@simonelectrica.com$""),REGEXMATCH(A1027,"".*@hiberus.com$""),REGEXMATCH(A1027,"".*@simonbrico.es$""),regexmatch(A1027,"".*@simonelectric.com$"")),""null"",A1"&amp;"027)"),"809@naturgy.com")</f>
        <v>809@naturgy.com</v>
      </c>
      <c r="C1027" s="5">
        <f>IF(B1027="null","null",Descargas!B1027)</f>
        <v>43969</v>
      </c>
      <c r="D1027" s="6" t="str">
        <f>Descargas!E1027</f>
        <v>https://resources.simonelectric.com/simon-ebook-vehiculo-electrico</v>
      </c>
      <c r="E1027" s="20" t="str">
        <f t="shared" si="1"/>
        <v>809@naturgy.com</v>
      </c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</row>
    <row r="1028" ht="15.75" customHeight="1">
      <c r="A1028" s="18" t="str">
        <f>Descargas!A1028</f>
        <v>654@staperpetua.cat</v>
      </c>
      <c r="B1028" s="19" t="str">
        <f>IFERROR(__xludf.DUMMYFUNCTION("IF(OR(regexmatch(A1028,"".*@simon.es$""),REGEXMATCH(A1028,"".*@simon.pt$""),REGEXMATCH(A1028,"".*@simonelectrica.com$""),REGEXMATCH(A1028,"".*@hiberus.com$""),REGEXMATCH(A1028,"".*@simonbrico.es$""),regexmatch(A1028,"".*@simonelectric.com$"")),""null"",A1"&amp;"028)"),"654@staperpetua.cat")</f>
        <v>654@staperpetua.cat</v>
      </c>
      <c r="C1028" s="5">
        <f>IF(B1028="null","null",Descargas!B1028)</f>
        <v>43969</v>
      </c>
      <c r="D1028" s="6" t="str">
        <f>Descargas!E1028</f>
        <v>https://resources.simonelectric.com/simon-catalogo-vehiculo-electrico</v>
      </c>
      <c r="E1028" s="20" t="str">
        <f t="shared" si="1"/>
        <v>654@staperpetua.cat</v>
      </c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</row>
    <row r="1029" ht="15.75" customHeight="1">
      <c r="A1029" s="18" t="str">
        <f>Descargas!A1029</f>
        <v>810@arquired.es</v>
      </c>
      <c r="B1029" s="19" t="str">
        <f>IFERROR(__xludf.DUMMYFUNCTION("IF(OR(regexmatch(A1029,"".*@simon.es$""),REGEXMATCH(A1029,"".*@simon.pt$""),REGEXMATCH(A1029,"".*@simonelectrica.com$""),REGEXMATCH(A1029,"".*@hiberus.com$""),REGEXMATCH(A1029,"".*@simonbrico.es$""),regexmatch(A1029,"".*@simonelectric.com$"")),""null"",A1"&amp;"029)"),"810@arquired.es")</f>
        <v>810@arquired.es</v>
      </c>
      <c r="C1029" s="5">
        <f>IF(B1029="null","null",Descargas!B1029)</f>
        <v>43969</v>
      </c>
      <c r="D1029" s="6" t="str">
        <f>Descargas!E1029</f>
        <v>https://resources.simonelectric.com/simon-ebook-vehiculo-electrico-ppc</v>
      </c>
      <c r="E1029" s="20" t="str">
        <f t="shared" si="1"/>
        <v>810@arquired.es</v>
      </c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</row>
    <row r="1030" ht="15.75" customHeight="1">
      <c r="A1030" s="18" t="str">
        <f>Descargas!A1030</f>
        <v>809@naturgy.com</v>
      </c>
      <c r="B1030" s="19" t="str">
        <f>IFERROR(__xludf.DUMMYFUNCTION("IF(OR(regexmatch(A1030,"".*@simon.es$""),REGEXMATCH(A1030,"".*@simon.pt$""),REGEXMATCH(A1030,"".*@simonelectrica.com$""),REGEXMATCH(A1030,"".*@hiberus.com$""),REGEXMATCH(A1030,"".*@simonbrico.es$""),regexmatch(A1030,"".*@simonelectric.com$"")),""null"",A1"&amp;"030)"),"809@naturgy.com")</f>
        <v>809@naturgy.com</v>
      </c>
      <c r="C1030" s="5">
        <f>IF(B1030="null","null",Descargas!B1030)</f>
        <v>43969</v>
      </c>
      <c r="D1030" s="6" t="str">
        <f>Descargas!E1030</f>
        <v>https://resources.simonelectric.com/simon-material-formativo-vehiculo-electrico</v>
      </c>
      <c r="E1030" s="20" t="str">
        <f t="shared" si="1"/>
        <v>809@naturgy.com</v>
      </c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</row>
    <row r="1031" ht="15.75" customHeight="1">
      <c r="A1031" s="18" t="str">
        <f>Descargas!A1031</f>
        <v>811@proinsermant.com</v>
      </c>
      <c r="B1031" s="19" t="str">
        <f>IFERROR(__xludf.DUMMYFUNCTION("IF(OR(regexmatch(A1031,"".*@simon.es$""),REGEXMATCH(A1031,"".*@simon.pt$""),REGEXMATCH(A1031,"".*@simonelectrica.com$""),REGEXMATCH(A1031,"".*@hiberus.com$""),REGEXMATCH(A1031,"".*@simonbrico.es$""),regexmatch(A1031,"".*@simonelectric.com$"")),""null"",A1"&amp;"031)"),"811@proinsermant.com")</f>
        <v>811@proinsermant.com</v>
      </c>
      <c r="C1031" s="5">
        <f>IF(B1031="null","null",Descargas!B1031)</f>
        <v>43969</v>
      </c>
      <c r="D1031" s="6" t="str">
        <f>Descargas!E1031</f>
        <v>https://resources.simonelectric.com/simon-catalogo-vehiculo-electrico</v>
      </c>
      <c r="E1031" s="20" t="str">
        <f t="shared" si="1"/>
        <v>811@proinsermant.com</v>
      </c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</row>
    <row r="1032" ht="15.75" customHeight="1">
      <c r="A1032" s="18" t="str">
        <f>Descargas!A1032</f>
        <v>812@invgrupo.com</v>
      </c>
      <c r="B1032" s="19" t="str">
        <f>IFERROR(__xludf.DUMMYFUNCTION("IF(OR(regexmatch(A1032,"".*@simon.es$""),REGEXMATCH(A1032,"".*@simon.pt$""),REGEXMATCH(A1032,"".*@simonelectrica.com$""),REGEXMATCH(A1032,"".*@hiberus.com$""),REGEXMATCH(A1032,"".*@simonbrico.es$""),regexmatch(A1032,"".*@simonelectric.com$"")),""null"",A1"&amp;"032)"),"812@invgrupo.com")</f>
        <v>812@invgrupo.com</v>
      </c>
      <c r="C1032" s="5">
        <f>IF(B1032="null","null",Descargas!B1032)</f>
        <v>43969</v>
      </c>
      <c r="D1032" s="6" t="str">
        <f>Descargas!E1032</f>
        <v>https://resources.simonelectric.com/simon-ebook-vehiculo-electrico</v>
      </c>
      <c r="E1032" s="20" t="str">
        <f t="shared" si="1"/>
        <v>812@invgrupo.com</v>
      </c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</row>
    <row r="1033" ht="15.75" customHeight="1">
      <c r="A1033" s="18" t="str">
        <f>Descargas!A1033</f>
        <v>813@kilovatiogalicia.com</v>
      </c>
      <c r="B1033" s="19" t="str">
        <f>IFERROR(__xludf.DUMMYFUNCTION("IF(OR(regexmatch(A1033,"".*@simon.es$""),REGEXMATCH(A1033,"".*@simon.pt$""),REGEXMATCH(A1033,"".*@simonelectrica.com$""),REGEXMATCH(A1033,"".*@hiberus.com$""),REGEXMATCH(A1033,"".*@simonbrico.es$""),regexmatch(A1033,"".*@simonelectric.com$"")),""null"",A1"&amp;"033)"),"813@kilovatiogalicia.com")</f>
        <v>813@kilovatiogalicia.com</v>
      </c>
      <c r="C1033" s="5">
        <f>IF(B1033="null","null",Descargas!B1033)</f>
        <v>43969</v>
      </c>
      <c r="D1033" s="6" t="str">
        <f>Descargas!E1033</f>
        <v>https://resources.simonelectric.com/simon-ebook-vehiculo-electrico</v>
      </c>
      <c r="E1033" s="20" t="str">
        <f t="shared" si="1"/>
        <v>813@kilovatiogalicia.com</v>
      </c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</row>
    <row r="1034" ht="15.75" customHeight="1">
      <c r="A1034" s="18" t="str">
        <f>Descargas!A1034</f>
        <v>814@interingenieria.com</v>
      </c>
      <c r="B1034" s="19" t="str">
        <f>IFERROR(__xludf.DUMMYFUNCTION("IF(OR(regexmatch(A1034,"".*@simon.es$""),REGEXMATCH(A1034,"".*@simon.pt$""),REGEXMATCH(A1034,"".*@simonelectrica.com$""),REGEXMATCH(A1034,"".*@hiberus.com$""),REGEXMATCH(A1034,"".*@simonbrico.es$""),regexmatch(A1034,"".*@simonelectric.com$"")),""null"",A1"&amp;"034)"),"814@interingenieria.com")</f>
        <v>814@interingenieria.com</v>
      </c>
      <c r="C1034" s="5">
        <f>IF(B1034="null","null",Descargas!B1034)</f>
        <v>43969</v>
      </c>
      <c r="D1034" s="6" t="str">
        <f>Descargas!E1034</f>
        <v>https://resources.simonelectric.com/simon-ebook-vehiculo-electrico</v>
      </c>
      <c r="E1034" s="20" t="str">
        <f t="shared" si="1"/>
        <v>814@interingenieria.com</v>
      </c>
      <c r="F1034" s="21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</row>
    <row r="1035" ht="15.75" customHeight="1">
      <c r="A1035" s="18" t="str">
        <f>Descargas!A1035</f>
        <v>815@uach.mx</v>
      </c>
      <c r="B1035" s="19" t="str">
        <f>IFERROR(__xludf.DUMMYFUNCTION("IF(OR(regexmatch(A1035,"".*@simon.es$""),REGEXMATCH(A1035,"".*@simon.pt$""),REGEXMATCH(A1035,"".*@simonelectrica.com$""),REGEXMATCH(A1035,"".*@hiberus.com$""),REGEXMATCH(A1035,"".*@simonbrico.es$""),regexmatch(A1035,"".*@simonelectric.com$"")),""null"",A1"&amp;"035)"),"815@uach.mx")</f>
        <v>815@uach.mx</v>
      </c>
      <c r="C1035" s="5">
        <f>IF(B1035="null","null",Descargas!B1035)</f>
        <v>43969</v>
      </c>
      <c r="D1035" s="6" t="str">
        <f>Descargas!E1035</f>
        <v>https://resources.simonelectric.com/simon-ebook-vehiculo-electrico</v>
      </c>
      <c r="E1035" s="20" t="str">
        <f t="shared" si="1"/>
        <v>815@uach.mx</v>
      </c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</row>
    <row r="1036" ht="15.75" customHeight="1">
      <c r="A1036" s="18" t="str">
        <f>Descargas!A1036</f>
        <v>816@energia.eiffage.es</v>
      </c>
      <c r="B1036" s="19" t="str">
        <f>IFERROR(__xludf.DUMMYFUNCTION("IF(OR(regexmatch(A1036,"".*@simon.es$""),REGEXMATCH(A1036,"".*@simon.pt$""),REGEXMATCH(A1036,"".*@simonelectrica.com$""),REGEXMATCH(A1036,"".*@hiberus.com$""),REGEXMATCH(A1036,"".*@simonbrico.es$""),regexmatch(A1036,"".*@simonelectric.com$"")),""null"",A1"&amp;"036)"),"816@energia.eiffage.es")</f>
        <v>816@energia.eiffage.es</v>
      </c>
      <c r="C1036" s="5">
        <f>IF(B1036="null","null",Descargas!B1036)</f>
        <v>43968</v>
      </c>
      <c r="D1036" s="6" t="str">
        <f>Descargas!E1036</f>
        <v>https://resources.simonelectric.com/simon-catalogo-vehiculo-electrico</v>
      </c>
      <c r="E1036" s="20" t="str">
        <f t="shared" si="1"/>
        <v>816@energia.eiffage.es</v>
      </c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</row>
    <row r="1037" ht="15.75" customHeight="1">
      <c r="A1037" s="18" t="str">
        <f>Descargas!A1037</f>
        <v>817@gmail.com</v>
      </c>
      <c r="B1037" s="19" t="str">
        <f>IFERROR(__xludf.DUMMYFUNCTION("IF(OR(regexmatch(A1037,"".*@simon.es$""),REGEXMATCH(A1037,"".*@simon.pt$""),REGEXMATCH(A1037,"".*@simonelectrica.com$""),REGEXMATCH(A1037,"".*@hiberus.com$""),REGEXMATCH(A1037,"".*@simonbrico.es$""),regexmatch(A1037,"".*@simonelectric.com$"")),""null"",A1"&amp;"037)"),"817@gmail.com")</f>
        <v>817@gmail.com</v>
      </c>
      <c r="C1037" s="5">
        <f>IF(B1037="null","null",Descargas!B1037)</f>
        <v>43968</v>
      </c>
      <c r="D1037" s="6" t="str">
        <f>Descargas!E1037</f>
        <v>https://resources.simonelectric.com/simon-ebook-vehiculo-electrico-0</v>
      </c>
      <c r="E1037" s="20" t="str">
        <f t="shared" si="1"/>
        <v>817@gmail.com</v>
      </c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</row>
    <row r="1038" ht="15.75" customHeight="1">
      <c r="A1038" s="18" t="str">
        <f>Descargas!A1038</f>
        <v>571@outlook.com</v>
      </c>
      <c r="B1038" s="19" t="str">
        <f>IFERROR(__xludf.DUMMYFUNCTION("IF(OR(regexmatch(A1038,"".*@simon.es$""),REGEXMATCH(A1038,"".*@simon.pt$""),REGEXMATCH(A1038,"".*@simonelectrica.com$""),REGEXMATCH(A1038,"".*@hiberus.com$""),REGEXMATCH(A1038,"".*@simonbrico.es$""),regexmatch(A1038,"".*@simonelectric.com$"")),""null"",A1"&amp;"038)"),"571@outlook.com")</f>
        <v>571@outlook.com</v>
      </c>
      <c r="C1038" s="5">
        <f>IF(B1038="null","null",Descargas!B1038)</f>
        <v>43968</v>
      </c>
      <c r="D1038" s="6" t="str">
        <f>Descargas!E1038</f>
        <v>https://resources.simonelectric.com/simon-catalogo-vehiculo-electrico</v>
      </c>
      <c r="E1038" s="20" t="str">
        <f t="shared" si="1"/>
        <v>571@outlook.com</v>
      </c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</row>
    <row r="1039" ht="15.75" customHeight="1">
      <c r="A1039" s="18" t="str">
        <f>Descargas!A1039</f>
        <v>475@hotmail.es</v>
      </c>
      <c r="B1039" s="19" t="str">
        <f>IFERROR(__xludf.DUMMYFUNCTION("IF(OR(regexmatch(A1039,"".*@simon.es$""),REGEXMATCH(A1039,"".*@simon.pt$""),REGEXMATCH(A1039,"".*@simonelectrica.com$""),REGEXMATCH(A1039,"".*@hiberus.com$""),REGEXMATCH(A1039,"".*@simonbrico.es$""),regexmatch(A1039,"".*@simonelectric.com$"")),""null"",A1"&amp;"039)"),"475@hotmail.es")</f>
        <v>475@hotmail.es</v>
      </c>
      <c r="C1039" s="5">
        <f>IF(B1039="null","null",Descargas!B1039)</f>
        <v>43968</v>
      </c>
      <c r="D1039" s="6" t="str">
        <f>Descargas!E1039</f>
        <v>https://resources.simonelectric.com/simon-ebook-vehiculo-electrico-ppc</v>
      </c>
      <c r="E1039" s="20" t="str">
        <f t="shared" si="1"/>
        <v>475@hotmail.es</v>
      </c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</row>
    <row r="1040" ht="15.75" customHeight="1">
      <c r="A1040" s="18" t="str">
        <f>Descargas!A1040</f>
        <v>818@galektra.es</v>
      </c>
      <c r="B1040" s="19" t="str">
        <f>IFERROR(__xludf.DUMMYFUNCTION("IF(OR(regexmatch(A1040,"".*@simon.es$""),REGEXMATCH(A1040,"".*@simon.pt$""),REGEXMATCH(A1040,"".*@simonelectrica.com$""),REGEXMATCH(A1040,"".*@hiberus.com$""),REGEXMATCH(A1040,"".*@simonbrico.es$""),regexmatch(A1040,"".*@simonelectric.com$"")),""null"",A1"&amp;"040)"),"818@galektra.es")</f>
        <v>818@galektra.es</v>
      </c>
      <c r="C1040" s="5">
        <f>IF(B1040="null","null",Descargas!B1040)</f>
        <v>43968</v>
      </c>
      <c r="D1040" s="6" t="str">
        <f>Descargas!E1040</f>
        <v>https://resources.simonelectric.com/simon-ebook-vehiculo-electrico-ppc</v>
      </c>
      <c r="E1040" s="20" t="str">
        <f t="shared" si="1"/>
        <v>818@galektra.es</v>
      </c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</row>
    <row r="1041" ht="15.75" customHeight="1">
      <c r="A1041" s="18" t="str">
        <f>Descargas!A1041</f>
        <v>819@hotmail.com</v>
      </c>
      <c r="B1041" s="19" t="str">
        <f>IFERROR(__xludf.DUMMYFUNCTION("IF(OR(regexmatch(A1041,"".*@simon.es$""),REGEXMATCH(A1041,"".*@simon.pt$""),REGEXMATCH(A1041,"".*@simonelectrica.com$""),REGEXMATCH(A1041,"".*@hiberus.com$""),REGEXMATCH(A1041,"".*@simonbrico.es$""),regexmatch(A1041,"".*@simonelectric.com$"")),""null"",A1"&amp;"041)"),"819@hotmail.com")</f>
        <v>819@hotmail.com</v>
      </c>
      <c r="C1041" s="5">
        <f>IF(B1041="null","null",Descargas!B1041)</f>
        <v>43968</v>
      </c>
      <c r="D1041" s="6" t="str">
        <f>Descargas!E1041</f>
        <v>https://resources.simonelectric.com/simon-ebook-vehiculo-electrico-ppc</v>
      </c>
      <c r="E1041" s="20" t="str">
        <f t="shared" si="1"/>
        <v>819@hotmail.com</v>
      </c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</row>
    <row r="1042" ht="15.75" customHeight="1">
      <c r="A1042" s="18" t="str">
        <f>Descargas!A1042</f>
        <v>820@ebcn.cat</v>
      </c>
      <c r="B1042" s="19" t="str">
        <f>IFERROR(__xludf.DUMMYFUNCTION("IF(OR(regexmatch(A1042,"".*@simon.es$""),REGEXMATCH(A1042,"".*@simon.pt$""),REGEXMATCH(A1042,"".*@simonelectrica.com$""),REGEXMATCH(A1042,"".*@hiberus.com$""),REGEXMATCH(A1042,"".*@simonbrico.es$""),regexmatch(A1042,"".*@simonelectric.com$"")),""null"",A1"&amp;"042)"),"820@ebcn.cat")</f>
        <v>820@ebcn.cat</v>
      </c>
      <c r="C1042" s="5">
        <f>IF(B1042="null","null",Descargas!B1042)</f>
        <v>43968</v>
      </c>
      <c r="D1042" s="6" t="str">
        <f>Descargas!E1042</f>
        <v>https://resources.simonelectric.com/simon-ebook-vehiculo-electrico</v>
      </c>
      <c r="E1042" s="20" t="str">
        <f t="shared" si="1"/>
        <v>820@ebcn.cat</v>
      </c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</row>
    <row r="1043" ht="15.75" customHeight="1">
      <c r="A1043" s="18" t="str">
        <f>Descargas!A1043</f>
        <v>821@gmail.com</v>
      </c>
      <c r="B1043" s="19" t="str">
        <f>IFERROR(__xludf.DUMMYFUNCTION("IF(OR(regexmatch(A1043,"".*@simon.es$""),REGEXMATCH(A1043,"".*@simon.pt$""),REGEXMATCH(A1043,"".*@simonelectrica.com$""),REGEXMATCH(A1043,"".*@hiberus.com$""),REGEXMATCH(A1043,"".*@simonbrico.es$""),regexmatch(A1043,"".*@simonelectric.com$"")),""null"",A1"&amp;"043)"),"821@gmail.com")</f>
        <v>821@gmail.com</v>
      </c>
      <c r="C1043" s="5">
        <f>IF(B1043="null","null",Descargas!B1043)</f>
        <v>43968</v>
      </c>
      <c r="D1043" s="6" t="str">
        <f>Descargas!E1043</f>
        <v>https://resources.simonelectric.com/simon-ebook-vehiculo-electrico-ppc</v>
      </c>
      <c r="E1043" s="20" t="str">
        <f t="shared" si="1"/>
        <v>821@gmail.com</v>
      </c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</row>
    <row r="1044" ht="15.75" customHeight="1">
      <c r="A1044" s="18" t="str">
        <f>Descargas!A1044</f>
        <v>591@alterenergy.com.ar</v>
      </c>
      <c r="B1044" s="19" t="str">
        <f>IFERROR(__xludf.DUMMYFUNCTION("IF(OR(regexmatch(A1044,"".*@simon.es$""),REGEXMATCH(A1044,"".*@simon.pt$""),REGEXMATCH(A1044,"".*@simonelectrica.com$""),REGEXMATCH(A1044,"".*@hiberus.com$""),REGEXMATCH(A1044,"".*@simonbrico.es$""),regexmatch(A1044,"".*@simonelectric.com$"")),""null"",A1"&amp;"044)"),"591@alterenergy.com.ar")</f>
        <v>591@alterenergy.com.ar</v>
      </c>
      <c r="C1044" s="5">
        <f>IF(B1044="null","null",Descargas!B1044)</f>
        <v>43968</v>
      </c>
      <c r="D1044" s="6" t="str">
        <f>Descargas!E1044</f>
        <v>https://resources.simonelectric.com/simon-catalogo-vehiculo-electrico</v>
      </c>
      <c r="E1044" s="20" t="str">
        <f t="shared" si="1"/>
        <v>591@alterenergy.com.ar</v>
      </c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</row>
    <row r="1045" ht="15.75" customHeight="1">
      <c r="A1045" s="18" t="str">
        <f>Descargas!A1045</f>
        <v>822@yahoo.fr</v>
      </c>
      <c r="B1045" s="19" t="str">
        <f>IFERROR(__xludf.DUMMYFUNCTION("IF(OR(regexmatch(A1045,"".*@simon.es$""),REGEXMATCH(A1045,"".*@simon.pt$""),REGEXMATCH(A1045,"".*@simonelectrica.com$""),REGEXMATCH(A1045,"".*@hiberus.com$""),REGEXMATCH(A1045,"".*@simonbrico.es$""),regexmatch(A1045,"".*@simonelectric.com$"")),""null"",A1"&amp;"045)"),"822@yahoo.fr")</f>
        <v>822@yahoo.fr</v>
      </c>
      <c r="C1045" s="5">
        <f>IF(B1045="null","null",Descargas!B1045)</f>
        <v>43967</v>
      </c>
      <c r="D1045" s="6" t="str">
        <f>Descargas!E1045</f>
        <v>https://resources.simonelectric.com/simon-ebook-vehiculo-electrico-ppc</v>
      </c>
      <c r="E1045" s="20" t="str">
        <f t="shared" si="1"/>
        <v>822@yahoo.fr</v>
      </c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</row>
    <row r="1046" ht="15.75" customHeight="1">
      <c r="A1046" s="18" t="str">
        <f>Descargas!A1046</f>
        <v>613@proingo.es</v>
      </c>
      <c r="B1046" s="19" t="str">
        <f>IFERROR(__xludf.DUMMYFUNCTION("IF(OR(regexmatch(A1046,"".*@simon.es$""),REGEXMATCH(A1046,"".*@simon.pt$""),REGEXMATCH(A1046,"".*@simonelectrica.com$""),REGEXMATCH(A1046,"".*@hiberus.com$""),REGEXMATCH(A1046,"".*@simonbrico.es$""),regexmatch(A1046,"".*@simonelectric.com$"")),""null"",A1"&amp;"046)"),"613@proingo.es")</f>
        <v>613@proingo.es</v>
      </c>
      <c r="C1046" s="5">
        <f>IF(B1046="null","null",Descargas!B1046)</f>
        <v>43967</v>
      </c>
      <c r="D1046" s="6" t="str">
        <f>Descargas!E1046</f>
        <v>https://resources.simonelectric.com/simon-ebook-vehiculo-electrico</v>
      </c>
      <c r="E1046" s="20" t="str">
        <f t="shared" si="1"/>
        <v>613@proingo.es</v>
      </c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</row>
    <row r="1047" ht="15.75" customHeight="1">
      <c r="A1047" s="18" t="str">
        <f>Descargas!A1047</f>
        <v>613@proingo.es</v>
      </c>
      <c r="B1047" s="19" t="str">
        <f>IFERROR(__xludf.DUMMYFUNCTION("IF(OR(regexmatch(A1047,"".*@simon.es$""),REGEXMATCH(A1047,"".*@simon.pt$""),REGEXMATCH(A1047,"".*@simonelectrica.com$""),REGEXMATCH(A1047,"".*@hiberus.com$""),REGEXMATCH(A1047,"".*@simonbrico.es$""),regexmatch(A1047,"".*@simonelectric.com$"")),""null"",A1"&amp;"047)"),"613@proingo.es")</f>
        <v>613@proingo.es</v>
      </c>
      <c r="C1047" s="5">
        <f>IF(B1047="null","null",Descargas!B1047)</f>
        <v>43967</v>
      </c>
      <c r="D1047" s="6" t="str">
        <f>Descargas!E1047</f>
        <v>https://resources.simonelectric.com/simon-ebook-vehiculo-electrico</v>
      </c>
      <c r="E1047" s="20" t="str">
        <f t="shared" si="1"/>
        <v>613@proingo.es</v>
      </c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</row>
    <row r="1048" ht="15.75" customHeight="1">
      <c r="A1048" s="18" t="str">
        <f>Descargas!A1048</f>
        <v>613@proingo.es</v>
      </c>
      <c r="B1048" s="19" t="str">
        <f>IFERROR(__xludf.DUMMYFUNCTION("IF(OR(regexmatch(A1048,"".*@simon.es$""),REGEXMATCH(A1048,"".*@simon.pt$""),REGEXMATCH(A1048,"".*@simonelectrica.com$""),REGEXMATCH(A1048,"".*@hiberus.com$""),REGEXMATCH(A1048,"".*@simonbrico.es$""),regexmatch(A1048,"".*@simonelectric.com$"")),""null"",A1"&amp;"048)"),"613@proingo.es")</f>
        <v>613@proingo.es</v>
      </c>
      <c r="C1048" s="5">
        <f>IF(B1048="null","null",Descargas!B1048)</f>
        <v>43967</v>
      </c>
      <c r="D1048" s="6" t="str">
        <f>Descargas!E1048</f>
        <v>https://resources.simonelectric.com/simon-ebook-vehiculo-electrico</v>
      </c>
      <c r="E1048" s="20" t="str">
        <f t="shared" si="1"/>
        <v>613@proingo.es</v>
      </c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</row>
    <row r="1049" ht="15.75" customHeight="1">
      <c r="A1049" s="18" t="str">
        <f>Descargas!A1049</f>
        <v>823@gmail.com</v>
      </c>
      <c r="B1049" s="19" t="str">
        <f>IFERROR(__xludf.DUMMYFUNCTION("IF(OR(regexmatch(A1049,"".*@simon.es$""),REGEXMATCH(A1049,"".*@simon.pt$""),REGEXMATCH(A1049,"".*@simonelectrica.com$""),REGEXMATCH(A1049,"".*@hiberus.com$""),REGEXMATCH(A1049,"".*@simonbrico.es$""),regexmatch(A1049,"".*@simonelectric.com$"")),""null"",A1"&amp;"049)"),"823@gmail.com")</f>
        <v>823@gmail.com</v>
      </c>
      <c r="C1049" s="5">
        <f>IF(B1049="null","null",Descargas!B1049)</f>
        <v>43967</v>
      </c>
      <c r="D1049" s="6" t="str">
        <f>Descargas!E1049</f>
        <v>https://resources.simonelectric.com/simon-ebook-vehiculo-electrico</v>
      </c>
      <c r="E1049" s="20" t="str">
        <f t="shared" si="1"/>
        <v>823@gmail.com</v>
      </c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</row>
    <row r="1050" ht="15.75" customHeight="1">
      <c r="A1050" s="18" t="str">
        <f>Descargas!A1050</f>
        <v>824@gmail.com</v>
      </c>
      <c r="B1050" s="19" t="str">
        <f>IFERROR(__xludf.DUMMYFUNCTION("IF(OR(regexmatch(A1050,"".*@simon.es$""),REGEXMATCH(A1050,"".*@simon.pt$""),REGEXMATCH(A1050,"".*@simonelectrica.com$""),REGEXMATCH(A1050,"".*@hiberus.com$""),REGEXMATCH(A1050,"".*@simonbrico.es$""),regexmatch(A1050,"".*@simonelectric.com$"")),""null"",A1"&amp;"050)"),"824@gmail.com")</f>
        <v>824@gmail.com</v>
      </c>
      <c r="C1050" s="5">
        <f>IF(B1050="null","null",Descargas!B1050)</f>
        <v>43967</v>
      </c>
      <c r="D1050" s="6" t="str">
        <f>Descargas!E1050</f>
        <v>https://resources.simonelectric.com/simon-catalogo-vehiculo-electrico</v>
      </c>
      <c r="E1050" s="20" t="str">
        <f t="shared" si="1"/>
        <v>824@gmail.com</v>
      </c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</row>
    <row r="1051" ht="15.75" customHeight="1">
      <c r="A1051" s="18" t="str">
        <f>Descargas!A1051</f>
        <v>825@hotmail.com</v>
      </c>
      <c r="B1051" s="19" t="str">
        <f>IFERROR(__xludf.DUMMYFUNCTION("IF(OR(regexmatch(A1051,"".*@simon.es$""),REGEXMATCH(A1051,"".*@simon.pt$""),REGEXMATCH(A1051,"".*@simonelectrica.com$""),REGEXMATCH(A1051,"".*@hiberus.com$""),REGEXMATCH(A1051,"".*@simonbrico.es$""),regexmatch(A1051,"".*@simonelectric.com$"")),""null"",A1"&amp;"051)"),"825@hotmail.com")</f>
        <v>825@hotmail.com</v>
      </c>
      <c r="C1051" s="5">
        <f>IF(B1051="null","null",Descargas!B1051)</f>
        <v>43967</v>
      </c>
      <c r="D1051" s="6" t="str">
        <f>Descargas!E1051</f>
        <v>https://resources.simonelectric.com/simon-ebook-vehiculo-electrico</v>
      </c>
      <c r="E1051" s="20" t="str">
        <f t="shared" si="1"/>
        <v>825@hotmail.com</v>
      </c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</row>
    <row r="1052" ht="15.75" customHeight="1">
      <c r="A1052" s="18" t="str">
        <f>Descargas!A1052</f>
        <v>826@gmail.com</v>
      </c>
      <c r="B1052" s="19" t="str">
        <f>IFERROR(__xludf.DUMMYFUNCTION("IF(OR(regexmatch(A1052,"".*@simon.es$""),REGEXMATCH(A1052,"".*@simon.pt$""),REGEXMATCH(A1052,"".*@simonelectrica.com$""),REGEXMATCH(A1052,"".*@hiberus.com$""),REGEXMATCH(A1052,"".*@simonbrico.es$""),regexmatch(A1052,"".*@simonelectric.com$"")),""null"",A1"&amp;"052)"),"826@gmail.com")</f>
        <v>826@gmail.com</v>
      </c>
      <c r="C1052" s="5">
        <f>IF(B1052="null","null",Descargas!B1052)</f>
        <v>43967</v>
      </c>
      <c r="D1052" s="6" t="str">
        <f>Descargas!E1052</f>
        <v>https://resources.simonelectric.com/simon-ebook-vehiculo-electrico</v>
      </c>
      <c r="E1052" s="20" t="str">
        <f t="shared" si="1"/>
        <v>826@gmail.com</v>
      </c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</row>
    <row r="1053" ht="15.75" customHeight="1">
      <c r="A1053" s="18" t="str">
        <f>Descargas!A1053</f>
        <v>827@coitiar.es</v>
      </c>
      <c r="B1053" s="19" t="str">
        <f>IFERROR(__xludf.DUMMYFUNCTION("IF(OR(regexmatch(A1053,"".*@simon.es$""),REGEXMATCH(A1053,"".*@simon.pt$""),REGEXMATCH(A1053,"".*@simonelectrica.com$""),REGEXMATCH(A1053,"".*@hiberus.com$""),REGEXMATCH(A1053,"".*@simonbrico.es$""),regexmatch(A1053,"".*@simonelectric.com$"")),""null"",A1"&amp;"053)"),"827@coitiar.es")</f>
        <v>827@coitiar.es</v>
      </c>
      <c r="C1053" s="5">
        <f>IF(B1053="null","null",Descargas!B1053)</f>
        <v>43967</v>
      </c>
      <c r="D1053" s="6" t="str">
        <f>Descargas!E1053</f>
        <v>https://resources.simonelectric.com/simon-catalogo-vehiculo-electrico</v>
      </c>
      <c r="E1053" s="20" t="str">
        <f t="shared" si="1"/>
        <v>827@coitiar.es</v>
      </c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</row>
    <row r="1054" ht="15.75" customHeight="1">
      <c r="A1054" s="18" t="str">
        <f>Descargas!A1054</f>
        <v>828@zf.com</v>
      </c>
      <c r="B1054" s="19" t="str">
        <f>IFERROR(__xludf.DUMMYFUNCTION("IF(OR(regexmatch(A1054,"".*@simon.es$""),REGEXMATCH(A1054,"".*@simon.pt$""),REGEXMATCH(A1054,"".*@simonelectrica.com$""),REGEXMATCH(A1054,"".*@hiberus.com$""),REGEXMATCH(A1054,"".*@simonbrico.es$""),regexmatch(A1054,"".*@simonelectric.com$"")),""null"",A1"&amp;"054)"),"828@zf.com")</f>
        <v>828@zf.com</v>
      </c>
      <c r="C1054" s="5">
        <f>IF(B1054="null","null",Descargas!B1054)</f>
        <v>43967</v>
      </c>
      <c r="D1054" s="6" t="str">
        <f>Descargas!E1054</f>
        <v>https://resources.simonelectric.com/simon-ebook-vehiculo-electrico-ppc</v>
      </c>
      <c r="E1054" s="20" t="str">
        <f t="shared" si="1"/>
        <v>828@zf.com</v>
      </c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</row>
    <row r="1055" ht="15.75" customHeight="1">
      <c r="A1055" s="18" t="str">
        <f>Descargas!A1055</f>
        <v>829@gmail.com</v>
      </c>
      <c r="B1055" s="19" t="str">
        <f>IFERROR(__xludf.DUMMYFUNCTION("IF(OR(regexmatch(A1055,"".*@simon.es$""),REGEXMATCH(A1055,"".*@simon.pt$""),REGEXMATCH(A1055,"".*@simonelectrica.com$""),REGEXMATCH(A1055,"".*@hiberus.com$""),REGEXMATCH(A1055,"".*@simonbrico.es$""),regexmatch(A1055,"".*@simonelectric.com$"")),""null"",A1"&amp;"055)"),"829@gmail.com")</f>
        <v>829@gmail.com</v>
      </c>
      <c r="C1055" s="5">
        <f>IF(B1055="null","null",Descargas!B1055)</f>
        <v>43967</v>
      </c>
      <c r="D1055" s="6" t="str">
        <f>Descargas!E1055</f>
        <v>https://resources.simonelectric.com/simon-ebook-vehiculo-electrico-0</v>
      </c>
      <c r="E1055" s="20" t="str">
        <f t="shared" si="1"/>
        <v>829@gmail.com</v>
      </c>
      <c r="F1055" s="21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</row>
    <row r="1056" ht="15.75" customHeight="1">
      <c r="A1056" s="18" t="str">
        <f>Descargas!A1056</f>
        <v>830@gmail.com</v>
      </c>
      <c r="B1056" s="19" t="str">
        <f>IFERROR(__xludf.DUMMYFUNCTION("IF(OR(regexmatch(A1056,"".*@simon.es$""),REGEXMATCH(A1056,"".*@simon.pt$""),REGEXMATCH(A1056,"".*@simonelectrica.com$""),REGEXMATCH(A1056,"".*@hiberus.com$""),REGEXMATCH(A1056,"".*@simonbrico.es$""),regexmatch(A1056,"".*@simonelectric.com$"")),""null"",A1"&amp;"056)"),"830@gmail.com")</f>
        <v>830@gmail.com</v>
      </c>
      <c r="C1056" s="5">
        <f>IF(B1056="null","null",Descargas!B1056)</f>
        <v>43966</v>
      </c>
      <c r="D1056" s="6" t="str">
        <f>Descargas!E1056</f>
        <v>https://resources.simonelectric.com/simon-catalogo-vehiculo-electrico</v>
      </c>
      <c r="E1056" s="20" t="str">
        <f t="shared" si="1"/>
        <v>830@gmail.com</v>
      </c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</row>
    <row r="1057" ht="15.75" customHeight="1">
      <c r="A1057" s="18" t="str">
        <f>Descargas!A1057</f>
        <v>831@gmail.com</v>
      </c>
      <c r="B1057" s="19" t="str">
        <f>IFERROR(__xludf.DUMMYFUNCTION("IF(OR(regexmatch(A1057,"".*@simon.es$""),REGEXMATCH(A1057,"".*@simon.pt$""),REGEXMATCH(A1057,"".*@simonelectrica.com$""),REGEXMATCH(A1057,"".*@hiberus.com$""),REGEXMATCH(A1057,"".*@simonbrico.es$""),regexmatch(A1057,"".*@simonelectric.com$"")),""null"",A1"&amp;"057)"),"831@gmail.com")</f>
        <v>831@gmail.com</v>
      </c>
      <c r="C1057" s="5">
        <f>IF(B1057="null","null",Descargas!B1057)</f>
        <v>43966</v>
      </c>
      <c r="D1057" s="6" t="str">
        <f>Descargas!E1057</f>
        <v>https://resources.simonelectric.com/simon-ebook-vehiculo-electrico-ppc</v>
      </c>
      <c r="E1057" s="20" t="str">
        <f t="shared" si="1"/>
        <v>831@gmail.com</v>
      </c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</row>
    <row r="1058" ht="15.75" customHeight="1">
      <c r="A1058" s="18" t="str">
        <f>Descargas!A1058</f>
        <v>832@suministradora.com</v>
      </c>
      <c r="B1058" s="19" t="str">
        <f>IFERROR(__xludf.DUMMYFUNCTION("IF(OR(regexmatch(A1058,"".*@simon.es$""),REGEXMATCH(A1058,"".*@simon.pt$""),REGEXMATCH(A1058,"".*@simonelectrica.com$""),REGEXMATCH(A1058,"".*@hiberus.com$""),REGEXMATCH(A1058,"".*@simonbrico.es$""),regexmatch(A1058,"".*@simonelectric.com$"")),""null"",A1"&amp;"058)"),"832@suministradora.com")</f>
        <v>832@suministradora.com</v>
      </c>
      <c r="C1058" s="5">
        <f>IF(B1058="null","null",Descargas!B1058)</f>
        <v>43966</v>
      </c>
      <c r="D1058" s="6" t="str">
        <f>Descargas!E1058</f>
        <v>https://resources.simonelectric.com/simon-catalogo-vehiculo-electrico</v>
      </c>
      <c r="E1058" s="20" t="str">
        <f t="shared" si="1"/>
        <v>832@suministradora.com</v>
      </c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</row>
    <row r="1059" ht="15.75" customHeight="1">
      <c r="A1059" s="18" t="str">
        <f>Descargas!A1059</f>
        <v>833@ofitecbp.com</v>
      </c>
      <c r="B1059" s="19" t="str">
        <f>IFERROR(__xludf.DUMMYFUNCTION("IF(OR(regexmatch(A1059,"".*@simon.es$""),REGEXMATCH(A1059,"".*@simon.pt$""),REGEXMATCH(A1059,"".*@simonelectrica.com$""),REGEXMATCH(A1059,"".*@hiberus.com$""),REGEXMATCH(A1059,"".*@simonbrico.es$""),regexmatch(A1059,"".*@simonelectric.com$"")),""null"",A1"&amp;"059)"),"833@ofitecbp.com")</f>
        <v>833@ofitecbp.com</v>
      </c>
      <c r="C1059" s="5">
        <f>IF(B1059="null","null",Descargas!B1059)</f>
        <v>43966</v>
      </c>
      <c r="D1059" s="6" t="str">
        <f>Descargas!E1059</f>
        <v>https://resources.simonelectric.com/simon-ebook-vehiculo-electrico</v>
      </c>
      <c r="E1059" s="20" t="str">
        <f t="shared" si="1"/>
        <v>833@ofitecbp.com</v>
      </c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</row>
    <row r="1060" ht="15.75" customHeight="1">
      <c r="A1060" s="18" t="str">
        <f>Descargas!A1060</f>
        <v>445@sueprat.es</v>
      </c>
      <c r="B1060" s="19" t="str">
        <f>IFERROR(__xludf.DUMMYFUNCTION("IF(OR(regexmatch(A1060,"".*@simon.es$""),REGEXMATCH(A1060,"".*@simon.pt$""),REGEXMATCH(A1060,"".*@simonelectrica.com$""),REGEXMATCH(A1060,"".*@hiberus.com$""),REGEXMATCH(A1060,"".*@simonbrico.es$""),regexmatch(A1060,"".*@simonelectric.com$"")),""null"",A1"&amp;"060)"),"445@sueprat.es")</f>
        <v>445@sueprat.es</v>
      </c>
      <c r="C1060" s="5">
        <f>IF(B1060="null","null",Descargas!B1060)</f>
        <v>43966</v>
      </c>
      <c r="D1060" s="6" t="str">
        <f>Descargas!E1060</f>
        <v>https://resources.simonelectric.com/simon-catalogo-vehiculo-electrico</v>
      </c>
      <c r="E1060" s="20" t="str">
        <f t="shared" si="1"/>
        <v>445@sueprat.es</v>
      </c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</row>
    <row r="1061" ht="15.75" customHeight="1">
      <c r="A1061" s="18" t="str">
        <f>Descargas!A1061</f>
        <v>834@gmail.com</v>
      </c>
      <c r="B1061" s="19" t="str">
        <f>IFERROR(__xludf.DUMMYFUNCTION("IF(OR(regexmatch(A1061,"".*@simon.es$""),REGEXMATCH(A1061,"".*@simon.pt$""),REGEXMATCH(A1061,"".*@simonelectrica.com$""),REGEXMATCH(A1061,"".*@hiberus.com$""),REGEXMATCH(A1061,"".*@simonbrico.es$""),regexmatch(A1061,"".*@simonelectric.com$"")),""null"",A1"&amp;"061)"),"834@gmail.com")</f>
        <v>834@gmail.com</v>
      </c>
      <c r="C1061" s="5">
        <f>IF(B1061="null","null",Descargas!B1061)</f>
        <v>43966</v>
      </c>
      <c r="D1061" s="6" t="str">
        <f>Descargas!E1061</f>
        <v>https://resources.simonelectric.com/simon-catalogo-vehiculo-electrico</v>
      </c>
      <c r="E1061" s="20" t="str">
        <f t="shared" si="1"/>
        <v>834@gmail.com</v>
      </c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</row>
    <row r="1062" ht="15.75" customHeight="1">
      <c r="A1062" s="18" t="str">
        <f>Descargas!A1062</f>
        <v>835@gmail.com</v>
      </c>
      <c r="B1062" s="19" t="str">
        <f>IFERROR(__xludf.DUMMYFUNCTION("IF(OR(regexmatch(A1062,"".*@simon.es$""),REGEXMATCH(A1062,"".*@simon.pt$""),REGEXMATCH(A1062,"".*@simonelectrica.com$""),REGEXMATCH(A1062,"".*@hiberus.com$""),REGEXMATCH(A1062,"".*@simonbrico.es$""),regexmatch(A1062,"".*@simonelectric.com$"")),""null"",A1"&amp;"062)"),"835@gmail.com")</f>
        <v>835@gmail.com</v>
      </c>
      <c r="C1062" s="5">
        <f>IF(B1062="null","null",Descargas!B1062)</f>
        <v>43966</v>
      </c>
      <c r="D1062" s="6" t="str">
        <f>Descargas!E1062</f>
        <v>https://resources.simonelectric.com/simon-catalogo-vehiculo-electrico</v>
      </c>
      <c r="E1062" s="20" t="str">
        <f t="shared" si="1"/>
        <v>835@gmail.com</v>
      </c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</row>
    <row r="1063" ht="15.75" customHeight="1">
      <c r="A1063" s="18" t="str">
        <f>Descargas!A1063</f>
        <v>836@simon.es</v>
      </c>
      <c r="B1063" s="19" t="str">
        <f>IFERROR(__xludf.DUMMYFUNCTION("IF(OR(regexmatch(A1063,"".*@simon.es$""),REGEXMATCH(A1063,"".*@simon.pt$""),REGEXMATCH(A1063,"".*@simonelectrica.com$""),REGEXMATCH(A1063,"".*@hiberus.com$""),REGEXMATCH(A1063,"".*@simonbrico.es$""),regexmatch(A1063,"".*@simonelectric.com$"")),""null"",A1"&amp;"063)"),"null")</f>
        <v>null</v>
      </c>
      <c r="C1063" s="5" t="str">
        <f>IF(B1063="null","null",Descargas!B1063)</f>
        <v>null</v>
      </c>
      <c r="D1063" s="6" t="str">
        <f>Descargas!E1063</f>
        <v>https://resources.simonelectric.com/simon-catalogo-vehiculo-electrico</v>
      </c>
      <c r="E1063" s="24" t="str">
        <f t="shared" si="1"/>
        <v/>
      </c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</row>
    <row r="1064" ht="15.75" customHeight="1">
      <c r="A1064" s="18" t="str">
        <f>Descargas!A1064</f>
        <v>837@gmail.com</v>
      </c>
      <c r="B1064" s="19" t="str">
        <f>IFERROR(__xludf.DUMMYFUNCTION("IF(OR(regexmatch(A1064,"".*@simon.es$""),REGEXMATCH(A1064,"".*@simon.pt$""),REGEXMATCH(A1064,"".*@simonelectrica.com$""),REGEXMATCH(A1064,"".*@hiberus.com$""),REGEXMATCH(A1064,"".*@simonbrico.es$""),regexmatch(A1064,"".*@simonelectric.com$"")),""null"",A1"&amp;"064)"),"837@gmail.com")</f>
        <v>837@gmail.com</v>
      </c>
      <c r="C1064" s="5">
        <f>IF(B1064="null","null",Descargas!B1064)</f>
        <v>43966</v>
      </c>
      <c r="D1064" s="6" t="str">
        <f>Descargas!E1064</f>
        <v>https://resources.simonelectric.com/simon-ebook-vehiculo-electrico</v>
      </c>
      <c r="E1064" s="20" t="str">
        <f t="shared" si="1"/>
        <v>837@gmail.com</v>
      </c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</row>
    <row r="1065" ht="15.75" customHeight="1">
      <c r="A1065" s="18" t="str">
        <f>Descargas!A1065</f>
        <v>838@sdin.es</v>
      </c>
      <c r="B1065" s="19" t="str">
        <f>IFERROR(__xludf.DUMMYFUNCTION("IF(OR(regexmatch(A1065,"".*@simon.es$""),REGEXMATCH(A1065,"".*@simon.pt$""),REGEXMATCH(A1065,"".*@simonelectrica.com$""),REGEXMATCH(A1065,"".*@hiberus.com$""),REGEXMATCH(A1065,"".*@simonbrico.es$""),regexmatch(A1065,"".*@simonelectric.com$"")),""null"",A1"&amp;"065)"),"838@sdin.es")</f>
        <v>838@sdin.es</v>
      </c>
      <c r="C1065" s="5">
        <f>IF(B1065="null","null",Descargas!B1065)</f>
        <v>43966</v>
      </c>
      <c r="D1065" s="6" t="str">
        <f>Descargas!E1065</f>
        <v>https://resources.simonelectric.com/simon-material-formativo-vehiculo-electrico</v>
      </c>
      <c r="E1065" s="20" t="str">
        <f t="shared" si="1"/>
        <v>838@sdin.es</v>
      </c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</row>
    <row r="1066" ht="15.75" customHeight="1">
      <c r="A1066" s="18" t="str">
        <f>Descargas!A1066</f>
        <v>839@fluidsa.com</v>
      </c>
      <c r="B1066" s="19" t="str">
        <f>IFERROR(__xludf.DUMMYFUNCTION("IF(OR(regexmatch(A1066,"".*@simon.es$""),REGEXMATCH(A1066,"".*@simon.pt$""),REGEXMATCH(A1066,"".*@simonelectrica.com$""),REGEXMATCH(A1066,"".*@hiberus.com$""),REGEXMATCH(A1066,"".*@simonbrico.es$""),regexmatch(A1066,"".*@simonelectric.com$"")),""null"",A1"&amp;"066)"),"839@fluidsa.com")</f>
        <v>839@fluidsa.com</v>
      </c>
      <c r="C1066" s="5">
        <f>IF(B1066="null","null",Descargas!B1066)</f>
        <v>43966</v>
      </c>
      <c r="D1066" s="6" t="str">
        <f>Descargas!E1066</f>
        <v>https://resources.simonelectric.com/simon-catalogo-vehiculo-electrico</v>
      </c>
      <c r="E1066" s="20" t="str">
        <f t="shared" si="1"/>
        <v>839@fluidsa.com</v>
      </c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</row>
    <row r="1067" ht="15.75" customHeight="1">
      <c r="A1067" s="18" t="str">
        <f>Descargas!A1067</f>
        <v>840@gmail.com</v>
      </c>
      <c r="B1067" s="19" t="str">
        <f>IFERROR(__xludf.DUMMYFUNCTION("IF(OR(regexmatch(A1067,"".*@simon.es$""),REGEXMATCH(A1067,"".*@simon.pt$""),REGEXMATCH(A1067,"".*@simonelectrica.com$""),REGEXMATCH(A1067,"".*@hiberus.com$""),REGEXMATCH(A1067,"".*@simonbrico.es$""),regexmatch(A1067,"".*@simonelectric.com$"")),""null"",A1"&amp;"067)"),"840@gmail.com")</f>
        <v>840@gmail.com</v>
      </c>
      <c r="C1067" s="5">
        <f>IF(B1067="null","null",Descargas!B1067)</f>
        <v>43965</v>
      </c>
      <c r="D1067" s="6" t="str">
        <f>Descargas!E1067</f>
        <v>https://resources.simonelectric.com/simon-material-formativo-vehiculo-electrico</v>
      </c>
      <c r="E1067" s="20" t="str">
        <f t="shared" si="1"/>
        <v>840@gmail.com</v>
      </c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</row>
    <row r="1068" ht="15.75" customHeight="1">
      <c r="A1068" s="18" t="str">
        <f>Descargas!A1068</f>
        <v>841@gmail.com</v>
      </c>
      <c r="B1068" s="19" t="str">
        <f>IFERROR(__xludf.DUMMYFUNCTION("IF(OR(regexmatch(A1068,"".*@simon.es$""),REGEXMATCH(A1068,"".*@simon.pt$""),REGEXMATCH(A1068,"".*@simonelectrica.com$""),REGEXMATCH(A1068,"".*@hiberus.com$""),REGEXMATCH(A1068,"".*@simonbrico.es$""),regexmatch(A1068,"".*@simonelectric.com$"")),""null"",A1"&amp;"068)"),"841@gmail.com")</f>
        <v>841@gmail.com</v>
      </c>
      <c r="C1068" s="5">
        <f>IF(B1068="null","null",Descargas!B1068)</f>
        <v>43965</v>
      </c>
      <c r="D1068" s="6" t="str">
        <f>Descargas!E1068</f>
        <v>https://resources.simonelectric.com/simon-ebook-vehiculo-electrico</v>
      </c>
      <c r="E1068" s="20" t="str">
        <f t="shared" si="1"/>
        <v>841@gmail.com</v>
      </c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</row>
    <row r="1069" ht="15.75" customHeight="1">
      <c r="A1069" s="18" t="str">
        <f>Descargas!A1069</f>
        <v>842@fibramur.com</v>
      </c>
      <c r="B1069" s="19" t="str">
        <f>IFERROR(__xludf.DUMMYFUNCTION("IF(OR(regexmatch(A1069,"".*@simon.es$""),REGEXMATCH(A1069,"".*@simon.pt$""),REGEXMATCH(A1069,"".*@simonelectrica.com$""),REGEXMATCH(A1069,"".*@hiberus.com$""),REGEXMATCH(A1069,"".*@simonbrico.es$""),regexmatch(A1069,"".*@simonelectric.com$"")),""null"",A1"&amp;"069)"),"842@fibramur.com")</f>
        <v>842@fibramur.com</v>
      </c>
      <c r="C1069" s="5">
        <f>IF(B1069="null","null",Descargas!B1069)</f>
        <v>43965</v>
      </c>
      <c r="D1069" s="6" t="str">
        <f>Descargas!E1069</f>
        <v>https://resources.simonelectric.com/simon-ebook-vehiculo-electrico</v>
      </c>
      <c r="E1069" s="20" t="str">
        <f t="shared" si="1"/>
        <v>842@fibramur.com</v>
      </c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</row>
    <row r="1070" ht="15.75" customHeight="1">
      <c r="A1070" s="18" t="str">
        <f>Descargas!A1070</f>
        <v>843@instalacionescueto.com</v>
      </c>
      <c r="B1070" s="19" t="str">
        <f>IFERROR(__xludf.DUMMYFUNCTION("IF(OR(regexmatch(A1070,"".*@simon.es$""),REGEXMATCH(A1070,"".*@simon.pt$""),REGEXMATCH(A1070,"".*@simonelectrica.com$""),REGEXMATCH(A1070,"".*@hiberus.com$""),REGEXMATCH(A1070,"".*@simonbrico.es$""),regexmatch(A1070,"".*@simonelectric.com$"")),""null"",A1"&amp;"070)"),"843@instalacionescueto.com")</f>
        <v>843@instalacionescueto.com</v>
      </c>
      <c r="C1070" s="5">
        <f>IF(B1070="null","null",Descargas!B1070)</f>
        <v>43965</v>
      </c>
      <c r="D1070" s="6" t="str">
        <f>Descargas!E1070</f>
        <v>https://resources.simonelectric.com/simon-catalogo-vehiculo-electrico</v>
      </c>
      <c r="E1070" s="20" t="str">
        <f t="shared" si="1"/>
        <v>843@instalacionescueto.com</v>
      </c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</row>
    <row r="1071" ht="15.75" customHeight="1">
      <c r="A1071" s="18" t="str">
        <f>Descargas!A1071</f>
        <v>843@instalacionescueto.com</v>
      </c>
      <c r="B1071" s="19" t="str">
        <f>IFERROR(__xludf.DUMMYFUNCTION("IF(OR(regexmatch(A1071,"".*@simon.es$""),REGEXMATCH(A1071,"".*@simon.pt$""),REGEXMATCH(A1071,"".*@simonelectrica.com$""),REGEXMATCH(A1071,"".*@hiberus.com$""),REGEXMATCH(A1071,"".*@simonbrico.es$""),regexmatch(A1071,"".*@simonelectric.com$"")),""null"",A1"&amp;"071)"),"843@instalacionescueto.com")</f>
        <v>843@instalacionescueto.com</v>
      </c>
      <c r="C1071" s="5">
        <f>IF(B1071="null","null",Descargas!B1071)</f>
        <v>43965</v>
      </c>
      <c r="D1071" s="6" t="str">
        <f>Descargas!E1071</f>
        <v>https://resources.simonelectric.com/simon-ebook-vehiculo-electrico</v>
      </c>
      <c r="E1071" s="20" t="str">
        <f t="shared" si="1"/>
        <v>843@instalacionescueto.com</v>
      </c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</row>
    <row r="1072" ht="15.75" customHeight="1">
      <c r="A1072" s="18" t="str">
        <f>Descargas!A1072</f>
        <v>844@certis.cat</v>
      </c>
      <c r="B1072" s="19" t="str">
        <f>IFERROR(__xludf.DUMMYFUNCTION("IF(OR(regexmatch(A1072,"".*@simon.es$""),REGEXMATCH(A1072,"".*@simon.pt$""),REGEXMATCH(A1072,"".*@simonelectrica.com$""),REGEXMATCH(A1072,"".*@hiberus.com$""),REGEXMATCH(A1072,"".*@simonbrico.es$""),regexmatch(A1072,"".*@simonelectric.com$"")),""null"",A1"&amp;"072)"),"844@certis.cat")</f>
        <v>844@certis.cat</v>
      </c>
      <c r="C1072" s="5">
        <f>IF(B1072="null","null",Descargas!B1072)</f>
        <v>43965</v>
      </c>
      <c r="D1072" s="6" t="str">
        <f>Descargas!E1072</f>
        <v>https://resources.simonelectric.com/simon-material-formativo-vehiculo-electrico</v>
      </c>
      <c r="E1072" s="20" t="str">
        <f t="shared" si="1"/>
        <v>844@certis.cat</v>
      </c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</row>
    <row r="1073" ht="15.75" customHeight="1">
      <c r="A1073" s="18" t="str">
        <f>Descargas!A1073</f>
        <v>640@simon.es</v>
      </c>
      <c r="B1073" s="19" t="str">
        <f>IFERROR(__xludf.DUMMYFUNCTION("IF(OR(regexmatch(A1073,"".*@simon.es$""),REGEXMATCH(A1073,"".*@simon.pt$""),REGEXMATCH(A1073,"".*@simonelectrica.com$""),REGEXMATCH(A1073,"".*@hiberus.com$""),REGEXMATCH(A1073,"".*@simonbrico.es$""),regexmatch(A1073,"".*@simonelectric.com$"")),""null"",A1"&amp;"073)"),"null")</f>
        <v>null</v>
      </c>
      <c r="C1073" s="5" t="str">
        <f>IF(B1073="null","null",Descargas!B1073)</f>
        <v>null</v>
      </c>
      <c r="D1073" s="6" t="str">
        <f>Descargas!E1073</f>
        <v>https://resources.simonelectric.com/simon-ebook-vehiculo-electrico</v>
      </c>
      <c r="E1073" s="24" t="str">
        <f t="shared" si="1"/>
        <v/>
      </c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</row>
    <row r="1074" ht="15.75" customHeight="1">
      <c r="A1074" s="18" t="str">
        <f>Descargas!A1074</f>
        <v>845@hotmail.com</v>
      </c>
      <c r="B1074" s="19" t="str">
        <f>IFERROR(__xludf.DUMMYFUNCTION("IF(OR(regexmatch(A1074,"".*@simon.es$""),REGEXMATCH(A1074,"".*@simon.pt$""),REGEXMATCH(A1074,"".*@simonelectrica.com$""),REGEXMATCH(A1074,"".*@hiberus.com$""),REGEXMATCH(A1074,"".*@simonbrico.es$""),regexmatch(A1074,"".*@simonelectric.com$"")),""null"",A1"&amp;"074)"),"845@hotmail.com")</f>
        <v>845@hotmail.com</v>
      </c>
      <c r="C1074" s="5">
        <f>IF(B1074="null","null",Descargas!B1074)</f>
        <v>43965</v>
      </c>
      <c r="D1074" s="6" t="str">
        <f>Descargas!E1074</f>
        <v>https://resources.simonelectric.com/simon-ebook-vehiculo-electrico</v>
      </c>
      <c r="E1074" s="20" t="str">
        <f t="shared" si="1"/>
        <v>845@hotmail.com</v>
      </c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</row>
    <row r="1075" ht="15.75" customHeight="1">
      <c r="A1075" s="18" t="str">
        <f>Descargas!A1075</f>
        <v>846@hotmail.com</v>
      </c>
      <c r="B1075" s="19" t="str">
        <f>IFERROR(__xludf.DUMMYFUNCTION("IF(OR(regexmatch(A1075,"".*@simon.es$""),REGEXMATCH(A1075,"".*@simon.pt$""),REGEXMATCH(A1075,"".*@simonelectrica.com$""),REGEXMATCH(A1075,"".*@hiberus.com$""),REGEXMATCH(A1075,"".*@simonbrico.es$""),regexmatch(A1075,"".*@simonelectric.com$"")),""null"",A1"&amp;"075)"),"846@hotmail.com")</f>
        <v>846@hotmail.com</v>
      </c>
      <c r="C1075" s="5">
        <f>IF(B1075="null","null",Descargas!B1075)</f>
        <v>43965</v>
      </c>
      <c r="D1075" s="6" t="str">
        <f>Descargas!E1075</f>
        <v>https://resources.simonelectric.com/simon-catalogo-vehiculo-electrico</v>
      </c>
      <c r="E1075" s="20" t="str">
        <f t="shared" si="1"/>
        <v>846@hotmail.com</v>
      </c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</row>
    <row r="1076" ht="15.75" customHeight="1">
      <c r="A1076" s="18" t="str">
        <f>Descargas!A1076</f>
        <v>847@lodeal.es</v>
      </c>
      <c r="B1076" s="19" t="str">
        <f>IFERROR(__xludf.DUMMYFUNCTION("IF(OR(regexmatch(A1076,"".*@simon.es$""),REGEXMATCH(A1076,"".*@simon.pt$""),REGEXMATCH(A1076,"".*@simonelectrica.com$""),REGEXMATCH(A1076,"".*@hiberus.com$""),REGEXMATCH(A1076,"".*@simonbrico.es$""),regexmatch(A1076,"".*@simonelectric.com$"")),""null"",A1"&amp;"076)"),"847@lodeal.es")</f>
        <v>847@lodeal.es</v>
      </c>
      <c r="C1076" s="5">
        <f>IF(B1076="null","null",Descargas!B1076)</f>
        <v>43965</v>
      </c>
      <c r="D1076" s="6" t="str">
        <f>Descargas!E1076</f>
        <v>https://resources.simonelectric.com/simon-ebook-vehiculo-electrico</v>
      </c>
      <c r="E1076" s="20" t="str">
        <f t="shared" si="1"/>
        <v>847@lodeal.es</v>
      </c>
      <c r="F1076" s="21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</row>
    <row r="1077" ht="15.75" customHeight="1">
      <c r="A1077" s="18" t="str">
        <f>Descargas!A1077</f>
        <v>847@lodeal.es</v>
      </c>
      <c r="B1077" s="19" t="str">
        <f>IFERROR(__xludf.DUMMYFUNCTION("IF(OR(regexmatch(A1077,"".*@simon.es$""),REGEXMATCH(A1077,"".*@simon.pt$""),REGEXMATCH(A1077,"".*@simonelectrica.com$""),REGEXMATCH(A1077,"".*@hiberus.com$""),REGEXMATCH(A1077,"".*@simonbrico.es$""),regexmatch(A1077,"".*@simonelectric.com$"")),""null"",A1"&amp;"077)"),"847@lodeal.es")</f>
        <v>847@lodeal.es</v>
      </c>
      <c r="C1077" s="5">
        <f>IF(B1077="null","null",Descargas!B1077)</f>
        <v>43965</v>
      </c>
      <c r="D1077" s="6" t="str">
        <f>Descargas!E1077</f>
        <v>https://resources.simonelectric.com/simon-ebook-vehiculo-electrico</v>
      </c>
      <c r="E1077" s="20" t="str">
        <f t="shared" si="1"/>
        <v>847@lodeal.es</v>
      </c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</row>
    <row r="1078" ht="15.75" customHeight="1">
      <c r="A1078" s="18" t="str">
        <f>Descargas!A1078</f>
        <v>847@lodeal.es</v>
      </c>
      <c r="B1078" s="19" t="str">
        <f>IFERROR(__xludf.DUMMYFUNCTION("IF(OR(regexmatch(A1078,"".*@simon.es$""),REGEXMATCH(A1078,"".*@simon.pt$""),REGEXMATCH(A1078,"".*@simonelectrica.com$""),REGEXMATCH(A1078,"".*@hiberus.com$""),REGEXMATCH(A1078,"".*@simonbrico.es$""),regexmatch(A1078,"".*@simonelectric.com$"")),""null"",A1"&amp;"078)"),"847@lodeal.es")</f>
        <v>847@lodeal.es</v>
      </c>
      <c r="C1078" s="5">
        <f>IF(B1078="null","null",Descargas!B1078)</f>
        <v>43965</v>
      </c>
      <c r="D1078" s="6" t="str">
        <f>Descargas!E1078</f>
        <v>https://resources.simonelectric.com/simon-ebook-vehiculo-electrico</v>
      </c>
      <c r="E1078" s="20" t="str">
        <f t="shared" si="1"/>
        <v>847@lodeal.es</v>
      </c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</row>
    <row r="1079" ht="15.75" customHeight="1">
      <c r="A1079" s="18" t="str">
        <f>Descargas!A1079</f>
        <v>848@sesaelec.com</v>
      </c>
      <c r="B1079" s="19" t="str">
        <f>IFERROR(__xludf.DUMMYFUNCTION("IF(OR(regexmatch(A1079,"".*@simon.es$""),REGEXMATCH(A1079,"".*@simon.pt$""),REGEXMATCH(A1079,"".*@simonelectrica.com$""),REGEXMATCH(A1079,"".*@hiberus.com$""),REGEXMATCH(A1079,"".*@simonbrico.es$""),regexmatch(A1079,"".*@simonelectric.com$"")),""null"",A1"&amp;"079)"),"848@sesaelec.com")</f>
        <v>848@sesaelec.com</v>
      </c>
      <c r="C1079" s="5">
        <f>IF(B1079="null","null",Descargas!B1079)</f>
        <v>43964</v>
      </c>
      <c r="D1079" s="6" t="str">
        <f>Descargas!E1079</f>
        <v>https://resources.simonelectric.com/simon-catalogo-vehiculo-electrico</v>
      </c>
      <c r="E1079" s="20" t="str">
        <f t="shared" si="1"/>
        <v>848@sesaelec.com</v>
      </c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</row>
    <row r="1080" ht="15.75" customHeight="1">
      <c r="A1080" s="18" t="str">
        <f>Descargas!A1080</f>
        <v>849@gmail.com</v>
      </c>
      <c r="B1080" s="19" t="str">
        <f>IFERROR(__xludf.DUMMYFUNCTION("IF(OR(regexmatch(A1080,"".*@simon.es$""),REGEXMATCH(A1080,"".*@simon.pt$""),REGEXMATCH(A1080,"".*@simonelectrica.com$""),REGEXMATCH(A1080,"".*@hiberus.com$""),REGEXMATCH(A1080,"".*@simonbrico.es$""),regexmatch(A1080,"".*@simonelectric.com$"")),""null"",A1"&amp;"080)"),"849@gmail.com")</f>
        <v>849@gmail.com</v>
      </c>
      <c r="C1080" s="5">
        <f>IF(B1080="null","null",Descargas!B1080)</f>
        <v>43964</v>
      </c>
      <c r="D1080" s="6" t="str">
        <f>Descargas!E1080</f>
        <v>https://resources.simonelectric.com/simon-ebook-vehiculo-electrico-ppc</v>
      </c>
      <c r="E1080" s="20" t="str">
        <f t="shared" si="1"/>
        <v>849@gmail.com</v>
      </c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</row>
    <row r="1081" ht="15.75" customHeight="1">
      <c r="A1081" s="18" t="str">
        <f>Descargas!A1081</f>
        <v>850@gmail.com</v>
      </c>
      <c r="B1081" s="19" t="str">
        <f>IFERROR(__xludf.DUMMYFUNCTION("IF(OR(regexmatch(A1081,"".*@simon.es$""),REGEXMATCH(A1081,"".*@simon.pt$""),REGEXMATCH(A1081,"".*@simonelectrica.com$""),REGEXMATCH(A1081,"".*@hiberus.com$""),REGEXMATCH(A1081,"".*@simonbrico.es$""),regexmatch(A1081,"".*@simonelectric.com$"")),""null"",A1"&amp;"081)"),"850@gmail.com")</f>
        <v>850@gmail.com</v>
      </c>
      <c r="C1081" s="5">
        <f>IF(B1081="null","null",Descargas!B1081)</f>
        <v>43964</v>
      </c>
      <c r="D1081" s="6" t="str">
        <f>Descargas!E1081</f>
        <v>https://resources.simonelectric.com/simon-ebook-vehiculo-electrico-0</v>
      </c>
      <c r="E1081" s="20" t="str">
        <f t="shared" si="1"/>
        <v>850@gmail.com</v>
      </c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</row>
    <row r="1082" ht="15.75" customHeight="1">
      <c r="A1082" s="18" t="str">
        <f>Descargas!A1082</f>
        <v>606@gmail.com</v>
      </c>
      <c r="B1082" s="19" t="str">
        <f>IFERROR(__xludf.DUMMYFUNCTION("IF(OR(regexmatch(A1082,"".*@simon.es$""),REGEXMATCH(A1082,"".*@simon.pt$""),REGEXMATCH(A1082,"".*@simonelectrica.com$""),REGEXMATCH(A1082,"".*@hiberus.com$""),REGEXMATCH(A1082,"".*@simonbrico.es$""),regexmatch(A1082,"".*@simonelectric.com$"")),""null"",A1"&amp;"082)"),"606@gmail.com")</f>
        <v>606@gmail.com</v>
      </c>
      <c r="C1082" s="5">
        <f>IF(B1082="null","null",Descargas!B1082)</f>
        <v>43964</v>
      </c>
      <c r="D1082" s="6" t="str">
        <f>Descargas!E1082</f>
        <v>https://resources.simonelectric.com/simon-ebook-vehiculo-electrico-0</v>
      </c>
      <c r="E1082" s="20" t="str">
        <f t="shared" si="1"/>
        <v>606@gmail.com</v>
      </c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</row>
    <row r="1083" ht="15.75" customHeight="1">
      <c r="A1083" s="18" t="str">
        <f>Descargas!A1083</f>
        <v>851@arquitecto.com</v>
      </c>
      <c r="B1083" s="19" t="str">
        <f>IFERROR(__xludf.DUMMYFUNCTION("IF(OR(regexmatch(A1083,"".*@simon.es$""),REGEXMATCH(A1083,"".*@simon.pt$""),REGEXMATCH(A1083,"".*@simonelectrica.com$""),REGEXMATCH(A1083,"".*@hiberus.com$""),REGEXMATCH(A1083,"".*@simonbrico.es$""),regexmatch(A1083,"".*@simonelectric.com$"")),""null"",A1"&amp;"083)"),"851@arquitecto.com")</f>
        <v>851@arquitecto.com</v>
      </c>
      <c r="C1083" s="5">
        <f>IF(B1083="null","null",Descargas!B1083)</f>
        <v>43964</v>
      </c>
      <c r="D1083" s="6" t="str">
        <f>Descargas!E1083</f>
        <v>https://resources.simonelectric.com/simon-ebook-vehiculo-electrico-ppc</v>
      </c>
      <c r="E1083" s="20" t="str">
        <f t="shared" si="1"/>
        <v>851@arquitecto.com</v>
      </c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</row>
    <row r="1084" ht="15.75" customHeight="1">
      <c r="A1084" s="18" t="str">
        <f>Descargas!A1084</f>
        <v>621@gmail.com</v>
      </c>
      <c r="B1084" s="19" t="str">
        <f>IFERROR(__xludf.DUMMYFUNCTION("IF(OR(regexmatch(A1084,"".*@simon.es$""),REGEXMATCH(A1084,"".*@simon.pt$""),REGEXMATCH(A1084,"".*@simonelectrica.com$""),REGEXMATCH(A1084,"".*@hiberus.com$""),REGEXMATCH(A1084,"".*@simonbrico.es$""),regexmatch(A1084,"".*@simonelectric.com$"")),""null"",A1"&amp;"084)"),"621@gmail.com")</f>
        <v>621@gmail.com</v>
      </c>
      <c r="C1084" s="5">
        <f>IF(B1084="null","null",Descargas!B1084)</f>
        <v>43964</v>
      </c>
      <c r="D1084" s="6" t="str">
        <f>Descargas!E1084</f>
        <v>https://resources.simonelectric.com/simon-ebook-vehiculo-electrico-ppc</v>
      </c>
      <c r="E1084" s="20" t="str">
        <f t="shared" si="1"/>
        <v>621@gmail.com</v>
      </c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</row>
    <row r="1085" ht="15.75" customHeight="1">
      <c r="A1085" s="18" t="str">
        <f>Descargas!A1085</f>
        <v>852@grupviu.com</v>
      </c>
      <c r="B1085" s="19" t="str">
        <f>IFERROR(__xludf.DUMMYFUNCTION("IF(OR(regexmatch(A1085,"".*@simon.es$""),REGEXMATCH(A1085,"".*@simon.pt$""),REGEXMATCH(A1085,"".*@simonelectrica.com$""),REGEXMATCH(A1085,"".*@hiberus.com$""),REGEXMATCH(A1085,"".*@simonbrico.es$""),regexmatch(A1085,"".*@simonelectric.com$"")),""null"",A1"&amp;"085)"),"852@grupviu.com")</f>
        <v>852@grupviu.com</v>
      </c>
      <c r="C1085" s="5">
        <f>IF(B1085="null","null",Descargas!B1085)</f>
        <v>43964</v>
      </c>
      <c r="D1085" s="6" t="str">
        <f>Descargas!E1085</f>
        <v>https://resources.simonelectric.com/simon-catalogo-vehiculo-electrico</v>
      </c>
      <c r="E1085" s="20" t="str">
        <f t="shared" si="1"/>
        <v>852@grupviu.com</v>
      </c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</row>
    <row r="1086" ht="15.75" customHeight="1">
      <c r="A1086" s="18" t="str">
        <f>Descargas!A1086</f>
        <v>853@gmail.com</v>
      </c>
      <c r="B1086" s="19" t="str">
        <f>IFERROR(__xludf.DUMMYFUNCTION("IF(OR(regexmatch(A1086,"".*@simon.es$""),REGEXMATCH(A1086,"".*@simon.pt$""),REGEXMATCH(A1086,"".*@simonelectrica.com$""),REGEXMATCH(A1086,"".*@hiberus.com$""),REGEXMATCH(A1086,"".*@simonbrico.es$""),regexmatch(A1086,"".*@simonelectric.com$"")),""null"",A1"&amp;"086)"),"853@gmail.com")</f>
        <v>853@gmail.com</v>
      </c>
      <c r="C1086" s="5">
        <f>IF(B1086="null","null",Descargas!B1086)</f>
        <v>43964</v>
      </c>
      <c r="D1086" s="6" t="str">
        <f>Descargas!E1086</f>
        <v>https://resources.simonelectric.com/simon-ebook-vehiculo-electrico-ppc</v>
      </c>
      <c r="E1086" s="20" t="str">
        <f t="shared" si="1"/>
        <v>853@gmail.com</v>
      </c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</row>
    <row r="1087" ht="15.75" customHeight="1">
      <c r="A1087" s="18" t="str">
        <f>Descargas!A1087</f>
        <v>854@msn.com</v>
      </c>
      <c r="B1087" s="19" t="str">
        <f>IFERROR(__xludf.DUMMYFUNCTION("IF(OR(regexmatch(A1087,"".*@simon.es$""),REGEXMATCH(A1087,"".*@simon.pt$""),REGEXMATCH(A1087,"".*@simonelectrica.com$""),REGEXMATCH(A1087,"".*@hiberus.com$""),REGEXMATCH(A1087,"".*@simonbrico.es$""),regexmatch(A1087,"".*@simonelectric.com$"")),""null"",A1"&amp;"087)"),"854@msn.com")</f>
        <v>854@msn.com</v>
      </c>
      <c r="C1087" s="5">
        <f>IF(B1087="null","null",Descargas!B1087)</f>
        <v>43964</v>
      </c>
      <c r="D1087" s="6" t="str">
        <f>Descargas!E1087</f>
        <v>https://resources.simonelectric.com/simon-ebook-vehiculo-electrico-ppc</v>
      </c>
      <c r="E1087" s="20" t="str">
        <f t="shared" si="1"/>
        <v>854@msn.com</v>
      </c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</row>
    <row r="1088" ht="15.75" customHeight="1">
      <c r="A1088" s="18" t="str">
        <f>Descargas!A1088</f>
        <v>334@mixmail.com</v>
      </c>
      <c r="B1088" s="19" t="str">
        <f>IFERROR(__xludf.DUMMYFUNCTION("IF(OR(regexmatch(A1088,"".*@simon.es$""),REGEXMATCH(A1088,"".*@simon.pt$""),REGEXMATCH(A1088,"".*@simonelectrica.com$""),REGEXMATCH(A1088,"".*@hiberus.com$""),REGEXMATCH(A1088,"".*@simonbrico.es$""),regexmatch(A1088,"".*@simonelectric.com$"")),""null"",A1"&amp;"088)"),"334@mixmail.com")</f>
        <v>334@mixmail.com</v>
      </c>
      <c r="C1088" s="5">
        <f>IF(B1088="null","null",Descargas!B1088)</f>
        <v>43964</v>
      </c>
      <c r="D1088" s="6" t="str">
        <f>Descargas!E1088</f>
        <v>https://resources.simonelectric.com/simon-ebook-vehiculo-electrico-ppc</v>
      </c>
      <c r="E1088" s="20" t="str">
        <f t="shared" si="1"/>
        <v>334@mixmail.com</v>
      </c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</row>
    <row r="1089" ht="15.75" customHeight="1">
      <c r="A1089" s="18" t="str">
        <f>Descargas!A1089</f>
        <v>855@msn.com</v>
      </c>
      <c r="B1089" s="19" t="str">
        <f>IFERROR(__xludf.DUMMYFUNCTION("IF(OR(regexmatch(A1089,"".*@simon.es$""),REGEXMATCH(A1089,"".*@simon.pt$""),REGEXMATCH(A1089,"".*@simonelectrica.com$""),REGEXMATCH(A1089,"".*@hiberus.com$""),REGEXMATCH(A1089,"".*@simonbrico.es$""),regexmatch(A1089,"".*@simonelectric.com$"")),""null"",A1"&amp;"089)"),"855@msn.com")</f>
        <v>855@msn.com</v>
      </c>
      <c r="C1089" s="5">
        <f>IF(B1089="null","null",Descargas!B1089)</f>
        <v>43964</v>
      </c>
      <c r="D1089" s="6" t="str">
        <f>Descargas!E1089</f>
        <v>https://resources.simonelectric.com/simon-ebook-vehiculo-electrico</v>
      </c>
      <c r="E1089" s="20" t="str">
        <f t="shared" si="1"/>
        <v>855@msn.com</v>
      </c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</row>
    <row r="1090" ht="15.75" customHeight="1">
      <c r="A1090" s="18" t="str">
        <f>Descargas!A1090</f>
        <v>856@gmail.com</v>
      </c>
      <c r="B1090" s="19" t="str">
        <f>IFERROR(__xludf.DUMMYFUNCTION("IF(OR(regexmatch(A1090,"".*@simon.es$""),REGEXMATCH(A1090,"".*@simon.pt$""),REGEXMATCH(A1090,"".*@simonelectrica.com$""),REGEXMATCH(A1090,"".*@hiberus.com$""),REGEXMATCH(A1090,"".*@simonbrico.es$""),regexmatch(A1090,"".*@simonelectric.com$"")),""null"",A1"&amp;"090)"),"856@gmail.com")</f>
        <v>856@gmail.com</v>
      </c>
      <c r="C1090" s="5">
        <f>IF(B1090="null","null",Descargas!B1090)</f>
        <v>43963</v>
      </c>
      <c r="D1090" s="6" t="str">
        <f>Descargas!E1090</f>
        <v>https://resources.simonelectric.com/simon-ebook-vehiculo-electrico-ppc</v>
      </c>
      <c r="E1090" s="20" t="str">
        <f t="shared" si="1"/>
        <v>856@gmail.com</v>
      </c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</row>
    <row r="1091" ht="15.75" customHeight="1">
      <c r="A1091" s="18" t="str">
        <f>Descargas!A1091</f>
        <v>857@gmail.com</v>
      </c>
      <c r="B1091" s="19" t="str">
        <f>IFERROR(__xludf.DUMMYFUNCTION("IF(OR(regexmatch(A1091,"".*@simon.es$""),REGEXMATCH(A1091,"".*@simon.pt$""),REGEXMATCH(A1091,"".*@simonelectrica.com$""),REGEXMATCH(A1091,"".*@hiberus.com$""),REGEXMATCH(A1091,"".*@simonbrico.es$""),regexmatch(A1091,"".*@simonelectric.com$"")),""null"",A1"&amp;"091)"),"857@gmail.com")</f>
        <v>857@gmail.com</v>
      </c>
      <c r="C1091" s="5">
        <f>IF(B1091="null","null",Descargas!B1091)</f>
        <v>43963</v>
      </c>
      <c r="D1091" s="6" t="str">
        <f>Descargas!E1091</f>
        <v>https://resources.simonelectric.com/simon-catalogo-vehiculo-electrico</v>
      </c>
      <c r="E1091" s="20" t="str">
        <f t="shared" si="1"/>
        <v>857@gmail.com</v>
      </c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</row>
    <row r="1092" ht="15.75" customHeight="1">
      <c r="A1092" s="18" t="str">
        <f>Descargas!A1092</f>
        <v>858@gmail.com</v>
      </c>
      <c r="B1092" s="19" t="str">
        <f>IFERROR(__xludf.DUMMYFUNCTION("IF(OR(regexmatch(A1092,"".*@simon.es$""),REGEXMATCH(A1092,"".*@simon.pt$""),REGEXMATCH(A1092,"".*@simonelectrica.com$""),REGEXMATCH(A1092,"".*@hiberus.com$""),REGEXMATCH(A1092,"".*@simonbrico.es$""),regexmatch(A1092,"".*@simonelectric.com$"")),""null"",A1"&amp;"092)"),"858@gmail.com")</f>
        <v>858@gmail.com</v>
      </c>
      <c r="C1092" s="5">
        <f>IF(B1092="null","null",Descargas!B1092)</f>
        <v>43963</v>
      </c>
      <c r="D1092" s="6" t="str">
        <f>Descargas!E1092</f>
        <v>https://resources.simonelectric.com/simon-ebook-vehiculo-electrico</v>
      </c>
      <c r="E1092" s="20" t="str">
        <f t="shared" si="1"/>
        <v>858@gmail.com</v>
      </c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</row>
    <row r="1093" ht="15.75" customHeight="1">
      <c r="A1093" s="18" t="str">
        <f>Descargas!A1093</f>
        <v>859@hotmail.com</v>
      </c>
      <c r="B1093" s="19" t="str">
        <f>IFERROR(__xludf.DUMMYFUNCTION("IF(OR(regexmatch(A1093,"".*@simon.es$""),REGEXMATCH(A1093,"".*@simon.pt$""),REGEXMATCH(A1093,"".*@simonelectrica.com$""),REGEXMATCH(A1093,"".*@hiberus.com$""),REGEXMATCH(A1093,"".*@simonbrico.es$""),regexmatch(A1093,"".*@simonelectric.com$"")),""null"",A1"&amp;"093)"),"859@hotmail.com")</f>
        <v>859@hotmail.com</v>
      </c>
      <c r="C1093" s="5">
        <f>IF(B1093="null","null",Descargas!B1093)</f>
        <v>43963</v>
      </c>
      <c r="D1093" s="6" t="str">
        <f>Descargas!E1093</f>
        <v>https://resources.simonelectric.com/simon-catalogo-vehiculo-electrico</v>
      </c>
      <c r="E1093" s="20" t="str">
        <f t="shared" si="1"/>
        <v>859@hotmail.com</v>
      </c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</row>
    <row r="1094" ht="15.75" customHeight="1">
      <c r="A1094" s="18" t="str">
        <f>Descargas!A1094</f>
        <v>860@gmail.com</v>
      </c>
      <c r="B1094" s="19" t="str">
        <f>IFERROR(__xludf.DUMMYFUNCTION("IF(OR(regexmatch(A1094,"".*@simon.es$""),REGEXMATCH(A1094,"".*@simon.pt$""),REGEXMATCH(A1094,"".*@simonelectrica.com$""),REGEXMATCH(A1094,"".*@hiberus.com$""),REGEXMATCH(A1094,"".*@simonbrico.es$""),regexmatch(A1094,"".*@simonelectric.com$"")),""null"",A1"&amp;"094)"),"860@gmail.com")</f>
        <v>860@gmail.com</v>
      </c>
      <c r="C1094" s="5">
        <f>IF(B1094="null","null",Descargas!B1094)</f>
        <v>43963</v>
      </c>
      <c r="D1094" s="6" t="str">
        <f>Descargas!E1094</f>
        <v>https://resources.simonelectric.com/simon-ebook-vehiculo-electrico</v>
      </c>
      <c r="E1094" s="20" t="str">
        <f t="shared" si="1"/>
        <v>860@gmail.com</v>
      </c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</row>
    <row r="1095" ht="15.75" customHeight="1">
      <c r="A1095" s="18" t="str">
        <f>Descargas!A1095</f>
        <v>861@outlook.com</v>
      </c>
      <c r="B1095" s="19" t="str">
        <f>IFERROR(__xludf.DUMMYFUNCTION("IF(OR(regexmatch(A1095,"".*@simon.es$""),REGEXMATCH(A1095,"".*@simon.pt$""),REGEXMATCH(A1095,"".*@simonelectrica.com$""),REGEXMATCH(A1095,"".*@hiberus.com$""),REGEXMATCH(A1095,"".*@simonbrico.es$""),regexmatch(A1095,"".*@simonelectric.com$"")),""null"",A1"&amp;"095)"),"861@outlook.com")</f>
        <v>861@outlook.com</v>
      </c>
      <c r="C1095" s="5">
        <f>IF(B1095="null","null",Descargas!B1095)</f>
        <v>43963</v>
      </c>
      <c r="D1095" s="6" t="str">
        <f>Descargas!E1095</f>
        <v>https://resources.simonelectric.com/simon-catalogo-vehiculo-electrico</v>
      </c>
      <c r="E1095" s="20" t="str">
        <f t="shared" si="1"/>
        <v>861@outlook.com</v>
      </c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</row>
    <row r="1096" ht="15.75" customHeight="1">
      <c r="A1096" s="18" t="str">
        <f>Descargas!A1096</f>
        <v>862@fpcm.es</v>
      </c>
      <c r="B1096" s="19" t="str">
        <f>IFERROR(__xludf.DUMMYFUNCTION("IF(OR(regexmatch(A1096,"".*@simon.es$""),REGEXMATCH(A1096,"".*@simon.pt$""),REGEXMATCH(A1096,"".*@simonelectrica.com$""),REGEXMATCH(A1096,"".*@hiberus.com$""),REGEXMATCH(A1096,"".*@simonbrico.es$""),regexmatch(A1096,"".*@simonelectric.com$"")),""null"",A1"&amp;"096)"),"862@fpcm.es")</f>
        <v>862@fpcm.es</v>
      </c>
      <c r="C1096" s="5">
        <f>IF(B1096="null","null",Descargas!B1096)</f>
        <v>43963</v>
      </c>
      <c r="D1096" s="6" t="str">
        <f>Descargas!E1096</f>
        <v>https://resources.simonelectric.com/simon-catalogo-vehiculo-electrico</v>
      </c>
      <c r="E1096" s="20" t="str">
        <f t="shared" si="1"/>
        <v>862@fpcm.es</v>
      </c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</row>
    <row r="1097" ht="15.75" customHeight="1">
      <c r="A1097" s="18" t="str">
        <f>Descargas!A1097</f>
        <v>863@outlook.com</v>
      </c>
      <c r="B1097" s="19" t="str">
        <f>IFERROR(__xludf.DUMMYFUNCTION("IF(OR(regexmatch(A1097,"".*@simon.es$""),REGEXMATCH(A1097,"".*@simon.pt$""),REGEXMATCH(A1097,"".*@simonelectrica.com$""),REGEXMATCH(A1097,"".*@hiberus.com$""),REGEXMATCH(A1097,"".*@simonbrico.es$""),regexmatch(A1097,"".*@simonelectric.com$"")),""null"",A1"&amp;"097)"),"863@outlook.com")</f>
        <v>863@outlook.com</v>
      </c>
      <c r="C1097" s="5">
        <f>IF(B1097="null","null",Descargas!B1097)</f>
        <v>43963</v>
      </c>
      <c r="D1097" s="6" t="str">
        <f>Descargas!E1097</f>
        <v>https://resources.simonelectric.com/simon-ebook-vehiculo-electrico-ppc</v>
      </c>
      <c r="E1097" s="20" t="str">
        <f t="shared" si="1"/>
        <v>863@outlook.com</v>
      </c>
      <c r="F1097" s="21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</row>
    <row r="1098" ht="15.75" customHeight="1">
      <c r="A1098" s="18" t="str">
        <f>Descargas!A1098</f>
        <v>864@es.uazuay.edu.ec</v>
      </c>
      <c r="B1098" s="19" t="str">
        <f>IFERROR(__xludf.DUMMYFUNCTION("IF(OR(regexmatch(A1098,"".*@simon.es$""),REGEXMATCH(A1098,"".*@simon.pt$""),REGEXMATCH(A1098,"".*@simonelectrica.com$""),REGEXMATCH(A1098,"".*@hiberus.com$""),REGEXMATCH(A1098,"".*@simonbrico.es$""),regexmatch(A1098,"".*@simonelectric.com$"")),""null"",A1"&amp;"098)"),"864@es.uazuay.edu.ec")</f>
        <v>864@es.uazuay.edu.ec</v>
      </c>
      <c r="C1098" s="5">
        <f>IF(B1098="null","null",Descargas!B1098)</f>
        <v>43963</v>
      </c>
      <c r="D1098" s="6" t="str">
        <f>Descargas!E1098</f>
        <v>https://resources.simonelectric.com/simon-ebook-vehiculo-electrico</v>
      </c>
      <c r="E1098" s="20" t="str">
        <f t="shared" si="1"/>
        <v>864@es.uazuay.edu.ec</v>
      </c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</row>
    <row r="1099" ht="15.75" customHeight="1">
      <c r="A1099" s="18" t="str">
        <f>Descargas!A1099</f>
        <v>865@asmoaingenieria.com</v>
      </c>
      <c r="B1099" s="19" t="str">
        <f>IFERROR(__xludf.DUMMYFUNCTION("IF(OR(regexmatch(A1099,"".*@simon.es$""),REGEXMATCH(A1099,"".*@simon.pt$""),REGEXMATCH(A1099,"".*@simonelectrica.com$""),REGEXMATCH(A1099,"".*@hiberus.com$""),REGEXMATCH(A1099,"".*@simonbrico.es$""),regexmatch(A1099,"".*@simonelectric.com$"")),""null"",A1"&amp;"099)"),"865@asmoaingenieria.com")</f>
        <v>865@asmoaingenieria.com</v>
      </c>
      <c r="C1099" s="5">
        <f>IF(B1099="null","null",Descargas!B1099)</f>
        <v>43962</v>
      </c>
      <c r="D1099" s="6" t="str">
        <f>Descargas!E1099</f>
        <v>https://resources.simonelectric.com/simon-catalogo-vehiculo-electrico</v>
      </c>
      <c r="E1099" s="20" t="str">
        <f t="shared" si="1"/>
        <v>865@asmoaingenieria.com</v>
      </c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</row>
    <row r="1100" ht="15.75" customHeight="1">
      <c r="A1100" s="18" t="str">
        <f>Descargas!A1100</f>
        <v>866@typsa.es</v>
      </c>
      <c r="B1100" s="19" t="str">
        <f>IFERROR(__xludf.DUMMYFUNCTION("IF(OR(regexmatch(A1100,"".*@simon.es$""),REGEXMATCH(A1100,"".*@simon.pt$""),REGEXMATCH(A1100,"".*@simonelectrica.com$""),REGEXMATCH(A1100,"".*@hiberus.com$""),REGEXMATCH(A1100,"".*@simonbrico.es$""),regexmatch(A1100,"".*@simonelectric.com$"")),""null"",A1"&amp;"100)"),"866@typsa.es")</f>
        <v>866@typsa.es</v>
      </c>
      <c r="C1100" s="5">
        <f>IF(B1100="null","null",Descargas!B1100)</f>
        <v>43962</v>
      </c>
      <c r="D1100" s="6" t="str">
        <f>Descargas!E1100</f>
        <v>https://resources.simonelectric.com/simon-ebook-vehiculo-electrico</v>
      </c>
      <c r="E1100" s="20" t="str">
        <f t="shared" si="1"/>
        <v>866@typsa.es</v>
      </c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</row>
    <row r="1101" ht="15.75" customHeight="1">
      <c r="A1101" s="18" t="str">
        <f>Descargas!A1101</f>
        <v>867@proyectosjamaras.es</v>
      </c>
      <c r="B1101" s="19" t="str">
        <f>IFERROR(__xludf.DUMMYFUNCTION("IF(OR(regexmatch(A1101,"".*@simon.es$""),REGEXMATCH(A1101,"".*@simon.pt$""),REGEXMATCH(A1101,"".*@simonelectrica.com$""),REGEXMATCH(A1101,"".*@hiberus.com$""),REGEXMATCH(A1101,"".*@simonbrico.es$""),regexmatch(A1101,"".*@simonelectric.com$"")),""null"",A1"&amp;"101)"),"867@proyectosjamaras.es")</f>
        <v>867@proyectosjamaras.es</v>
      </c>
      <c r="C1101" s="5">
        <f>IF(B1101="null","null",Descargas!B1101)</f>
        <v>43962</v>
      </c>
      <c r="D1101" s="6" t="str">
        <f>Descargas!E1101</f>
        <v>https://resources.simonelectric.com/simon-catalogo-vehiculo-electrico</v>
      </c>
      <c r="E1101" s="20" t="str">
        <f t="shared" si="1"/>
        <v>867@proyectosjamaras.es</v>
      </c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</row>
    <row r="1102" ht="15.75" customHeight="1">
      <c r="A1102" s="18" t="str">
        <f>Descargas!A1102</f>
        <v>868@gmail.com</v>
      </c>
      <c r="B1102" s="19" t="str">
        <f>IFERROR(__xludf.DUMMYFUNCTION("IF(OR(regexmatch(A1102,"".*@simon.es$""),REGEXMATCH(A1102,"".*@simon.pt$""),REGEXMATCH(A1102,"".*@simonelectrica.com$""),REGEXMATCH(A1102,"".*@hiberus.com$""),REGEXMATCH(A1102,"".*@simonbrico.es$""),regexmatch(A1102,"".*@simonelectric.com$"")),""null"",A1"&amp;"102)"),"868@gmail.com")</f>
        <v>868@gmail.com</v>
      </c>
      <c r="C1102" s="5">
        <f>IF(B1102="null","null",Descargas!B1102)</f>
        <v>43962</v>
      </c>
      <c r="D1102" s="6" t="str">
        <f>Descargas!E1102</f>
        <v>https://resources.simonelectric.com/simon-material-formativo-vehiculo-electrico</v>
      </c>
      <c r="E1102" s="20" t="str">
        <f t="shared" si="1"/>
        <v>868@gmail.com</v>
      </c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</row>
    <row r="1103" ht="15.75" customHeight="1">
      <c r="A1103" s="18" t="str">
        <f>Descargas!A1103</f>
        <v>869@yahoo.es</v>
      </c>
      <c r="B1103" s="19" t="str">
        <f>IFERROR(__xludf.DUMMYFUNCTION("IF(OR(regexmatch(A1103,"".*@simon.es$""),REGEXMATCH(A1103,"".*@simon.pt$""),REGEXMATCH(A1103,"".*@simonelectrica.com$""),REGEXMATCH(A1103,"".*@hiberus.com$""),REGEXMATCH(A1103,"".*@simonbrico.es$""),regexmatch(A1103,"".*@simonelectric.com$"")),""null"",A1"&amp;"103)"),"869@yahoo.es")</f>
        <v>869@yahoo.es</v>
      </c>
      <c r="C1103" s="5">
        <f>IF(B1103="null","null",Descargas!B1103)</f>
        <v>43962</v>
      </c>
      <c r="D1103" s="6" t="str">
        <f>Descargas!E1103</f>
        <v>https://resources.simonelectric.com/simon-ebook-vehiculo-electrico</v>
      </c>
      <c r="E1103" s="20" t="str">
        <f t="shared" si="1"/>
        <v>869@yahoo.es</v>
      </c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</row>
    <row r="1104" ht="15.75" customHeight="1">
      <c r="A1104" s="18" t="str">
        <f>Descargas!A1104</f>
        <v>870@gmail.com</v>
      </c>
      <c r="B1104" s="19" t="str">
        <f>IFERROR(__xludf.DUMMYFUNCTION("IF(OR(regexmatch(A1104,"".*@simon.es$""),REGEXMATCH(A1104,"".*@simon.pt$""),REGEXMATCH(A1104,"".*@simonelectrica.com$""),REGEXMATCH(A1104,"".*@hiberus.com$""),REGEXMATCH(A1104,"".*@simonbrico.es$""),regexmatch(A1104,"".*@simonelectric.com$"")),""null"",A1"&amp;"104)"),"870@gmail.com")</f>
        <v>870@gmail.com</v>
      </c>
      <c r="C1104" s="5">
        <f>IF(B1104="null","null",Descargas!B1104)</f>
        <v>43962</v>
      </c>
      <c r="D1104" s="6" t="str">
        <f>Descargas!E1104</f>
        <v>https://resources.simonelectric.com/simon-catalogo-vehiculo-electrico</v>
      </c>
      <c r="E1104" s="20" t="str">
        <f t="shared" si="1"/>
        <v>870@gmail.com</v>
      </c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</row>
    <row r="1105" ht="15.75" customHeight="1">
      <c r="A1105" s="18" t="str">
        <f>Descargas!A1105</f>
        <v>559@sygsa.com</v>
      </c>
      <c r="B1105" s="19" t="str">
        <f>IFERROR(__xludf.DUMMYFUNCTION("IF(OR(regexmatch(A1105,"".*@simon.es$""),REGEXMATCH(A1105,"".*@simon.pt$""),REGEXMATCH(A1105,"".*@simonelectrica.com$""),REGEXMATCH(A1105,"".*@hiberus.com$""),REGEXMATCH(A1105,"".*@simonbrico.es$""),regexmatch(A1105,"".*@simonelectric.com$"")),""null"",A1"&amp;"105)"),"559@sygsa.com")</f>
        <v>559@sygsa.com</v>
      </c>
      <c r="C1105" s="5">
        <f>IF(B1105="null","null",Descargas!B1105)</f>
        <v>43962</v>
      </c>
      <c r="D1105" s="6" t="str">
        <f>Descargas!E1105</f>
        <v>https://resources.simonelectric.com/simon-ebook-vehiculo-electrico</v>
      </c>
      <c r="E1105" s="20" t="str">
        <f t="shared" si="1"/>
        <v>559@sygsa.com</v>
      </c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</row>
    <row r="1106" ht="15.75" customHeight="1">
      <c r="A1106" s="18" t="str">
        <f>Descargas!A1106</f>
        <v>871@cefiner.com</v>
      </c>
      <c r="B1106" s="19" t="str">
        <f>IFERROR(__xludf.DUMMYFUNCTION("IF(OR(regexmatch(A1106,"".*@simon.es$""),REGEXMATCH(A1106,"".*@simon.pt$""),REGEXMATCH(A1106,"".*@simonelectrica.com$""),REGEXMATCH(A1106,"".*@hiberus.com$""),REGEXMATCH(A1106,"".*@simonbrico.es$""),regexmatch(A1106,"".*@simonelectric.com$"")),""null"",A1"&amp;"106)"),"871@cefiner.com")</f>
        <v>871@cefiner.com</v>
      </c>
      <c r="C1106" s="5">
        <f>IF(B1106="null","null",Descargas!B1106)</f>
        <v>43962</v>
      </c>
      <c r="D1106" s="6" t="str">
        <f>Descargas!E1106</f>
        <v>https://resources.simonelectric.com/simon-ebook-vehiculo-electrico</v>
      </c>
      <c r="E1106" s="20" t="str">
        <f t="shared" si="1"/>
        <v>871@cefiner.com</v>
      </c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</row>
    <row r="1107" ht="15.75" customHeight="1">
      <c r="A1107" s="18" t="str">
        <f>Descargas!A1107</f>
        <v>845@hotmail.com</v>
      </c>
      <c r="B1107" s="19" t="str">
        <f>IFERROR(__xludf.DUMMYFUNCTION("IF(OR(regexmatch(A1107,"".*@simon.es$""),REGEXMATCH(A1107,"".*@simon.pt$""),REGEXMATCH(A1107,"".*@simonelectrica.com$""),REGEXMATCH(A1107,"".*@hiberus.com$""),REGEXMATCH(A1107,"".*@simonbrico.es$""),regexmatch(A1107,"".*@simonelectric.com$"")),""null"",A1"&amp;"107)"),"845@hotmail.com")</f>
        <v>845@hotmail.com</v>
      </c>
      <c r="C1107" s="5">
        <f>IF(B1107="null","null",Descargas!B1107)</f>
        <v>43962</v>
      </c>
      <c r="D1107" s="6" t="str">
        <f>Descargas!E1107</f>
        <v>https://resources.simonelectric.com/simon-ebook-vehiculo-electrico</v>
      </c>
      <c r="E1107" s="20" t="str">
        <f t="shared" si="1"/>
        <v>845@hotmail.com</v>
      </c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</row>
    <row r="1108" ht="15.75" customHeight="1">
      <c r="A1108" s="18" t="str">
        <f>Descargas!A1108</f>
        <v>872@gmail.com</v>
      </c>
      <c r="B1108" s="19" t="str">
        <f>IFERROR(__xludf.DUMMYFUNCTION("IF(OR(regexmatch(A1108,"".*@simon.es$""),REGEXMATCH(A1108,"".*@simon.pt$""),REGEXMATCH(A1108,"".*@simonelectrica.com$""),REGEXMATCH(A1108,"".*@hiberus.com$""),REGEXMATCH(A1108,"".*@simonbrico.es$""),regexmatch(A1108,"".*@simonelectric.com$"")),""null"",A1"&amp;"108)"),"872@gmail.com")</f>
        <v>872@gmail.com</v>
      </c>
      <c r="C1108" s="5">
        <f>IF(B1108="null","null",Descargas!B1108)</f>
        <v>43962</v>
      </c>
      <c r="D1108" s="6" t="str">
        <f>Descargas!E1108</f>
        <v>https://resources.simonelectric.com/simon-ebook-vehiculo-electrico</v>
      </c>
      <c r="E1108" s="20" t="str">
        <f t="shared" si="1"/>
        <v>872@gmail.com</v>
      </c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</row>
    <row r="1109" ht="15.75" customHeight="1">
      <c r="A1109" s="18" t="str">
        <f>Descargas!A1109</f>
        <v>873@eutikes.com</v>
      </c>
      <c r="B1109" s="19" t="str">
        <f>IFERROR(__xludf.DUMMYFUNCTION("IF(OR(regexmatch(A1109,"".*@simon.es$""),REGEXMATCH(A1109,"".*@simon.pt$""),REGEXMATCH(A1109,"".*@simonelectrica.com$""),REGEXMATCH(A1109,"".*@hiberus.com$""),REGEXMATCH(A1109,"".*@simonbrico.es$""),regexmatch(A1109,"".*@simonelectric.com$"")),""null"",A1"&amp;"109)"),"873@eutikes.com")</f>
        <v>873@eutikes.com</v>
      </c>
      <c r="C1109" s="5">
        <f>IF(B1109="null","null",Descargas!B1109)</f>
        <v>43962</v>
      </c>
      <c r="D1109" s="6" t="str">
        <f>Descargas!E1109</f>
        <v>https://resources.simonelectric.com/simon-ebook-vehiculo-electrico</v>
      </c>
      <c r="E1109" s="20" t="str">
        <f t="shared" si="1"/>
        <v>873@eutikes.com</v>
      </c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</row>
    <row r="1110" ht="15.75" customHeight="1">
      <c r="A1110" s="18" t="str">
        <f>Descargas!A1110</f>
        <v>874@coac.net</v>
      </c>
      <c r="B1110" s="19" t="str">
        <f>IFERROR(__xludf.DUMMYFUNCTION("IF(OR(regexmatch(A1110,"".*@simon.es$""),REGEXMATCH(A1110,"".*@simon.pt$""),REGEXMATCH(A1110,"".*@simonelectrica.com$""),REGEXMATCH(A1110,"".*@hiberus.com$""),REGEXMATCH(A1110,"".*@simonbrico.es$""),regexmatch(A1110,"".*@simonelectric.com$"")),""null"",A1"&amp;"110)"),"874@coac.net")</f>
        <v>874@coac.net</v>
      </c>
      <c r="C1110" s="5">
        <f>IF(B1110="null","null",Descargas!B1110)</f>
        <v>43962</v>
      </c>
      <c r="D1110" s="6" t="str">
        <f>Descargas!E1110</f>
        <v>https://resources.simonelectric.com/simon-ebook-vehiculo-electrico</v>
      </c>
      <c r="E1110" s="20" t="str">
        <f t="shared" si="1"/>
        <v>874@coac.net</v>
      </c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</row>
    <row r="1111" ht="15.75" customHeight="1">
      <c r="A1111" s="18" t="str">
        <f>Descargas!A1111</f>
        <v>875@orange.es</v>
      </c>
      <c r="B1111" s="19" t="str">
        <f>IFERROR(__xludf.DUMMYFUNCTION("IF(OR(regexmatch(A1111,"".*@simon.es$""),REGEXMATCH(A1111,"".*@simon.pt$""),REGEXMATCH(A1111,"".*@simonelectrica.com$""),REGEXMATCH(A1111,"".*@hiberus.com$""),REGEXMATCH(A1111,"".*@simonbrico.es$""),regexmatch(A1111,"".*@simonelectric.com$"")),""null"",A1"&amp;"111)"),"875@orange.es")</f>
        <v>875@orange.es</v>
      </c>
      <c r="C1111" s="5">
        <f>IF(B1111="null","null",Descargas!B1111)</f>
        <v>43962</v>
      </c>
      <c r="D1111" s="6" t="str">
        <f>Descargas!E1111</f>
        <v>https://resources.simonelectric.com/simon-ebook-vehiculo-electrico</v>
      </c>
      <c r="E1111" s="20" t="str">
        <f t="shared" si="1"/>
        <v>875@orange.es</v>
      </c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</row>
    <row r="1112" ht="15.75" customHeight="1">
      <c r="A1112" s="18" t="str">
        <f>Descargas!A1112</f>
        <v>876@arquitectonica.cat</v>
      </c>
      <c r="B1112" s="19" t="str">
        <f>IFERROR(__xludf.DUMMYFUNCTION("IF(OR(regexmatch(A1112,"".*@simon.es$""),REGEXMATCH(A1112,"".*@simon.pt$""),REGEXMATCH(A1112,"".*@simonelectrica.com$""),REGEXMATCH(A1112,"".*@hiberus.com$""),REGEXMATCH(A1112,"".*@simonbrico.es$""),regexmatch(A1112,"".*@simonelectric.com$"")),""null"",A1"&amp;"112)"),"876@arquitectonica.cat")</f>
        <v>876@arquitectonica.cat</v>
      </c>
      <c r="C1112" s="5">
        <f>IF(B1112="null","null",Descargas!B1112)</f>
        <v>43962</v>
      </c>
      <c r="D1112" s="6" t="str">
        <f>Descargas!E1112</f>
        <v>https://resources.simonelectric.com/simon-ebook-vehiculo-electrico</v>
      </c>
      <c r="E1112" s="20" t="str">
        <f t="shared" si="1"/>
        <v>876@arquitectonica.cat</v>
      </c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</row>
    <row r="1113" ht="15.75" customHeight="1">
      <c r="A1113" s="18" t="str">
        <f>Descargas!A1113</f>
        <v>877@gmail.com</v>
      </c>
      <c r="B1113" s="19" t="str">
        <f>IFERROR(__xludf.DUMMYFUNCTION("IF(OR(regexmatch(A1113,"".*@simon.es$""),REGEXMATCH(A1113,"".*@simon.pt$""),REGEXMATCH(A1113,"".*@simonelectrica.com$""),REGEXMATCH(A1113,"".*@hiberus.com$""),REGEXMATCH(A1113,"".*@simonbrico.es$""),regexmatch(A1113,"".*@simonelectric.com$"")),""null"",A1"&amp;"113)"),"877@gmail.com")</f>
        <v>877@gmail.com</v>
      </c>
      <c r="C1113" s="5">
        <f>IF(B1113="null","null",Descargas!B1113)</f>
        <v>43962</v>
      </c>
      <c r="D1113" s="6" t="str">
        <f>Descargas!E1113</f>
        <v>https://resources.simonelectric.com/simon-ebook-vehiculo-electrico</v>
      </c>
      <c r="E1113" s="20" t="str">
        <f t="shared" si="1"/>
        <v>877@gmail.com</v>
      </c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</row>
    <row r="1114" ht="15.75" customHeight="1">
      <c r="A1114" s="18" t="str">
        <f>Descargas!A1114</f>
        <v>878@masteringenieria.com</v>
      </c>
      <c r="B1114" s="19" t="str">
        <f>IFERROR(__xludf.DUMMYFUNCTION("IF(OR(regexmatch(A1114,"".*@simon.es$""),REGEXMATCH(A1114,"".*@simon.pt$""),REGEXMATCH(A1114,"".*@simonelectrica.com$""),REGEXMATCH(A1114,"".*@hiberus.com$""),REGEXMATCH(A1114,"".*@simonbrico.es$""),regexmatch(A1114,"".*@simonelectric.com$"")),""null"",A1"&amp;"114)"),"878@masteringenieria.com")</f>
        <v>878@masteringenieria.com</v>
      </c>
      <c r="C1114" s="5">
        <f>IF(B1114="null","null",Descargas!B1114)</f>
        <v>43962</v>
      </c>
      <c r="D1114" s="6" t="str">
        <f>Descargas!E1114</f>
        <v>https://resources.simonelectric.com/simon-material-formativo-vehiculo-electrico</v>
      </c>
      <c r="E1114" s="20" t="str">
        <f t="shared" si="1"/>
        <v>878@masteringenieria.com</v>
      </c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</row>
    <row r="1115" ht="15.75" customHeight="1">
      <c r="A1115" s="18" t="str">
        <f>Descargas!A1115</f>
        <v>166@napols.net</v>
      </c>
      <c r="B1115" s="19" t="str">
        <f>IFERROR(__xludf.DUMMYFUNCTION("IF(OR(regexmatch(A1115,"".*@simon.es$""),REGEXMATCH(A1115,"".*@simon.pt$""),REGEXMATCH(A1115,"".*@simonelectrica.com$""),REGEXMATCH(A1115,"".*@hiberus.com$""),REGEXMATCH(A1115,"".*@simonbrico.es$""),regexmatch(A1115,"".*@simonelectric.com$"")),""null"",A1"&amp;"115)"),"166@napols.net")</f>
        <v>166@napols.net</v>
      </c>
      <c r="C1115" s="5">
        <f>IF(B1115="null","null",Descargas!B1115)</f>
        <v>43962</v>
      </c>
      <c r="D1115" s="6" t="str">
        <f>Descargas!E1115</f>
        <v>https://resources.simonelectric.com/simon-material-formativo-vehiculo-electrico</v>
      </c>
      <c r="E1115" s="20" t="str">
        <f t="shared" si="1"/>
        <v>166@napols.net</v>
      </c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</row>
    <row r="1116" ht="15.75" customHeight="1">
      <c r="A1116" s="18" t="str">
        <f>Descargas!A1116</f>
        <v>879@sicoris.com</v>
      </c>
      <c r="B1116" s="19" t="str">
        <f>IFERROR(__xludf.DUMMYFUNCTION("IF(OR(regexmatch(A1116,"".*@simon.es$""),REGEXMATCH(A1116,"".*@simon.pt$""),REGEXMATCH(A1116,"".*@simonelectrica.com$""),REGEXMATCH(A1116,"".*@hiberus.com$""),REGEXMATCH(A1116,"".*@simonbrico.es$""),regexmatch(A1116,"".*@simonelectric.com$"")),""null"",A1"&amp;"116)"),"879@sicoris.com")</f>
        <v>879@sicoris.com</v>
      </c>
      <c r="C1116" s="5">
        <f>IF(B1116="null","null",Descargas!B1116)</f>
        <v>43962</v>
      </c>
      <c r="D1116" s="6" t="str">
        <f>Descargas!E1116</f>
        <v>https://resources.simonelectric.com/simon-ebook-vehiculo-electrico</v>
      </c>
      <c r="E1116" s="20" t="str">
        <f t="shared" si="1"/>
        <v>879@sicoris.com</v>
      </c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</row>
    <row r="1117" ht="15.75" customHeight="1">
      <c r="A1117" s="18" t="str">
        <f>Descargas!A1117</f>
        <v>880@miquelnieto.com</v>
      </c>
      <c r="B1117" s="19" t="str">
        <f>IFERROR(__xludf.DUMMYFUNCTION("IF(OR(regexmatch(A1117,"".*@simon.es$""),REGEXMATCH(A1117,"".*@simon.pt$""),REGEXMATCH(A1117,"".*@simonelectrica.com$""),REGEXMATCH(A1117,"".*@hiberus.com$""),REGEXMATCH(A1117,"".*@simonbrico.es$""),regexmatch(A1117,"".*@simonelectric.com$"")),""null"",A1"&amp;"117)"),"880@miquelnieto.com")</f>
        <v>880@miquelnieto.com</v>
      </c>
      <c r="C1117" s="5">
        <f>IF(B1117="null","null",Descargas!B1117)</f>
        <v>43962</v>
      </c>
      <c r="D1117" s="6" t="str">
        <f>Descargas!E1117</f>
        <v>https://resources.simonelectric.com/simon-ebook-vehiculo-electrico</v>
      </c>
      <c r="E1117" s="20" t="str">
        <f t="shared" si="1"/>
        <v>880@miquelnieto.com</v>
      </c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</row>
    <row r="1118" ht="15.75" customHeight="1">
      <c r="A1118" s="18" t="str">
        <f>Descargas!A1118</f>
        <v>329@covama.es</v>
      </c>
      <c r="B1118" s="19" t="str">
        <f>IFERROR(__xludf.DUMMYFUNCTION("IF(OR(regexmatch(A1118,"".*@simon.es$""),REGEXMATCH(A1118,"".*@simon.pt$""),REGEXMATCH(A1118,"".*@simonelectrica.com$""),REGEXMATCH(A1118,"".*@hiberus.com$""),REGEXMATCH(A1118,"".*@simonbrico.es$""),regexmatch(A1118,"".*@simonelectric.com$"")),""null"",A1"&amp;"118)"),"329@covama.es")</f>
        <v>329@covama.es</v>
      </c>
      <c r="C1118" s="5">
        <f>IF(B1118="null","null",Descargas!B1118)</f>
        <v>43962</v>
      </c>
      <c r="D1118" s="6" t="str">
        <f>Descargas!E1118</f>
        <v>https://resources.simonelectric.com/simon-ebook-vehiculo-electrico</v>
      </c>
      <c r="E1118" s="20" t="str">
        <f t="shared" si="1"/>
        <v>329@covama.es</v>
      </c>
      <c r="F1118" s="21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</row>
    <row r="1119" ht="15.75" customHeight="1">
      <c r="A1119" s="18" t="str">
        <f>Descargas!A1119</f>
        <v>881@hotmail.com</v>
      </c>
      <c r="B1119" s="19" t="str">
        <f>IFERROR(__xludf.DUMMYFUNCTION("IF(OR(regexmatch(A1119,"".*@simon.es$""),REGEXMATCH(A1119,"".*@simon.pt$""),REGEXMATCH(A1119,"".*@simonelectrica.com$""),REGEXMATCH(A1119,"".*@hiberus.com$""),REGEXMATCH(A1119,"".*@simonbrico.es$""),regexmatch(A1119,"".*@simonelectric.com$"")),""null"",A1"&amp;"119)"),"881@hotmail.com")</f>
        <v>881@hotmail.com</v>
      </c>
      <c r="C1119" s="5">
        <f>IF(B1119="null","null",Descargas!B1119)</f>
        <v>43962</v>
      </c>
      <c r="D1119" s="6" t="str">
        <f>Descargas!E1119</f>
        <v>https://resources.simonelectric.com/simon-ebook-vehiculo-electrico-ppc</v>
      </c>
      <c r="E1119" s="20" t="str">
        <f t="shared" si="1"/>
        <v>881@hotmail.com</v>
      </c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</row>
    <row r="1120" ht="15.75" customHeight="1">
      <c r="A1120" s="18" t="str">
        <f>Descargas!A1120</f>
        <v>882@domotelelectric.com</v>
      </c>
      <c r="B1120" s="19" t="str">
        <f>IFERROR(__xludf.DUMMYFUNCTION("IF(OR(regexmatch(A1120,"".*@simon.es$""),REGEXMATCH(A1120,"".*@simon.pt$""),REGEXMATCH(A1120,"".*@simonelectrica.com$""),REGEXMATCH(A1120,"".*@hiberus.com$""),REGEXMATCH(A1120,"".*@simonbrico.es$""),regexmatch(A1120,"".*@simonelectric.com$"")),""null"",A1"&amp;"120)"),"882@domotelelectric.com")</f>
        <v>882@domotelelectric.com</v>
      </c>
      <c r="C1120" s="5">
        <f>IF(B1120="null","null",Descargas!B1120)</f>
        <v>43961</v>
      </c>
      <c r="D1120" s="6" t="str">
        <f>Descargas!E1120</f>
        <v>https://resources.simonelectric.com/simon-catalogo-vehiculo-electrico</v>
      </c>
      <c r="E1120" s="20" t="str">
        <f t="shared" si="1"/>
        <v>882@domotelelectric.com</v>
      </c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</row>
    <row r="1121" ht="15.75" customHeight="1">
      <c r="A1121" s="18" t="str">
        <f>Descargas!A1121</f>
        <v>378@mcrdielec.com</v>
      </c>
      <c r="B1121" s="19" t="str">
        <f>IFERROR(__xludf.DUMMYFUNCTION("IF(OR(regexmatch(A1121,"".*@simon.es$""),REGEXMATCH(A1121,"".*@simon.pt$""),REGEXMATCH(A1121,"".*@simonelectrica.com$""),REGEXMATCH(A1121,"".*@hiberus.com$""),REGEXMATCH(A1121,"".*@simonbrico.es$""),regexmatch(A1121,"".*@simonelectric.com$"")),""null"",A1"&amp;"121)"),"378@mcrdielec.com")</f>
        <v>378@mcrdielec.com</v>
      </c>
      <c r="C1121" s="5">
        <f>IF(B1121="null","null",Descargas!B1121)</f>
        <v>43961</v>
      </c>
      <c r="D1121" s="6" t="str">
        <f>Descargas!E1121</f>
        <v>https://resources.simonelectric.com/simon-ebook-vehiculo-electrico-0</v>
      </c>
      <c r="E1121" s="20" t="str">
        <f t="shared" si="1"/>
        <v>378@mcrdielec.com</v>
      </c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</row>
    <row r="1122" ht="15.75" customHeight="1">
      <c r="A1122" s="18" t="str">
        <f>Descargas!A1122</f>
        <v>883@hotmail.com</v>
      </c>
      <c r="B1122" s="19" t="str">
        <f>IFERROR(__xludf.DUMMYFUNCTION("IF(OR(regexmatch(A1122,"".*@simon.es$""),REGEXMATCH(A1122,"".*@simon.pt$""),REGEXMATCH(A1122,"".*@simonelectrica.com$""),REGEXMATCH(A1122,"".*@hiberus.com$""),REGEXMATCH(A1122,"".*@simonbrico.es$""),regexmatch(A1122,"".*@simonelectric.com$"")),""null"",A1"&amp;"122)"),"883@hotmail.com")</f>
        <v>883@hotmail.com</v>
      </c>
      <c r="C1122" s="5">
        <f>IF(B1122="null","null",Descargas!B1122)</f>
        <v>43961</v>
      </c>
      <c r="D1122" s="6" t="str">
        <f>Descargas!E1122</f>
        <v>https://resources.simonelectric.com/simon-ebook-vehiculo-electrico</v>
      </c>
      <c r="E1122" s="20" t="str">
        <f t="shared" si="1"/>
        <v>883@hotmail.com</v>
      </c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</row>
    <row r="1123" ht="15.75" customHeight="1">
      <c r="A1123" s="18" t="str">
        <f>Descargas!A1123</f>
        <v>884@enersos.es</v>
      </c>
      <c r="B1123" s="19" t="str">
        <f>IFERROR(__xludf.DUMMYFUNCTION("IF(OR(regexmatch(A1123,"".*@simon.es$""),REGEXMATCH(A1123,"".*@simon.pt$""),REGEXMATCH(A1123,"".*@simonelectrica.com$""),REGEXMATCH(A1123,"".*@hiberus.com$""),REGEXMATCH(A1123,"".*@simonbrico.es$""),regexmatch(A1123,"".*@simonelectric.com$"")),""null"",A1"&amp;"123)"),"884@enersos.es")</f>
        <v>884@enersos.es</v>
      </c>
      <c r="C1123" s="5">
        <f>IF(B1123="null","null",Descargas!B1123)</f>
        <v>43961</v>
      </c>
      <c r="D1123" s="6" t="str">
        <f>Descargas!E1123</f>
        <v>https://resources.simonelectric.com/simon-ebook-vehiculo-electrico-ppc</v>
      </c>
      <c r="E1123" s="20" t="str">
        <f t="shared" si="1"/>
        <v>884@enersos.es</v>
      </c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</row>
    <row r="1124" ht="15.75" customHeight="1">
      <c r="A1124" s="18" t="str">
        <f>Descargas!A1124</f>
        <v>885@gmail.com</v>
      </c>
      <c r="B1124" s="19" t="str">
        <f>IFERROR(__xludf.DUMMYFUNCTION("IF(OR(regexmatch(A1124,"".*@simon.es$""),REGEXMATCH(A1124,"".*@simon.pt$""),REGEXMATCH(A1124,"".*@simonelectrica.com$""),REGEXMATCH(A1124,"".*@hiberus.com$""),REGEXMATCH(A1124,"".*@simonbrico.es$""),regexmatch(A1124,"".*@simonelectric.com$"")),""null"",A1"&amp;"124)"),"885@gmail.com")</f>
        <v>885@gmail.com</v>
      </c>
      <c r="C1124" s="5">
        <f>IF(B1124="null","null",Descargas!B1124)</f>
        <v>43961</v>
      </c>
      <c r="D1124" s="6" t="str">
        <f>Descargas!E1124</f>
        <v>https://resources.simonelectric.com/simon-catalogo-vehiculo-electrico</v>
      </c>
      <c r="E1124" s="20" t="str">
        <f t="shared" si="1"/>
        <v>885@gmail.com</v>
      </c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</row>
    <row r="1125" ht="15.75" customHeight="1">
      <c r="A1125" s="18" t="str">
        <f>Descargas!A1125</f>
        <v>886@gmail.com</v>
      </c>
      <c r="B1125" s="19" t="str">
        <f>IFERROR(__xludf.DUMMYFUNCTION("IF(OR(regexmatch(A1125,"".*@simon.es$""),REGEXMATCH(A1125,"".*@simon.pt$""),REGEXMATCH(A1125,"".*@simonelectrica.com$""),REGEXMATCH(A1125,"".*@hiberus.com$""),REGEXMATCH(A1125,"".*@simonbrico.es$""),regexmatch(A1125,"".*@simonelectric.com$"")),""null"",A1"&amp;"125)"),"886@gmail.com")</f>
        <v>886@gmail.com</v>
      </c>
      <c r="C1125" s="5">
        <f>IF(B1125="null","null",Descargas!B1125)</f>
        <v>43961</v>
      </c>
      <c r="D1125" s="6" t="str">
        <f>Descargas!E1125</f>
        <v>https://resources.simonelectric.com/simon-ebook-vehiculo-electrico-ppc</v>
      </c>
      <c r="E1125" s="20" t="str">
        <f t="shared" si="1"/>
        <v>886@gmail.com</v>
      </c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</row>
    <row r="1126" ht="15.75" customHeight="1">
      <c r="A1126" s="18" t="str">
        <f>Descargas!A1126</f>
        <v>841@gmail.com</v>
      </c>
      <c r="B1126" s="19" t="str">
        <f>IFERROR(__xludf.DUMMYFUNCTION("IF(OR(regexmatch(A1126,"".*@simon.es$""),REGEXMATCH(A1126,"".*@simon.pt$""),REGEXMATCH(A1126,"".*@simonelectrica.com$""),REGEXMATCH(A1126,"".*@hiberus.com$""),REGEXMATCH(A1126,"".*@simonbrico.es$""),regexmatch(A1126,"".*@simonelectric.com$"")),""null"",A1"&amp;"126)"),"841@gmail.com")</f>
        <v>841@gmail.com</v>
      </c>
      <c r="C1126" s="5">
        <f>IF(B1126="null","null",Descargas!B1126)</f>
        <v>43961</v>
      </c>
      <c r="D1126" s="6" t="str">
        <f>Descargas!E1126</f>
        <v>https://resources.simonelectric.com/simon-catalogo-vehiculo-electrico</v>
      </c>
      <c r="E1126" s="20" t="str">
        <f t="shared" si="1"/>
        <v>841@gmail.com</v>
      </c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</row>
    <row r="1127" ht="15.75" customHeight="1">
      <c r="A1127" s="18" t="str">
        <f>Descargas!A1127</f>
        <v>887@gmail.com</v>
      </c>
      <c r="B1127" s="19" t="str">
        <f>IFERROR(__xludf.DUMMYFUNCTION("IF(OR(regexmatch(A1127,"".*@simon.es$""),REGEXMATCH(A1127,"".*@simon.pt$""),REGEXMATCH(A1127,"".*@simonelectrica.com$""),REGEXMATCH(A1127,"".*@hiberus.com$""),REGEXMATCH(A1127,"".*@simonbrico.es$""),regexmatch(A1127,"".*@simonelectric.com$"")),""null"",A1"&amp;"127)"),"887@gmail.com")</f>
        <v>887@gmail.com</v>
      </c>
      <c r="C1127" s="5">
        <f>IF(B1127="null","null",Descargas!B1127)</f>
        <v>43961</v>
      </c>
      <c r="D1127" s="6" t="str">
        <f>Descargas!E1127</f>
        <v>https://resources.simonelectric.com/simon-ebook-vehiculo-electrico-ppc</v>
      </c>
      <c r="E1127" s="20" t="str">
        <f t="shared" si="1"/>
        <v>887@gmail.com</v>
      </c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</row>
    <row r="1128" ht="15.75" customHeight="1">
      <c r="A1128" s="18" t="str">
        <f>Descargas!A1128</f>
        <v>888@zivautomation.com</v>
      </c>
      <c r="B1128" s="19" t="str">
        <f>IFERROR(__xludf.DUMMYFUNCTION("IF(OR(regexmatch(A1128,"".*@simon.es$""),REGEXMATCH(A1128,"".*@simon.pt$""),REGEXMATCH(A1128,"".*@simonelectrica.com$""),REGEXMATCH(A1128,"".*@hiberus.com$""),REGEXMATCH(A1128,"".*@simonbrico.es$""),regexmatch(A1128,"".*@simonelectric.com$"")),""null"",A1"&amp;"128)"),"888@zivautomation.com")</f>
        <v>888@zivautomation.com</v>
      </c>
      <c r="C1128" s="5">
        <f>IF(B1128="null","null",Descargas!B1128)</f>
        <v>43961</v>
      </c>
      <c r="D1128" s="6" t="str">
        <f>Descargas!E1128</f>
        <v>https://resources.simonelectric.com/simon-catalogo-vehiculo-electrico</v>
      </c>
      <c r="E1128" s="20" t="str">
        <f t="shared" si="1"/>
        <v>888@zivautomation.com</v>
      </c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</row>
    <row r="1129" ht="15.75" customHeight="1">
      <c r="A1129" s="18" t="str">
        <f>Descargas!A1129</f>
        <v>889@hotmail.com</v>
      </c>
      <c r="B1129" s="19" t="str">
        <f>IFERROR(__xludf.DUMMYFUNCTION("IF(OR(regexmatch(A1129,"".*@simon.es$""),REGEXMATCH(A1129,"".*@simon.pt$""),REGEXMATCH(A1129,"".*@simonelectrica.com$""),REGEXMATCH(A1129,"".*@hiberus.com$""),REGEXMATCH(A1129,"".*@simonbrico.es$""),regexmatch(A1129,"".*@simonelectric.com$"")),""null"",A1"&amp;"129)"),"889@hotmail.com")</f>
        <v>889@hotmail.com</v>
      </c>
      <c r="C1129" s="5">
        <f>IF(B1129="null","null",Descargas!B1129)</f>
        <v>43961</v>
      </c>
      <c r="D1129" s="6" t="str">
        <f>Descargas!E1129</f>
        <v>https://resources.simonelectric.com/simon-ebook-vehiculo-electrico-ppc</v>
      </c>
      <c r="E1129" s="20" t="str">
        <f t="shared" si="1"/>
        <v>889@hotmail.com</v>
      </c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</row>
    <row r="1130" ht="15.75" customHeight="1">
      <c r="A1130" s="18" t="str">
        <f>Descargas!A1130</f>
        <v>890@hotmail.com</v>
      </c>
      <c r="B1130" s="19" t="str">
        <f>IFERROR(__xludf.DUMMYFUNCTION("IF(OR(regexmatch(A1130,"".*@simon.es$""),REGEXMATCH(A1130,"".*@simon.pt$""),REGEXMATCH(A1130,"".*@simonelectrica.com$""),REGEXMATCH(A1130,"".*@hiberus.com$""),REGEXMATCH(A1130,"".*@simonbrico.es$""),regexmatch(A1130,"".*@simonelectric.com$"")),""null"",A1"&amp;"130)"),"890@hotmail.com")</f>
        <v>890@hotmail.com</v>
      </c>
      <c r="C1130" s="5">
        <f>IF(B1130="null","null",Descargas!B1130)</f>
        <v>43961</v>
      </c>
      <c r="D1130" s="6" t="str">
        <f>Descargas!E1130</f>
        <v>https://resources.simonelectric.com/simon-ebook-vehiculo-electrico-ppc</v>
      </c>
      <c r="E1130" s="20" t="str">
        <f t="shared" si="1"/>
        <v>890@hotmail.com</v>
      </c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</row>
    <row r="1131" ht="15.75" customHeight="1">
      <c r="A1131" s="18" t="str">
        <f>Descargas!A1131</f>
        <v>891@gmail.com</v>
      </c>
      <c r="B1131" s="19" t="str">
        <f>IFERROR(__xludf.DUMMYFUNCTION("IF(OR(regexmatch(A1131,"".*@simon.es$""),REGEXMATCH(A1131,"".*@simon.pt$""),REGEXMATCH(A1131,"".*@simonelectrica.com$""),REGEXMATCH(A1131,"".*@hiberus.com$""),REGEXMATCH(A1131,"".*@simonbrico.es$""),regexmatch(A1131,"".*@simonelectric.com$"")),""null"",A1"&amp;"131)"),"891@gmail.com")</f>
        <v>891@gmail.com</v>
      </c>
      <c r="C1131" s="5">
        <f>IF(B1131="null","null",Descargas!B1131)</f>
        <v>43961</v>
      </c>
      <c r="D1131" s="6" t="str">
        <f>Descargas!E1131</f>
        <v>https://resources.simonelectric.com/simon-ebook-vehiculo-electrico-ppc</v>
      </c>
      <c r="E1131" s="20" t="str">
        <f t="shared" si="1"/>
        <v>891@gmail.com</v>
      </c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</row>
    <row r="1132" ht="15.75" customHeight="1">
      <c r="A1132" s="18" t="str">
        <f>Descargas!A1132</f>
        <v>892@hotmail.com</v>
      </c>
      <c r="B1132" s="19" t="str">
        <f>IFERROR(__xludf.DUMMYFUNCTION("IF(OR(regexmatch(A1132,"".*@simon.es$""),REGEXMATCH(A1132,"".*@simon.pt$""),REGEXMATCH(A1132,"".*@simonelectrica.com$""),REGEXMATCH(A1132,"".*@hiberus.com$""),REGEXMATCH(A1132,"".*@simonbrico.es$""),regexmatch(A1132,"".*@simonelectric.com$"")),""null"",A1"&amp;"132)"),"892@hotmail.com")</f>
        <v>892@hotmail.com</v>
      </c>
      <c r="C1132" s="5">
        <f>IF(B1132="null","null",Descargas!B1132)</f>
        <v>43961</v>
      </c>
      <c r="D1132" s="6" t="str">
        <f>Descargas!E1132</f>
        <v>https://resources.simonelectric.com/simon-ebook-vehiculo-electrico</v>
      </c>
      <c r="E1132" s="20" t="str">
        <f t="shared" si="1"/>
        <v>892@hotmail.com</v>
      </c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</row>
    <row r="1133" ht="15.75" customHeight="1">
      <c r="A1133" s="18" t="str">
        <f>Descargas!A1133</f>
        <v>893@krean.com</v>
      </c>
      <c r="B1133" s="19" t="str">
        <f>IFERROR(__xludf.DUMMYFUNCTION("IF(OR(regexmatch(A1133,"".*@simon.es$""),REGEXMATCH(A1133,"".*@simon.pt$""),REGEXMATCH(A1133,"".*@simonelectrica.com$""),REGEXMATCH(A1133,"".*@hiberus.com$""),REGEXMATCH(A1133,"".*@simonbrico.es$""),regexmatch(A1133,"".*@simonelectric.com$"")),""null"",A1"&amp;"133)"),"893@krean.com")</f>
        <v>893@krean.com</v>
      </c>
      <c r="C1133" s="5">
        <f>IF(B1133="null","null",Descargas!B1133)</f>
        <v>43961</v>
      </c>
      <c r="D1133" s="6" t="str">
        <f>Descargas!E1133</f>
        <v>https://resources.simonelectric.com/simon-ebook-vehiculo-electrico</v>
      </c>
      <c r="E1133" s="20" t="str">
        <f t="shared" si="1"/>
        <v>893@krean.com</v>
      </c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</row>
    <row r="1134" ht="15.75" customHeight="1">
      <c r="A1134" s="18" t="str">
        <f>Descargas!A1134</f>
        <v>894@gmail.com</v>
      </c>
      <c r="B1134" s="19" t="str">
        <f>IFERROR(__xludf.DUMMYFUNCTION("IF(OR(regexmatch(A1134,"".*@simon.es$""),REGEXMATCH(A1134,"".*@simon.pt$""),REGEXMATCH(A1134,"".*@simonelectrica.com$""),REGEXMATCH(A1134,"".*@hiberus.com$""),REGEXMATCH(A1134,"".*@simonbrico.es$""),regexmatch(A1134,"".*@simonelectric.com$"")),""null"",A1"&amp;"134)"),"894@gmail.com")</f>
        <v>894@gmail.com</v>
      </c>
      <c r="C1134" s="5">
        <f>IF(B1134="null","null",Descargas!B1134)</f>
        <v>43960</v>
      </c>
      <c r="D1134" s="6" t="str">
        <f>Descargas!E1134</f>
        <v>https://resources.simonelectric.com/simon-ebook-vehiculo-electrico-0</v>
      </c>
      <c r="E1134" s="20" t="str">
        <f t="shared" si="1"/>
        <v>894@gmail.com</v>
      </c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</row>
    <row r="1135" ht="15.75" customHeight="1">
      <c r="A1135" s="18" t="str">
        <f>Descargas!A1135</f>
        <v>895@volumetric.eu</v>
      </c>
      <c r="B1135" s="19" t="str">
        <f>IFERROR(__xludf.DUMMYFUNCTION("IF(OR(regexmatch(A1135,"".*@simon.es$""),REGEXMATCH(A1135,"".*@simon.pt$""),REGEXMATCH(A1135,"".*@simonelectrica.com$""),REGEXMATCH(A1135,"".*@hiberus.com$""),REGEXMATCH(A1135,"".*@simonbrico.es$""),regexmatch(A1135,"".*@simonelectric.com$"")),""null"",A1"&amp;"135)"),"895@volumetric.eu")</f>
        <v>895@volumetric.eu</v>
      </c>
      <c r="C1135" s="5">
        <f>IF(B1135="null","null",Descargas!B1135)</f>
        <v>43960</v>
      </c>
      <c r="D1135" s="6" t="str">
        <f>Descargas!E1135</f>
        <v>https://resources.simonelectric.com/simon-material-formativo-vehiculo-electrico</v>
      </c>
      <c r="E1135" s="20" t="str">
        <f t="shared" si="1"/>
        <v>895@volumetric.eu</v>
      </c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</row>
    <row r="1136" ht="15.75" customHeight="1">
      <c r="A1136" s="18" t="str">
        <f>Descargas!A1136</f>
        <v>896@gmail.com</v>
      </c>
      <c r="B1136" s="19" t="str">
        <f>IFERROR(__xludf.DUMMYFUNCTION("IF(OR(regexmatch(A1136,"".*@simon.es$""),REGEXMATCH(A1136,"".*@simon.pt$""),REGEXMATCH(A1136,"".*@simonelectrica.com$""),REGEXMATCH(A1136,"".*@hiberus.com$""),REGEXMATCH(A1136,"".*@simonbrico.es$""),regexmatch(A1136,"".*@simonelectric.com$"")),""null"",A1"&amp;"136)"),"896@gmail.com")</f>
        <v>896@gmail.com</v>
      </c>
      <c r="C1136" s="5">
        <f>IF(B1136="null","null",Descargas!B1136)</f>
        <v>43960</v>
      </c>
      <c r="D1136" s="6" t="str">
        <f>Descargas!E1136</f>
        <v>https://resources.simonelectric.com/simon-ebook-vehiculo-electrico-ppc</v>
      </c>
      <c r="E1136" s="20" t="str">
        <f t="shared" si="1"/>
        <v>896@gmail.com</v>
      </c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</row>
    <row r="1137" ht="15.75" customHeight="1">
      <c r="A1137" s="18" t="str">
        <f>Descargas!A1137</f>
        <v>487@gmail.com</v>
      </c>
      <c r="B1137" s="19" t="str">
        <f>IFERROR(__xludf.DUMMYFUNCTION("IF(OR(regexmatch(A1137,"".*@simon.es$""),REGEXMATCH(A1137,"".*@simon.pt$""),REGEXMATCH(A1137,"".*@simonelectrica.com$""),REGEXMATCH(A1137,"".*@hiberus.com$""),REGEXMATCH(A1137,"".*@simonbrico.es$""),regexmatch(A1137,"".*@simonelectric.com$"")),""null"",A1"&amp;"137)"),"487@gmail.com")</f>
        <v>487@gmail.com</v>
      </c>
      <c r="C1137" s="5">
        <f>IF(B1137="null","null",Descargas!B1137)</f>
        <v>43960</v>
      </c>
      <c r="D1137" s="6" t="str">
        <f>Descargas!E1137</f>
        <v>https://resources.simonelectric.com/simon-ebook-vehiculo-electrico</v>
      </c>
      <c r="E1137" s="20" t="str">
        <f t="shared" si="1"/>
        <v>487@gmail.com</v>
      </c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</row>
    <row r="1138" ht="15.75" customHeight="1">
      <c r="A1138" s="18" t="str">
        <f>Descargas!A1138</f>
        <v>897@rtve.es</v>
      </c>
      <c r="B1138" s="19" t="str">
        <f>IFERROR(__xludf.DUMMYFUNCTION("IF(OR(regexmatch(A1138,"".*@simon.es$""),REGEXMATCH(A1138,"".*@simon.pt$""),REGEXMATCH(A1138,"".*@simonelectrica.com$""),REGEXMATCH(A1138,"".*@hiberus.com$""),REGEXMATCH(A1138,"".*@simonbrico.es$""),regexmatch(A1138,"".*@simonelectric.com$"")),""null"",A1"&amp;"138)"),"897@rtve.es")</f>
        <v>897@rtve.es</v>
      </c>
      <c r="C1138" s="5">
        <f>IF(B1138="null","null",Descargas!B1138)</f>
        <v>43960</v>
      </c>
      <c r="D1138" s="6" t="str">
        <f>Descargas!E1138</f>
        <v>https://resources.simonelectric.com/simon-catalogo-vehiculo-electrico</v>
      </c>
      <c r="E1138" s="20" t="str">
        <f t="shared" si="1"/>
        <v>897@rtve.es</v>
      </c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</row>
    <row r="1139" ht="15.75" customHeight="1">
      <c r="A1139" s="18" t="str">
        <f>Descargas!A1139</f>
        <v>898@gmail.com</v>
      </c>
      <c r="B1139" s="19" t="str">
        <f>IFERROR(__xludf.DUMMYFUNCTION("IF(OR(regexmatch(A1139,"".*@simon.es$""),REGEXMATCH(A1139,"".*@simon.pt$""),REGEXMATCH(A1139,"".*@simonelectrica.com$""),REGEXMATCH(A1139,"".*@hiberus.com$""),REGEXMATCH(A1139,"".*@simonbrico.es$""),regexmatch(A1139,"".*@simonelectric.com$"")),""null"",A1"&amp;"139)"),"898@gmail.com")</f>
        <v>898@gmail.com</v>
      </c>
      <c r="C1139" s="5">
        <f>IF(B1139="null","null",Descargas!B1139)</f>
        <v>43959</v>
      </c>
      <c r="D1139" s="6" t="str">
        <f>Descargas!E1139</f>
        <v>https://resources.simonelectric.com/simon-catalogo-vehiculo-electrico</v>
      </c>
      <c r="E1139" s="20" t="str">
        <f t="shared" si="1"/>
        <v>898@gmail.com</v>
      </c>
      <c r="F1139" s="21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</row>
    <row r="1140" ht="15.75" customHeight="1">
      <c r="A1140" s="18" t="str">
        <f>Descargas!A1140</f>
        <v>899@gmail.com</v>
      </c>
      <c r="B1140" s="19" t="str">
        <f>IFERROR(__xludf.DUMMYFUNCTION("IF(OR(regexmatch(A1140,"".*@simon.es$""),REGEXMATCH(A1140,"".*@simon.pt$""),REGEXMATCH(A1140,"".*@simonelectrica.com$""),REGEXMATCH(A1140,"".*@hiberus.com$""),REGEXMATCH(A1140,"".*@simonbrico.es$""),regexmatch(A1140,"".*@simonelectric.com$"")),""null"",A1"&amp;"140)"),"899@gmail.com")</f>
        <v>899@gmail.com</v>
      </c>
      <c r="C1140" s="5">
        <f>IF(B1140="null","null",Descargas!B1140)</f>
        <v>43959</v>
      </c>
      <c r="D1140" s="6" t="str">
        <f>Descargas!E1140</f>
        <v>https://resources.simonelectric.com/simon-ebook-vehiculo-electrico</v>
      </c>
      <c r="E1140" s="20" t="str">
        <f t="shared" si="1"/>
        <v>899@gmail.com</v>
      </c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</row>
    <row r="1141" ht="15.75" customHeight="1">
      <c r="A1141" s="18" t="str">
        <f>Descargas!A1141</f>
        <v>900@hirurok.eu</v>
      </c>
      <c r="B1141" s="19" t="str">
        <f>IFERROR(__xludf.DUMMYFUNCTION("IF(OR(regexmatch(A1141,"".*@simon.es$""),REGEXMATCH(A1141,"".*@simon.pt$""),REGEXMATCH(A1141,"".*@simonelectrica.com$""),REGEXMATCH(A1141,"".*@hiberus.com$""),REGEXMATCH(A1141,"".*@simonbrico.es$""),regexmatch(A1141,"".*@simonelectric.com$"")),""null"",A1"&amp;"141)"),"900@hirurok.eu")</f>
        <v>900@hirurok.eu</v>
      </c>
      <c r="C1141" s="5">
        <f>IF(B1141="null","null",Descargas!B1141)</f>
        <v>43959</v>
      </c>
      <c r="D1141" s="6" t="str">
        <f>Descargas!E1141</f>
        <v>https://resources.simonelectric.com/simon-catalogo-vehiculo-electrico</v>
      </c>
      <c r="E1141" s="20" t="str">
        <f t="shared" si="1"/>
        <v>900@hirurok.eu</v>
      </c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</row>
    <row r="1142" ht="15.75" customHeight="1">
      <c r="A1142" s="18" t="str">
        <f>Descargas!A1142</f>
        <v>901@gmail.com</v>
      </c>
      <c r="B1142" s="19" t="str">
        <f>IFERROR(__xludf.DUMMYFUNCTION("IF(OR(regexmatch(A1142,"".*@simon.es$""),REGEXMATCH(A1142,"".*@simon.pt$""),REGEXMATCH(A1142,"".*@simonelectrica.com$""),REGEXMATCH(A1142,"".*@hiberus.com$""),REGEXMATCH(A1142,"".*@simonbrico.es$""),regexmatch(A1142,"".*@simonelectric.com$"")),""null"",A1"&amp;"142)"),"901@gmail.com")</f>
        <v>901@gmail.com</v>
      </c>
      <c r="C1142" s="5">
        <f>IF(B1142="null","null",Descargas!B1142)</f>
        <v>43959</v>
      </c>
      <c r="D1142" s="6" t="str">
        <f>Descargas!E1142</f>
        <v>https://resources.simonelectric.com/simon-catalogo-vehiculo-electrico</v>
      </c>
      <c r="E1142" s="20" t="str">
        <f t="shared" si="1"/>
        <v>901@gmail.com</v>
      </c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</row>
    <row r="1143" ht="15.75" customHeight="1">
      <c r="A1143" s="18" t="str">
        <f>Descargas!A1143</f>
        <v>902@gmail.com</v>
      </c>
      <c r="B1143" s="19" t="str">
        <f>IFERROR(__xludf.DUMMYFUNCTION("IF(OR(regexmatch(A1143,"".*@simon.es$""),REGEXMATCH(A1143,"".*@simon.pt$""),REGEXMATCH(A1143,"".*@simonelectrica.com$""),REGEXMATCH(A1143,"".*@hiberus.com$""),REGEXMATCH(A1143,"".*@simonbrico.es$""),regexmatch(A1143,"".*@simonelectric.com$"")),""null"",A1"&amp;"143)"),"902@gmail.com")</f>
        <v>902@gmail.com</v>
      </c>
      <c r="C1143" s="5">
        <f>IF(B1143="null","null",Descargas!B1143)</f>
        <v>43959</v>
      </c>
      <c r="D1143" s="6" t="str">
        <f>Descargas!E1143</f>
        <v>https://resources.simonelectric.com/simon-ebook-vehiculo-electrico-ppc</v>
      </c>
      <c r="E1143" s="20" t="str">
        <f t="shared" si="1"/>
        <v>902@gmail.com</v>
      </c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</row>
    <row r="1144" ht="15.75" customHeight="1">
      <c r="A1144" s="18" t="str">
        <f>Descargas!A1144</f>
        <v>903@edirocsa.com</v>
      </c>
      <c r="B1144" s="19" t="str">
        <f>IFERROR(__xludf.DUMMYFUNCTION("IF(OR(regexmatch(A1144,"".*@simon.es$""),REGEXMATCH(A1144,"".*@simon.pt$""),REGEXMATCH(A1144,"".*@simonelectrica.com$""),REGEXMATCH(A1144,"".*@hiberus.com$""),REGEXMATCH(A1144,"".*@simonbrico.es$""),regexmatch(A1144,"".*@simonelectric.com$"")),""null"",A1"&amp;"144)"),"903@edirocsa.com")</f>
        <v>903@edirocsa.com</v>
      </c>
      <c r="C1144" s="5">
        <f>IF(B1144="null","null",Descargas!B1144)</f>
        <v>43959</v>
      </c>
      <c r="D1144" s="6" t="str">
        <f>Descargas!E1144</f>
        <v>https://resources.simonelectric.com/simon-material-formativo-vehiculo-electrico</v>
      </c>
      <c r="E1144" s="20" t="str">
        <f t="shared" si="1"/>
        <v>903@edirocsa.com</v>
      </c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</row>
    <row r="1145" ht="15.75" customHeight="1">
      <c r="A1145" s="18" t="str">
        <f>Descargas!A1145</f>
        <v>904@inboundcycle.com</v>
      </c>
      <c r="B1145" s="19" t="str">
        <f>IFERROR(__xludf.DUMMYFUNCTION("IF(OR(regexmatch(A1145,"".*@simon.es$""),REGEXMATCH(A1145,"".*@simon.pt$""),REGEXMATCH(A1145,"".*@simonelectrica.com$""),REGEXMATCH(A1145,"".*@hiberus.com$""),REGEXMATCH(A1145,"".*@simonbrico.es$""),regexmatch(A1145,"".*@simonelectric.com$"")),""null"",A1"&amp;"145)"),"904@inboundcycle.com")</f>
        <v>904@inboundcycle.com</v>
      </c>
      <c r="C1145" s="5">
        <f>IF(B1145="null","null",Descargas!B1145)</f>
        <v>43959</v>
      </c>
      <c r="D1145" s="6" t="str">
        <f>Descargas!E1145</f>
        <v>https://resources.simonelectric.com/simon-catalogo-vehiculo-electrico</v>
      </c>
      <c r="E1145" s="20" t="str">
        <f t="shared" si="1"/>
        <v>904@inboundcycle.com</v>
      </c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</row>
    <row r="1146" ht="15.75" customHeight="1">
      <c r="A1146" s="18" t="str">
        <f>Descargas!A1146</f>
        <v>905@yahoo.es</v>
      </c>
      <c r="B1146" s="19" t="str">
        <f>IFERROR(__xludf.DUMMYFUNCTION("IF(OR(regexmatch(A1146,"".*@simon.es$""),REGEXMATCH(A1146,"".*@simon.pt$""),REGEXMATCH(A1146,"".*@simonelectrica.com$""),REGEXMATCH(A1146,"".*@hiberus.com$""),REGEXMATCH(A1146,"".*@simonbrico.es$""),regexmatch(A1146,"".*@simonelectric.com$"")),""null"",A1"&amp;"146)"),"905@yahoo.es")</f>
        <v>905@yahoo.es</v>
      </c>
      <c r="C1146" s="5">
        <f>IF(B1146="null","null",Descargas!B1146)</f>
        <v>43959</v>
      </c>
      <c r="D1146" s="6" t="str">
        <f>Descargas!E1146</f>
        <v>https://resources.simonelectric.com/simon-ebook-vehiculo-electrico</v>
      </c>
      <c r="E1146" s="20" t="str">
        <f t="shared" si="1"/>
        <v>905@yahoo.es</v>
      </c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</row>
    <row r="1147" ht="15.75" customHeight="1">
      <c r="A1147" s="18" t="str">
        <f>Descargas!A1147</f>
        <v>906@europrojectes.es</v>
      </c>
      <c r="B1147" s="19" t="str">
        <f>IFERROR(__xludf.DUMMYFUNCTION("IF(OR(regexmatch(A1147,"".*@simon.es$""),REGEXMATCH(A1147,"".*@simon.pt$""),REGEXMATCH(A1147,"".*@simonelectrica.com$""),REGEXMATCH(A1147,"".*@hiberus.com$""),REGEXMATCH(A1147,"".*@simonbrico.es$""),regexmatch(A1147,"".*@simonelectric.com$"")),""null"",A1"&amp;"147)"),"906@europrojectes.es")</f>
        <v>906@europrojectes.es</v>
      </c>
      <c r="C1147" s="5">
        <f>IF(B1147="null","null",Descargas!B1147)</f>
        <v>43959</v>
      </c>
      <c r="D1147" s="6" t="str">
        <f>Descargas!E1147</f>
        <v>https://resources.simonelectric.com/simon-material-formativo-vehiculo-electrico</v>
      </c>
      <c r="E1147" s="20" t="str">
        <f t="shared" si="1"/>
        <v>906@europrojectes.es</v>
      </c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</row>
    <row r="1148" ht="15.75" customHeight="1">
      <c r="A1148" s="18" t="str">
        <f>Descargas!A1148</f>
        <v>907@gmail.com</v>
      </c>
      <c r="B1148" s="19" t="str">
        <f>IFERROR(__xludf.DUMMYFUNCTION("IF(OR(regexmatch(A1148,"".*@simon.es$""),REGEXMATCH(A1148,"".*@simon.pt$""),REGEXMATCH(A1148,"".*@simonelectrica.com$""),REGEXMATCH(A1148,"".*@hiberus.com$""),REGEXMATCH(A1148,"".*@simonbrico.es$""),regexmatch(A1148,"".*@simonelectric.com$"")),""null"",A1"&amp;"148)"),"907@gmail.com")</f>
        <v>907@gmail.com</v>
      </c>
      <c r="C1148" s="5">
        <f>IF(B1148="null","null",Descargas!B1148)</f>
        <v>43959</v>
      </c>
      <c r="D1148" s="6" t="str">
        <f>Descargas!E1148</f>
        <v>https://resources.simonelectric.com/simon-catalogo-vehiculo-electrico</v>
      </c>
      <c r="E1148" s="20" t="str">
        <f t="shared" si="1"/>
        <v>907@gmail.com</v>
      </c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</row>
    <row r="1149" ht="15.75" customHeight="1">
      <c r="A1149" s="18" t="str">
        <f>Descargas!A1149</f>
        <v>908@hotmail.com</v>
      </c>
      <c r="B1149" s="19" t="str">
        <f>IFERROR(__xludf.DUMMYFUNCTION("IF(OR(regexmatch(A1149,"".*@simon.es$""),REGEXMATCH(A1149,"".*@simon.pt$""),REGEXMATCH(A1149,"".*@simonelectrica.com$""),REGEXMATCH(A1149,"".*@hiberus.com$""),REGEXMATCH(A1149,"".*@simonbrico.es$""),regexmatch(A1149,"".*@simonelectric.com$"")),""null"",A1"&amp;"149)"),"908@hotmail.com")</f>
        <v>908@hotmail.com</v>
      </c>
      <c r="C1149" s="5">
        <f>IF(B1149="null","null",Descargas!B1149)</f>
        <v>43959</v>
      </c>
      <c r="D1149" s="6" t="str">
        <f>Descargas!E1149</f>
        <v>https://resources.simonelectric.com/simon-ebook-vehiculo-electrico</v>
      </c>
      <c r="E1149" s="20" t="str">
        <f t="shared" si="1"/>
        <v>908@hotmail.com</v>
      </c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</row>
    <row r="1150" ht="15.75" customHeight="1">
      <c r="A1150" s="18" t="str">
        <f>Descargas!A1150</f>
        <v>909@gmail.com</v>
      </c>
      <c r="B1150" s="19" t="str">
        <f>IFERROR(__xludf.DUMMYFUNCTION("IF(OR(regexmatch(A1150,"".*@simon.es$""),REGEXMATCH(A1150,"".*@simon.pt$""),REGEXMATCH(A1150,"".*@simonelectrica.com$""),REGEXMATCH(A1150,"".*@hiberus.com$""),REGEXMATCH(A1150,"".*@simonbrico.es$""),regexmatch(A1150,"".*@simonelectric.com$"")),""null"",A1"&amp;"150)"),"909@gmail.com")</f>
        <v>909@gmail.com</v>
      </c>
      <c r="C1150" s="5">
        <f>IF(B1150="null","null",Descargas!B1150)</f>
        <v>43959</v>
      </c>
      <c r="D1150" s="6" t="str">
        <f>Descargas!E1150</f>
        <v>https://resources.simonelectric.com/simon-ebook-vehiculo-electrico</v>
      </c>
      <c r="E1150" s="20" t="str">
        <f t="shared" si="1"/>
        <v>909@gmail.com</v>
      </c>
      <c r="F1150" s="21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</row>
    <row r="1151" ht="15.75" customHeight="1">
      <c r="A1151" s="18" t="str">
        <f>Descargas!A1151</f>
        <v>910@sogesa.es</v>
      </c>
      <c r="B1151" s="19" t="str">
        <f>IFERROR(__xludf.DUMMYFUNCTION("IF(OR(regexmatch(A1151,"".*@simon.es$""),REGEXMATCH(A1151,"".*@simon.pt$""),REGEXMATCH(A1151,"".*@simonelectrica.com$""),REGEXMATCH(A1151,"".*@hiberus.com$""),REGEXMATCH(A1151,"".*@simonbrico.es$""),regexmatch(A1151,"".*@simonelectric.com$"")),""null"",A1"&amp;"151)"),"910@sogesa.es")</f>
        <v>910@sogesa.es</v>
      </c>
      <c r="C1151" s="5">
        <f>IF(B1151="null","null",Descargas!B1151)</f>
        <v>43959</v>
      </c>
      <c r="D1151" s="6" t="str">
        <f>Descargas!E1151</f>
        <v>https://resources.simonelectric.com/simon-catalogo-vehiculo-electrico</v>
      </c>
      <c r="E1151" s="20" t="str">
        <f t="shared" si="1"/>
        <v>910@sogesa.es</v>
      </c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</row>
    <row r="1152" ht="15.75" customHeight="1">
      <c r="A1152" s="18" t="str">
        <f>Descargas!A1152</f>
        <v>911@lusorede.pt</v>
      </c>
      <c r="B1152" s="19" t="str">
        <f>IFERROR(__xludf.DUMMYFUNCTION("IF(OR(regexmatch(A1152,"".*@simon.es$""),REGEXMATCH(A1152,"".*@simon.pt$""),REGEXMATCH(A1152,"".*@simonelectrica.com$""),REGEXMATCH(A1152,"".*@hiberus.com$""),REGEXMATCH(A1152,"".*@simonbrico.es$""),regexmatch(A1152,"".*@simonelectric.com$"")),""null"",A1"&amp;"152)"),"911@lusorede.pt")</f>
        <v>911@lusorede.pt</v>
      </c>
      <c r="C1152" s="5">
        <f>IF(B1152="null","null",Descargas!B1152)</f>
        <v>43959</v>
      </c>
      <c r="D1152" s="6" t="str">
        <f>Descargas!E1152</f>
        <v>https://resources.simonelectric.com/simon-catalogo-vehiculo-electrico</v>
      </c>
      <c r="E1152" s="20" t="str">
        <f t="shared" si="1"/>
        <v>911@lusorede.pt</v>
      </c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</row>
    <row r="1153" ht="15.75" customHeight="1">
      <c r="A1153" s="18" t="str">
        <f>Descargas!A1153</f>
        <v>910@sogesa.es</v>
      </c>
      <c r="B1153" s="19" t="str">
        <f>IFERROR(__xludf.DUMMYFUNCTION("IF(OR(regexmatch(A1153,"".*@simon.es$""),REGEXMATCH(A1153,"".*@simon.pt$""),REGEXMATCH(A1153,"".*@simonelectrica.com$""),REGEXMATCH(A1153,"".*@hiberus.com$""),REGEXMATCH(A1153,"".*@simonbrico.es$""),regexmatch(A1153,"".*@simonelectric.com$"")),""null"",A1"&amp;"153)"),"910@sogesa.es")</f>
        <v>910@sogesa.es</v>
      </c>
      <c r="C1153" s="5">
        <f>IF(B1153="null","null",Descargas!B1153)</f>
        <v>43959</v>
      </c>
      <c r="D1153" s="6" t="str">
        <f>Descargas!E1153</f>
        <v>https://resources.simonelectric.com/simon-catalogo-vehiculo-electrico</v>
      </c>
      <c r="E1153" s="20" t="str">
        <f t="shared" si="1"/>
        <v>910@sogesa.es</v>
      </c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</row>
    <row r="1154" ht="15.75" customHeight="1">
      <c r="A1154" s="18" t="str">
        <f>Descargas!A1154</f>
        <v>912@gmail.com</v>
      </c>
      <c r="B1154" s="19" t="str">
        <f>IFERROR(__xludf.DUMMYFUNCTION("IF(OR(regexmatch(A1154,"".*@simon.es$""),REGEXMATCH(A1154,"".*@simon.pt$""),REGEXMATCH(A1154,"".*@simonelectrica.com$""),REGEXMATCH(A1154,"".*@hiberus.com$""),REGEXMATCH(A1154,"".*@simonbrico.es$""),regexmatch(A1154,"".*@simonelectric.com$"")),""null"",A1"&amp;"154)"),"912@gmail.com")</f>
        <v>912@gmail.com</v>
      </c>
      <c r="C1154" s="5">
        <f>IF(B1154="null","null",Descargas!B1154)</f>
        <v>43959</v>
      </c>
      <c r="D1154" s="6" t="str">
        <f>Descargas!E1154</f>
        <v>https://resources.simonelectric.com/simon-material-formativo-vehiculo-electrico</v>
      </c>
      <c r="E1154" s="20" t="str">
        <f t="shared" si="1"/>
        <v>912@gmail.com</v>
      </c>
      <c r="F1154" s="21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</row>
    <row r="1155" ht="15.75" customHeight="1">
      <c r="A1155" s="18" t="str">
        <f>Descargas!A1155</f>
        <v>874@coac.net</v>
      </c>
      <c r="B1155" s="19" t="str">
        <f>IFERROR(__xludf.DUMMYFUNCTION("IF(OR(regexmatch(A1155,"".*@simon.es$""),REGEXMATCH(A1155,"".*@simon.pt$""),REGEXMATCH(A1155,"".*@simonelectrica.com$""),REGEXMATCH(A1155,"".*@hiberus.com$""),REGEXMATCH(A1155,"".*@simonbrico.es$""),regexmatch(A1155,"".*@simonelectric.com$"")),""null"",A1"&amp;"155)"),"874@coac.net")</f>
        <v>874@coac.net</v>
      </c>
      <c r="C1155" s="5">
        <f>IF(B1155="null","null",Descargas!B1155)</f>
        <v>43959</v>
      </c>
      <c r="D1155" s="6" t="str">
        <f>Descargas!E1155</f>
        <v>https://resources.simonelectric.com/simon-material-formativo-vehiculo-electrico</v>
      </c>
      <c r="E1155" s="20" t="str">
        <f t="shared" si="1"/>
        <v>874@coac.net</v>
      </c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</row>
    <row r="1156" ht="15.75" customHeight="1">
      <c r="A1156" s="18" t="str">
        <f>Descargas!A1156</f>
        <v>879@sicoris.com</v>
      </c>
      <c r="B1156" s="19" t="str">
        <f>IFERROR(__xludf.DUMMYFUNCTION("IF(OR(regexmatch(A1156,"".*@simon.es$""),REGEXMATCH(A1156,"".*@simon.pt$""),REGEXMATCH(A1156,"".*@simonelectrica.com$""),REGEXMATCH(A1156,"".*@hiberus.com$""),REGEXMATCH(A1156,"".*@simonbrico.es$""),regexmatch(A1156,"".*@simonelectric.com$"")),""null"",A1"&amp;"156)"),"879@sicoris.com")</f>
        <v>879@sicoris.com</v>
      </c>
      <c r="C1156" s="5">
        <f>IF(B1156="null","null",Descargas!B1156)</f>
        <v>43959</v>
      </c>
      <c r="D1156" s="6" t="str">
        <f>Descargas!E1156</f>
        <v>https://resources.simonelectric.com/simon-material-formativo-vehiculo-electrico</v>
      </c>
      <c r="E1156" s="20" t="str">
        <f t="shared" si="1"/>
        <v>879@sicoris.com</v>
      </c>
      <c r="F1156" s="21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</row>
    <row r="1157" ht="15.75" customHeight="1">
      <c r="A1157" s="18" t="str">
        <f>Descargas!A1157</f>
        <v>876@arquitectonica.cat</v>
      </c>
      <c r="B1157" s="19" t="str">
        <f>IFERROR(__xludf.DUMMYFUNCTION("IF(OR(regexmatch(A1157,"".*@simon.es$""),REGEXMATCH(A1157,"".*@simon.pt$""),REGEXMATCH(A1157,"".*@simonelectrica.com$""),REGEXMATCH(A1157,"".*@hiberus.com$""),REGEXMATCH(A1157,"".*@simonbrico.es$""),regexmatch(A1157,"".*@simonelectric.com$"")),""null"",A1"&amp;"157)"),"876@arquitectonica.cat")</f>
        <v>876@arquitectonica.cat</v>
      </c>
      <c r="C1157" s="5">
        <f>IF(B1157="null","null",Descargas!B1157)</f>
        <v>43959</v>
      </c>
      <c r="D1157" s="6" t="str">
        <f>Descargas!E1157</f>
        <v>https://resources.simonelectric.com/simon-material-formativo-vehiculo-electrico</v>
      </c>
      <c r="E1157" s="20" t="str">
        <f t="shared" si="1"/>
        <v>876@arquitectonica.cat</v>
      </c>
      <c r="F1157" s="21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</row>
    <row r="1158" ht="15.75" customHeight="1">
      <c r="A1158" s="18" t="str">
        <f>Descargas!A1158</f>
        <v>913@quorania.com</v>
      </c>
      <c r="B1158" s="19" t="str">
        <f>IFERROR(__xludf.DUMMYFUNCTION("IF(OR(regexmatch(A1158,"".*@simon.es$""),REGEXMATCH(A1158,"".*@simon.pt$""),REGEXMATCH(A1158,"".*@simonelectrica.com$""),REGEXMATCH(A1158,"".*@hiberus.com$""),REGEXMATCH(A1158,"".*@simonbrico.es$""),regexmatch(A1158,"".*@simonelectric.com$"")),""null"",A1"&amp;"158)"),"913@quorania.com")</f>
        <v>913@quorania.com</v>
      </c>
      <c r="C1158" s="5">
        <f>IF(B1158="null","null",Descargas!B1158)</f>
        <v>43959</v>
      </c>
      <c r="D1158" s="6" t="str">
        <f>Descargas!E1158</f>
        <v>https://resources.simonelectric.com/simon-material-formativo-vehiculo-electrico</v>
      </c>
      <c r="E1158" s="20" t="str">
        <f t="shared" si="1"/>
        <v>913@quorania.com</v>
      </c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</row>
    <row r="1159" ht="15.75" customHeight="1">
      <c r="A1159" s="18" t="str">
        <f>Descargas!A1159</f>
        <v>880@miquelnieto.com</v>
      </c>
      <c r="B1159" s="19" t="str">
        <f>IFERROR(__xludf.DUMMYFUNCTION("IF(OR(regexmatch(A1159,"".*@simon.es$""),REGEXMATCH(A1159,"".*@simon.pt$""),REGEXMATCH(A1159,"".*@simonelectrica.com$""),REGEXMATCH(A1159,"".*@hiberus.com$""),REGEXMATCH(A1159,"".*@simonbrico.es$""),regexmatch(A1159,"".*@simonelectric.com$"")),""null"",A1"&amp;"159)"),"880@miquelnieto.com")</f>
        <v>880@miquelnieto.com</v>
      </c>
      <c r="C1159" s="5">
        <f>IF(B1159="null","null",Descargas!B1159)</f>
        <v>43959</v>
      </c>
      <c r="D1159" s="6" t="str">
        <f>Descargas!E1159</f>
        <v>https://resources.simonelectric.com/simon-material-formativo-vehiculo-electrico</v>
      </c>
      <c r="E1159" s="20" t="str">
        <f t="shared" si="1"/>
        <v>880@miquelnieto.com</v>
      </c>
      <c r="F1159" s="21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</row>
    <row r="1160" ht="15.75" customHeight="1">
      <c r="A1160" s="18" t="str">
        <f>Descargas!A1160</f>
        <v>658@gmail.com</v>
      </c>
      <c r="B1160" s="19" t="str">
        <f>IFERROR(__xludf.DUMMYFUNCTION("IF(OR(regexmatch(A1160,"".*@simon.es$""),REGEXMATCH(A1160,"".*@simon.pt$""),REGEXMATCH(A1160,"".*@simonelectrica.com$""),REGEXMATCH(A1160,"".*@hiberus.com$""),REGEXMATCH(A1160,"".*@simonbrico.es$""),regexmatch(A1160,"".*@simonelectric.com$"")),""null"",A1"&amp;"160)"),"658@gmail.com")</f>
        <v>658@gmail.com</v>
      </c>
      <c r="C1160" s="5">
        <f>IF(B1160="null","null",Descargas!B1160)</f>
        <v>43959</v>
      </c>
      <c r="D1160" s="6" t="str">
        <f>Descargas!E1160</f>
        <v>https://resources.simonelectric.com/simon-material-formativo-vehiculo-electrico</v>
      </c>
      <c r="E1160" s="20" t="str">
        <f t="shared" si="1"/>
        <v>658@gmail.com</v>
      </c>
      <c r="F1160" s="21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</row>
    <row r="1161" ht="15.75" customHeight="1">
      <c r="A1161" s="18" t="str">
        <f>Descargas!A1161</f>
        <v>914@gmail.com</v>
      </c>
      <c r="B1161" s="19" t="str">
        <f>IFERROR(__xludf.DUMMYFUNCTION("IF(OR(regexmatch(A1161,"".*@simon.es$""),REGEXMATCH(A1161,"".*@simon.pt$""),REGEXMATCH(A1161,"".*@simonelectrica.com$""),REGEXMATCH(A1161,"".*@hiberus.com$""),REGEXMATCH(A1161,"".*@simonbrico.es$""),regexmatch(A1161,"".*@simonelectric.com$"")),""null"",A1"&amp;"161)"),"914@gmail.com")</f>
        <v>914@gmail.com</v>
      </c>
      <c r="C1161" s="5">
        <f>IF(B1161="null","null",Descargas!B1161)</f>
        <v>43959</v>
      </c>
      <c r="D1161" s="6" t="str">
        <f>Descargas!E1161</f>
        <v>https://resources.simonelectric.com/simon-ebook-vehiculo-electrico-ppc</v>
      </c>
      <c r="E1161" s="20" t="str">
        <f t="shared" si="1"/>
        <v>914@gmail.com</v>
      </c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</row>
    <row r="1162" ht="15.75" customHeight="1">
      <c r="A1162" s="18" t="str">
        <f>Descargas!A1162</f>
        <v>915@gmail.com</v>
      </c>
      <c r="B1162" s="19" t="str">
        <f>IFERROR(__xludf.DUMMYFUNCTION("IF(OR(regexmatch(A1162,"".*@simon.es$""),REGEXMATCH(A1162,"".*@simon.pt$""),REGEXMATCH(A1162,"".*@simonelectrica.com$""),REGEXMATCH(A1162,"".*@hiberus.com$""),REGEXMATCH(A1162,"".*@simonbrico.es$""),regexmatch(A1162,"".*@simonelectric.com$"")),""null"",A1"&amp;"162)"),"915@gmail.com")</f>
        <v>915@gmail.com</v>
      </c>
      <c r="C1162" s="5">
        <f>IF(B1162="null","null",Descargas!B1162)</f>
        <v>43959</v>
      </c>
      <c r="D1162" s="6" t="str">
        <f>Descargas!E1162</f>
        <v>https://resources.simonelectric.com/simon-catalogo-vehiculo-electrico</v>
      </c>
      <c r="E1162" s="20" t="str">
        <f t="shared" si="1"/>
        <v>915@gmail.com</v>
      </c>
      <c r="F1162" s="21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</row>
    <row r="1163" ht="15.75" customHeight="1">
      <c r="A1163" s="18" t="str">
        <f>Descargas!A1163</f>
        <v>915@gmail.com</v>
      </c>
      <c r="B1163" s="19" t="str">
        <f>IFERROR(__xludf.DUMMYFUNCTION("IF(OR(regexmatch(A1163,"".*@simon.es$""),REGEXMATCH(A1163,"".*@simon.pt$""),REGEXMATCH(A1163,"".*@simonelectrica.com$""),REGEXMATCH(A1163,"".*@hiberus.com$""),REGEXMATCH(A1163,"".*@simonbrico.es$""),regexmatch(A1163,"".*@simonelectric.com$"")),""null"",A1"&amp;"163)"),"915@gmail.com")</f>
        <v>915@gmail.com</v>
      </c>
      <c r="C1163" s="5">
        <f>IF(B1163="null","null",Descargas!B1163)</f>
        <v>43959</v>
      </c>
      <c r="D1163" s="6" t="str">
        <f>Descargas!E1163</f>
        <v>https://resources.simonelectric.com/simon-ebook-vehiculo-electrico</v>
      </c>
      <c r="E1163" s="20" t="str">
        <f t="shared" si="1"/>
        <v>915@gmail.com</v>
      </c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</row>
    <row r="1164" ht="15.75" customHeight="1">
      <c r="A1164" s="18" t="str">
        <f>Descargas!A1164</f>
        <v>916@gcaarq.com</v>
      </c>
      <c r="B1164" s="19" t="str">
        <f>IFERROR(__xludf.DUMMYFUNCTION("IF(OR(regexmatch(A1164,"".*@simon.es$""),REGEXMATCH(A1164,"".*@simon.pt$""),REGEXMATCH(A1164,"".*@simonelectrica.com$""),REGEXMATCH(A1164,"".*@hiberus.com$""),REGEXMATCH(A1164,"".*@simonbrico.es$""),regexmatch(A1164,"".*@simonelectric.com$"")),""null"",A1"&amp;"164)"),"916@gcaarq.com")</f>
        <v>916@gcaarq.com</v>
      </c>
      <c r="C1164" s="5">
        <f>IF(B1164="null","null",Descargas!B1164)</f>
        <v>43959</v>
      </c>
      <c r="D1164" s="6" t="str">
        <f>Descargas!E1164</f>
        <v>https://resources.simonelectric.com/simon-catalogo-vehiculo-electrico</v>
      </c>
      <c r="E1164" s="20" t="str">
        <f t="shared" si="1"/>
        <v>916@gcaarq.com</v>
      </c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</row>
    <row r="1165" ht="15.75" customHeight="1">
      <c r="A1165" s="18" t="str">
        <f>Descargas!A1165</f>
        <v>917@gmail.com</v>
      </c>
      <c r="B1165" s="19" t="str">
        <f>IFERROR(__xludf.DUMMYFUNCTION("IF(OR(regexmatch(A1165,"".*@simon.es$""),REGEXMATCH(A1165,"".*@simon.pt$""),REGEXMATCH(A1165,"".*@simonelectrica.com$""),REGEXMATCH(A1165,"".*@hiberus.com$""),REGEXMATCH(A1165,"".*@simonbrico.es$""),regexmatch(A1165,"".*@simonelectric.com$"")),""null"",A1"&amp;"165)"),"917@gmail.com")</f>
        <v>917@gmail.com</v>
      </c>
      <c r="C1165" s="5">
        <f>IF(B1165="null","null",Descargas!B1165)</f>
        <v>43959</v>
      </c>
      <c r="D1165" s="6" t="str">
        <f>Descargas!E1165</f>
        <v>https://resources.simonelectric.com/simon-ebook-vehiculo-electrico</v>
      </c>
      <c r="E1165" s="20" t="str">
        <f t="shared" si="1"/>
        <v>917@gmail.com</v>
      </c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</row>
    <row r="1166" ht="15.75" customHeight="1">
      <c r="A1166" s="18" t="str">
        <f>Descargas!A1166</f>
        <v>918@gmail.com</v>
      </c>
      <c r="B1166" s="19" t="str">
        <f>IFERROR(__xludf.DUMMYFUNCTION("IF(OR(regexmatch(A1166,"".*@simon.es$""),REGEXMATCH(A1166,"".*@simon.pt$""),REGEXMATCH(A1166,"".*@simonelectrica.com$""),REGEXMATCH(A1166,"".*@hiberus.com$""),REGEXMATCH(A1166,"".*@simonbrico.es$""),regexmatch(A1166,"".*@simonelectric.com$"")),""null"",A1"&amp;"166)"),"918@gmail.com")</f>
        <v>918@gmail.com</v>
      </c>
      <c r="C1166" s="5">
        <f>IF(B1166="null","null",Descargas!B1166)</f>
        <v>43959</v>
      </c>
      <c r="D1166" s="6" t="str">
        <f>Descargas!E1166</f>
        <v>https://resources.simonelectric.com/simon-ebook-vehiculo-electrico</v>
      </c>
      <c r="E1166" s="20" t="str">
        <f t="shared" si="1"/>
        <v>918@gmail.com</v>
      </c>
      <c r="F1166" s="21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</row>
    <row r="1167" ht="15.75" customHeight="1">
      <c r="A1167" s="18" t="str">
        <f>Descargas!A1167</f>
        <v>919@hotmail.com</v>
      </c>
      <c r="B1167" s="19" t="str">
        <f>IFERROR(__xludf.DUMMYFUNCTION("IF(OR(regexmatch(A1167,"".*@simon.es$""),REGEXMATCH(A1167,"".*@simon.pt$""),REGEXMATCH(A1167,"".*@simonelectrica.com$""),REGEXMATCH(A1167,"".*@hiberus.com$""),REGEXMATCH(A1167,"".*@simonbrico.es$""),regexmatch(A1167,"".*@simonelectric.com$"")),""null"",A1"&amp;"167)"),"919@hotmail.com")</f>
        <v>919@hotmail.com</v>
      </c>
      <c r="C1167" s="5">
        <f>IF(B1167="null","null",Descargas!B1167)</f>
        <v>43958</v>
      </c>
      <c r="D1167" s="6" t="str">
        <f>Descargas!E1167</f>
        <v>https://resources.simonelectric.com/simon-catalogo-vehiculo-electrico</v>
      </c>
      <c r="E1167" s="20" t="str">
        <f t="shared" si="1"/>
        <v>919@hotmail.com</v>
      </c>
      <c r="F1167" s="21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</row>
    <row r="1168" ht="15.75" customHeight="1">
      <c r="A1168" s="18" t="str">
        <f>Descargas!A1168</f>
        <v>920@meval.eu</v>
      </c>
      <c r="B1168" s="19" t="str">
        <f>IFERROR(__xludf.DUMMYFUNCTION("IF(OR(regexmatch(A1168,"".*@simon.es$""),REGEXMATCH(A1168,"".*@simon.pt$""),REGEXMATCH(A1168,"".*@simonelectrica.com$""),REGEXMATCH(A1168,"".*@hiberus.com$""),REGEXMATCH(A1168,"".*@simonbrico.es$""),regexmatch(A1168,"".*@simonelectric.com$"")),""null"",A1"&amp;"168)"),"920@meval.eu")</f>
        <v>920@meval.eu</v>
      </c>
      <c r="C1168" s="5">
        <f>IF(B1168="null","null",Descargas!B1168)</f>
        <v>43958</v>
      </c>
      <c r="D1168" s="6" t="str">
        <f>Descargas!E1168</f>
        <v>https://resources.simonelectric.com/simon-ebook-vehiculo-electrico</v>
      </c>
      <c r="E1168" s="20" t="str">
        <f t="shared" si="1"/>
        <v>920@meval.eu</v>
      </c>
      <c r="F1168" s="21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</row>
    <row r="1169" ht="15.75" customHeight="1">
      <c r="A1169" s="18" t="str">
        <f>Descargas!A1169</f>
        <v>921@gmail.com</v>
      </c>
      <c r="B1169" s="19" t="str">
        <f>IFERROR(__xludf.DUMMYFUNCTION("IF(OR(regexmatch(A1169,"".*@simon.es$""),REGEXMATCH(A1169,"".*@simon.pt$""),REGEXMATCH(A1169,"".*@simonelectrica.com$""),REGEXMATCH(A1169,"".*@hiberus.com$""),REGEXMATCH(A1169,"".*@simonbrico.es$""),regexmatch(A1169,"".*@simonelectric.com$"")),""null"",A1"&amp;"169)"),"921@gmail.com")</f>
        <v>921@gmail.com</v>
      </c>
      <c r="C1169" s="5">
        <f>IF(B1169="null","null",Descargas!B1169)</f>
        <v>43958</v>
      </c>
      <c r="D1169" s="6" t="str">
        <f>Descargas!E1169</f>
        <v>https://resources.simonelectric.com/simon-ebook-vehiculo-electrico</v>
      </c>
      <c r="E1169" s="20" t="str">
        <f t="shared" si="1"/>
        <v>921@gmail.com</v>
      </c>
      <c r="F1169" s="21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</row>
    <row r="1170" ht="15.75" customHeight="1">
      <c r="A1170" s="18" t="str">
        <f>Descargas!A1170</f>
        <v>922@ingenierosvigo.com</v>
      </c>
      <c r="B1170" s="19" t="str">
        <f>IFERROR(__xludf.DUMMYFUNCTION("IF(OR(regexmatch(A1170,"".*@simon.es$""),REGEXMATCH(A1170,"".*@simon.pt$""),REGEXMATCH(A1170,"".*@simonelectrica.com$""),REGEXMATCH(A1170,"".*@hiberus.com$""),REGEXMATCH(A1170,"".*@simonbrico.es$""),regexmatch(A1170,"".*@simonelectric.com$"")),""null"",A1"&amp;"170)"),"922@ingenierosvigo.com")</f>
        <v>922@ingenierosvigo.com</v>
      </c>
      <c r="C1170" s="5">
        <f>IF(B1170="null","null",Descargas!B1170)</f>
        <v>43958</v>
      </c>
      <c r="D1170" s="6" t="str">
        <f>Descargas!E1170</f>
        <v>https://resources.simonelectric.com/simon-ebook-vehiculo-electrico</v>
      </c>
      <c r="E1170" s="20" t="str">
        <f t="shared" si="1"/>
        <v>922@ingenierosvigo.com</v>
      </c>
      <c r="F1170" s="21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</row>
    <row r="1171" ht="15.75" customHeight="1">
      <c r="A1171" s="18" t="str">
        <f>Descargas!A1171</f>
        <v>923@gmail.com</v>
      </c>
      <c r="B1171" s="19" t="str">
        <f>IFERROR(__xludf.DUMMYFUNCTION("IF(OR(regexmatch(A1171,"".*@simon.es$""),REGEXMATCH(A1171,"".*@simon.pt$""),REGEXMATCH(A1171,"".*@simonelectrica.com$""),REGEXMATCH(A1171,"".*@hiberus.com$""),REGEXMATCH(A1171,"".*@simonbrico.es$""),regexmatch(A1171,"".*@simonelectric.com$"")),""null"",A1"&amp;"171)"),"923@gmail.com")</f>
        <v>923@gmail.com</v>
      </c>
      <c r="C1171" s="5">
        <f>IF(B1171="null","null",Descargas!B1171)</f>
        <v>43958</v>
      </c>
      <c r="D1171" s="6" t="str">
        <f>Descargas!E1171</f>
        <v>https://resources.simonelectric.com/simon-ebook-vehiculo-electrico</v>
      </c>
      <c r="E1171" s="20" t="str">
        <f t="shared" si="1"/>
        <v>923@gmail.com</v>
      </c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</row>
    <row r="1172" ht="15.75" customHeight="1">
      <c r="A1172" s="18" t="str">
        <f>Descargas!A1172</f>
        <v>924@msn.com</v>
      </c>
      <c r="B1172" s="19" t="str">
        <f>IFERROR(__xludf.DUMMYFUNCTION("IF(OR(regexmatch(A1172,"".*@simon.es$""),REGEXMATCH(A1172,"".*@simon.pt$""),REGEXMATCH(A1172,"".*@simonelectrica.com$""),REGEXMATCH(A1172,"".*@hiberus.com$""),REGEXMATCH(A1172,"".*@simonbrico.es$""),regexmatch(A1172,"".*@simonelectric.com$"")),""null"",A1"&amp;"172)"),"924@msn.com")</f>
        <v>924@msn.com</v>
      </c>
      <c r="C1172" s="5">
        <f>IF(B1172="null","null",Descargas!B1172)</f>
        <v>43958</v>
      </c>
      <c r="D1172" s="6" t="str">
        <f>Descargas!E1172</f>
        <v>https://resources.simonelectric.com/simon-ebook-vehiculo-electrico-ppc</v>
      </c>
      <c r="E1172" s="20" t="str">
        <f t="shared" si="1"/>
        <v>924@msn.com</v>
      </c>
      <c r="F1172" s="21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</row>
    <row r="1173" ht="15.75" customHeight="1">
      <c r="A1173" s="18" t="str">
        <f>Descargas!A1173</f>
        <v>925@eco-voltaica.com</v>
      </c>
      <c r="B1173" s="19" t="str">
        <f>IFERROR(__xludf.DUMMYFUNCTION("IF(OR(regexmatch(A1173,"".*@simon.es$""),REGEXMATCH(A1173,"".*@simon.pt$""),REGEXMATCH(A1173,"".*@simonelectrica.com$""),REGEXMATCH(A1173,"".*@hiberus.com$""),REGEXMATCH(A1173,"".*@simonbrico.es$""),regexmatch(A1173,"".*@simonelectric.com$"")),""null"",A1"&amp;"173)"),"925@eco-voltaica.com")</f>
        <v>925@eco-voltaica.com</v>
      </c>
      <c r="C1173" s="5">
        <f>IF(B1173="null","null",Descargas!B1173)</f>
        <v>43958</v>
      </c>
      <c r="D1173" s="6" t="str">
        <f>Descargas!E1173</f>
        <v>https://resources.simonelectric.com/simon-catalogo-vehiculo-electrico</v>
      </c>
      <c r="E1173" s="20" t="str">
        <f t="shared" si="1"/>
        <v>925@eco-voltaica.com</v>
      </c>
      <c r="F1173" s="21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</row>
    <row r="1174" ht="15.75" customHeight="1">
      <c r="A1174" s="18" t="str">
        <f>Descargas!A1174</f>
        <v>926@electricidadyserviciosmontero.com</v>
      </c>
      <c r="B1174" s="19" t="str">
        <f>IFERROR(__xludf.DUMMYFUNCTION("IF(OR(regexmatch(A1174,"".*@simon.es$""),REGEXMATCH(A1174,"".*@simon.pt$""),REGEXMATCH(A1174,"".*@simonelectrica.com$""),REGEXMATCH(A1174,"".*@hiberus.com$""),REGEXMATCH(A1174,"".*@simonbrico.es$""),regexmatch(A1174,"".*@simonelectric.com$"")),""null"",A1"&amp;"174)"),"926@electricidadyserviciosmontero.com")</f>
        <v>926@electricidadyserviciosmontero.com</v>
      </c>
      <c r="C1174" s="5">
        <f>IF(B1174="null","null",Descargas!B1174)</f>
        <v>43958</v>
      </c>
      <c r="D1174" s="6" t="str">
        <f>Descargas!E1174</f>
        <v>https://resources.simonelectric.com/simon-ebook-vehiculo-electrico</v>
      </c>
      <c r="E1174" s="20" t="str">
        <f t="shared" si="1"/>
        <v>926@electricidadyserviciosmontero.com</v>
      </c>
      <c r="F1174" s="21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</row>
    <row r="1175" ht="15.75" customHeight="1">
      <c r="A1175" s="18" t="str">
        <f>Descargas!A1175</f>
        <v>927@argionelectric.es</v>
      </c>
      <c r="B1175" s="19" t="str">
        <f>IFERROR(__xludf.DUMMYFUNCTION("IF(OR(regexmatch(A1175,"".*@simon.es$""),REGEXMATCH(A1175,"".*@simon.pt$""),REGEXMATCH(A1175,"".*@simonelectrica.com$""),REGEXMATCH(A1175,"".*@hiberus.com$""),REGEXMATCH(A1175,"".*@simonbrico.es$""),regexmatch(A1175,"".*@simonelectric.com$"")),""null"",A1"&amp;"175)"),"927@argionelectric.es")</f>
        <v>927@argionelectric.es</v>
      </c>
      <c r="C1175" s="5">
        <f>IF(B1175="null","null",Descargas!B1175)</f>
        <v>43958</v>
      </c>
      <c r="D1175" s="6" t="str">
        <f>Descargas!E1175</f>
        <v>https://resources.simonelectric.com/simon-ebook-vehiculo-electrico</v>
      </c>
      <c r="E1175" s="20" t="str">
        <f t="shared" si="1"/>
        <v>927@argionelectric.es</v>
      </c>
      <c r="F1175" s="21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</row>
    <row r="1176" ht="15.75" customHeight="1">
      <c r="A1176" s="18" t="str">
        <f>Descargas!A1176</f>
        <v>928@gmail.com</v>
      </c>
      <c r="B1176" s="19" t="str">
        <f>IFERROR(__xludf.DUMMYFUNCTION("IF(OR(regexmatch(A1176,"".*@simon.es$""),REGEXMATCH(A1176,"".*@simon.pt$""),REGEXMATCH(A1176,"".*@simonelectrica.com$""),REGEXMATCH(A1176,"".*@hiberus.com$""),REGEXMATCH(A1176,"".*@simonbrico.es$""),regexmatch(A1176,"".*@simonelectric.com$"")),""null"",A1"&amp;"176)"),"928@gmail.com")</f>
        <v>928@gmail.com</v>
      </c>
      <c r="C1176" s="5">
        <f>IF(B1176="null","null",Descargas!B1176)</f>
        <v>43958</v>
      </c>
      <c r="D1176" s="6" t="str">
        <f>Descargas!E1176</f>
        <v>https://resources.simonelectric.com/simon-catalogo-vehiculo-electrico</v>
      </c>
      <c r="E1176" s="20" t="str">
        <f t="shared" si="1"/>
        <v>928@gmail.com</v>
      </c>
      <c r="F1176" s="21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</row>
    <row r="1177" ht="15.75" customHeight="1">
      <c r="A1177" s="18" t="str">
        <f>Descargas!A1177</f>
        <v>929@acciona.com</v>
      </c>
      <c r="B1177" s="19" t="str">
        <f>IFERROR(__xludf.DUMMYFUNCTION("IF(OR(regexmatch(A1177,"".*@simon.es$""),REGEXMATCH(A1177,"".*@simon.pt$""),REGEXMATCH(A1177,"".*@simonelectrica.com$""),REGEXMATCH(A1177,"".*@hiberus.com$""),REGEXMATCH(A1177,"".*@simonbrico.es$""),regexmatch(A1177,"".*@simonelectric.com$"")),""null"",A1"&amp;"177)"),"929@acciona.com")</f>
        <v>929@acciona.com</v>
      </c>
      <c r="C1177" s="5">
        <f>IF(B1177="null","null",Descargas!B1177)</f>
        <v>43958</v>
      </c>
      <c r="D1177" s="6" t="str">
        <f>Descargas!E1177</f>
        <v>https://resources.simonelectric.com/simon-catalogo-vehiculo-electrico</v>
      </c>
      <c r="E1177" s="20" t="str">
        <f t="shared" si="1"/>
        <v>929@acciona.com</v>
      </c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</row>
    <row r="1178" ht="15.75" customHeight="1">
      <c r="A1178" s="18" t="str">
        <f>Descargas!A1178</f>
        <v>930@acciona.com</v>
      </c>
      <c r="B1178" s="19" t="str">
        <f>IFERROR(__xludf.DUMMYFUNCTION("IF(OR(regexmatch(A1178,"".*@simon.es$""),REGEXMATCH(A1178,"".*@simon.pt$""),REGEXMATCH(A1178,"".*@simonelectrica.com$""),REGEXMATCH(A1178,"".*@hiberus.com$""),REGEXMATCH(A1178,"".*@simonbrico.es$""),regexmatch(A1178,"".*@simonelectric.com$"")),""null"",A1"&amp;"178)"),"930@acciona.com")</f>
        <v>930@acciona.com</v>
      </c>
      <c r="C1178" s="5">
        <f>IF(B1178="null","null",Descargas!B1178)</f>
        <v>43958</v>
      </c>
      <c r="D1178" s="6" t="str">
        <f>Descargas!E1178</f>
        <v>https://resources.simonelectric.com/simon-ebook-vehiculo-electrico</v>
      </c>
      <c r="E1178" s="20" t="str">
        <f t="shared" si="1"/>
        <v>930@acciona.com</v>
      </c>
      <c r="F1178" s="21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</row>
    <row r="1179" ht="15.75" customHeight="1">
      <c r="A1179" s="18" t="str">
        <f>Descargas!A1179</f>
        <v>931@acciona.com</v>
      </c>
      <c r="B1179" s="19" t="str">
        <f>IFERROR(__xludf.DUMMYFUNCTION("IF(OR(regexmatch(A1179,"".*@simon.es$""),REGEXMATCH(A1179,"".*@simon.pt$""),REGEXMATCH(A1179,"".*@simonelectrica.com$""),REGEXMATCH(A1179,"".*@hiberus.com$""),REGEXMATCH(A1179,"".*@simonbrico.es$""),regexmatch(A1179,"".*@simonelectric.com$"")),""null"",A1"&amp;"179)"),"931@acciona.com")</f>
        <v>931@acciona.com</v>
      </c>
      <c r="C1179" s="5">
        <f>IF(B1179="null","null",Descargas!B1179)</f>
        <v>43958</v>
      </c>
      <c r="D1179" s="6" t="str">
        <f>Descargas!E1179</f>
        <v>https://resources.simonelectric.com/simon-catalogo-vehiculo-electrico</v>
      </c>
      <c r="E1179" s="20" t="str">
        <f t="shared" si="1"/>
        <v>931@acciona.com</v>
      </c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</row>
    <row r="1180" ht="15.75" customHeight="1">
      <c r="A1180" s="18" t="str">
        <f>Descargas!A1180</f>
        <v>932@bellmasenginyers.cat</v>
      </c>
      <c r="B1180" s="19" t="str">
        <f>IFERROR(__xludf.DUMMYFUNCTION("IF(OR(regexmatch(A1180,"".*@simon.es$""),REGEXMATCH(A1180,"".*@simon.pt$""),REGEXMATCH(A1180,"".*@simonelectrica.com$""),REGEXMATCH(A1180,"".*@hiberus.com$""),REGEXMATCH(A1180,"".*@simonbrico.es$""),regexmatch(A1180,"".*@simonelectric.com$"")),""null"",A1"&amp;"180)"),"932@bellmasenginyers.cat")</f>
        <v>932@bellmasenginyers.cat</v>
      </c>
      <c r="C1180" s="5">
        <f>IF(B1180="null","null",Descargas!B1180)</f>
        <v>43958</v>
      </c>
      <c r="D1180" s="6" t="str">
        <f>Descargas!E1180</f>
        <v>https://resources.simonelectric.com/simon-ebook-vehiculo-electrico</v>
      </c>
      <c r="E1180" s="20" t="str">
        <f t="shared" si="1"/>
        <v>932@bellmasenginyers.cat</v>
      </c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</row>
    <row r="1181" ht="15.75" customHeight="1">
      <c r="A1181" s="18" t="str">
        <f>Descargas!A1181</f>
        <v>727@membrives.es</v>
      </c>
      <c r="B1181" s="19" t="str">
        <f>IFERROR(__xludf.DUMMYFUNCTION("IF(OR(regexmatch(A1181,"".*@simon.es$""),REGEXMATCH(A1181,"".*@simon.pt$""),REGEXMATCH(A1181,"".*@simonelectrica.com$""),REGEXMATCH(A1181,"".*@hiberus.com$""),REGEXMATCH(A1181,"".*@simonbrico.es$""),regexmatch(A1181,"".*@simonelectric.com$"")),""null"",A1"&amp;"181)"),"727@membrives.es")</f>
        <v>727@membrives.es</v>
      </c>
      <c r="C1181" s="5">
        <f>IF(B1181="null","null",Descargas!B1181)</f>
        <v>43958</v>
      </c>
      <c r="D1181" s="6" t="str">
        <f>Descargas!E1181</f>
        <v>https://resources.simonelectric.com/simon-catalogo-vehiculo-electrico</v>
      </c>
      <c r="E1181" s="20" t="str">
        <f t="shared" si="1"/>
        <v>727@membrives.es</v>
      </c>
      <c r="F1181" s="21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</row>
    <row r="1182" ht="15.75" customHeight="1">
      <c r="A1182" s="18" t="str">
        <f>Descargas!A1182</f>
        <v>933@orsei.es</v>
      </c>
      <c r="B1182" s="19" t="str">
        <f>IFERROR(__xludf.DUMMYFUNCTION("IF(OR(regexmatch(A1182,"".*@simon.es$""),REGEXMATCH(A1182,"".*@simon.pt$""),REGEXMATCH(A1182,"".*@simonelectrica.com$""),REGEXMATCH(A1182,"".*@hiberus.com$""),REGEXMATCH(A1182,"".*@simonbrico.es$""),regexmatch(A1182,"".*@simonelectric.com$"")),""null"",A1"&amp;"182)"),"933@orsei.es")</f>
        <v>933@orsei.es</v>
      </c>
      <c r="C1182" s="5">
        <f>IF(B1182="null","null",Descargas!B1182)</f>
        <v>43958</v>
      </c>
      <c r="D1182" s="6" t="str">
        <f>Descargas!E1182</f>
        <v>https://resources.simonelectric.com/simon-ebook-vehiculo-electrico-ppc</v>
      </c>
      <c r="E1182" s="20" t="str">
        <f t="shared" si="1"/>
        <v>933@orsei.es</v>
      </c>
      <c r="F1182" s="21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</row>
    <row r="1183" ht="15.75" customHeight="1">
      <c r="A1183" s="18" t="str">
        <f>Descargas!A1183</f>
        <v>933@orsei.es</v>
      </c>
      <c r="B1183" s="19" t="str">
        <f>IFERROR(__xludf.DUMMYFUNCTION("IF(OR(regexmatch(A1183,"".*@simon.es$""),REGEXMATCH(A1183,"".*@simon.pt$""),REGEXMATCH(A1183,"".*@simonelectrica.com$""),REGEXMATCH(A1183,"".*@hiberus.com$""),REGEXMATCH(A1183,"".*@simonbrico.es$""),regexmatch(A1183,"".*@simonelectric.com$"")),""null"",A1"&amp;"183)"),"933@orsei.es")</f>
        <v>933@orsei.es</v>
      </c>
      <c r="C1183" s="5">
        <f>IF(B1183="null","null",Descargas!B1183)</f>
        <v>43958</v>
      </c>
      <c r="D1183" s="6" t="str">
        <f>Descargas!E1183</f>
        <v>https://resources.simonelectric.com/simon-ebook-vehiculo-electrico-ppc</v>
      </c>
      <c r="E1183" s="20" t="str">
        <f t="shared" si="1"/>
        <v>933@orsei.es</v>
      </c>
      <c r="F1183" s="21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</row>
    <row r="1184" ht="15.75" customHeight="1">
      <c r="A1184" s="18" t="str">
        <f>Descargas!A1184</f>
        <v>934@outlook.com</v>
      </c>
      <c r="B1184" s="19" t="str">
        <f>IFERROR(__xludf.DUMMYFUNCTION("IF(OR(regexmatch(A1184,"".*@simon.es$""),REGEXMATCH(A1184,"".*@simon.pt$""),REGEXMATCH(A1184,"".*@simonelectrica.com$""),REGEXMATCH(A1184,"".*@hiberus.com$""),REGEXMATCH(A1184,"".*@simonbrico.es$""),regexmatch(A1184,"".*@simonelectric.com$"")),""null"",A1"&amp;"184)"),"934@outlook.com")</f>
        <v>934@outlook.com</v>
      </c>
      <c r="C1184" s="5">
        <f>IF(B1184="null","null",Descargas!B1184)</f>
        <v>43958</v>
      </c>
      <c r="D1184" s="6" t="str">
        <f>Descargas!E1184</f>
        <v>https://resources.simonelectric.com/simon-ebook-vehiculo-electrico</v>
      </c>
      <c r="E1184" s="20" t="str">
        <f t="shared" si="1"/>
        <v>934@outlook.com</v>
      </c>
      <c r="F1184" s="21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</row>
    <row r="1185" ht="15.75" customHeight="1">
      <c r="A1185" s="18" t="str">
        <f>Descargas!A1185</f>
        <v>935@gmail.com</v>
      </c>
      <c r="B1185" s="19" t="str">
        <f>IFERROR(__xludf.DUMMYFUNCTION("IF(OR(regexmatch(A1185,"".*@simon.es$""),REGEXMATCH(A1185,"".*@simon.pt$""),REGEXMATCH(A1185,"".*@simonelectrica.com$""),REGEXMATCH(A1185,"".*@hiberus.com$""),REGEXMATCH(A1185,"".*@simonbrico.es$""),regexmatch(A1185,"".*@simonelectric.com$"")),""null"",A1"&amp;"185)"),"935@gmail.com")</f>
        <v>935@gmail.com</v>
      </c>
      <c r="C1185" s="5">
        <f>IF(B1185="null","null",Descargas!B1185)</f>
        <v>43957</v>
      </c>
      <c r="D1185" s="6" t="str">
        <f>Descargas!E1185</f>
        <v>https://resources.simonelectric.com/simon-catalogo-vehiculo-electrico</v>
      </c>
      <c r="E1185" s="20" t="str">
        <f t="shared" si="1"/>
        <v>935@gmail.com</v>
      </c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</row>
    <row r="1186" ht="15.75" customHeight="1">
      <c r="A1186" s="18" t="str">
        <f>Descargas!A1186</f>
        <v>936@gmail.com</v>
      </c>
      <c r="B1186" s="19" t="str">
        <f>IFERROR(__xludf.DUMMYFUNCTION("IF(OR(regexmatch(A1186,"".*@simon.es$""),REGEXMATCH(A1186,"".*@simon.pt$""),REGEXMATCH(A1186,"".*@simonelectrica.com$""),REGEXMATCH(A1186,"".*@hiberus.com$""),REGEXMATCH(A1186,"".*@simonbrico.es$""),regexmatch(A1186,"".*@simonelectric.com$"")),""null"",A1"&amp;"186)"),"936@gmail.com")</f>
        <v>936@gmail.com</v>
      </c>
      <c r="C1186" s="5">
        <f>IF(B1186="null","null",Descargas!B1186)</f>
        <v>43957</v>
      </c>
      <c r="D1186" s="6" t="str">
        <f>Descargas!E1186</f>
        <v>https://resources.simonelectric.com/simon-catalogo-vehiculo-electrico</v>
      </c>
      <c r="E1186" s="20" t="str">
        <f t="shared" si="1"/>
        <v>936@gmail.com</v>
      </c>
      <c r="F1186" s="21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</row>
    <row r="1187" ht="15.75" customHeight="1">
      <c r="A1187" s="18" t="str">
        <f>Descargas!A1187</f>
        <v>937@gmail.com</v>
      </c>
      <c r="B1187" s="19" t="str">
        <f>IFERROR(__xludf.DUMMYFUNCTION("IF(OR(regexmatch(A1187,"".*@simon.es$""),REGEXMATCH(A1187,"".*@simon.pt$""),REGEXMATCH(A1187,"".*@simonelectrica.com$""),REGEXMATCH(A1187,"".*@hiberus.com$""),REGEXMATCH(A1187,"".*@simonbrico.es$""),regexmatch(A1187,"".*@simonelectric.com$"")),""null"",A1"&amp;"187)"),"937@gmail.com")</f>
        <v>937@gmail.com</v>
      </c>
      <c r="C1187" s="5">
        <f>IF(B1187="null","null",Descargas!B1187)</f>
        <v>43957</v>
      </c>
      <c r="D1187" s="6" t="str">
        <f>Descargas!E1187</f>
        <v>https://resources.simonelectric.com/simon-ebook-vehiculo-electrico-ppc</v>
      </c>
      <c r="E1187" s="20" t="str">
        <f t="shared" si="1"/>
        <v>937@gmail.com</v>
      </c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</row>
    <row r="1188" ht="15.75" customHeight="1">
      <c r="A1188" s="18" t="str">
        <f>Descargas!A1188</f>
        <v>938@montegar.es</v>
      </c>
      <c r="B1188" s="19" t="str">
        <f>IFERROR(__xludf.DUMMYFUNCTION("IF(OR(regexmatch(A1188,"".*@simon.es$""),REGEXMATCH(A1188,"".*@simon.pt$""),REGEXMATCH(A1188,"".*@simonelectrica.com$""),REGEXMATCH(A1188,"".*@hiberus.com$""),REGEXMATCH(A1188,"".*@simonbrico.es$""),regexmatch(A1188,"".*@simonelectric.com$"")),""null"",A1"&amp;"188)"),"938@montegar.es")</f>
        <v>938@montegar.es</v>
      </c>
      <c r="C1188" s="5">
        <f>IF(B1188="null","null",Descargas!B1188)</f>
        <v>43957</v>
      </c>
      <c r="D1188" s="6" t="str">
        <f>Descargas!E1188</f>
        <v>https://resources.simonelectric.com/simon-ebook-vehiculo-electrico</v>
      </c>
      <c r="E1188" s="20" t="str">
        <f t="shared" si="1"/>
        <v>938@montegar.es</v>
      </c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</row>
    <row r="1189" ht="15.75" customHeight="1">
      <c r="A1189" s="18" t="str">
        <f>Descargas!A1189</f>
        <v>938@montegar.es</v>
      </c>
      <c r="B1189" s="19" t="str">
        <f>IFERROR(__xludf.DUMMYFUNCTION("IF(OR(regexmatch(A1189,"".*@simon.es$""),REGEXMATCH(A1189,"".*@simon.pt$""),REGEXMATCH(A1189,"".*@simonelectrica.com$""),REGEXMATCH(A1189,"".*@hiberus.com$""),REGEXMATCH(A1189,"".*@simonbrico.es$""),regexmatch(A1189,"".*@simonelectric.com$"")),""null"",A1"&amp;"189)"),"938@montegar.es")</f>
        <v>938@montegar.es</v>
      </c>
      <c r="C1189" s="5">
        <f>IF(B1189="null","null",Descargas!B1189)</f>
        <v>43957</v>
      </c>
      <c r="D1189" s="6" t="str">
        <f>Descargas!E1189</f>
        <v>https://resources.simonelectric.com/simon-catalogo-vehiculo-electrico</v>
      </c>
      <c r="E1189" s="20" t="str">
        <f t="shared" si="1"/>
        <v>938@montegar.es</v>
      </c>
      <c r="F1189" s="21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</row>
    <row r="1190" ht="15.75" customHeight="1">
      <c r="A1190" s="18" t="str">
        <f>Descargas!A1190</f>
        <v>939@gmail.com</v>
      </c>
      <c r="B1190" s="19" t="str">
        <f>IFERROR(__xludf.DUMMYFUNCTION("IF(OR(regexmatch(A1190,"".*@simon.es$""),REGEXMATCH(A1190,"".*@simon.pt$""),REGEXMATCH(A1190,"".*@simonelectrica.com$""),REGEXMATCH(A1190,"".*@hiberus.com$""),REGEXMATCH(A1190,"".*@simonbrico.es$""),regexmatch(A1190,"".*@simonelectric.com$"")),""null"",A1"&amp;"190)"),"939@gmail.com")</f>
        <v>939@gmail.com</v>
      </c>
      <c r="C1190" s="5">
        <f>IF(B1190="null","null",Descargas!B1190)</f>
        <v>43957</v>
      </c>
      <c r="D1190" s="6" t="str">
        <f>Descargas!E1190</f>
        <v>https://resources.simonelectric.com/simon-ebook-vehiculo-electrico-ppc</v>
      </c>
      <c r="E1190" s="20" t="str">
        <f t="shared" si="1"/>
        <v>939@gmail.com</v>
      </c>
      <c r="F1190" s="21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</row>
    <row r="1191" ht="15.75" customHeight="1">
      <c r="A1191" s="18" t="str">
        <f>Descargas!A1191</f>
        <v>940@masojuando.com</v>
      </c>
      <c r="B1191" s="19" t="str">
        <f>IFERROR(__xludf.DUMMYFUNCTION("IF(OR(regexmatch(A1191,"".*@simon.es$""),REGEXMATCH(A1191,"".*@simon.pt$""),REGEXMATCH(A1191,"".*@simonelectrica.com$""),REGEXMATCH(A1191,"".*@hiberus.com$""),REGEXMATCH(A1191,"".*@simonbrico.es$""),regexmatch(A1191,"".*@simonelectric.com$"")),""null"",A1"&amp;"191)"),"940@masojuando.com")</f>
        <v>940@masojuando.com</v>
      </c>
      <c r="C1191" s="5">
        <f>IF(B1191="null","null",Descargas!B1191)</f>
        <v>43957</v>
      </c>
      <c r="D1191" s="6" t="str">
        <f>Descargas!E1191</f>
        <v>https://resources.simonelectric.com/simon-ebook-vehiculo-electrico</v>
      </c>
      <c r="E1191" s="20" t="str">
        <f t="shared" si="1"/>
        <v>940@masojuando.com</v>
      </c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</row>
    <row r="1192" ht="15.75" customHeight="1">
      <c r="A1192" s="18" t="str">
        <f>Descargas!A1192</f>
        <v>941@gmail.com</v>
      </c>
      <c r="B1192" s="19" t="str">
        <f>IFERROR(__xludf.DUMMYFUNCTION("IF(OR(regexmatch(A1192,"".*@simon.es$""),REGEXMATCH(A1192,"".*@simon.pt$""),REGEXMATCH(A1192,"".*@simonelectrica.com$""),REGEXMATCH(A1192,"".*@hiberus.com$""),REGEXMATCH(A1192,"".*@simonbrico.es$""),regexmatch(A1192,"".*@simonelectric.com$"")),""null"",A1"&amp;"192)"),"941@gmail.com")</f>
        <v>941@gmail.com</v>
      </c>
      <c r="C1192" s="5">
        <f>IF(B1192="null","null",Descargas!B1192)</f>
        <v>43957</v>
      </c>
      <c r="D1192" s="6" t="str">
        <f>Descargas!E1192</f>
        <v>https://resources.simonelectric.com/simon-ebook-vehiculo-electrico-ppc</v>
      </c>
      <c r="E1192" s="20" t="str">
        <f t="shared" si="1"/>
        <v>941@gmail.com</v>
      </c>
      <c r="F1192" s="21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</row>
    <row r="1193" ht="15.75" customHeight="1">
      <c r="A1193" s="18" t="str">
        <f>Descargas!A1193</f>
        <v>942@r11arquitectos.com</v>
      </c>
      <c r="B1193" s="19" t="str">
        <f>IFERROR(__xludf.DUMMYFUNCTION("IF(OR(regexmatch(A1193,"".*@simon.es$""),REGEXMATCH(A1193,"".*@simon.pt$""),REGEXMATCH(A1193,"".*@simonelectrica.com$""),REGEXMATCH(A1193,"".*@hiberus.com$""),REGEXMATCH(A1193,"".*@simonbrico.es$""),regexmatch(A1193,"".*@simonelectric.com$"")),""null"",A1"&amp;"193)"),"942@r11arquitectos.com")</f>
        <v>942@r11arquitectos.com</v>
      </c>
      <c r="C1193" s="5">
        <f>IF(B1193="null","null",Descargas!B1193)</f>
        <v>43957</v>
      </c>
      <c r="D1193" s="6" t="str">
        <f>Descargas!E1193</f>
        <v>https://resources.simonelectric.com/simon-catalogo-vehiculo-electrico</v>
      </c>
      <c r="E1193" s="20" t="str">
        <f t="shared" si="1"/>
        <v>942@r11arquitectos.com</v>
      </c>
      <c r="F1193" s="21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</row>
    <row r="1194" ht="15.75" customHeight="1">
      <c r="A1194" s="18" t="str">
        <f>Descargas!A1194</f>
        <v>943@gabyl.com</v>
      </c>
      <c r="B1194" s="19" t="str">
        <f>IFERROR(__xludf.DUMMYFUNCTION("IF(OR(regexmatch(A1194,"".*@simon.es$""),REGEXMATCH(A1194,"".*@simon.pt$""),REGEXMATCH(A1194,"".*@simonelectrica.com$""),REGEXMATCH(A1194,"".*@hiberus.com$""),REGEXMATCH(A1194,"".*@simonbrico.es$""),regexmatch(A1194,"".*@simonelectric.com$"")),""null"",A1"&amp;"194)"),"943@gabyl.com")</f>
        <v>943@gabyl.com</v>
      </c>
      <c r="C1194" s="5">
        <f>IF(B1194="null","null",Descargas!B1194)</f>
        <v>43957</v>
      </c>
      <c r="D1194" s="6" t="str">
        <f>Descargas!E1194</f>
        <v>https://resources.simonelectric.com/simon-catalogo-vehiculo-electrico</v>
      </c>
      <c r="E1194" s="20" t="str">
        <f t="shared" si="1"/>
        <v>943@gabyl.com</v>
      </c>
      <c r="F1194" s="21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</row>
    <row r="1195" ht="15.75" customHeight="1">
      <c r="A1195" s="18" t="str">
        <f>Descargas!A1195</f>
        <v>944@gmail.com</v>
      </c>
      <c r="B1195" s="19" t="str">
        <f>IFERROR(__xludf.DUMMYFUNCTION("IF(OR(regexmatch(A1195,"".*@simon.es$""),REGEXMATCH(A1195,"".*@simon.pt$""),REGEXMATCH(A1195,"".*@simonelectrica.com$""),REGEXMATCH(A1195,"".*@hiberus.com$""),REGEXMATCH(A1195,"".*@simonbrico.es$""),regexmatch(A1195,"".*@simonelectric.com$"")),""null"",A1"&amp;"195)"),"944@gmail.com")</f>
        <v>944@gmail.com</v>
      </c>
      <c r="C1195" s="5">
        <f>IF(B1195="null","null",Descargas!B1195)</f>
        <v>43957</v>
      </c>
      <c r="D1195" s="6" t="str">
        <f>Descargas!E1195</f>
        <v>https://resources.simonelectric.com/simon-ebook-vehiculo-electrico</v>
      </c>
      <c r="E1195" s="20" t="str">
        <f t="shared" si="1"/>
        <v>944@gmail.com</v>
      </c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</row>
    <row r="1196" ht="15.75" customHeight="1">
      <c r="A1196" s="18" t="str">
        <f>Descargas!A1196</f>
        <v>945@red.renault.es</v>
      </c>
      <c r="B1196" s="19" t="str">
        <f>IFERROR(__xludf.DUMMYFUNCTION("IF(OR(regexmatch(A1196,"".*@simon.es$""),REGEXMATCH(A1196,"".*@simon.pt$""),REGEXMATCH(A1196,"".*@simonelectrica.com$""),REGEXMATCH(A1196,"".*@hiberus.com$""),REGEXMATCH(A1196,"".*@simonbrico.es$""),regexmatch(A1196,"".*@simonelectric.com$"")),""null"",A1"&amp;"196)"),"945@red.renault.es")</f>
        <v>945@red.renault.es</v>
      </c>
      <c r="C1196" s="5">
        <f>IF(B1196="null","null",Descargas!B1196)</f>
        <v>43957</v>
      </c>
      <c r="D1196" s="6" t="str">
        <f>Descargas!E1196</f>
        <v>https://resources.simonelectric.com/simon-catalogo-vehiculo-electrico</v>
      </c>
      <c r="E1196" s="20" t="str">
        <f t="shared" si="1"/>
        <v>945@red.renault.es</v>
      </c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</row>
    <row r="1197" ht="15.75" customHeight="1">
      <c r="A1197" s="18" t="str">
        <f>Descargas!A1197</f>
        <v>946@gmail.com</v>
      </c>
      <c r="B1197" s="19" t="str">
        <f>IFERROR(__xludf.DUMMYFUNCTION("IF(OR(regexmatch(A1197,"".*@simon.es$""),REGEXMATCH(A1197,"".*@simon.pt$""),REGEXMATCH(A1197,"".*@simonelectrica.com$""),REGEXMATCH(A1197,"".*@hiberus.com$""),REGEXMATCH(A1197,"".*@simonbrico.es$""),regexmatch(A1197,"".*@simonelectric.com$"")),""null"",A1"&amp;"197)"),"946@gmail.com")</f>
        <v>946@gmail.com</v>
      </c>
      <c r="C1197" s="5">
        <f>IF(B1197="null","null",Descargas!B1197)</f>
        <v>43957</v>
      </c>
      <c r="D1197" s="6" t="str">
        <f>Descargas!E1197</f>
        <v>https://resources.simonelectric.com/simon-catalogo-vehiculo-electrico</v>
      </c>
      <c r="E1197" s="20" t="str">
        <f t="shared" si="1"/>
        <v>946@gmail.com</v>
      </c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</row>
    <row r="1198" ht="15.75" customHeight="1">
      <c r="A1198" s="18" t="str">
        <f>Descargas!A1198</f>
        <v>530@trilegend.com</v>
      </c>
      <c r="B1198" s="19" t="str">
        <f>IFERROR(__xludf.DUMMYFUNCTION("IF(OR(regexmatch(A1198,"".*@simon.es$""),REGEXMATCH(A1198,"".*@simon.pt$""),REGEXMATCH(A1198,"".*@simonelectrica.com$""),REGEXMATCH(A1198,"".*@hiberus.com$""),REGEXMATCH(A1198,"".*@simonbrico.es$""),regexmatch(A1198,"".*@simonelectric.com$"")),""null"",A1"&amp;"198)"),"530@trilegend.com")</f>
        <v>530@trilegend.com</v>
      </c>
      <c r="C1198" s="5">
        <f>IF(B1198="null","null",Descargas!B1198)</f>
        <v>43957</v>
      </c>
      <c r="D1198" s="6" t="str">
        <f>Descargas!E1198</f>
        <v>https://resources.simonelectric.com/simon-ebook-vehiculo-electrico-ppc</v>
      </c>
      <c r="E1198" s="20" t="str">
        <f t="shared" si="1"/>
        <v>530@trilegend.com</v>
      </c>
      <c r="F1198" s="21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</row>
    <row r="1199" ht="15.75" customHeight="1">
      <c r="A1199" s="18" t="str">
        <f>Descargas!A1199</f>
        <v>947@clysema.com</v>
      </c>
      <c r="B1199" s="19" t="str">
        <f>IFERROR(__xludf.DUMMYFUNCTION("IF(OR(regexmatch(A1199,"".*@simon.es$""),REGEXMATCH(A1199,"".*@simon.pt$""),REGEXMATCH(A1199,"".*@simonelectrica.com$""),REGEXMATCH(A1199,"".*@hiberus.com$""),REGEXMATCH(A1199,"".*@simonbrico.es$""),regexmatch(A1199,"".*@simonelectric.com$"")),""null"",A1"&amp;"199)"),"947@clysema.com")</f>
        <v>947@clysema.com</v>
      </c>
      <c r="C1199" s="5">
        <f>IF(B1199="null","null",Descargas!B1199)</f>
        <v>43957</v>
      </c>
      <c r="D1199" s="6" t="str">
        <f>Descargas!E1199</f>
        <v>https://resources.simonelectric.com/simon-catalogo-vehiculo-electrico</v>
      </c>
      <c r="E1199" s="20" t="str">
        <f t="shared" si="1"/>
        <v>947@clysema.com</v>
      </c>
      <c r="F1199" s="21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</row>
    <row r="1200" ht="15.75" customHeight="1">
      <c r="A1200" s="18" t="str">
        <f>Descargas!A1200</f>
        <v>947@clysema.com</v>
      </c>
      <c r="B1200" s="19" t="str">
        <f>IFERROR(__xludf.DUMMYFUNCTION("IF(OR(regexmatch(A1200,"".*@simon.es$""),REGEXMATCH(A1200,"".*@simon.pt$""),REGEXMATCH(A1200,"".*@simonelectrica.com$""),REGEXMATCH(A1200,"".*@hiberus.com$""),REGEXMATCH(A1200,"".*@simonbrico.es$""),regexmatch(A1200,"".*@simonelectric.com$"")),""null"",A1"&amp;"200)"),"947@clysema.com")</f>
        <v>947@clysema.com</v>
      </c>
      <c r="C1200" s="5">
        <f>IF(B1200="null","null",Descargas!B1200)</f>
        <v>43957</v>
      </c>
      <c r="D1200" s="6" t="str">
        <f>Descargas!E1200</f>
        <v>https://resources.simonelectric.com/simon-ebook-vehiculo-electrico</v>
      </c>
      <c r="E1200" s="20" t="str">
        <f t="shared" si="1"/>
        <v>947@clysema.com</v>
      </c>
      <c r="F1200" s="21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</row>
    <row r="1201" ht="15.75" customHeight="1">
      <c r="A1201" s="18" t="str">
        <f>Descargas!A1201</f>
        <v>948@gmail.com</v>
      </c>
      <c r="B1201" s="19" t="str">
        <f>IFERROR(__xludf.DUMMYFUNCTION("IF(OR(regexmatch(A1201,"".*@simon.es$""),REGEXMATCH(A1201,"".*@simon.pt$""),REGEXMATCH(A1201,"".*@simonelectrica.com$""),REGEXMATCH(A1201,"".*@hiberus.com$""),REGEXMATCH(A1201,"".*@simonbrico.es$""),regexmatch(A1201,"".*@simonelectric.com$"")),""null"",A1"&amp;"201)"),"948@gmail.com")</f>
        <v>948@gmail.com</v>
      </c>
      <c r="C1201" s="5">
        <f>IF(B1201="null","null",Descargas!B1201)</f>
        <v>43957</v>
      </c>
      <c r="D1201" s="6" t="str">
        <f>Descargas!E1201</f>
        <v>https://resources.simonelectric.com/simon-ebook-vehiculo-electrico-ppc</v>
      </c>
      <c r="E1201" s="20" t="str">
        <f t="shared" si="1"/>
        <v>948@gmail.com</v>
      </c>
      <c r="F1201" s="21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</row>
    <row r="1202" ht="15.75" customHeight="1">
      <c r="A1202" s="18" t="str">
        <f>Descargas!A1202</f>
        <v>949@cadielsa.com</v>
      </c>
      <c r="B1202" s="19" t="str">
        <f>IFERROR(__xludf.DUMMYFUNCTION("IF(OR(regexmatch(A1202,"".*@simon.es$""),REGEXMATCH(A1202,"".*@simon.pt$""),REGEXMATCH(A1202,"".*@simonelectrica.com$""),REGEXMATCH(A1202,"".*@hiberus.com$""),REGEXMATCH(A1202,"".*@simonbrico.es$""),regexmatch(A1202,"".*@simonelectric.com$"")),""null"",A1"&amp;"202)"),"949@cadielsa.com")</f>
        <v>949@cadielsa.com</v>
      </c>
      <c r="C1202" s="5">
        <f>IF(B1202="null","null",Descargas!B1202)</f>
        <v>43957</v>
      </c>
      <c r="D1202" s="6" t="str">
        <f>Descargas!E1202</f>
        <v>https://resources.simonelectric.com/simon-catalogo-vehiculo-electrico</v>
      </c>
      <c r="E1202" s="20" t="str">
        <f t="shared" si="1"/>
        <v>949@cadielsa.com</v>
      </c>
      <c r="F1202" s="21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</row>
    <row r="1203" ht="15.75" customHeight="1">
      <c r="A1203" s="18" t="str">
        <f>Descargas!A1203</f>
        <v>950@grupocobra.com</v>
      </c>
      <c r="B1203" s="19" t="str">
        <f>IFERROR(__xludf.DUMMYFUNCTION("IF(OR(regexmatch(A1203,"".*@simon.es$""),REGEXMATCH(A1203,"".*@simon.pt$""),REGEXMATCH(A1203,"".*@simonelectrica.com$""),REGEXMATCH(A1203,"".*@hiberus.com$""),REGEXMATCH(A1203,"".*@simonbrico.es$""),regexmatch(A1203,"".*@simonelectric.com$"")),""null"",A1"&amp;"203)"),"950@grupocobra.com")</f>
        <v>950@grupocobra.com</v>
      </c>
      <c r="C1203" s="5">
        <f>IF(B1203="null","null",Descargas!B1203)</f>
        <v>43957</v>
      </c>
      <c r="D1203" s="6" t="str">
        <f>Descargas!E1203</f>
        <v>https://resources.simonelectric.com/simon-ebook-vehiculo-electrico-ppc</v>
      </c>
      <c r="E1203" s="20" t="str">
        <f t="shared" si="1"/>
        <v>950@grupocobra.com</v>
      </c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</row>
    <row r="1204" ht="15.75" customHeight="1">
      <c r="A1204" s="18" t="str">
        <f>Descargas!A1204</f>
        <v>951@tenerasa.es</v>
      </c>
      <c r="B1204" s="19" t="str">
        <f>IFERROR(__xludf.DUMMYFUNCTION("IF(OR(regexmatch(A1204,"".*@simon.es$""),REGEXMATCH(A1204,"".*@simon.pt$""),REGEXMATCH(A1204,"".*@simonelectrica.com$""),REGEXMATCH(A1204,"".*@hiberus.com$""),REGEXMATCH(A1204,"".*@simonbrico.es$""),regexmatch(A1204,"".*@simonelectric.com$"")),""null"",A1"&amp;"204)"),"951@tenerasa.es")</f>
        <v>951@tenerasa.es</v>
      </c>
      <c r="C1204" s="5">
        <f>IF(B1204="null","null",Descargas!B1204)</f>
        <v>43956</v>
      </c>
      <c r="D1204" s="6" t="str">
        <f>Descargas!E1204</f>
        <v>https://resources.simonelectric.com/simon-ebook-vehiculo-electrico</v>
      </c>
      <c r="E1204" s="20" t="str">
        <f t="shared" si="1"/>
        <v>951@tenerasa.es</v>
      </c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</row>
    <row r="1205" ht="15.75" customHeight="1">
      <c r="A1205" s="18" t="str">
        <f>Descargas!A1205</f>
        <v>952@simon.es</v>
      </c>
      <c r="B1205" s="19" t="str">
        <f>IFERROR(__xludf.DUMMYFUNCTION("IF(OR(regexmatch(A1205,"".*@simon.es$""),REGEXMATCH(A1205,"".*@simon.pt$""),REGEXMATCH(A1205,"".*@simonelectrica.com$""),REGEXMATCH(A1205,"".*@hiberus.com$""),REGEXMATCH(A1205,"".*@simonbrico.es$""),regexmatch(A1205,"".*@simonelectric.com$"")),""null"",A1"&amp;"205)"),"null")</f>
        <v>null</v>
      </c>
      <c r="C1205" s="5" t="str">
        <f>IF(B1205="null","null",Descargas!B1205)</f>
        <v>null</v>
      </c>
      <c r="D1205" s="6" t="str">
        <f>Descargas!E1205</f>
        <v>https://resources.simonelectric.com/simon-catalogo-vehiculo-electrico</v>
      </c>
      <c r="E1205" s="24" t="str">
        <f t="shared" si="1"/>
        <v/>
      </c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</row>
    <row r="1206" ht="15.75" customHeight="1">
      <c r="A1206" s="18" t="str">
        <f>Descargas!A1206</f>
        <v>953@mosancar.com</v>
      </c>
      <c r="B1206" s="19" t="str">
        <f>IFERROR(__xludf.DUMMYFUNCTION("IF(OR(regexmatch(A1206,"".*@simon.es$""),REGEXMATCH(A1206,"".*@simon.pt$""),REGEXMATCH(A1206,"".*@simonelectrica.com$""),REGEXMATCH(A1206,"".*@hiberus.com$""),REGEXMATCH(A1206,"".*@simonbrico.es$""),regexmatch(A1206,"".*@simonelectric.com$"")),""null"",A1"&amp;"206)"),"953@mosancar.com")</f>
        <v>953@mosancar.com</v>
      </c>
      <c r="C1206" s="5">
        <f>IF(B1206="null","null",Descargas!B1206)</f>
        <v>43956</v>
      </c>
      <c r="D1206" s="6" t="str">
        <f>Descargas!E1206</f>
        <v>https://resources.simonelectric.com/simon-ebook-vehiculo-electrico-ppc</v>
      </c>
      <c r="E1206" s="20" t="str">
        <f t="shared" si="1"/>
        <v>953@mosancar.com</v>
      </c>
      <c r="F1206" s="21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</row>
    <row r="1207" ht="15.75" customHeight="1">
      <c r="A1207" s="18" t="str">
        <f>Descargas!A1207</f>
        <v>954@aiguesmanresa.cat</v>
      </c>
      <c r="B1207" s="19" t="str">
        <f>IFERROR(__xludf.DUMMYFUNCTION("IF(OR(regexmatch(A1207,"".*@simon.es$""),REGEXMATCH(A1207,"".*@simon.pt$""),REGEXMATCH(A1207,"".*@simonelectrica.com$""),REGEXMATCH(A1207,"".*@hiberus.com$""),REGEXMATCH(A1207,"".*@simonbrico.es$""),regexmatch(A1207,"".*@simonelectric.com$"")),""null"",A1"&amp;"207)"),"954@aiguesmanresa.cat")</f>
        <v>954@aiguesmanresa.cat</v>
      </c>
      <c r="C1207" s="5">
        <f>IF(B1207="null","null",Descargas!B1207)</f>
        <v>43956</v>
      </c>
      <c r="D1207" s="6" t="str">
        <f>Descargas!E1207</f>
        <v>https://resources.simonelectric.com/simon-catalogo-vehiculo-electrico</v>
      </c>
      <c r="E1207" s="20" t="str">
        <f t="shared" si="1"/>
        <v>954@aiguesmanresa.cat</v>
      </c>
      <c r="F1207" s="21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</row>
    <row r="1208" ht="15.75" customHeight="1">
      <c r="A1208" s="18" t="str">
        <f>Descargas!A1208</f>
        <v>955@conras.es</v>
      </c>
      <c r="B1208" s="19" t="str">
        <f>IFERROR(__xludf.DUMMYFUNCTION("IF(OR(regexmatch(A1208,"".*@simon.es$""),REGEXMATCH(A1208,"".*@simon.pt$""),REGEXMATCH(A1208,"".*@simonelectrica.com$""),REGEXMATCH(A1208,"".*@hiberus.com$""),REGEXMATCH(A1208,"".*@simonbrico.es$""),regexmatch(A1208,"".*@simonelectric.com$"")),""null"",A1"&amp;"208)"),"955@conras.es")</f>
        <v>955@conras.es</v>
      </c>
      <c r="C1208" s="5">
        <f>IF(B1208="null","null",Descargas!B1208)</f>
        <v>43956</v>
      </c>
      <c r="D1208" s="6" t="str">
        <f>Descargas!E1208</f>
        <v>https://resources.simonelectric.com/simon-ebook-vehiculo-electrico</v>
      </c>
      <c r="E1208" s="20" t="str">
        <f t="shared" si="1"/>
        <v>955@conras.es</v>
      </c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</row>
    <row r="1209" ht="15.75" customHeight="1">
      <c r="A1209" s="18" t="str">
        <f>Descargas!A1209</f>
        <v>956@mebaluz.es</v>
      </c>
      <c r="B1209" s="19" t="str">
        <f>IFERROR(__xludf.DUMMYFUNCTION("IF(OR(regexmatch(A1209,"".*@simon.es$""),REGEXMATCH(A1209,"".*@simon.pt$""),REGEXMATCH(A1209,"".*@simonelectrica.com$""),REGEXMATCH(A1209,"".*@hiberus.com$""),REGEXMATCH(A1209,"".*@simonbrico.es$""),regexmatch(A1209,"".*@simonelectric.com$"")),""null"",A1"&amp;"209)"),"956@mebaluz.es")</f>
        <v>956@mebaluz.es</v>
      </c>
      <c r="C1209" s="5">
        <f>IF(B1209="null","null",Descargas!B1209)</f>
        <v>43956</v>
      </c>
      <c r="D1209" s="6" t="str">
        <f>Descargas!E1209</f>
        <v>https://resources.simonelectric.com/simon-ebook-vehiculo-electrico-0</v>
      </c>
      <c r="E1209" s="20" t="str">
        <f t="shared" si="1"/>
        <v>956@mebaluz.es</v>
      </c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</row>
    <row r="1210" ht="15.75" customHeight="1">
      <c r="A1210" s="18" t="str">
        <f>Descargas!A1210</f>
        <v>957@germaniaweb.com</v>
      </c>
      <c r="B1210" s="19" t="str">
        <f>IFERROR(__xludf.DUMMYFUNCTION("IF(OR(regexmatch(A1210,"".*@simon.es$""),REGEXMATCH(A1210,"".*@simon.pt$""),REGEXMATCH(A1210,"".*@simonelectrica.com$""),REGEXMATCH(A1210,"".*@hiberus.com$""),REGEXMATCH(A1210,"".*@simonbrico.es$""),regexmatch(A1210,"".*@simonelectric.com$"")),""null"",A1"&amp;"210)"),"957@germaniaweb.com")</f>
        <v>957@germaniaweb.com</v>
      </c>
      <c r="C1210" s="5">
        <f>IF(B1210="null","null",Descargas!B1210)</f>
        <v>43956</v>
      </c>
      <c r="D1210" s="6" t="str">
        <f>Descargas!E1210</f>
        <v>https://resources.simonelectric.com/simon-catalogo-vehiculo-electrico</v>
      </c>
      <c r="E1210" s="20" t="str">
        <f t="shared" si="1"/>
        <v>957@germaniaweb.com</v>
      </c>
      <c r="F1210" s="21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</row>
    <row r="1211" ht="15.75" customHeight="1">
      <c r="A1211" s="18" t="str">
        <f>Descargas!A1211</f>
        <v>958@hotmail.es</v>
      </c>
      <c r="B1211" s="19" t="str">
        <f>IFERROR(__xludf.DUMMYFUNCTION("IF(OR(regexmatch(A1211,"".*@simon.es$""),REGEXMATCH(A1211,"".*@simon.pt$""),REGEXMATCH(A1211,"".*@simonelectrica.com$""),REGEXMATCH(A1211,"".*@hiberus.com$""),REGEXMATCH(A1211,"".*@simonbrico.es$""),regexmatch(A1211,"".*@simonelectric.com$"")),""null"",A1"&amp;"211)"),"958@hotmail.es")</f>
        <v>958@hotmail.es</v>
      </c>
      <c r="C1211" s="5">
        <f>IF(B1211="null","null",Descargas!B1211)</f>
        <v>43956</v>
      </c>
      <c r="D1211" s="6" t="str">
        <f>Descargas!E1211</f>
        <v>https://resources.simonelectric.com/simon-ebook-vehiculo-electrico-ppc</v>
      </c>
      <c r="E1211" s="20" t="str">
        <f t="shared" si="1"/>
        <v>958@hotmail.es</v>
      </c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</row>
    <row r="1212" ht="15.75" customHeight="1">
      <c r="A1212" s="18" t="str">
        <f>Descargas!A1212</f>
        <v>959@mlopezarquitectos.com</v>
      </c>
      <c r="B1212" s="19" t="str">
        <f>IFERROR(__xludf.DUMMYFUNCTION("IF(OR(regexmatch(A1212,"".*@simon.es$""),REGEXMATCH(A1212,"".*@simon.pt$""),REGEXMATCH(A1212,"".*@simonelectrica.com$""),REGEXMATCH(A1212,"".*@hiberus.com$""),REGEXMATCH(A1212,"".*@simonbrico.es$""),regexmatch(A1212,"".*@simonelectric.com$"")),""null"",A1"&amp;"212)"),"959@mlopezarquitectos.com")</f>
        <v>959@mlopezarquitectos.com</v>
      </c>
      <c r="C1212" s="5">
        <f>IF(B1212="null","null",Descargas!B1212)</f>
        <v>43956</v>
      </c>
      <c r="D1212" s="6" t="str">
        <f>Descargas!E1212</f>
        <v>https://resources.simonelectric.com/simon-ebook-vehiculo-electrico</v>
      </c>
      <c r="E1212" s="20" t="str">
        <f t="shared" si="1"/>
        <v>959@mlopezarquitectos.com</v>
      </c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</row>
    <row r="1213" ht="15.75" customHeight="1">
      <c r="A1213" s="18" t="str">
        <f>Descargas!A1213</f>
        <v>960@aqelectric.es</v>
      </c>
      <c r="B1213" s="19" t="str">
        <f>IFERROR(__xludf.DUMMYFUNCTION("IF(OR(regexmatch(A1213,"".*@simon.es$""),REGEXMATCH(A1213,"".*@simon.pt$""),REGEXMATCH(A1213,"".*@simonelectrica.com$""),REGEXMATCH(A1213,"".*@hiberus.com$""),REGEXMATCH(A1213,"".*@simonbrico.es$""),regexmatch(A1213,"".*@simonelectric.com$"")),""null"",A1"&amp;"213)"),"960@aqelectric.es")</f>
        <v>960@aqelectric.es</v>
      </c>
      <c r="C1213" s="5">
        <f>IF(B1213="null","null",Descargas!B1213)</f>
        <v>43956</v>
      </c>
      <c r="D1213" s="6" t="str">
        <f>Descargas!E1213</f>
        <v>https://resources.simonelectric.com/simon-catalogo-vehiculo-electrico</v>
      </c>
      <c r="E1213" s="20" t="str">
        <f t="shared" si="1"/>
        <v>960@aqelectric.es</v>
      </c>
      <c r="F1213" s="21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</row>
    <row r="1214" ht="15.75" customHeight="1">
      <c r="A1214" s="18" t="str">
        <f>Descargas!A1214</f>
        <v>961@gmail.com</v>
      </c>
      <c r="B1214" s="19" t="str">
        <f>IFERROR(__xludf.DUMMYFUNCTION("IF(OR(regexmatch(A1214,"".*@simon.es$""),REGEXMATCH(A1214,"".*@simon.pt$""),REGEXMATCH(A1214,"".*@simonelectrica.com$""),REGEXMATCH(A1214,"".*@hiberus.com$""),REGEXMATCH(A1214,"".*@simonbrico.es$""),regexmatch(A1214,"".*@simonelectric.com$"")),""null"",A1"&amp;"214)"),"961@gmail.com")</f>
        <v>961@gmail.com</v>
      </c>
      <c r="C1214" s="5">
        <f>IF(B1214="null","null",Descargas!B1214)</f>
        <v>43956</v>
      </c>
      <c r="D1214" s="6" t="str">
        <f>Descargas!E1214</f>
        <v>https://resources.simonelectric.com/simon-catalogo-vehiculo-electrico</v>
      </c>
      <c r="E1214" s="20" t="str">
        <f t="shared" si="1"/>
        <v>961@gmail.com</v>
      </c>
      <c r="F1214" s="21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</row>
    <row r="1215" ht="15.75" customHeight="1">
      <c r="A1215" s="18" t="str">
        <f>Descargas!A1215</f>
        <v>962@electropla.cat</v>
      </c>
      <c r="B1215" s="19" t="str">
        <f>IFERROR(__xludf.DUMMYFUNCTION("IF(OR(regexmatch(A1215,"".*@simon.es$""),REGEXMATCH(A1215,"".*@simon.pt$""),REGEXMATCH(A1215,"".*@simonelectrica.com$""),REGEXMATCH(A1215,"".*@hiberus.com$""),REGEXMATCH(A1215,"".*@simonbrico.es$""),regexmatch(A1215,"".*@simonelectric.com$"")),""null"",A1"&amp;"215)"),"962@electropla.cat")</f>
        <v>962@electropla.cat</v>
      </c>
      <c r="C1215" s="5">
        <f>IF(B1215="null","null",Descargas!B1215)</f>
        <v>43956</v>
      </c>
      <c r="D1215" s="6" t="str">
        <f>Descargas!E1215</f>
        <v>https://resources.simonelectric.com/simon-catalogo-vehiculo-electrico</v>
      </c>
      <c r="E1215" s="20" t="str">
        <f t="shared" si="1"/>
        <v>962@electropla.cat</v>
      </c>
      <c r="F1215" s="21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</row>
    <row r="1216" ht="15.75" customHeight="1">
      <c r="A1216" s="18" t="str">
        <f>Descargas!A1216</f>
        <v>963@gmail.com</v>
      </c>
      <c r="B1216" s="19" t="str">
        <f>IFERROR(__xludf.DUMMYFUNCTION("IF(OR(regexmatch(A1216,"".*@simon.es$""),REGEXMATCH(A1216,"".*@simon.pt$""),REGEXMATCH(A1216,"".*@simonelectrica.com$""),REGEXMATCH(A1216,"".*@hiberus.com$""),REGEXMATCH(A1216,"".*@simonbrico.es$""),regexmatch(A1216,"".*@simonelectric.com$"")),""null"",A1"&amp;"216)"),"963@gmail.com")</f>
        <v>963@gmail.com</v>
      </c>
      <c r="C1216" s="5">
        <f>IF(B1216="null","null",Descargas!B1216)</f>
        <v>43956</v>
      </c>
      <c r="D1216" s="6" t="str">
        <f>Descargas!E1216</f>
        <v>https://resources.simonelectric.com/simon-ebook-vehiculo-electrico</v>
      </c>
      <c r="E1216" s="20" t="str">
        <f t="shared" si="1"/>
        <v>963@gmail.com</v>
      </c>
      <c r="F1216" s="21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</row>
    <row r="1217" ht="15.75" customHeight="1">
      <c r="A1217" s="18" t="str">
        <f>Descargas!A1217</f>
        <v>964@hotmail.com</v>
      </c>
      <c r="B1217" s="19" t="str">
        <f>IFERROR(__xludf.DUMMYFUNCTION("IF(OR(regexmatch(A1217,"".*@simon.es$""),REGEXMATCH(A1217,"".*@simon.pt$""),REGEXMATCH(A1217,"".*@simonelectrica.com$""),REGEXMATCH(A1217,"".*@hiberus.com$""),REGEXMATCH(A1217,"".*@simonbrico.es$""),regexmatch(A1217,"".*@simonelectric.com$"")),""null"",A1"&amp;"217)"),"964@hotmail.com")</f>
        <v>964@hotmail.com</v>
      </c>
      <c r="C1217" s="5">
        <f>IF(B1217="null","null",Descargas!B1217)</f>
        <v>43956</v>
      </c>
      <c r="D1217" s="6" t="str">
        <f>Descargas!E1217</f>
        <v>https://resources.simonelectric.com/simon-ebook-vehiculo-electrico</v>
      </c>
      <c r="E1217" s="20" t="str">
        <f t="shared" si="1"/>
        <v>964@hotmail.com</v>
      </c>
      <c r="F1217" s="21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</row>
    <row r="1218" ht="15.75" customHeight="1">
      <c r="A1218" s="18" t="str">
        <f>Descargas!A1218</f>
        <v>955@conras.es</v>
      </c>
      <c r="B1218" s="19" t="str">
        <f>IFERROR(__xludf.DUMMYFUNCTION("IF(OR(regexmatch(A1218,"".*@simon.es$""),REGEXMATCH(A1218,"".*@simon.pt$""),REGEXMATCH(A1218,"".*@simonelectrica.com$""),REGEXMATCH(A1218,"".*@hiberus.com$""),REGEXMATCH(A1218,"".*@simonbrico.es$""),regexmatch(A1218,"".*@simonelectric.com$"")),""null"",A1"&amp;"218)"),"955@conras.es")</f>
        <v>955@conras.es</v>
      </c>
      <c r="C1218" s="5">
        <f>IF(B1218="null","null",Descargas!B1218)</f>
        <v>43956</v>
      </c>
      <c r="D1218" s="6" t="str">
        <f>Descargas!E1218</f>
        <v>https://resources.simonelectric.com/simon-ebook-vehiculo-electrico</v>
      </c>
      <c r="E1218" s="20" t="str">
        <f t="shared" si="1"/>
        <v>955@conras.es</v>
      </c>
      <c r="F1218" s="21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</row>
    <row r="1219" ht="15.75" customHeight="1">
      <c r="A1219" s="18" t="str">
        <f>Descargas!A1219</f>
        <v>930@acciona.com</v>
      </c>
      <c r="B1219" s="19" t="str">
        <f>IFERROR(__xludf.DUMMYFUNCTION("IF(OR(regexmatch(A1219,"".*@simon.es$""),REGEXMATCH(A1219,"".*@simon.pt$""),REGEXMATCH(A1219,"".*@simonelectrica.com$""),REGEXMATCH(A1219,"".*@hiberus.com$""),REGEXMATCH(A1219,"".*@simonbrico.es$""),regexmatch(A1219,"".*@simonelectric.com$"")),""null"",A1"&amp;"219)"),"930@acciona.com")</f>
        <v>930@acciona.com</v>
      </c>
      <c r="C1219" s="5">
        <f>IF(B1219="null","null",Descargas!B1219)</f>
        <v>43956</v>
      </c>
      <c r="D1219" s="6" t="str">
        <f>Descargas!E1219</f>
        <v>https://resources.simonelectric.com/simon-ebook-vehiculo-electrico</v>
      </c>
      <c r="E1219" s="20" t="str">
        <f t="shared" si="1"/>
        <v>930@acciona.com</v>
      </c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</row>
    <row r="1220" ht="15.75" customHeight="1">
      <c r="A1220" s="18" t="str">
        <f>Descargas!A1220</f>
        <v>374@copitima.com</v>
      </c>
      <c r="B1220" s="19" t="str">
        <f>IFERROR(__xludf.DUMMYFUNCTION("IF(OR(regexmatch(A1220,"".*@simon.es$""),REGEXMATCH(A1220,"".*@simon.pt$""),REGEXMATCH(A1220,"".*@simonelectrica.com$""),REGEXMATCH(A1220,"".*@hiberus.com$""),REGEXMATCH(A1220,"".*@simonbrico.es$""),regexmatch(A1220,"".*@simonelectric.com$"")),""null"",A1"&amp;"220)"),"374@copitima.com")</f>
        <v>374@copitima.com</v>
      </c>
      <c r="C1220" s="5">
        <f>IF(B1220="null","null",Descargas!B1220)</f>
        <v>43956</v>
      </c>
      <c r="D1220" s="6" t="str">
        <f>Descargas!E1220</f>
        <v>https://resources.simonelectric.com/simon-ebook-vehiculo-electrico</v>
      </c>
      <c r="E1220" s="20" t="str">
        <f t="shared" si="1"/>
        <v>374@copitima.com</v>
      </c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</row>
    <row r="1221" ht="15.75" customHeight="1">
      <c r="A1221" s="18" t="str">
        <f>Descargas!A1221</f>
        <v>875@orange.es</v>
      </c>
      <c r="B1221" s="19" t="str">
        <f>IFERROR(__xludf.DUMMYFUNCTION("IF(OR(regexmatch(A1221,"".*@simon.es$""),REGEXMATCH(A1221,"".*@simon.pt$""),REGEXMATCH(A1221,"".*@simonelectrica.com$""),REGEXMATCH(A1221,"".*@hiberus.com$""),REGEXMATCH(A1221,"".*@simonbrico.es$""),regexmatch(A1221,"".*@simonelectric.com$"")),""null"",A1"&amp;"221)"),"875@orange.es")</f>
        <v>875@orange.es</v>
      </c>
      <c r="C1221" s="5">
        <f>IF(B1221="null","null",Descargas!B1221)</f>
        <v>43956</v>
      </c>
      <c r="D1221" s="6" t="str">
        <f>Descargas!E1221</f>
        <v>https://resources.simonelectric.com/simon-ebook-vehiculo-electrico</v>
      </c>
      <c r="E1221" s="20" t="str">
        <f t="shared" si="1"/>
        <v>875@orange.es</v>
      </c>
      <c r="F1221" s="21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</row>
    <row r="1222" ht="15.75" customHeight="1">
      <c r="A1222" s="18" t="str">
        <f>Descargas!A1222</f>
        <v>965@gmail.com</v>
      </c>
      <c r="B1222" s="19" t="str">
        <f>IFERROR(__xludf.DUMMYFUNCTION("IF(OR(regexmatch(A1222,"".*@simon.es$""),REGEXMATCH(A1222,"".*@simon.pt$""),REGEXMATCH(A1222,"".*@simonelectrica.com$""),REGEXMATCH(A1222,"".*@hiberus.com$""),REGEXMATCH(A1222,"".*@simonbrico.es$""),regexmatch(A1222,"".*@simonelectric.com$"")),""null"",A1"&amp;"222)"),"965@gmail.com")</f>
        <v>965@gmail.com</v>
      </c>
      <c r="C1222" s="5">
        <f>IF(B1222="null","null",Descargas!B1222)</f>
        <v>43956</v>
      </c>
      <c r="D1222" s="6" t="str">
        <f>Descargas!E1222</f>
        <v>https://resources.simonelectric.com/simon-catalogo-vehiculo-electrico</v>
      </c>
      <c r="E1222" s="20" t="str">
        <f t="shared" si="1"/>
        <v>965@gmail.com</v>
      </c>
      <c r="F1222" s="21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</row>
    <row r="1223" ht="15.75" customHeight="1">
      <c r="A1223" s="18" t="str">
        <f>Descargas!A1223</f>
        <v>965@gmail.com</v>
      </c>
      <c r="B1223" s="19" t="str">
        <f>IFERROR(__xludf.DUMMYFUNCTION("IF(OR(regexmatch(A1223,"".*@simon.es$""),REGEXMATCH(A1223,"".*@simon.pt$""),REGEXMATCH(A1223,"".*@simonelectrica.com$""),REGEXMATCH(A1223,"".*@hiberus.com$""),REGEXMATCH(A1223,"".*@simonbrico.es$""),regexmatch(A1223,"".*@simonelectric.com$"")),""null"",A1"&amp;"223)"),"965@gmail.com")</f>
        <v>965@gmail.com</v>
      </c>
      <c r="C1223" s="5">
        <f>IF(B1223="null","null",Descargas!B1223)</f>
        <v>43956</v>
      </c>
      <c r="D1223" s="6" t="str">
        <f>Descargas!E1223</f>
        <v>https://resources.simonelectric.com/simon-ebook-vehiculo-electrico</v>
      </c>
      <c r="E1223" s="20" t="str">
        <f t="shared" si="1"/>
        <v>965@gmail.com</v>
      </c>
      <c r="F1223" s="21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</row>
    <row r="1224" ht="15.75" customHeight="1">
      <c r="A1224" s="18" t="str">
        <f>Descargas!A1224</f>
        <v>966@miguelmoralesingenieros.com</v>
      </c>
      <c r="B1224" s="19" t="str">
        <f>IFERROR(__xludf.DUMMYFUNCTION("IF(OR(regexmatch(A1224,"".*@simon.es$""),REGEXMATCH(A1224,"".*@simon.pt$""),REGEXMATCH(A1224,"".*@simonelectrica.com$""),REGEXMATCH(A1224,"".*@hiberus.com$""),REGEXMATCH(A1224,"".*@simonbrico.es$""),regexmatch(A1224,"".*@simonelectric.com$"")),""null"",A1"&amp;"224)"),"966@miguelmoralesingenieros.com")</f>
        <v>966@miguelmoralesingenieros.com</v>
      </c>
      <c r="C1224" s="5">
        <f>IF(B1224="null","null",Descargas!B1224)</f>
        <v>43956</v>
      </c>
      <c r="D1224" s="6" t="str">
        <f>Descargas!E1224</f>
        <v>https://resources.simonelectric.com/simon-ebook-vehiculo-electrico</v>
      </c>
      <c r="E1224" s="20" t="str">
        <f t="shared" si="1"/>
        <v>966@miguelmoralesingenieros.com</v>
      </c>
      <c r="F1224" s="21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</row>
    <row r="1225" ht="15.75" customHeight="1">
      <c r="A1225" s="18" t="str">
        <f>Descargas!A1225</f>
        <v>967@lacsl.es</v>
      </c>
      <c r="B1225" s="19" t="str">
        <f>IFERROR(__xludf.DUMMYFUNCTION("IF(OR(regexmatch(A1225,"".*@simon.es$""),REGEXMATCH(A1225,"".*@simon.pt$""),REGEXMATCH(A1225,"".*@simonelectrica.com$""),REGEXMATCH(A1225,"".*@hiberus.com$""),REGEXMATCH(A1225,"".*@simonbrico.es$""),regexmatch(A1225,"".*@simonelectric.com$"")),""null"",A1"&amp;"225)"),"967@lacsl.es")</f>
        <v>967@lacsl.es</v>
      </c>
      <c r="C1225" s="5">
        <f>IF(B1225="null","null",Descargas!B1225)</f>
        <v>43956</v>
      </c>
      <c r="D1225" s="6" t="str">
        <f>Descargas!E1225</f>
        <v>https://resources.simonelectric.com/simon-ebook-vehiculo-electrico</v>
      </c>
      <c r="E1225" s="20" t="str">
        <f t="shared" si="1"/>
        <v>967@lacsl.es</v>
      </c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</row>
    <row r="1226" ht="15.75" customHeight="1">
      <c r="A1226" s="18" t="str">
        <f>Descargas!A1226</f>
        <v>968@gmail.com</v>
      </c>
      <c r="B1226" s="19" t="str">
        <f>IFERROR(__xludf.DUMMYFUNCTION("IF(OR(regexmatch(A1226,"".*@simon.es$""),REGEXMATCH(A1226,"".*@simon.pt$""),REGEXMATCH(A1226,"".*@simonelectrica.com$""),REGEXMATCH(A1226,"".*@hiberus.com$""),REGEXMATCH(A1226,"".*@simonbrico.es$""),regexmatch(A1226,"".*@simonelectric.com$"")),""null"",A1"&amp;"226)"),"968@gmail.com")</f>
        <v>968@gmail.com</v>
      </c>
      <c r="C1226" s="5">
        <f>IF(B1226="null","null",Descargas!B1226)</f>
        <v>43956</v>
      </c>
      <c r="D1226" s="6" t="str">
        <f>Descargas!E1226</f>
        <v>https://resources.simonelectric.com/simon-catalogo-vehiculo-electrico</v>
      </c>
      <c r="E1226" s="20" t="str">
        <f t="shared" si="1"/>
        <v>968@gmail.com</v>
      </c>
      <c r="F1226" s="21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</row>
    <row r="1227" ht="15.75" customHeight="1">
      <c r="A1227" s="18" t="str">
        <f>Descargas!A1227</f>
        <v>969@comercialsis.com</v>
      </c>
      <c r="B1227" s="19" t="str">
        <f>IFERROR(__xludf.DUMMYFUNCTION("IF(OR(regexmatch(A1227,"".*@simon.es$""),REGEXMATCH(A1227,"".*@simon.pt$""),REGEXMATCH(A1227,"".*@simonelectrica.com$""),REGEXMATCH(A1227,"".*@hiberus.com$""),REGEXMATCH(A1227,"".*@simonbrico.es$""),regexmatch(A1227,"".*@simonelectric.com$"")),""null"",A1"&amp;"227)"),"969@comercialsis.com")</f>
        <v>969@comercialsis.com</v>
      </c>
      <c r="C1227" s="5">
        <f>IF(B1227="null","null",Descargas!B1227)</f>
        <v>43956</v>
      </c>
      <c r="D1227" s="6" t="str">
        <f>Descargas!E1227</f>
        <v>https://resources.simonelectric.com/simon-catalogo-vehiculo-electrico</v>
      </c>
      <c r="E1227" s="20" t="str">
        <f t="shared" si="1"/>
        <v>969@comercialsis.com</v>
      </c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</row>
    <row r="1228" ht="15.75" customHeight="1">
      <c r="A1228" s="18" t="str">
        <f>Descargas!A1228</f>
        <v>970@acelecsal.com</v>
      </c>
      <c r="B1228" s="19" t="str">
        <f>IFERROR(__xludf.DUMMYFUNCTION("IF(OR(regexmatch(A1228,"".*@simon.es$""),REGEXMATCH(A1228,"".*@simon.pt$""),REGEXMATCH(A1228,"".*@simonelectrica.com$""),REGEXMATCH(A1228,"".*@hiberus.com$""),REGEXMATCH(A1228,"".*@simonbrico.es$""),regexmatch(A1228,"".*@simonelectric.com$"")),""null"",A1"&amp;"228)"),"970@acelecsal.com")</f>
        <v>970@acelecsal.com</v>
      </c>
      <c r="C1228" s="5">
        <f>IF(B1228="null","null",Descargas!B1228)</f>
        <v>43956</v>
      </c>
      <c r="D1228" s="6" t="str">
        <f>Descargas!E1228</f>
        <v>https://resources.simonelectric.com/simon-catalogo-vehiculo-electrico</v>
      </c>
      <c r="E1228" s="20" t="str">
        <f t="shared" si="1"/>
        <v>970@acelecsal.com</v>
      </c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</row>
    <row r="1229" ht="15.75" customHeight="1">
      <c r="A1229" s="18" t="str">
        <f>Descargas!A1229</f>
        <v>971@imagogestion.com</v>
      </c>
      <c r="B1229" s="19" t="str">
        <f>IFERROR(__xludf.DUMMYFUNCTION("IF(OR(regexmatch(A1229,"".*@simon.es$""),REGEXMATCH(A1229,"".*@simon.pt$""),REGEXMATCH(A1229,"".*@simonelectrica.com$""),REGEXMATCH(A1229,"".*@hiberus.com$""),REGEXMATCH(A1229,"".*@simonbrico.es$""),regexmatch(A1229,"".*@simonelectric.com$"")),""null"",A1"&amp;"229)"),"971@imagogestion.com")</f>
        <v>971@imagogestion.com</v>
      </c>
      <c r="C1229" s="5">
        <f>IF(B1229="null","null",Descargas!B1229)</f>
        <v>43956</v>
      </c>
      <c r="D1229" s="6" t="str">
        <f>Descargas!E1229</f>
        <v>https://resources.simonelectric.com/simon-catalogo-vehiculo-electrico</v>
      </c>
      <c r="E1229" s="20" t="str">
        <f t="shared" si="1"/>
        <v>971@imagogestion.com</v>
      </c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</row>
    <row r="1230" ht="15.75" customHeight="1">
      <c r="A1230" s="18" t="str">
        <f>Descargas!A1230</f>
        <v>972@acelecsal.com</v>
      </c>
      <c r="B1230" s="19" t="str">
        <f>IFERROR(__xludf.DUMMYFUNCTION("IF(OR(regexmatch(A1230,"".*@simon.es$""),REGEXMATCH(A1230,"".*@simon.pt$""),REGEXMATCH(A1230,"".*@simonelectrica.com$""),REGEXMATCH(A1230,"".*@hiberus.com$""),REGEXMATCH(A1230,"".*@simonbrico.es$""),regexmatch(A1230,"".*@simonelectric.com$"")),""null"",A1"&amp;"230)"),"972@acelecsal.com")</f>
        <v>972@acelecsal.com</v>
      </c>
      <c r="C1230" s="5">
        <f>IF(B1230="null","null",Descargas!B1230)</f>
        <v>43956</v>
      </c>
      <c r="D1230" s="6" t="str">
        <f>Descargas!E1230</f>
        <v>https://resources.simonelectric.com/simon-catalogo-vehiculo-electrico</v>
      </c>
      <c r="E1230" s="20" t="str">
        <f t="shared" si="1"/>
        <v>972@acelecsal.com</v>
      </c>
      <c r="F1230" s="21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</row>
    <row r="1231" ht="15.75" customHeight="1">
      <c r="A1231" s="18" t="str">
        <f>Descargas!A1231</f>
        <v>973@live.com</v>
      </c>
      <c r="B1231" s="19" t="str">
        <f>IFERROR(__xludf.DUMMYFUNCTION("IF(OR(regexmatch(A1231,"".*@simon.es$""),REGEXMATCH(A1231,"".*@simon.pt$""),REGEXMATCH(A1231,"".*@simonelectrica.com$""),REGEXMATCH(A1231,"".*@hiberus.com$""),REGEXMATCH(A1231,"".*@simonbrico.es$""),regexmatch(A1231,"".*@simonelectric.com$"")),""null"",A1"&amp;"231)"),"973@live.com")</f>
        <v>973@live.com</v>
      </c>
      <c r="C1231" s="5">
        <f>IF(B1231="null","null",Descargas!B1231)</f>
        <v>43956</v>
      </c>
      <c r="D1231" s="6" t="str">
        <f>Descargas!E1231</f>
        <v>https://resources.simonelectric.com/simon-ebook-vehiculo-electrico</v>
      </c>
      <c r="E1231" s="20" t="str">
        <f t="shared" si="1"/>
        <v>973@live.com</v>
      </c>
      <c r="F1231" s="21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</row>
    <row r="1232" ht="15.75" customHeight="1">
      <c r="A1232" s="18" t="str">
        <f>Descargas!A1232</f>
        <v>974@yahoo.es</v>
      </c>
      <c r="B1232" s="19" t="str">
        <f>IFERROR(__xludf.DUMMYFUNCTION("IF(OR(regexmatch(A1232,"".*@simon.es$""),REGEXMATCH(A1232,"".*@simon.pt$""),REGEXMATCH(A1232,"".*@simonelectrica.com$""),REGEXMATCH(A1232,"".*@hiberus.com$""),REGEXMATCH(A1232,"".*@simonbrico.es$""),regexmatch(A1232,"".*@simonelectric.com$"")),""null"",A1"&amp;"232)"),"974@yahoo.es")</f>
        <v>974@yahoo.es</v>
      </c>
      <c r="C1232" s="5">
        <f>IF(B1232="null","null",Descargas!B1232)</f>
        <v>43956</v>
      </c>
      <c r="D1232" s="6" t="str">
        <f>Descargas!E1232</f>
        <v>https://resources.simonelectric.com/simon-catalogo-vehiculo-electrico</v>
      </c>
      <c r="E1232" s="20" t="str">
        <f t="shared" si="1"/>
        <v>974@yahoo.es</v>
      </c>
      <c r="F1232" s="21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</row>
    <row r="1233" ht="15.75" customHeight="1">
      <c r="A1233" s="18" t="str">
        <f>Descargas!A1233</f>
        <v>975@yahoo.com</v>
      </c>
      <c r="B1233" s="19" t="str">
        <f>IFERROR(__xludf.DUMMYFUNCTION("IF(OR(regexmatch(A1233,"".*@simon.es$""),REGEXMATCH(A1233,"".*@simon.pt$""),REGEXMATCH(A1233,"".*@simonelectrica.com$""),REGEXMATCH(A1233,"".*@hiberus.com$""),REGEXMATCH(A1233,"".*@simonbrico.es$""),regexmatch(A1233,"".*@simonelectric.com$"")),""null"",A1"&amp;"233)"),"975@yahoo.com")</f>
        <v>975@yahoo.com</v>
      </c>
      <c r="C1233" s="5">
        <f>IF(B1233="null","null",Descargas!B1233)</f>
        <v>43956</v>
      </c>
      <c r="D1233" s="6" t="str">
        <f>Descargas!E1233</f>
        <v>https://resources.simonelectric.com/simon-ebook-vehiculo-electrico-ppc</v>
      </c>
      <c r="E1233" s="20" t="str">
        <f t="shared" si="1"/>
        <v>975@yahoo.com</v>
      </c>
      <c r="F1233" s="21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</row>
    <row r="1234" ht="15.75" customHeight="1">
      <c r="A1234" s="18" t="str">
        <f>Descargas!A1234</f>
        <v>976@simonelectrica.com</v>
      </c>
      <c r="B1234" s="19" t="str">
        <f>IFERROR(__xludf.DUMMYFUNCTION("IF(OR(regexmatch(A1234,"".*@simon.es$""),REGEXMATCH(A1234,"".*@simon.pt$""),REGEXMATCH(A1234,"".*@simonelectrica.com$""),REGEXMATCH(A1234,"".*@hiberus.com$""),REGEXMATCH(A1234,"".*@simonbrico.es$""),regexmatch(A1234,"".*@simonelectric.com$"")),""null"",A1"&amp;"234)"),"null")</f>
        <v>null</v>
      </c>
      <c r="C1234" s="5" t="str">
        <f>IF(B1234="null","null",Descargas!B1234)</f>
        <v>null</v>
      </c>
      <c r="D1234" s="6" t="str">
        <f>Descargas!E1234</f>
        <v>https://resources.simonelectric.com/simon-ebook-vehiculo-electrico</v>
      </c>
      <c r="E1234" s="24" t="str">
        <f t="shared" si="1"/>
        <v/>
      </c>
      <c r="F1234" s="21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</row>
    <row r="1235" ht="15.75" customHeight="1">
      <c r="A1235" s="18" t="str">
        <f>Descargas!A1235</f>
        <v>977@tarragona.cat</v>
      </c>
      <c r="B1235" s="19" t="str">
        <f>IFERROR(__xludf.DUMMYFUNCTION("IF(OR(regexmatch(A1235,"".*@simon.es$""),REGEXMATCH(A1235,"".*@simon.pt$""),REGEXMATCH(A1235,"".*@simonelectrica.com$""),REGEXMATCH(A1235,"".*@hiberus.com$""),REGEXMATCH(A1235,"".*@simonbrico.es$""),regexmatch(A1235,"".*@simonelectric.com$"")),""null"",A1"&amp;"235)"),"977@tarragona.cat")</f>
        <v>977@tarragona.cat</v>
      </c>
      <c r="C1235" s="5">
        <f>IF(B1235="null","null",Descargas!B1235)</f>
        <v>43955</v>
      </c>
      <c r="D1235" s="6" t="str">
        <f>Descargas!E1235</f>
        <v>https://resources.simonelectric.com/simon-ebook-vehiculo-electrico-ppc</v>
      </c>
      <c r="E1235" s="20" t="str">
        <f t="shared" si="1"/>
        <v>977@tarragona.cat</v>
      </c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</row>
    <row r="1236" ht="15.75" customHeight="1">
      <c r="A1236" s="18" t="str">
        <f>Descargas!A1236</f>
        <v>978@gmail.com</v>
      </c>
      <c r="B1236" s="19" t="str">
        <f>IFERROR(__xludf.DUMMYFUNCTION("IF(OR(regexmatch(A1236,"".*@simon.es$""),REGEXMATCH(A1236,"".*@simon.pt$""),REGEXMATCH(A1236,"".*@simonelectrica.com$""),REGEXMATCH(A1236,"".*@hiberus.com$""),REGEXMATCH(A1236,"".*@simonbrico.es$""),regexmatch(A1236,"".*@simonelectric.com$"")),""null"",A1"&amp;"236)"),"978@gmail.com")</f>
        <v>978@gmail.com</v>
      </c>
      <c r="C1236" s="5">
        <f>IF(B1236="null","null",Descargas!B1236)</f>
        <v>43955</v>
      </c>
      <c r="D1236" s="6" t="str">
        <f>Descargas!E1236</f>
        <v>https://resources.simonelectric.com/simon-ebook-vehiculo-electrico</v>
      </c>
      <c r="E1236" s="20" t="str">
        <f t="shared" si="1"/>
        <v>978@gmail.com</v>
      </c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</row>
    <row r="1237" ht="15.75" customHeight="1">
      <c r="A1237" s="18" t="str">
        <f>Descargas!A1237</f>
        <v>979@gmail.com</v>
      </c>
      <c r="B1237" s="19" t="str">
        <f>IFERROR(__xludf.DUMMYFUNCTION("IF(OR(regexmatch(A1237,"".*@simon.es$""),REGEXMATCH(A1237,"".*@simon.pt$""),REGEXMATCH(A1237,"".*@simonelectrica.com$""),REGEXMATCH(A1237,"".*@hiberus.com$""),REGEXMATCH(A1237,"".*@simonbrico.es$""),regexmatch(A1237,"".*@simonelectric.com$"")),""null"",A1"&amp;"237)"),"979@gmail.com")</f>
        <v>979@gmail.com</v>
      </c>
      <c r="C1237" s="5">
        <f>IF(B1237="null","null",Descargas!B1237)</f>
        <v>43955</v>
      </c>
      <c r="D1237" s="6" t="str">
        <f>Descargas!E1237</f>
        <v>https://resources.simonelectric.com/simon-catalogo-vehiculo-electrico</v>
      </c>
      <c r="E1237" s="20" t="str">
        <f t="shared" si="1"/>
        <v>979@gmail.com</v>
      </c>
      <c r="F1237" s="21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</row>
    <row r="1238" ht="15.75" customHeight="1">
      <c r="A1238" s="18" t="str">
        <f>Descargas!A1238</f>
        <v>297@hotmail.com</v>
      </c>
      <c r="B1238" s="19" t="str">
        <f>IFERROR(__xludf.DUMMYFUNCTION("IF(OR(regexmatch(A1238,"".*@simon.es$""),REGEXMATCH(A1238,"".*@simon.pt$""),REGEXMATCH(A1238,"".*@simonelectrica.com$""),REGEXMATCH(A1238,"".*@hiberus.com$""),REGEXMATCH(A1238,"".*@simonbrico.es$""),regexmatch(A1238,"".*@simonelectric.com$"")),""null"",A1"&amp;"238)"),"297@hotmail.com")</f>
        <v>297@hotmail.com</v>
      </c>
      <c r="C1238" s="5">
        <f>IF(B1238="null","null",Descargas!B1238)</f>
        <v>43955</v>
      </c>
      <c r="D1238" s="6" t="str">
        <f>Descargas!E1238</f>
        <v>https://resources.simonelectric.com/simon-ebook-vehiculo-electrico</v>
      </c>
      <c r="E1238" s="20" t="str">
        <f t="shared" si="1"/>
        <v>297@hotmail.com</v>
      </c>
      <c r="F1238" s="21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</row>
    <row r="1239" ht="15.75" customHeight="1">
      <c r="A1239" s="18" t="str">
        <f>Descargas!A1239</f>
        <v>980@coiiar.org</v>
      </c>
      <c r="B1239" s="19" t="str">
        <f>IFERROR(__xludf.DUMMYFUNCTION("IF(OR(regexmatch(A1239,"".*@simon.es$""),REGEXMATCH(A1239,"".*@simon.pt$""),REGEXMATCH(A1239,"".*@simonelectrica.com$""),REGEXMATCH(A1239,"".*@hiberus.com$""),REGEXMATCH(A1239,"".*@simonbrico.es$""),regexmatch(A1239,"".*@simonelectric.com$"")),""null"",A1"&amp;"239)"),"980@coiiar.org")</f>
        <v>980@coiiar.org</v>
      </c>
      <c r="C1239" s="5">
        <f>IF(B1239="null","null",Descargas!B1239)</f>
        <v>43955</v>
      </c>
      <c r="D1239" s="6" t="str">
        <f>Descargas!E1239</f>
        <v>https://resources.simonelectric.com/simon-ebook-vehiculo-electrico</v>
      </c>
      <c r="E1239" s="20" t="str">
        <f t="shared" si="1"/>
        <v>980@coiiar.org</v>
      </c>
      <c r="F1239" s="21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</row>
    <row r="1240" ht="15.75" customHeight="1">
      <c r="A1240" s="18" t="str">
        <f>Descargas!A1240</f>
        <v>981@gmail.com</v>
      </c>
      <c r="B1240" s="19" t="str">
        <f>IFERROR(__xludf.DUMMYFUNCTION("IF(OR(regexmatch(A1240,"".*@simon.es$""),REGEXMATCH(A1240,"".*@simon.pt$""),REGEXMATCH(A1240,"".*@simonelectrica.com$""),REGEXMATCH(A1240,"".*@hiberus.com$""),REGEXMATCH(A1240,"".*@simonbrico.es$""),regexmatch(A1240,"".*@simonelectric.com$"")),""null"",A1"&amp;"240)"),"981@gmail.com")</f>
        <v>981@gmail.com</v>
      </c>
      <c r="C1240" s="5">
        <f>IF(B1240="null","null",Descargas!B1240)</f>
        <v>43955</v>
      </c>
      <c r="D1240" s="6" t="str">
        <f>Descargas!E1240</f>
        <v>https://resources.simonelectric.com/simon-catalogo-vehiculo-electrico</v>
      </c>
      <c r="E1240" s="20" t="str">
        <f t="shared" si="1"/>
        <v>981@gmail.com</v>
      </c>
      <c r="F1240" s="21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</row>
    <row r="1241" ht="15.75" customHeight="1">
      <c r="A1241" s="18" t="str">
        <f>Descargas!A1241</f>
        <v>982@gmail.com</v>
      </c>
      <c r="B1241" s="19" t="str">
        <f>IFERROR(__xludf.DUMMYFUNCTION("IF(OR(regexmatch(A1241,"".*@simon.es$""),REGEXMATCH(A1241,"".*@simon.pt$""),REGEXMATCH(A1241,"".*@simonelectrica.com$""),REGEXMATCH(A1241,"".*@hiberus.com$""),REGEXMATCH(A1241,"".*@simonbrico.es$""),regexmatch(A1241,"".*@simonelectric.com$"")),""null"",A1"&amp;"241)"),"982@gmail.com")</f>
        <v>982@gmail.com</v>
      </c>
      <c r="C1241" s="5">
        <f>IF(B1241="null","null",Descargas!B1241)</f>
        <v>43955</v>
      </c>
      <c r="D1241" s="6" t="str">
        <f>Descargas!E1241</f>
        <v>https://resources.simonelectric.com/simon-ebook-vehiculo-electrico</v>
      </c>
      <c r="E1241" s="20" t="str">
        <f t="shared" si="1"/>
        <v>982@gmail.com</v>
      </c>
      <c r="F1241" s="21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</row>
    <row r="1242" ht="15.75" customHeight="1">
      <c r="A1242" s="18" t="str">
        <f>Descargas!A1242</f>
        <v>983@elektracat.com</v>
      </c>
      <c r="B1242" s="19" t="str">
        <f>IFERROR(__xludf.DUMMYFUNCTION("IF(OR(regexmatch(A1242,"".*@simon.es$""),REGEXMATCH(A1242,"".*@simon.pt$""),REGEXMATCH(A1242,"".*@simonelectrica.com$""),REGEXMATCH(A1242,"".*@hiberus.com$""),REGEXMATCH(A1242,"".*@simonbrico.es$""),regexmatch(A1242,"".*@simonelectric.com$"")),""null"",A1"&amp;"242)"),"983@elektracat.com")</f>
        <v>983@elektracat.com</v>
      </c>
      <c r="C1242" s="5">
        <f>IF(B1242="null","null",Descargas!B1242)</f>
        <v>43955</v>
      </c>
      <c r="D1242" s="6" t="str">
        <f>Descargas!E1242</f>
        <v>https://resources.simonelectric.com/simon-catalogo-vehiculo-electrico</v>
      </c>
      <c r="E1242" s="20" t="str">
        <f t="shared" si="1"/>
        <v>983@elektracat.com</v>
      </c>
      <c r="F1242" s="21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</row>
    <row r="1243" ht="15.75" customHeight="1">
      <c r="A1243" s="18" t="str">
        <f>Descargas!A1243</f>
        <v>984@gmail.com</v>
      </c>
      <c r="B1243" s="19" t="str">
        <f>IFERROR(__xludf.DUMMYFUNCTION("IF(OR(regexmatch(A1243,"".*@simon.es$""),REGEXMATCH(A1243,"".*@simon.pt$""),REGEXMATCH(A1243,"".*@simonelectrica.com$""),REGEXMATCH(A1243,"".*@hiberus.com$""),REGEXMATCH(A1243,"".*@simonbrico.es$""),regexmatch(A1243,"".*@simonelectric.com$"")),""null"",A1"&amp;"243)"),"984@gmail.com")</f>
        <v>984@gmail.com</v>
      </c>
      <c r="C1243" s="5">
        <f>IF(B1243="null","null",Descargas!B1243)</f>
        <v>43955</v>
      </c>
      <c r="D1243" s="6" t="str">
        <f>Descargas!E1243</f>
        <v>https://resources.simonelectric.com/simon-ebook-vehiculo-electrico</v>
      </c>
      <c r="E1243" s="20" t="str">
        <f t="shared" si="1"/>
        <v>984@gmail.com</v>
      </c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</row>
    <row r="1244" ht="15.75" customHeight="1">
      <c r="A1244" s="18" t="str">
        <f>Descargas!A1244</f>
        <v>628@inquo.es</v>
      </c>
      <c r="B1244" s="19" t="str">
        <f>IFERROR(__xludf.DUMMYFUNCTION("IF(OR(regexmatch(A1244,"".*@simon.es$""),REGEXMATCH(A1244,"".*@simon.pt$""),REGEXMATCH(A1244,"".*@simonelectrica.com$""),REGEXMATCH(A1244,"".*@hiberus.com$""),REGEXMATCH(A1244,"".*@simonbrico.es$""),regexmatch(A1244,"".*@simonelectric.com$"")),""null"",A1"&amp;"244)"),"628@inquo.es")</f>
        <v>628@inquo.es</v>
      </c>
      <c r="C1244" s="5">
        <f>IF(B1244="null","null",Descargas!B1244)</f>
        <v>43955</v>
      </c>
      <c r="D1244" s="6" t="str">
        <f>Descargas!E1244</f>
        <v>https://resources.simonelectric.com/simon-catalogo-vehiculo-electrico</v>
      </c>
      <c r="E1244" s="20" t="str">
        <f t="shared" si="1"/>
        <v>628@inquo.es</v>
      </c>
      <c r="F1244" s="21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</row>
    <row r="1245" ht="15.75" customHeight="1">
      <c r="A1245" s="18" t="str">
        <f>Descargas!A1245</f>
        <v>985@jesnar2011.es</v>
      </c>
      <c r="B1245" s="19" t="str">
        <f>IFERROR(__xludf.DUMMYFUNCTION("IF(OR(regexmatch(A1245,"".*@simon.es$""),REGEXMATCH(A1245,"".*@simon.pt$""),REGEXMATCH(A1245,"".*@simonelectrica.com$""),REGEXMATCH(A1245,"".*@hiberus.com$""),REGEXMATCH(A1245,"".*@simonbrico.es$""),regexmatch(A1245,"".*@simonelectric.com$"")),""null"",A1"&amp;"245)"),"985@jesnar2011.es")</f>
        <v>985@jesnar2011.es</v>
      </c>
      <c r="C1245" s="5">
        <f>IF(B1245="null","null",Descargas!B1245)</f>
        <v>43955</v>
      </c>
      <c r="D1245" s="6" t="str">
        <f>Descargas!E1245</f>
        <v>https://resources.simonelectric.com/simon-catalogo-vehiculo-electrico</v>
      </c>
      <c r="E1245" s="20" t="str">
        <f t="shared" si="1"/>
        <v>985@jesnar2011.es</v>
      </c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</row>
    <row r="1246" ht="15.75" customHeight="1">
      <c r="A1246" s="18" t="str">
        <f>Descargas!A1246</f>
        <v>986@hotmail.com</v>
      </c>
      <c r="B1246" s="19" t="str">
        <f>IFERROR(__xludf.DUMMYFUNCTION("IF(OR(regexmatch(A1246,"".*@simon.es$""),REGEXMATCH(A1246,"".*@simon.pt$""),REGEXMATCH(A1246,"".*@simonelectrica.com$""),REGEXMATCH(A1246,"".*@hiberus.com$""),REGEXMATCH(A1246,"".*@simonbrico.es$""),regexmatch(A1246,"".*@simonelectric.com$"")),""null"",A1"&amp;"246)"),"986@hotmail.com")</f>
        <v>986@hotmail.com</v>
      </c>
      <c r="C1246" s="5">
        <f>IF(B1246="null","null",Descargas!B1246)</f>
        <v>43955</v>
      </c>
      <c r="D1246" s="6" t="str">
        <f>Descargas!E1246</f>
        <v>https://resources.simonelectric.com/simon-ebook-vehiculo-electrico-0</v>
      </c>
      <c r="E1246" s="20" t="str">
        <f t="shared" si="1"/>
        <v>986@hotmail.com</v>
      </c>
      <c r="F1246" s="21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</row>
    <row r="1247" ht="15.75" customHeight="1">
      <c r="A1247" s="18" t="str">
        <f>Descargas!A1247</f>
        <v>987@ginsa.cat</v>
      </c>
      <c r="B1247" s="19" t="str">
        <f>IFERROR(__xludf.DUMMYFUNCTION("IF(OR(regexmatch(A1247,"".*@simon.es$""),REGEXMATCH(A1247,"".*@simon.pt$""),REGEXMATCH(A1247,"".*@simonelectrica.com$""),REGEXMATCH(A1247,"".*@hiberus.com$""),REGEXMATCH(A1247,"".*@simonbrico.es$""),regexmatch(A1247,"".*@simonelectric.com$"")),""null"",A1"&amp;"247)"),"987@ginsa.cat")</f>
        <v>987@ginsa.cat</v>
      </c>
      <c r="C1247" s="5">
        <f>IF(B1247="null","null",Descargas!B1247)</f>
        <v>43955</v>
      </c>
      <c r="D1247" s="6" t="str">
        <f>Descargas!E1247</f>
        <v>https://resources.simonelectric.com/simon-catalogo-vehiculo-electrico</v>
      </c>
      <c r="E1247" s="20" t="str">
        <f t="shared" si="1"/>
        <v>987@ginsa.cat</v>
      </c>
      <c r="F1247" s="21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</row>
    <row r="1248" ht="15.75" customHeight="1">
      <c r="A1248" s="18" t="str">
        <f>Descargas!A1248</f>
        <v>988@electromercantil.es</v>
      </c>
      <c r="B1248" s="19" t="str">
        <f>IFERROR(__xludf.DUMMYFUNCTION("IF(OR(regexmatch(A1248,"".*@simon.es$""),REGEXMATCH(A1248,"".*@simon.pt$""),REGEXMATCH(A1248,"".*@simonelectrica.com$""),REGEXMATCH(A1248,"".*@hiberus.com$""),REGEXMATCH(A1248,"".*@simonbrico.es$""),regexmatch(A1248,"".*@simonelectric.com$"")),""null"",A1"&amp;"248)"),"988@electromercantil.es")</f>
        <v>988@electromercantil.es</v>
      </c>
      <c r="C1248" s="5">
        <f>IF(B1248="null","null",Descargas!B1248)</f>
        <v>43955</v>
      </c>
      <c r="D1248" s="6" t="str">
        <f>Descargas!E1248</f>
        <v>https://resources.simonelectric.com/simon-catalogo-vehiculo-electrico</v>
      </c>
      <c r="E1248" s="20" t="str">
        <f t="shared" si="1"/>
        <v>988@electromercantil.es</v>
      </c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</row>
    <row r="1249" ht="15.75" customHeight="1">
      <c r="A1249" s="18" t="str">
        <f>Descargas!A1249</f>
        <v>989@electricasllop.com</v>
      </c>
      <c r="B1249" s="19" t="str">
        <f>IFERROR(__xludf.DUMMYFUNCTION("IF(OR(regexmatch(A1249,"".*@simon.es$""),REGEXMATCH(A1249,"".*@simon.pt$""),REGEXMATCH(A1249,"".*@simonelectrica.com$""),REGEXMATCH(A1249,"".*@hiberus.com$""),REGEXMATCH(A1249,"".*@simonbrico.es$""),regexmatch(A1249,"".*@simonelectric.com$"")),""null"",A1"&amp;"249)"),"989@electricasllop.com")</f>
        <v>989@electricasllop.com</v>
      </c>
      <c r="C1249" s="5">
        <f>IF(B1249="null","null",Descargas!B1249)</f>
        <v>43955</v>
      </c>
      <c r="D1249" s="6" t="str">
        <f>Descargas!E1249</f>
        <v>https://resources.simonelectric.com/simon-ebook-vehiculo-electrico</v>
      </c>
      <c r="E1249" s="20" t="str">
        <f t="shared" si="1"/>
        <v>989@electricasllop.com</v>
      </c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</row>
    <row r="1250" ht="15.75" customHeight="1">
      <c r="A1250" s="18" t="str">
        <f>Descargas!A1250</f>
        <v>990@gmail.com</v>
      </c>
      <c r="B1250" s="19" t="str">
        <f>IFERROR(__xludf.DUMMYFUNCTION("IF(OR(regexmatch(A1250,"".*@simon.es$""),REGEXMATCH(A1250,"".*@simon.pt$""),REGEXMATCH(A1250,"".*@simonelectrica.com$""),REGEXMATCH(A1250,"".*@hiberus.com$""),REGEXMATCH(A1250,"".*@simonbrico.es$""),regexmatch(A1250,"".*@simonelectric.com$"")),""null"",A1"&amp;"250)"),"990@gmail.com")</f>
        <v>990@gmail.com</v>
      </c>
      <c r="C1250" s="5">
        <f>IF(B1250="null","null",Descargas!B1250)</f>
        <v>43955</v>
      </c>
      <c r="D1250" s="6" t="str">
        <f>Descargas!E1250</f>
        <v>https://resources.simonelectric.com/simon-ebook-vehiculo-electrico</v>
      </c>
      <c r="E1250" s="20" t="str">
        <f t="shared" si="1"/>
        <v>990@gmail.com</v>
      </c>
      <c r="F1250" s="21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</row>
    <row r="1251" ht="15.75" customHeight="1">
      <c r="A1251" s="18" t="str">
        <f>Descargas!A1251</f>
        <v>991@yahoo.es</v>
      </c>
      <c r="B1251" s="19" t="str">
        <f>IFERROR(__xludf.DUMMYFUNCTION("IF(OR(regexmatch(A1251,"".*@simon.es$""),REGEXMATCH(A1251,"".*@simon.pt$""),REGEXMATCH(A1251,"".*@simonelectrica.com$""),REGEXMATCH(A1251,"".*@hiberus.com$""),REGEXMATCH(A1251,"".*@simonbrico.es$""),regexmatch(A1251,"".*@simonelectric.com$"")),""null"",A1"&amp;"251)"),"991@yahoo.es")</f>
        <v>991@yahoo.es</v>
      </c>
      <c r="C1251" s="5">
        <f>IF(B1251="null","null",Descargas!B1251)</f>
        <v>43955</v>
      </c>
      <c r="D1251" s="6" t="str">
        <f>Descargas!E1251</f>
        <v>https://resources.simonelectric.com/simon-ebook-vehiculo-electrico</v>
      </c>
      <c r="E1251" s="20" t="str">
        <f t="shared" si="1"/>
        <v>991@yahoo.es</v>
      </c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</row>
    <row r="1252" ht="15.75" customHeight="1">
      <c r="A1252" s="18" t="str">
        <f>Descargas!A1252</f>
        <v>992@yahoo.es</v>
      </c>
      <c r="B1252" s="19" t="str">
        <f>IFERROR(__xludf.DUMMYFUNCTION("IF(OR(regexmatch(A1252,"".*@simon.es$""),REGEXMATCH(A1252,"".*@simon.pt$""),REGEXMATCH(A1252,"".*@simonelectrica.com$""),REGEXMATCH(A1252,"".*@hiberus.com$""),REGEXMATCH(A1252,"".*@simonbrico.es$""),regexmatch(A1252,"".*@simonelectric.com$"")),""null"",A1"&amp;"252)"),"992@yahoo.es")</f>
        <v>992@yahoo.es</v>
      </c>
      <c r="C1252" s="5">
        <f>IF(B1252="null","null",Descargas!B1252)</f>
        <v>43955</v>
      </c>
      <c r="D1252" s="6" t="str">
        <f>Descargas!E1252</f>
        <v>https://resources.simonelectric.com/simon-ebook-vehiculo-electrico</v>
      </c>
      <c r="E1252" s="20" t="str">
        <f t="shared" si="1"/>
        <v>992@yahoo.es</v>
      </c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</row>
    <row r="1253" ht="15.75" customHeight="1">
      <c r="A1253" s="18" t="str">
        <f>Descargas!A1253</f>
        <v>993@electricidadguerra.com</v>
      </c>
      <c r="B1253" s="19" t="str">
        <f>IFERROR(__xludf.DUMMYFUNCTION("IF(OR(regexmatch(A1253,"".*@simon.es$""),REGEXMATCH(A1253,"".*@simon.pt$""),REGEXMATCH(A1253,"".*@simonelectrica.com$""),REGEXMATCH(A1253,"".*@hiberus.com$""),REGEXMATCH(A1253,"".*@simonbrico.es$""),regexmatch(A1253,"".*@simonelectric.com$"")),""null"",A1"&amp;"253)"),"993@electricidadguerra.com")</f>
        <v>993@electricidadguerra.com</v>
      </c>
      <c r="C1253" s="5">
        <f>IF(B1253="null","null",Descargas!B1253)</f>
        <v>43955</v>
      </c>
      <c r="D1253" s="6" t="str">
        <f>Descargas!E1253</f>
        <v>https://resources.simonelectric.com/simon-catalogo-vehiculo-electrico</v>
      </c>
      <c r="E1253" s="20" t="str">
        <f t="shared" si="1"/>
        <v>993@electricidadguerra.com</v>
      </c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</row>
    <row r="1254" ht="15.75" customHeight="1">
      <c r="A1254" s="18" t="str">
        <f>Descargas!A1254</f>
        <v>994@gruponovelec.com</v>
      </c>
      <c r="B1254" s="19" t="str">
        <f>IFERROR(__xludf.DUMMYFUNCTION("IF(OR(regexmatch(A1254,"".*@simon.es$""),REGEXMATCH(A1254,"".*@simon.pt$""),REGEXMATCH(A1254,"".*@simonelectrica.com$""),REGEXMATCH(A1254,"".*@hiberus.com$""),REGEXMATCH(A1254,"".*@simonbrico.es$""),regexmatch(A1254,"".*@simonelectric.com$"")),""null"",A1"&amp;"254)"),"994@gruponovelec.com")</f>
        <v>994@gruponovelec.com</v>
      </c>
      <c r="C1254" s="5">
        <f>IF(B1254="null","null",Descargas!B1254)</f>
        <v>43955</v>
      </c>
      <c r="D1254" s="6" t="str">
        <f>Descargas!E1254</f>
        <v>https://resources.simonelectric.com/simon-catalogo-vehiculo-electrico</v>
      </c>
      <c r="E1254" s="20" t="str">
        <f t="shared" si="1"/>
        <v>994@gruponovelec.com</v>
      </c>
      <c r="F1254" s="21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</row>
    <row r="1255" ht="15.75" customHeight="1">
      <c r="A1255" s="18" t="str">
        <f>Descargas!A1255</f>
        <v>995@telefonica.net</v>
      </c>
      <c r="B1255" s="19" t="str">
        <f>IFERROR(__xludf.DUMMYFUNCTION("IF(OR(regexmatch(A1255,"".*@simon.es$""),REGEXMATCH(A1255,"".*@simon.pt$""),REGEXMATCH(A1255,"".*@simonelectrica.com$""),REGEXMATCH(A1255,"".*@hiberus.com$""),REGEXMATCH(A1255,"".*@simonbrico.es$""),regexmatch(A1255,"".*@simonelectric.com$"")),""null"",A1"&amp;"255)"),"995@telefonica.net")</f>
        <v>995@telefonica.net</v>
      </c>
      <c r="C1255" s="5">
        <f>IF(B1255="null","null",Descargas!B1255)</f>
        <v>43955</v>
      </c>
      <c r="D1255" s="6" t="str">
        <f>Descargas!E1255</f>
        <v>https://resources.simonelectric.com/simon-ebook-vehiculo-electrico</v>
      </c>
      <c r="E1255" s="20" t="str">
        <f t="shared" si="1"/>
        <v>995@telefonica.net</v>
      </c>
      <c r="F1255" s="21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</row>
    <row r="1256" ht="15.75" customHeight="1">
      <c r="A1256" s="18" t="str">
        <f>Descargas!A1256</f>
        <v>996@comb.cat</v>
      </c>
      <c r="B1256" s="19" t="str">
        <f>IFERROR(__xludf.DUMMYFUNCTION("IF(OR(regexmatch(A1256,"".*@simon.es$""),REGEXMATCH(A1256,"".*@simon.pt$""),REGEXMATCH(A1256,"".*@simonelectrica.com$""),REGEXMATCH(A1256,"".*@hiberus.com$""),REGEXMATCH(A1256,"".*@simonbrico.es$""),regexmatch(A1256,"".*@simonelectric.com$"")),""null"",A1"&amp;"256)"),"996@comb.cat")</f>
        <v>996@comb.cat</v>
      </c>
      <c r="C1256" s="5">
        <f>IF(B1256="null","null",Descargas!B1256)</f>
        <v>43955</v>
      </c>
      <c r="D1256" s="6" t="str">
        <f>Descargas!E1256</f>
        <v>https://resources.simonelectric.com/simon-catalogo-vehiculo-electrico</v>
      </c>
      <c r="E1256" s="20" t="str">
        <f t="shared" si="1"/>
        <v>996@comb.cat</v>
      </c>
      <c r="F1256" s="21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</row>
    <row r="1257" ht="15.75" customHeight="1">
      <c r="A1257" s="18" t="str">
        <f>Descargas!A1257</f>
        <v>997@yahoo.es</v>
      </c>
      <c r="B1257" s="19" t="str">
        <f>IFERROR(__xludf.DUMMYFUNCTION("IF(OR(regexmatch(A1257,"".*@simon.es$""),REGEXMATCH(A1257,"".*@simon.pt$""),REGEXMATCH(A1257,"".*@simonelectrica.com$""),REGEXMATCH(A1257,"".*@hiberus.com$""),REGEXMATCH(A1257,"".*@simonbrico.es$""),regexmatch(A1257,"".*@simonelectric.com$"")),""null"",A1"&amp;"257)"),"997@yahoo.es")</f>
        <v>997@yahoo.es</v>
      </c>
      <c r="C1257" s="5">
        <f>IF(B1257="null","null",Descargas!B1257)</f>
        <v>43955</v>
      </c>
      <c r="D1257" s="6" t="str">
        <f>Descargas!E1257</f>
        <v>https://resources.simonelectric.com/simon-ebook-vehiculo-electrico-ppc</v>
      </c>
      <c r="E1257" s="20" t="str">
        <f t="shared" si="1"/>
        <v>997@yahoo.es</v>
      </c>
      <c r="F1257" s="21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</row>
    <row r="1258" ht="15.75" customHeight="1">
      <c r="A1258" s="18" t="str">
        <f>Descargas!A1258</f>
        <v>998@damuvi.com</v>
      </c>
      <c r="B1258" s="19" t="str">
        <f>IFERROR(__xludf.DUMMYFUNCTION("IF(OR(regexmatch(A1258,"".*@simon.es$""),REGEXMATCH(A1258,"".*@simon.pt$""),REGEXMATCH(A1258,"".*@simonelectrica.com$""),REGEXMATCH(A1258,"".*@hiberus.com$""),REGEXMATCH(A1258,"".*@simonbrico.es$""),regexmatch(A1258,"".*@simonelectric.com$"")),""null"",A1"&amp;"258)"),"998@damuvi.com")</f>
        <v>998@damuvi.com</v>
      </c>
      <c r="C1258" s="5">
        <f>IF(B1258="null","null",Descargas!B1258)</f>
        <v>43955</v>
      </c>
      <c r="D1258" s="6" t="str">
        <f>Descargas!E1258</f>
        <v>https://resources.simonelectric.com/simon-ebook-vehiculo-electrico</v>
      </c>
      <c r="E1258" s="20" t="str">
        <f t="shared" si="1"/>
        <v>998@damuvi.com</v>
      </c>
      <c r="F1258" s="21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</row>
    <row r="1259" ht="15.75" customHeight="1">
      <c r="A1259" s="18" t="str">
        <f>Descargas!A1259</f>
        <v>999@aeperez.es</v>
      </c>
      <c r="B1259" s="19" t="str">
        <f>IFERROR(__xludf.DUMMYFUNCTION("IF(OR(regexmatch(A1259,"".*@simon.es$""),REGEXMATCH(A1259,"".*@simon.pt$""),REGEXMATCH(A1259,"".*@simonelectrica.com$""),REGEXMATCH(A1259,"".*@hiberus.com$""),REGEXMATCH(A1259,"".*@simonbrico.es$""),regexmatch(A1259,"".*@simonelectric.com$"")),""null"",A1"&amp;"259)"),"999@aeperez.es")</f>
        <v>999@aeperez.es</v>
      </c>
      <c r="C1259" s="5">
        <f>IF(B1259="null","null",Descargas!B1259)</f>
        <v>43955</v>
      </c>
      <c r="D1259" s="6" t="str">
        <f>Descargas!E1259</f>
        <v>https://resources.simonelectric.com/simon-ebook-vehiculo-electrico</v>
      </c>
      <c r="E1259" s="20" t="str">
        <f t="shared" si="1"/>
        <v>999@aeperez.es</v>
      </c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</row>
    <row r="1260" ht="15.75" customHeight="1">
      <c r="A1260" s="18" t="str">
        <f>Descargas!A1260</f>
        <v>1000@hotmail.com</v>
      </c>
      <c r="B1260" s="19" t="str">
        <f>IFERROR(__xludf.DUMMYFUNCTION("IF(OR(regexmatch(A1260,"".*@simon.es$""),REGEXMATCH(A1260,"".*@simon.pt$""),REGEXMATCH(A1260,"".*@simonelectrica.com$""),REGEXMATCH(A1260,"".*@hiberus.com$""),REGEXMATCH(A1260,"".*@simonbrico.es$""),regexmatch(A1260,"".*@simonelectric.com$"")),""null"",A1"&amp;"260)"),"1000@hotmail.com")</f>
        <v>1000@hotmail.com</v>
      </c>
      <c r="C1260" s="5">
        <f>IF(B1260="null","null",Descargas!B1260)</f>
        <v>43955</v>
      </c>
      <c r="D1260" s="6" t="str">
        <f>Descargas!E1260</f>
        <v>https://resources.simonelectric.com/simon-catalogo-vehiculo-electrico</v>
      </c>
      <c r="E1260" s="20" t="str">
        <f t="shared" si="1"/>
        <v>1000@hotmail.com</v>
      </c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</row>
    <row r="1261" ht="15.75" customHeight="1">
      <c r="A1261" s="18" t="str">
        <f>Descargas!A1261</f>
        <v>1001@hotmail.com</v>
      </c>
      <c r="B1261" s="19" t="str">
        <f>IFERROR(__xludf.DUMMYFUNCTION("IF(OR(regexmatch(A1261,"".*@simon.es$""),REGEXMATCH(A1261,"".*@simon.pt$""),REGEXMATCH(A1261,"".*@simonelectrica.com$""),REGEXMATCH(A1261,"".*@hiberus.com$""),REGEXMATCH(A1261,"".*@simonbrico.es$""),regexmatch(A1261,"".*@simonelectric.com$"")),""null"",A1"&amp;"261)"),"1001@hotmail.com")</f>
        <v>1001@hotmail.com</v>
      </c>
      <c r="C1261" s="5">
        <f>IF(B1261="null","null",Descargas!B1261)</f>
        <v>43955</v>
      </c>
      <c r="D1261" s="6" t="str">
        <f>Descargas!E1261</f>
        <v>https://resources.simonelectric.com/simon-catalogo-vehiculo-electrico</v>
      </c>
      <c r="E1261" s="20" t="str">
        <f t="shared" si="1"/>
        <v>1001@hotmail.com</v>
      </c>
      <c r="F1261" s="21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</row>
    <row r="1262" ht="15.75" customHeight="1">
      <c r="A1262" s="18" t="str">
        <f>Descargas!A1262</f>
        <v>926@electricidadyserviciosmontero.com</v>
      </c>
      <c r="B1262" s="19" t="str">
        <f>IFERROR(__xludf.DUMMYFUNCTION("IF(OR(regexmatch(A1262,"".*@simon.es$""),REGEXMATCH(A1262,"".*@simon.pt$""),REGEXMATCH(A1262,"".*@simonelectrica.com$""),REGEXMATCH(A1262,"".*@hiberus.com$""),REGEXMATCH(A1262,"".*@simonbrico.es$""),regexmatch(A1262,"".*@simonelectric.com$"")),""null"",A1"&amp;"262)"),"926@electricidadyserviciosmontero.com")</f>
        <v>926@electricidadyserviciosmontero.com</v>
      </c>
      <c r="C1262" s="5">
        <f>IF(B1262="null","null",Descargas!B1262)</f>
        <v>43955</v>
      </c>
      <c r="D1262" s="6" t="str">
        <f>Descargas!E1262</f>
        <v>https://resources.simonelectric.com/simon-catalogo-vehiculo-electrico</v>
      </c>
      <c r="E1262" s="20" t="str">
        <f t="shared" si="1"/>
        <v>926@electricidadyserviciosmontero.com</v>
      </c>
      <c r="F1262" s="21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</row>
    <row r="1263" ht="15.75" customHeight="1">
      <c r="A1263" s="18" t="str">
        <f>Descargas!A1263</f>
        <v>1002@hotmail.com</v>
      </c>
      <c r="B1263" s="19" t="str">
        <f>IFERROR(__xludf.DUMMYFUNCTION("IF(OR(regexmatch(A1263,"".*@simon.es$""),REGEXMATCH(A1263,"".*@simon.pt$""),REGEXMATCH(A1263,"".*@simonelectrica.com$""),REGEXMATCH(A1263,"".*@hiberus.com$""),REGEXMATCH(A1263,"".*@simonbrico.es$""),regexmatch(A1263,"".*@simonelectric.com$"")),""null"",A1"&amp;"263)"),"1002@hotmail.com")</f>
        <v>1002@hotmail.com</v>
      </c>
      <c r="C1263" s="5">
        <f>IF(B1263="null","null",Descargas!B1263)</f>
        <v>43955</v>
      </c>
      <c r="D1263" s="6" t="str">
        <f>Descargas!E1263</f>
        <v>https://resources.simonelectric.com/simon-ebook-vehiculo-electrico</v>
      </c>
      <c r="E1263" s="20" t="str">
        <f t="shared" si="1"/>
        <v>1002@hotmail.com</v>
      </c>
      <c r="F1263" s="21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</row>
    <row r="1264" ht="15.75" customHeight="1">
      <c r="A1264" s="18" t="str">
        <f>Descargas!A1264</f>
        <v>673@gmail.com</v>
      </c>
      <c r="B1264" s="19" t="str">
        <f>IFERROR(__xludf.DUMMYFUNCTION("IF(OR(regexmatch(A1264,"".*@simon.es$""),REGEXMATCH(A1264,"".*@simon.pt$""),REGEXMATCH(A1264,"".*@simonelectrica.com$""),REGEXMATCH(A1264,"".*@hiberus.com$""),REGEXMATCH(A1264,"".*@simonbrico.es$""),regexmatch(A1264,"".*@simonelectric.com$"")),""null"",A1"&amp;"264)"),"673@gmail.com")</f>
        <v>673@gmail.com</v>
      </c>
      <c r="C1264" s="5">
        <f>IF(B1264="null","null",Descargas!B1264)</f>
        <v>43955</v>
      </c>
      <c r="D1264" s="6" t="str">
        <f>Descargas!E1264</f>
        <v>https://resources.simonelectric.com/simon-ebook-vehiculo-electrico</v>
      </c>
      <c r="E1264" s="20" t="str">
        <f t="shared" si="1"/>
        <v>673@gmail.com</v>
      </c>
      <c r="F1264" s="21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</row>
    <row r="1265" ht="15.75" customHeight="1">
      <c r="A1265" s="18" t="str">
        <f>Descargas!A1265</f>
        <v>1003@gmail.com</v>
      </c>
      <c r="B1265" s="19" t="str">
        <f>IFERROR(__xludf.DUMMYFUNCTION("IF(OR(regexmatch(A1265,"".*@simon.es$""),REGEXMATCH(A1265,"".*@simon.pt$""),REGEXMATCH(A1265,"".*@simonelectrica.com$""),REGEXMATCH(A1265,"".*@hiberus.com$""),REGEXMATCH(A1265,"".*@simonbrico.es$""),regexmatch(A1265,"".*@simonelectric.com$"")),""null"",A1"&amp;"265)"),"1003@gmail.com")</f>
        <v>1003@gmail.com</v>
      </c>
      <c r="C1265" s="5">
        <f>IF(B1265="null","null",Descargas!B1265)</f>
        <v>43955</v>
      </c>
      <c r="D1265" s="6" t="str">
        <f>Descargas!E1265</f>
        <v>https://resources.simonelectric.com/simon-ebook-vehiculo-electrico</v>
      </c>
      <c r="E1265" s="20" t="str">
        <f t="shared" si="1"/>
        <v>1003@gmail.com</v>
      </c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</row>
    <row r="1266" ht="15.75" customHeight="1">
      <c r="A1266" s="18" t="str">
        <f>Descargas!A1266</f>
        <v>833@ofitecbp.com</v>
      </c>
      <c r="B1266" s="19" t="str">
        <f>IFERROR(__xludf.DUMMYFUNCTION("IF(OR(regexmatch(A1266,"".*@simon.es$""),REGEXMATCH(A1266,"".*@simon.pt$""),REGEXMATCH(A1266,"".*@simonelectrica.com$""),REGEXMATCH(A1266,"".*@hiberus.com$""),REGEXMATCH(A1266,"".*@simonbrico.es$""),regexmatch(A1266,"".*@simonelectric.com$"")),""null"",A1"&amp;"266)"),"833@ofitecbp.com")</f>
        <v>833@ofitecbp.com</v>
      </c>
      <c r="C1266" s="5">
        <f>IF(B1266="null","null",Descargas!B1266)</f>
        <v>43955</v>
      </c>
      <c r="D1266" s="6" t="str">
        <f>Descargas!E1266</f>
        <v>https://resources.simonelectric.com/simon-catalogo-vehiculo-electrico</v>
      </c>
      <c r="E1266" s="20" t="str">
        <f t="shared" si="1"/>
        <v>833@ofitecbp.com</v>
      </c>
      <c r="F1266" s="21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</row>
    <row r="1267" ht="15.75" customHeight="1">
      <c r="A1267" s="18" t="str">
        <f>Descargas!A1267</f>
        <v>1004@telefonica.net</v>
      </c>
      <c r="B1267" s="19" t="str">
        <f>IFERROR(__xludf.DUMMYFUNCTION("IF(OR(regexmatch(A1267,"".*@simon.es$""),REGEXMATCH(A1267,"".*@simon.pt$""),REGEXMATCH(A1267,"".*@simonelectrica.com$""),REGEXMATCH(A1267,"".*@hiberus.com$""),REGEXMATCH(A1267,"".*@simonbrico.es$""),regexmatch(A1267,"".*@simonelectric.com$"")),""null"",A1"&amp;"267)"),"1004@telefonica.net")</f>
        <v>1004@telefonica.net</v>
      </c>
      <c r="C1267" s="5">
        <f>IF(B1267="null","null",Descargas!B1267)</f>
        <v>43955</v>
      </c>
      <c r="D1267" s="6" t="str">
        <f>Descargas!E1267</f>
        <v>https://resources.simonelectric.com/simon-ebook-vehiculo-electrico</v>
      </c>
      <c r="E1267" s="20" t="str">
        <f t="shared" si="1"/>
        <v>1004@telefonica.net</v>
      </c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</row>
    <row r="1268" ht="15.75" customHeight="1">
      <c r="A1268" s="18" t="str">
        <f>Descargas!A1268</f>
        <v>1005@allendearquitectos.com</v>
      </c>
      <c r="B1268" s="19" t="str">
        <f>IFERROR(__xludf.DUMMYFUNCTION("IF(OR(regexmatch(A1268,"".*@simon.es$""),REGEXMATCH(A1268,"".*@simon.pt$""),REGEXMATCH(A1268,"".*@simonelectrica.com$""),REGEXMATCH(A1268,"".*@hiberus.com$""),REGEXMATCH(A1268,"".*@simonbrico.es$""),regexmatch(A1268,"".*@simonelectric.com$"")),""null"",A1"&amp;"268)"),"1005@allendearquitectos.com")</f>
        <v>1005@allendearquitectos.com</v>
      </c>
      <c r="C1268" s="5">
        <f>IF(B1268="null","null",Descargas!B1268)</f>
        <v>43955</v>
      </c>
      <c r="D1268" s="6" t="str">
        <f>Descargas!E1268</f>
        <v>https://resources.simonelectric.com/simon-catalogo-vehiculo-electrico</v>
      </c>
      <c r="E1268" s="20" t="str">
        <f t="shared" si="1"/>
        <v>1005@allendearquitectos.com</v>
      </c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</row>
    <row r="1269" ht="15.75" customHeight="1">
      <c r="A1269" s="18" t="str">
        <f>Descargas!A1269</f>
        <v>1006@gmail.com</v>
      </c>
      <c r="B1269" s="19" t="str">
        <f>IFERROR(__xludf.DUMMYFUNCTION("IF(OR(regexmatch(A1269,"".*@simon.es$""),REGEXMATCH(A1269,"".*@simon.pt$""),REGEXMATCH(A1269,"".*@simonelectrica.com$""),REGEXMATCH(A1269,"".*@hiberus.com$""),REGEXMATCH(A1269,"".*@simonbrico.es$""),regexmatch(A1269,"".*@simonelectric.com$"")),""null"",A1"&amp;"269)"),"1006@gmail.com")</f>
        <v>1006@gmail.com</v>
      </c>
      <c r="C1269" s="5">
        <f>IF(B1269="null","null",Descargas!B1269)</f>
        <v>43955</v>
      </c>
      <c r="D1269" s="6" t="str">
        <f>Descargas!E1269</f>
        <v>https://resources.simonelectric.com/simon-catalogo-vehiculo-electrico</v>
      </c>
      <c r="E1269" s="20" t="str">
        <f t="shared" si="1"/>
        <v>1006@gmail.com</v>
      </c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</row>
    <row r="1270" ht="15.75" customHeight="1">
      <c r="A1270" s="18" t="str">
        <f>Descargas!A1270</f>
        <v>1007@yahoo.es</v>
      </c>
      <c r="B1270" s="19" t="str">
        <f>IFERROR(__xludf.DUMMYFUNCTION("IF(OR(regexmatch(A1270,"".*@simon.es$""),REGEXMATCH(A1270,"".*@simon.pt$""),REGEXMATCH(A1270,"".*@simonelectrica.com$""),REGEXMATCH(A1270,"".*@hiberus.com$""),REGEXMATCH(A1270,"".*@simonbrico.es$""),regexmatch(A1270,"".*@simonelectric.com$"")),""null"",A1"&amp;"270)"),"1007@yahoo.es")</f>
        <v>1007@yahoo.es</v>
      </c>
      <c r="C1270" s="5">
        <f>IF(B1270="null","null",Descargas!B1270)</f>
        <v>43955</v>
      </c>
      <c r="D1270" s="6" t="str">
        <f>Descargas!E1270</f>
        <v>https://resources.simonelectric.com/simon-ebook-vehiculo-electrico-ppc</v>
      </c>
      <c r="E1270" s="20" t="str">
        <f t="shared" si="1"/>
        <v>1007@yahoo.es</v>
      </c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</row>
    <row r="1271" ht="15.75" customHeight="1">
      <c r="A1271" s="18" t="str">
        <f>Descargas!A1271</f>
        <v>1008@olleo.es</v>
      </c>
      <c r="B1271" s="19" t="str">
        <f>IFERROR(__xludf.DUMMYFUNCTION("IF(OR(regexmatch(A1271,"".*@simon.es$""),REGEXMATCH(A1271,"".*@simon.pt$""),REGEXMATCH(A1271,"".*@simonelectrica.com$""),REGEXMATCH(A1271,"".*@hiberus.com$""),REGEXMATCH(A1271,"".*@simonbrico.es$""),regexmatch(A1271,"".*@simonelectric.com$"")),""null"",A1"&amp;"271)"),"1008@olleo.es")</f>
        <v>1008@olleo.es</v>
      </c>
      <c r="C1271" s="5">
        <f>IF(B1271="null","null",Descargas!B1271)</f>
        <v>43955</v>
      </c>
      <c r="D1271" s="6" t="str">
        <f>Descargas!E1271</f>
        <v>https://resources.simonelectric.com/simon-catalogo-vehiculo-electrico</v>
      </c>
      <c r="E1271" s="20" t="str">
        <f t="shared" si="1"/>
        <v>1008@olleo.es</v>
      </c>
      <c r="F1271" s="21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</row>
    <row r="1272" ht="15.75" customHeight="1">
      <c r="A1272" s="18" t="str">
        <f>Descargas!A1272</f>
        <v>1009@ccatlantico.com</v>
      </c>
      <c r="B1272" s="19" t="str">
        <f>IFERROR(__xludf.DUMMYFUNCTION("IF(OR(regexmatch(A1272,"".*@simon.es$""),REGEXMATCH(A1272,"".*@simon.pt$""),REGEXMATCH(A1272,"".*@simonelectrica.com$""),REGEXMATCH(A1272,"".*@hiberus.com$""),REGEXMATCH(A1272,"".*@simonbrico.es$""),regexmatch(A1272,"".*@simonelectric.com$"")),""null"",A1"&amp;"272)"),"1009@ccatlantico.com")</f>
        <v>1009@ccatlantico.com</v>
      </c>
      <c r="C1272" s="5">
        <f>IF(B1272="null","null",Descargas!B1272)</f>
        <v>43955</v>
      </c>
      <c r="D1272" s="6" t="str">
        <f>Descargas!E1272</f>
        <v>https://resources.simonelectric.com/simon-ebook-vehiculo-electrico</v>
      </c>
      <c r="E1272" s="20" t="str">
        <f t="shared" si="1"/>
        <v>1009@ccatlantico.com</v>
      </c>
      <c r="F1272" s="21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</row>
    <row r="1273" ht="15.75" customHeight="1">
      <c r="A1273" s="18" t="str">
        <f>Descargas!A1273</f>
        <v>1010@simon.es</v>
      </c>
      <c r="B1273" s="19" t="str">
        <f>IFERROR(__xludf.DUMMYFUNCTION("IF(OR(regexmatch(A1273,"".*@simon.es$""),REGEXMATCH(A1273,"".*@simon.pt$""),REGEXMATCH(A1273,"".*@simonelectrica.com$""),REGEXMATCH(A1273,"".*@hiberus.com$""),REGEXMATCH(A1273,"".*@simonbrico.es$""),regexmatch(A1273,"".*@simonelectric.com$"")),""null"",A1"&amp;"273)"),"null")</f>
        <v>null</v>
      </c>
      <c r="C1273" s="5" t="str">
        <f>IF(B1273="null","null",Descargas!B1273)</f>
        <v>null</v>
      </c>
      <c r="D1273" s="6" t="str">
        <f>Descargas!E1273</f>
        <v>https://resources.simonelectric.com/simon-catalogo-vehiculo-electrico</v>
      </c>
      <c r="E1273" s="24" t="str">
        <f t="shared" si="1"/>
        <v/>
      </c>
      <c r="F1273" s="21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</row>
    <row r="1274" ht="15.75" customHeight="1">
      <c r="A1274" s="18" t="str">
        <f>Descargas!A1274</f>
        <v>1011@gmail.com</v>
      </c>
      <c r="B1274" s="19" t="str">
        <f>IFERROR(__xludf.DUMMYFUNCTION("IF(OR(regexmatch(A1274,"".*@simon.es$""),REGEXMATCH(A1274,"".*@simon.pt$""),REGEXMATCH(A1274,"".*@simonelectrica.com$""),REGEXMATCH(A1274,"".*@hiberus.com$""),REGEXMATCH(A1274,"".*@simonbrico.es$""),regexmatch(A1274,"".*@simonelectric.com$"")),""null"",A1"&amp;"274)"),"1011@gmail.com")</f>
        <v>1011@gmail.com</v>
      </c>
      <c r="C1274" s="5">
        <f>IF(B1274="null","null",Descargas!B1274)</f>
        <v>43955</v>
      </c>
      <c r="D1274" s="6" t="str">
        <f>Descargas!E1274</f>
        <v>https://resources.simonelectric.com/simon-ebook-vehiculo-electrico</v>
      </c>
      <c r="E1274" s="20" t="str">
        <f t="shared" si="1"/>
        <v>1011@gmail.com</v>
      </c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</row>
    <row r="1275" ht="15.75" customHeight="1">
      <c r="A1275" s="18" t="str">
        <f>Descargas!A1275</f>
        <v>1012@formasymateriales.com</v>
      </c>
      <c r="B1275" s="19" t="str">
        <f>IFERROR(__xludf.DUMMYFUNCTION("IF(OR(regexmatch(A1275,"".*@simon.es$""),REGEXMATCH(A1275,"".*@simon.pt$""),REGEXMATCH(A1275,"".*@simonelectrica.com$""),REGEXMATCH(A1275,"".*@hiberus.com$""),REGEXMATCH(A1275,"".*@simonbrico.es$""),regexmatch(A1275,"".*@simonelectric.com$"")),""null"",A1"&amp;"275)"),"1012@formasymateriales.com")</f>
        <v>1012@formasymateriales.com</v>
      </c>
      <c r="C1275" s="5">
        <f>IF(B1275="null","null",Descargas!B1275)</f>
        <v>43955</v>
      </c>
      <c r="D1275" s="6" t="str">
        <f>Descargas!E1275</f>
        <v>https://resources.simonelectric.com/simon-catalogo-vehiculo-electrico</v>
      </c>
      <c r="E1275" s="20" t="str">
        <f t="shared" si="1"/>
        <v>1012@formasymateriales.com</v>
      </c>
      <c r="F1275" s="21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</row>
    <row r="1276" ht="15.75" customHeight="1">
      <c r="A1276" s="18" t="str">
        <f>Descargas!A1276</f>
        <v>1013@hotmail.com</v>
      </c>
      <c r="B1276" s="19" t="str">
        <f>IFERROR(__xludf.DUMMYFUNCTION("IF(OR(regexmatch(A1276,"".*@simon.es$""),REGEXMATCH(A1276,"".*@simon.pt$""),REGEXMATCH(A1276,"".*@simonelectrica.com$""),REGEXMATCH(A1276,"".*@hiberus.com$""),REGEXMATCH(A1276,"".*@simonbrico.es$""),regexmatch(A1276,"".*@simonelectric.com$"")),""null"",A1"&amp;"276)"),"1013@hotmail.com")</f>
        <v>1013@hotmail.com</v>
      </c>
      <c r="C1276" s="5">
        <f>IF(B1276="null","null",Descargas!B1276)</f>
        <v>43955</v>
      </c>
      <c r="D1276" s="6" t="str">
        <f>Descargas!E1276</f>
        <v>https://resources.simonelectric.com/simon-catalogo-vehiculo-electrico</v>
      </c>
      <c r="E1276" s="20" t="str">
        <f t="shared" si="1"/>
        <v>1013@hotmail.com</v>
      </c>
      <c r="F1276" s="21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</row>
    <row r="1277" ht="15.75" customHeight="1">
      <c r="A1277" s="18" t="str">
        <f>Descargas!A1277</f>
        <v>1014@gmail.com</v>
      </c>
      <c r="B1277" s="19" t="str">
        <f>IFERROR(__xludf.DUMMYFUNCTION("IF(OR(regexmatch(A1277,"".*@simon.es$""),REGEXMATCH(A1277,"".*@simon.pt$""),REGEXMATCH(A1277,"".*@simonelectrica.com$""),REGEXMATCH(A1277,"".*@hiberus.com$""),REGEXMATCH(A1277,"".*@simonbrico.es$""),regexmatch(A1277,"".*@simonelectric.com$"")),""null"",A1"&amp;"277)"),"1014@gmail.com")</f>
        <v>1014@gmail.com</v>
      </c>
      <c r="C1277" s="5">
        <f>IF(B1277="null","null",Descargas!B1277)</f>
        <v>43955</v>
      </c>
      <c r="D1277" s="6" t="str">
        <f>Descargas!E1277</f>
        <v>https://resources.simonelectric.com/simon-catalogo-vehiculo-electrico</v>
      </c>
      <c r="E1277" s="20" t="str">
        <f t="shared" si="1"/>
        <v>1014@gmail.com</v>
      </c>
      <c r="F1277" s="21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</row>
    <row r="1278" ht="15.75" customHeight="1">
      <c r="A1278" s="18" t="str">
        <f>Descargas!A1278</f>
        <v>1015@aziraelectricidad.com</v>
      </c>
      <c r="B1278" s="19" t="str">
        <f>IFERROR(__xludf.DUMMYFUNCTION("IF(OR(regexmatch(A1278,"".*@simon.es$""),REGEXMATCH(A1278,"".*@simon.pt$""),REGEXMATCH(A1278,"".*@simonelectrica.com$""),REGEXMATCH(A1278,"".*@hiberus.com$""),REGEXMATCH(A1278,"".*@simonbrico.es$""),regexmatch(A1278,"".*@simonelectric.com$"")),""null"",A1"&amp;"278)"),"1015@aziraelectricidad.com")</f>
        <v>1015@aziraelectricidad.com</v>
      </c>
      <c r="C1278" s="5">
        <f>IF(B1278="null","null",Descargas!B1278)</f>
        <v>43955</v>
      </c>
      <c r="D1278" s="6" t="str">
        <f>Descargas!E1278</f>
        <v>https://resources.simonelectric.com/simon-ebook-vehiculo-electrico</v>
      </c>
      <c r="E1278" s="20" t="str">
        <f t="shared" si="1"/>
        <v>1015@aziraelectricidad.com</v>
      </c>
      <c r="F1278" s="21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</row>
    <row r="1279" ht="15.75" customHeight="1">
      <c r="A1279" s="18" t="str">
        <f>Descargas!A1279</f>
        <v>1016@coitt.es</v>
      </c>
      <c r="B1279" s="19" t="str">
        <f>IFERROR(__xludf.DUMMYFUNCTION("IF(OR(regexmatch(A1279,"".*@simon.es$""),REGEXMATCH(A1279,"".*@simon.pt$""),REGEXMATCH(A1279,"".*@simonelectrica.com$""),REGEXMATCH(A1279,"".*@hiberus.com$""),REGEXMATCH(A1279,"".*@simonbrico.es$""),regexmatch(A1279,"".*@simonelectric.com$"")),""null"",A1"&amp;"279)"),"1016@coitt.es")</f>
        <v>1016@coitt.es</v>
      </c>
      <c r="C1279" s="5">
        <f>IF(B1279="null","null",Descargas!B1279)</f>
        <v>43955</v>
      </c>
      <c r="D1279" s="6" t="str">
        <f>Descargas!E1279</f>
        <v>https://resources.simonelectric.com/simon-ebook-vehiculo-electrico</v>
      </c>
      <c r="E1279" s="20" t="str">
        <f t="shared" si="1"/>
        <v>1016@coitt.es</v>
      </c>
      <c r="F1279" s="21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</row>
    <row r="1280" ht="15.75" customHeight="1">
      <c r="A1280" s="18" t="str">
        <f>Descargas!A1280</f>
        <v>1017@tesnetwork.net</v>
      </c>
      <c r="B1280" s="19" t="str">
        <f>IFERROR(__xludf.DUMMYFUNCTION("IF(OR(regexmatch(A1280,"".*@simon.es$""),REGEXMATCH(A1280,"".*@simon.pt$""),REGEXMATCH(A1280,"".*@simonelectrica.com$""),REGEXMATCH(A1280,"".*@hiberus.com$""),REGEXMATCH(A1280,"".*@simonbrico.es$""),regexmatch(A1280,"".*@simonelectric.com$"")),""null"",A1"&amp;"280)"),"1017@tesnetwork.net")</f>
        <v>1017@tesnetwork.net</v>
      </c>
      <c r="C1280" s="5">
        <f>IF(B1280="null","null",Descargas!B1280)</f>
        <v>43955</v>
      </c>
      <c r="D1280" s="6" t="str">
        <f>Descargas!E1280</f>
        <v>https://resources.simonelectric.com/simon-catalogo-vehiculo-electrico</v>
      </c>
      <c r="E1280" s="20" t="str">
        <f t="shared" si="1"/>
        <v>1017@tesnetwork.net</v>
      </c>
      <c r="F1280" s="21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</row>
    <row r="1281" ht="15.75" customHeight="1">
      <c r="A1281" s="18" t="str">
        <f>Descargas!A1281</f>
        <v>1018@esmassmart.com</v>
      </c>
      <c r="B1281" s="19" t="str">
        <f>IFERROR(__xludf.DUMMYFUNCTION("IF(OR(regexmatch(A1281,"".*@simon.es$""),REGEXMATCH(A1281,"".*@simon.pt$""),REGEXMATCH(A1281,"".*@simonelectrica.com$""),REGEXMATCH(A1281,"".*@hiberus.com$""),REGEXMATCH(A1281,"".*@simonbrico.es$""),regexmatch(A1281,"".*@simonelectric.com$"")),""null"",A1"&amp;"281)"),"1018@esmassmart.com")</f>
        <v>1018@esmassmart.com</v>
      </c>
      <c r="C1281" s="5">
        <f>IF(B1281="null","null",Descargas!B1281)</f>
        <v>43955</v>
      </c>
      <c r="D1281" s="6" t="str">
        <f>Descargas!E1281</f>
        <v>https://resources.simonelectric.com/simon-ebook-vehiculo-electrico</v>
      </c>
      <c r="E1281" s="20" t="str">
        <f t="shared" si="1"/>
        <v>1018@esmassmart.com</v>
      </c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</row>
    <row r="1282" ht="15.75" customHeight="1">
      <c r="A1282" s="18" t="str">
        <f>Descargas!A1282</f>
        <v>1019@ingeralbaida.es</v>
      </c>
      <c r="B1282" s="19" t="str">
        <f>IFERROR(__xludf.DUMMYFUNCTION("IF(OR(regexmatch(A1282,"".*@simon.es$""),REGEXMATCH(A1282,"".*@simon.pt$""),REGEXMATCH(A1282,"".*@simonelectrica.com$""),REGEXMATCH(A1282,"".*@hiberus.com$""),REGEXMATCH(A1282,"".*@simonbrico.es$""),regexmatch(A1282,"".*@simonelectric.com$"")),""null"",A1"&amp;"282)"),"1019@ingeralbaida.es")</f>
        <v>1019@ingeralbaida.es</v>
      </c>
      <c r="C1282" s="5">
        <f>IF(B1282="null","null",Descargas!B1282)</f>
        <v>43955</v>
      </c>
      <c r="D1282" s="6" t="str">
        <f>Descargas!E1282</f>
        <v>https://resources.simonelectric.com/simon-ebook-vehiculo-electrico</v>
      </c>
      <c r="E1282" s="20" t="str">
        <f t="shared" si="1"/>
        <v>1019@ingeralbaida.es</v>
      </c>
      <c r="F1282" s="21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</row>
    <row r="1283" ht="15.75" customHeight="1">
      <c r="A1283" s="18" t="str">
        <f>Descargas!A1283</f>
        <v>1020@deinrresa.es</v>
      </c>
      <c r="B1283" s="19" t="str">
        <f>IFERROR(__xludf.DUMMYFUNCTION("IF(OR(regexmatch(A1283,"".*@simon.es$""),REGEXMATCH(A1283,"".*@simon.pt$""),REGEXMATCH(A1283,"".*@simonelectrica.com$""),REGEXMATCH(A1283,"".*@hiberus.com$""),REGEXMATCH(A1283,"".*@simonbrico.es$""),regexmatch(A1283,"".*@simonelectric.com$"")),""null"",A1"&amp;"283)"),"1020@deinrresa.es")</f>
        <v>1020@deinrresa.es</v>
      </c>
      <c r="C1283" s="5">
        <f>IF(B1283="null","null",Descargas!B1283)</f>
        <v>43955</v>
      </c>
      <c r="D1283" s="6" t="str">
        <f>Descargas!E1283</f>
        <v>https://resources.simonelectric.com/simon-ebook-vehiculo-electrico</v>
      </c>
      <c r="E1283" s="20" t="str">
        <f t="shared" si="1"/>
        <v>1020@deinrresa.es</v>
      </c>
      <c r="F1283" s="21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</row>
    <row r="1284" ht="15.75" customHeight="1">
      <c r="A1284" s="18" t="str">
        <f>Descargas!A1284</f>
        <v>1021@proturhotels.com</v>
      </c>
      <c r="B1284" s="19" t="str">
        <f>IFERROR(__xludf.DUMMYFUNCTION("IF(OR(regexmatch(A1284,"".*@simon.es$""),REGEXMATCH(A1284,"".*@simon.pt$""),REGEXMATCH(A1284,"".*@simonelectrica.com$""),REGEXMATCH(A1284,"".*@hiberus.com$""),REGEXMATCH(A1284,"".*@simonbrico.es$""),regexmatch(A1284,"".*@simonelectric.com$"")),""null"",A1"&amp;"284)"),"1021@proturhotels.com")</f>
        <v>1021@proturhotels.com</v>
      </c>
      <c r="C1284" s="5">
        <f>IF(B1284="null","null",Descargas!B1284)</f>
        <v>43955</v>
      </c>
      <c r="D1284" s="6" t="str">
        <f>Descargas!E1284</f>
        <v>https://resources.simonelectric.com/simon-catalogo-vehiculo-electrico</v>
      </c>
      <c r="E1284" s="20" t="str">
        <f t="shared" si="1"/>
        <v>1021@proturhotels.com</v>
      </c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</row>
    <row r="1285" ht="15.75" customHeight="1">
      <c r="A1285" s="18" t="str">
        <f>Descargas!A1285</f>
        <v>1022@uhu.es</v>
      </c>
      <c r="B1285" s="19" t="str">
        <f>IFERROR(__xludf.DUMMYFUNCTION("IF(OR(regexmatch(A1285,"".*@simon.es$""),REGEXMATCH(A1285,"".*@simon.pt$""),REGEXMATCH(A1285,"".*@simonelectrica.com$""),REGEXMATCH(A1285,"".*@hiberus.com$""),REGEXMATCH(A1285,"".*@simonbrico.es$""),regexmatch(A1285,"".*@simonelectric.com$"")),""null"",A1"&amp;"285)"),"1022@uhu.es")</f>
        <v>1022@uhu.es</v>
      </c>
      <c r="C1285" s="5">
        <f>IF(B1285="null","null",Descargas!B1285)</f>
        <v>43955</v>
      </c>
      <c r="D1285" s="6" t="str">
        <f>Descargas!E1285</f>
        <v>https://resources.simonelectric.com/simon-ebook-vehiculo-electrico</v>
      </c>
      <c r="E1285" s="20" t="str">
        <f t="shared" si="1"/>
        <v>1022@uhu.es</v>
      </c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</row>
    <row r="1286" ht="15.75" customHeight="1">
      <c r="A1286" s="18" t="str">
        <f>Descargas!A1286</f>
        <v>1023@hotmail.com</v>
      </c>
      <c r="B1286" s="19" t="str">
        <f>IFERROR(__xludf.DUMMYFUNCTION("IF(OR(regexmatch(A1286,"".*@simon.es$""),REGEXMATCH(A1286,"".*@simon.pt$""),REGEXMATCH(A1286,"".*@simonelectrica.com$""),REGEXMATCH(A1286,"".*@hiberus.com$""),REGEXMATCH(A1286,"".*@simonbrico.es$""),regexmatch(A1286,"".*@simonelectric.com$"")),""null"",A1"&amp;"286)"),"1023@hotmail.com")</f>
        <v>1023@hotmail.com</v>
      </c>
      <c r="C1286" s="5">
        <f>IF(B1286="null","null",Descargas!B1286)</f>
        <v>43955</v>
      </c>
      <c r="D1286" s="6" t="str">
        <f>Descargas!E1286</f>
        <v>https://resources.simonelectric.com/simon-ebook-vehiculo-electrico-ppc</v>
      </c>
      <c r="E1286" s="20" t="str">
        <f t="shared" si="1"/>
        <v>1023@hotmail.com</v>
      </c>
      <c r="F1286" s="21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</row>
    <row r="1287" ht="15.75" customHeight="1">
      <c r="A1287" s="18" t="str">
        <f>Descargas!A1287</f>
        <v>1024@elecnor.com</v>
      </c>
      <c r="B1287" s="19" t="str">
        <f>IFERROR(__xludf.DUMMYFUNCTION("IF(OR(regexmatch(A1287,"".*@simon.es$""),REGEXMATCH(A1287,"".*@simon.pt$""),REGEXMATCH(A1287,"".*@simonelectrica.com$""),REGEXMATCH(A1287,"".*@hiberus.com$""),REGEXMATCH(A1287,"".*@simonbrico.es$""),regexmatch(A1287,"".*@simonelectric.com$"")),""null"",A1"&amp;"287)"),"1024@elecnor.com")</f>
        <v>1024@elecnor.com</v>
      </c>
      <c r="C1287" s="5">
        <f>IF(B1287="null","null",Descargas!B1287)</f>
        <v>43955</v>
      </c>
      <c r="D1287" s="6" t="str">
        <f>Descargas!E1287</f>
        <v>https://resources.simonelectric.com/simon-ebook-vehiculo-electrico</v>
      </c>
      <c r="E1287" s="20" t="str">
        <f t="shared" si="1"/>
        <v>1024@elecnor.com</v>
      </c>
      <c r="F1287" s="21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</row>
    <row r="1288" ht="15.75" customHeight="1">
      <c r="A1288" s="18" t="str">
        <f>Descargas!A1288</f>
        <v>1025@gmail.com</v>
      </c>
      <c r="B1288" s="19" t="str">
        <f>IFERROR(__xludf.DUMMYFUNCTION("IF(OR(regexmatch(A1288,"".*@simon.es$""),REGEXMATCH(A1288,"".*@simon.pt$""),REGEXMATCH(A1288,"".*@simonelectrica.com$""),REGEXMATCH(A1288,"".*@hiberus.com$""),REGEXMATCH(A1288,"".*@simonbrico.es$""),regexmatch(A1288,"".*@simonelectric.com$"")),""null"",A1"&amp;"288)"),"1025@gmail.com")</f>
        <v>1025@gmail.com</v>
      </c>
      <c r="C1288" s="5">
        <f>IF(B1288="null","null",Descargas!B1288)</f>
        <v>43955</v>
      </c>
      <c r="D1288" s="6" t="str">
        <f>Descargas!E1288</f>
        <v>https://resources.simonelectric.com/simon-ebook-vehiculo-electrico</v>
      </c>
      <c r="E1288" s="20" t="str">
        <f t="shared" si="1"/>
        <v>1025@gmail.com</v>
      </c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</row>
    <row r="1289" ht="15.75" customHeight="1">
      <c r="A1289" s="18" t="str">
        <f>Descargas!A1289</f>
        <v>1026@aia.cat</v>
      </c>
      <c r="B1289" s="19" t="str">
        <f>IFERROR(__xludf.DUMMYFUNCTION("IF(OR(regexmatch(A1289,"".*@simon.es$""),REGEXMATCH(A1289,"".*@simon.pt$""),REGEXMATCH(A1289,"".*@simonelectrica.com$""),REGEXMATCH(A1289,"".*@hiberus.com$""),REGEXMATCH(A1289,"".*@simonbrico.es$""),regexmatch(A1289,"".*@simonelectric.com$"")),""null"",A1"&amp;"289)"),"1026@aia.cat")</f>
        <v>1026@aia.cat</v>
      </c>
      <c r="C1289" s="5">
        <f>IF(B1289="null","null",Descargas!B1289)</f>
        <v>43955</v>
      </c>
      <c r="D1289" s="6" t="str">
        <f>Descargas!E1289</f>
        <v>https://resources.simonelectric.com/simon-ebook-vehiculo-electrico</v>
      </c>
      <c r="E1289" s="20" t="str">
        <f t="shared" si="1"/>
        <v>1026@aia.cat</v>
      </c>
      <c r="F1289" s="21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</row>
    <row r="1290" ht="15.75" customHeight="1">
      <c r="A1290" s="18" t="str">
        <f>Descargas!A1290</f>
        <v>1027@leanteam.es</v>
      </c>
      <c r="B1290" s="19" t="str">
        <f>IFERROR(__xludf.DUMMYFUNCTION("IF(OR(regexmatch(A1290,"".*@simon.es$""),REGEXMATCH(A1290,"".*@simon.pt$""),REGEXMATCH(A1290,"".*@simonelectrica.com$""),REGEXMATCH(A1290,"".*@hiberus.com$""),REGEXMATCH(A1290,"".*@simonbrico.es$""),regexmatch(A1290,"".*@simonelectric.com$"")),""null"",A1"&amp;"290)"),"1027@leanteam.es")</f>
        <v>1027@leanteam.es</v>
      </c>
      <c r="C1290" s="5">
        <f>IF(B1290="null","null",Descargas!B1290)</f>
        <v>43955</v>
      </c>
      <c r="D1290" s="6" t="str">
        <f>Descargas!E1290</f>
        <v>https://resources.simonelectric.com/simon-ebook-vehiculo-electrico</v>
      </c>
      <c r="E1290" s="20" t="str">
        <f t="shared" si="1"/>
        <v>1027@leanteam.es</v>
      </c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</row>
    <row r="1291" ht="15.75" customHeight="1">
      <c r="A1291" s="18" t="str">
        <f>Descargas!A1291</f>
        <v>1028@ingenierosvalladolid.es</v>
      </c>
      <c r="B1291" s="19" t="str">
        <f>IFERROR(__xludf.DUMMYFUNCTION("IF(OR(regexmatch(A1291,"".*@simon.es$""),REGEXMATCH(A1291,"".*@simon.pt$""),REGEXMATCH(A1291,"".*@simonelectrica.com$""),REGEXMATCH(A1291,"".*@hiberus.com$""),REGEXMATCH(A1291,"".*@simonbrico.es$""),regexmatch(A1291,"".*@simonelectric.com$"")),""null"",A1"&amp;"291)"),"1028@ingenierosvalladolid.es")</f>
        <v>1028@ingenierosvalladolid.es</v>
      </c>
      <c r="C1291" s="5">
        <f>IF(B1291="null","null",Descargas!B1291)</f>
        <v>43955</v>
      </c>
      <c r="D1291" s="6" t="str">
        <f>Descargas!E1291</f>
        <v>https://resources.simonelectric.com/simon-ebook-vehiculo-electrico</v>
      </c>
      <c r="E1291" s="20" t="str">
        <f t="shared" si="1"/>
        <v>1028@ingenierosvalladolid.es</v>
      </c>
      <c r="F1291" s="21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</row>
    <row r="1292" ht="15.75" customHeight="1">
      <c r="A1292" s="18" t="str">
        <f>Descargas!A1292</f>
        <v>1029@gmail.com</v>
      </c>
      <c r="B1292" s="19" t="str">
        <f>IFERROR(__xludf.DUMMYFUNCTION("IF(OR(regexmatch(A1292,"".*@simon.es$""),REGEXMATCH(A1292,"".*@simon.pt$""),REGEXMATCH(A1292,"".*@simonelectrica.com$""),REGEXMATCH(A1292,"".*@hiberus.com$""),REGEXMATCH(A1292,"".*@simonbrico.es$""),regexmatch(A1292,"".*@simonelectric.com$"")),""null"",A1"&amp;"292)"),"1029@gmail.com")</f>
        <v>1029@gmail.com</v>
      </c>
      <c r="C1292" s="5">
        <f>IF(B1292="null","null",Descargas!B1292)</f>
        <v>43955</v>
      </c>
      <c r="D1292" s="6" t="str">
        <f>Descargas!E1292</f>
        <v>https://resources.simonelectric.com/simon-ebook-vehiculo-electrico</v>
      </c>
      <c r="E1292" s="20" t="str">
        <f t="shared" si="1"/>
        <v>1029@gmail.com</v>
      </c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</row>
    <row r="1293" ht="15.75" customHeight="1">
      <c r="A1293" s="18" t="str">
        <f>Descargas!A1293</f>
        <v>1030@inmaser-integral.es</v>
      </c>
      <c r="B1293" s="19" t="str">
        <f>IFERROR(__xludf.DUMMYFUNCTION("IF(OR(regexmatch(A1293,"".*@simon.es$""),REGEXMATCH(A1293,"".*@simon.pt$""),REGEXMATCH(A1293,"".*@simonelectrica.com$""),REGEXMATCH(A1293,"".*@hiberus.com$""),REGEXMATCH(A1293,"".*@simonbrico.es$""),regexmatch(A1293,"".*@simonelectric.com$"")),""null"",A1"&amp;"293)"),"1030@inmaser-integral.es")</f>
        <v>1030@inmaser-integral.es</v>
      </c>
      <c r="C1293" s="5">
        <f>IF(B1293="null","null",Descargas!B1293)</f>
        <v>43955</v>
      </c>
      <c r="D1293" s="6" t="str">
        <f>Descargas!E1293</f>
        <v>https://resources.simonelectric.com/simon-ebook-vehiculo-electrico</v>
      </c>
      <c r="E1293" s="20" t="str">
        <f t="shared" si="1"/>
        <v>1030@inmaser-integral.es</v>
      </c>
      <c r="F1293" s="21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</row>
    <row r="1294" ht="15.75" customHeight="1">
      <c r="A1294" s="18" t="str">
        <f>Descargas!A1294</f>
        <v>1031@grupoitesa.com</v>
      </c>
      <c r="B1294" s="19" t="str">
        <f>IFERROR(__xludf.DUMMYFUNCTION("IF(OR(regexmatch(A1294,"".*@simon.es$""),REGEXMATCH(A1294,"".*@simon.pt$""),REGEXMATCH(A1294,"".*@simonelectrica.com$""),REGEXMATCH(A1294,"".*@hiberus.com$""),REGEXMATCH(A1294,"".*@simonbrico.es$""),regexmatch(A1294,"".*@simonelectric.com$"")),""null"",A1"&amp;"294)"),"1031@grupoitesa.com")</f>
        <v>1031@grupoitesa.com</v>
      </c>
      <c r="C1294" s="5">
        <f>IF(B1294="null","null",Descargas!B1294)</f>
        <v>43955</v>
      </c>
      <c r="D1294" s="6" t="str">
        <f>Descargas!E1294</f>
        <v>https://resources.simonelectric.com/simon-catalogo-vehiculo-electrico</v>
      </c>
      <c r="E1294" s="20" t="str">
        <f t="shared" si="1"/>
        <v>1031@grupoitesa.com</v>
      </c>
      <c r="F1294" s="21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</row>
    <row r="1295" ht="15.75" customHeight="1">
      <c r="A1295" s="18" t="str">
        <f>Descargas!A1295</f>
        <v>1032@zioenginy.com</v>
      </c>
      <c r="B1295" s="19" t="str">
        <f>IFERROR(__xludf.DUMMYFUNCTION("IF(OR(regexmatch(A1295,"".*@simon.es$""),REGEXMATCH(A1295,"".*@simon.pt$""),REGEXMATCH(A1295,"".*@simonelectrica.com$""),REGEXMATCH(A1295,"".*@hiberus.com$""),REGEXMATCH(A1295,"".*@simonbrico.es$""),regexmatch(A1295,"".*@simonelectric.com$"")),""null"",A1"&amp;"295)"),"1032@zioenginy.com")</f>
        <v>1032@zioenginy.com</v>
      </c>
      <c r="C1295" s="5">
        <f>IF(B1295="null","null",Descargas!B1295)</f>
        <v>43955</v>
      </c>
      <c r="D1295" s="6" t="str">
        <f>Descargas!E1295</f>
        <v>https://resources.simonelectric.com/simon-catalogo-vehiculo-electrico</v>
      </c>
      <c r="E1295" s="20" t="str">
        <f t="shared" si="1"/>
        <v>1032@zioenginy.com</v>
      </c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</row>
    <row r="1296" ht="15.75" customHeight="1">
      <c r="A1296" s="18" t="str">
        <f>Descargas!A1296</f>
        <v>303@simon.es</v>
      </c>
      <c r="B1296" s="19" t="str">
        <f>IFERROR(__xludf.DUMMYFUNCTION("IF(OR(regexmatch(A1296,"".*@simon.es$""),REGEXMATCH(A1296,"".*@simon.pt$""),REGEXMATCH(A1296,"".*@simonelectrica.com$""),REGEXMATCH(A1296,"".*@hiberus.com$""),REGEXMATCH(A1296,"".*@simonbrico.es$""),regexmatch(A1296,"".*@simonelectric.com$"")),""null"",A1"&amp;"296)"),"null")</f>
        <v>null</v>
      </c>
      <c r="C1296" s="5" t="str">
        <f>IF(B1296="null","null",Descargas!B1296)</f>
        <v>null</v>
      </c>
      <c r="D1296" s="6" t="str">
        <f>Descargas!E1296</f>
        <v>https://resources.simonelectric.com/simon-material-formativo-vehiculo-electrico</v>
      </c>
      <c r="E1296" s="24" t="str">
        <f t="shared" si="1"/>
        <v/>
      </c>
      <c r="F1296" s="21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</row>
    <row r="1297" ht="15.75" customHeight="1">
      <c r="A1297" s="18" t="str">
        <f>Descargas!A1297</f>
        <v>1033@gmail.com</v>
      </c>
      <c r="B1297" s="19" t="str">
        <f>IFERROR(__xludf.DUMMYFUNCTION("IF(OR(regexmatch(A1297,"".*@simon.es$""),REGEXMATCH(A1297,"".*@simon.pt$""),REGEXMATCH(A1297,"".*@simonelectrica.com$""),REGEXMATCH(A1297,"".*@hiberus.com$""),REGEXMATCH(A1297,"".*@simonbrico.es$""),regexmatch(A1297,"".*@simonelectric.com$"")),""null"",A1"&amp;"297)"),"1033@gmail.com")</f>
        <v>1033@gmail.com</v>
      </c>
      <c r="C1297" s="5">
        <f>IF(B1297="null","null",Descargas!B1297)</f>
        <v>43955</v>
      </c>
      <c r="D1297" s="6" t="str">
        <f>Descargas!E1297</f>
        <v>https://resources.simonelectric.com/simon-catalogo-vehiculo-electrico</v>
      </c>
      <c r="E1297" s="20" t="str">
        <f t="shared" si="1"/>
        <v>1033@gmail.com</v>
      </c>
      <c r="F1297" s="21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</row>
    <row r="1298" ht="15.75" customHeight="1">
      <c r="A1298" s="18" t="str">
        <f>Descargas!A1298</f>
        <v>811@proinsermant.com</v>
      </c>
      <c r="B1298" s="19" t="str">
        <f>IFERROR(__xludf.DUMMYFUNCTION("IF(OR(regexmatch(A1298,"".*@simon.es$""),REGEXMATCH(A1298,"".*@simon.pt$""),REGEXMATCH(A1298,"".*@simonelectrica.com$""),REGEXMATCH(A1298,"".*@hiberus.com$""),REGEXMATCH(A1298,"".*@simonbrico.es$""),regexmatch(A1298,"".*@simonelectric.com$"")),""null"",A1"&amp;"298)"),"811@proinsermant.com")</f>
        <v>811@proinsermant.com</v>
      </c>
      <c r="C1298" s="5">
        <f>IF(B1298="null","null",Descargas!B1298)</f>
        <v>43955</v>
      </c>
      <c r="D1298" s="6" t="str">
        <f>Descargas!E1298</f>
        <v>https://resources.simonelectric.com/simon-ebook-vehiculo-electrico-ppc</v>
      </c>
      <c r="E1298" s="20" t="str">
        <f t="shared" si="1"/>
        <v>811@proinsermant.com</v>
      </c>
      <c r="F1298" s="21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</row>
    <row r="1299" ht="15.75" customHeight="1">
      <c r="A1299" s="18" t="str">
        <f>Descargas!A1299</f>
        <v>917@gmail.com</v>
      </c>
      <c r="B1299" s="19" t="str">
        <f>IFERROR(__xludf.DUMMYFUNCTION("IF(OR(regexmatch(A1299,"".*@simon.es$""),REGEXMATCH(A1299,"".*@simon.pt$""),REGEXMATCH(A1299,"".*@simonelectrica.com$""),REGEXMATCH(A1299,"".*@hiberus.com$""),REGEXMATCH(A1299,"".*@simonbrico.es$""),regexmatch(A1299,"".*@simonelectric.com$"")),""null"",A1"&amp;"299)"),"917@gmail.com")</f>
        <v>917@gmail.com</v>
      </c>
      <c r="C1299" s="5">
        <f>IF(B1299="null","null",Descargas!B1299)</f>
        <v>43954</v>
      </c>
      <c r="D1299" s="6" t="str">
        <f>Descargas!E1299</f>
        <v>https://resources.simonelectric.com/simon-catalogo-vehiculo-electrico</v>
      </c>
      <c r="E1299" s="20" t="str">
        <f t="shared" si="1"/>
        <v>917@gmail.com</v>
      </c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</row>
    <row r="1300" ht="15.75" customHeight="1">
      <c r="A1300" s="18" t="str">
        <f>Descargas!A1300</f>
        <v>1034@gmail.com</v>
      </c>
      <c r="B1300" s="19" t="str">
        <f>IFERROR(__xludf.DUMMYFUNCTION("IF(OR(regexmatch(A1300,"".*@simon.es$""),REGEXMATCH(A1300,"".*@simon.pt$""),REGEXMATCH(A1300,"".*@simonelectrica.com$""),REGEXMATCH(A1300,"".*@hiberus.com$""),REGEXMATCH(A1300,"".*@simonbrico.es$""),regexmatch(A1300,"".*@simonelectric.com$"")),""null"",A1"&amp;"300)"),"1034@gmail.com")</f>
        <v>1034@gmail.com</v>
      </c>
      <c r="C1300" s="5">
        <f>IF(B1300="null","null",Descargas!B1300)</f>
        <v>43954</v>
      </c>
      <c r="D1300" s="6" t="str">
        <f>Descargas!E1300</f>
        <v>https://resources.simonelectric.com/simon-ebook-vehiculo-electrico-ppc</v>
      </c>
      <c r="E1300" s="20" t="str">
        <f t="shared" si="1"/>
        <v>1034@gmail.com</v>
      </c>
      <c r="F1300" s="21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</row>
    <row r="1301" ht="15.75" customHeight="1">
      <c r="A1301" s="18" t="str">
        <f>Descargas!A1301</f>
        <v>1035@gmail.com</v>
      </c>
      <c r="B1301" s="19" t="str">
        <f>IFERROR(__xludf.DUMMYFUNCTION("IF(OR(regexmatch(A1301,"".*@simon.es$""),REGEXMATCH(A1301,"".*@simon.pt$""),REGEXMATCH(A1301,"".*@simonelectrica.com$""),REGEXMATCH(A1301,"".*@hiberus.com$""),REGEXMATCH(A1301,"".*@simonbrico.es$""),regexmatch(A1301,"".*@simonelectric.com$"")),""null"",A1"&amp;"301)"),"1035@gmail.com")</f>
        <v>1035@gmail.com</v>
      </c>
      <c r="C1301" s="5">
        <f>IF(B1301="null","null",Descargas!B1301)</f>
        <v>43954</v>
      </c>
      <c r="D1301" s="6" t="str">
        <f>Descargas!E1301</f>
        <v>https://resources.simonelectric.com/simon-catalogo-vehiculo-electrico</v>
      </c>
      <c r="E1301" s="20" t="str">
        <f t="shared" si="1"/>
        <v>1035@gmail.com</v>
      </c>
      <c r="F1301" s="21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</row>
    <row r="1302" ht="15.75" customHeight="1">
      <c r="A1302" s="18" t="str">
        <f>Descargas!A1302</f>
        <v>1036@grupoelectrostocks.com</v>
      </c>
      <c r="B1302" s="19" t="str">
        <f>IFERROR(__xludf.DUMMYFUNCTION("IF(OR(regexmatch(A1302,"".*@simon.es$""),REGEXMATCH(A1302,"".*@simon.pt$""),REGEXMATCH(A1302,"".*@simonelectrica.com$""),REGEXMATCH(A1302,"".*@hiberus.com$""),REGEXMATCH(A1302,"".*@simonbrico.es$""),regexmatch(A1302,"".*@simonelectric.com$"")),""null"",A1"&amp;"302)"),"1036@grupoelectrostocks.com")</f>
        <v>1036@grupoelectrostocks.com</v>
      </c>
      <c r="C1302" s="5">
        <f>IF(B1302="null","null",Descargas!B1302)</f>
        <v>43954</v>
      </c>
      <c r="D1302" s="6" t="str">
        <f>Descargas!E1302</f>
        <v>https://resources.simonelectric.com/simon-ebook-vehiculo-electrico</v>
      </c>
      <c r="E1302" s="20" t="str">
        <f t="shared" si="1"/>
        <v>1036@grupoelectrostocks.com</v>
      </c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</row>
    <row r="1303" ht="15.75" customHeight="1">
      <c r="A1303" s="18" t="str">
        <f>Descargas!A1303</f>
        <v>1037@gmail.com</v>
      </c>
      <c r="B1303" s="19" t="str">
        <f>IFERROR(__xludf.DUMMYFUNCTION("IF(OR(regexmatch(A1303,"".*@simon.es$""),REGEXMATCH(A1303,"".*@simon.pt$""),REGEXMATCH(A1303,"".*@simonelectrica.com$""),REGEXMATCH(A1303,"".*@hiberus.com$""),REGEXMATCH(A1303,"".*@simonbrico.es$""),regexmatch(A1303,"".*@simonelectric.com$"")),""null"",A1"&amp;"303)"),"1037@gmail.com")</f>
        <v>1037@gmail.com</v>
      </c>
      <c r="C1303" s="5">
        <f>IF(B1303="null","null",Descargas!B1303)</f>
        <v>43954</v>
      </c>
      <c r="D1303" s="6" t="str">
        <f>Descargas!E1303</f>
        <v>https://resources.simonelectric.com/simon-ebook-vehiculo-electrico</v>
      </c>
      <c r="E1303" s="20" t="str">
        <f t="shared" si="1"/>
        <v>1037@gmail.com</v>
      </c>
      <c r="F1303" s="21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</row>
    <row r="1304" ht="15.75" customHeight="1">
      <c r="A1304" s="18" t="str">
        <f>Descargas!A1304</f>
        <v>1038@gmail.com</v>
      </c>
      <c r="B1304" s="19" t="str">
        <f>IFERROR(__xludf.DUMMYFUNCTION("IF(OR(regexmatch(A1304,"".*@simon.es$""),REGEXMATCH(A1304,"".*@simon.pt$""),REGEXMATCH(A1304,"".*@simonelectrica.com$""),REGEXMATCH(A1304,"".*@hiberus.com$""),REGEXMATCH(A1304,"".*@simonbrico.es$""),regexmatch(A1304,"".*@simonelectric.com$"")),""null"",A1"&amp;"304)"),"1038@gmail.com")</f>
        <v>1038@gmail.com</v>
      </c>
      <c r="C1304" s="5">
        <f>IF(B1304="null","null",Descargas!B1304)</f>
        <v>43954</v>
      </c>
      <c r="D1304" s="6" t="str">
        <f>Descargas!E1304</f>
        <v>https://resources.simonelectric.com/simon-ebook-vehiculo-electrico-ppc</v>
      </c>
      <c r="E1304" s="20" t="str">
        <f t="shared" si="1"/>
        <v>1038@gmail.com</v>
      </c>
      <c r="F1304" s="21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</row>
    <row r="1305" ht="15.75" customHeight="1">
      <c r="A1305" s="18" t="str">
        <f>Descargas!A1305</f>
        <v>1039@yahoo.es</v>
      </c>
      <c r="B1305" s="19" t="str">
        <f>IFERROR(__xludf.DUMMYFUNCTION("IF(OR(regexmatch(A1305,"".*@simon.es$""),REGEXMATCH(A1305,"".*@simon.pt$""),REGEXMATCH(A1305,"".*@simonelectrica.com$""),REGEXMATCH(A1305,"".*@hiberus.com$""),REGEXMATCH(A1305,"".*@simonbrico.es$""),regexmatch(A1305,"".*@simonelectric.com$"")),""null"",A1"&amp;"305)"),"1039@yahoo.es")</f>
        <v>1039@yahoo.es</v>
      </c>
      <c r="C1305" s="5">
        <f>IF(B1305="null","null",Descargas!B1305)</f>
        <v>43954</v>
      </c>
      <c r="D1305" s="6" t="str">
        <f>Descargas!E1305</f>
        <v>https://resources.simonelectric.com/simon-ebook-vehiculo-electrico-ppc</v>
      </c>
      <c r="E1305" s="20" t="str">
        <f t="shared" si="1"/>
        <v>1039@yahoo.es</v>
      </c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</row>
    <row r="1306" ht="15.75" customHeight="1">
      <c r="A1306" s="18" t="str">
        <f>Descargas!A1306</f>
        <v>1040@gmail.com</v>
      </c>
      <c r="B1306" s="19" t="str">
        <f>IFERROR(__xludf.DUMMYFUNCTION("IF(OR(regexmatch(A1306,"".*@simon.es$""),REGEXMATCH(A1306,"".*@simon.pt$""),REGEXMATCH(A1306,"".*@simonelectrica.com$""),REGEXMATCH(A1306,"".*@hiberus.com$""),REGEXMATCH(A1306,"".*@simonbrico.es$""),regexmatch(A1306,"".*@simonelectric.com$"")),""null"",A1"&amp;"306)"),"1040@gmail.com")</f>
        <v>1040@gmail.com</v>
      </c>
      <c r="C1306" s="5">
        <f>IF(B1306="null","null",Descargas!B1306)</f>
        <v>43954</v>
      </c>
      <c r="D1306" s="6" t="str">
        <f>Descargas!E1306</f>
        <v>https://resources.simonelectric.com/simon-ebook-vehiculo-electrico-ppc</v>
      </c>
      <c r="E1306" s="20" t="str">
        <f t="shared" si="1"/>
        <v>1040@gmail.com</v>
      </c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</row>
    <row r="1307" ht="15.75" customHeight="1">
      <c r="A1307" s="18" t="str">
        <f>Descargas!A1307</f>
        <v>1041@jordimoran.es</v>
      </c>
      <c r="B1307" s="19" t="str">
        <f>IFERROR(__xludf.DUMMYFUNCTION("IF(OR(regexmatch(A1307,"".*@simon.es$""),REGEXMATCH(A1307,"".*@simon.pt$""),REGEXMATCH(A1307,"".*@simonelectrica.com$""),REGEXMATCH(A1307,"".*@hiberus.com$""),REGEXMATCH(A1307,"".*@simonbrico.es$""),regexmatch(A1307,"".*@simonelectric.com$"")),""null"",A1"&amp;"307)"),"1041@jordimoran.es")</f>
        <v>1041@jordimoran.es</v>
      </c>
      <c r="C1307" s="5">
        <f>IF(B1307="null","null",Descargas!B1307)</f>
        <v>43954</v>
      </c>
      <c r="D1307" s="6" t="str">
        <f>Descargas!E1307</f>
        <v>https://resources.simonelectric.com/simon-ebook-vehiculo-electrico-ppc</v>
      </c>
      <c r="E1307" s="20" t="str">
        <f t="shared" si="1"/>
        <v>1041@jordimoran.es</v>
      </c>
      <c r="F1307" s="21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</row>
    <row r="1308" ht="15.75" customHeight="1">
      <c r="A1308" s="18" t="str">
        <f>Descargas!A1308</f>
        <v>567@sonovatec.com</v>
      </c>
      <c r="B1308" s="19" t="str">
        <f>IFERROR(__xludf.DUMMYFUNCTION("IF(OR(regexmatch(A1308,"".*@simon.es$""),REGEXMATCH(A1308,"".*@simon.pt$""),REGEXMATCH(A1308,"".*@simonelectrica.com$""),REGEXMATCH(A1308,"".*@hiberus.com$""),REGEXMATCH(A1308,"".*@simonbrico.es$""),regexmatch(A1308,"".*@simonelectric.com$"")),""null"",A1"&amp;"308)"),"567@sonovatec.com")</f>
        <v>567@sonovatec.com</v>
      </c>
      <c r="C1308" s="5">
        <f>IF(B1308="null","null",Descargas!B1308)</f>
        <v>43954</v>
      </c>
      <c r="D1308" s="6" t="str">
        <f>Descargas!E1308</f>
        <v>https://resources.simonelectric.com/simon-catalogo-vehiculo-electrico</v>
      </c>
      <c r="E1308" s="20" t="str">
        <f t="shared" si="1"/>
        <v>567@sonovatec.com</v>
      </c>
      <c r="F1308" s="21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</row>
    <row r="1309" ht="15.75" customHeight="1">
      <c r="A1309" s="18" t="str">
        <f>Descargas!A1309</f>
        <v>1042@alvae.es</v>
      </c>
      <c r="B1309" s="19" t="str">
        <f>IFERROR(__xludf.DUMMYFUNCTION("IF(OR(regexmatch(A1309,"".*@simon.es$""),REGEXMATCH(A1309,"".*@simon.pt$""),REGEXMATCH(A1309,"".*@simonelectrica.com$""),REGEXMATCH(A1309,"".*@hiberus.com$""),REGEXMATCH(A1309,"".*@simonbrico.es$""),regexmatch(A1309,"".*@simonelectric.com$"")),""null"",A1"&amp;"309)"),"1042@alvae.es")</f>
        <v>1042@alvae.es</v>
      </c>
      <c r="C1309" s="5">
        <f>IF(B1309="null","null",Descargas!B1309)</f>
        <v>43954</v>
      </c>
      <c r="D1309" s="6" t="str">
        <f>Descargas!E1309</f>
        <v>https://resources.simonelectric.com/simon-catalogo-vehiculo-electrico</v>
      </c>
      <c r="E1309" s="20" t="str">
        <f t="shared" si="1"/>
        <v>1042@alvae.es</v>
      </c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</row>
    <row r="1310" ht="15.75" customHeight="1">
      <c r="A1310" s="18" t="str">
        <f>Descargas!A1310</f>
        <v>1043@gmail.com</v>
      </c>
      <c r="B1310" s="19" t="str">
        <f>IFERROR(__xludf.DUMMYFUNCTION("IF(OR(regexmatch(A1310,"".*@simon.es$""),REGEXMATCH(A1310,"".*@simon.pt$""),REGEXMATCH(A1310,"".*@simonelectrica.com$""),REGEXMATCH(A1310,"".*@hiberus.com$""),REGEXMATCH(A1310,"".*@simonbrico.es$""),regexmatch(A1310,"".*@simonelectric.com$"")),""null"",A1"&amp;"310)"),"1043@gmail.com")</f>
        <v>1043@gmail.com</v>
      </c>
      <c r="C1310" s="5">
        <f>IF(B1310="null","null",Descargas!B1310)</f>
        <v>43954</v>
      </c>
      <c r="D1310" s="6" t="str">
        <f>Descargas!E1310</f>
        <v>https://resources.simonelectric.com/simon-ebook-vehiculo-electrico-ppc</v>
      </c>
      <c r="E1310" s="20" t="str">
        <f t="shared" si="1"/>
        <v>1043@gmail.com</v>
      </c>
      <c r="F1310" s="21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</row>
    <row r="1311" ht="15.75" customHeight="1">
      <c r="A1311" s="18" t="str">
        <f>Descargas!A1311</f>
        <v>1044@hotmail.com</v>
      </c>
      <c r="B1311" s="19" t="str">
        <f>IFERROR(__xludf.DUMMYFUNCTION("IF(OR(regexmatch(A1311,"".*@simon.es$""),REGEXMATCH(A1311,"".*@simon.pt$""),REGEXMATCH(A1311,"".*@simonelectrica.com$""),REGEXMATCH(A1311,"".*@hiberus.com$""),REGEXMATCH(A1311,"".*@simonbrico.es$""),regexmatch(A1311,"".*@simonelectric.com$"")),""null"",A1"&amp;"311)"),"1044@hotmail.com")</f>
        <v>1044@hotmail.com</v>
      </c>
      <c r="C1311" s="5">
        <f>IF(B1311="null","null",Descargas!B1311)</f>
        <v>43954</v>
      </c>
      <c r="D1311" s="6" t="str">
        <f>Descargas!E1311</f>
        <v>https://resources.simonelectric.com/simon-ebook-vehiculo-electrico-ppc</v>
      </c>
      <c r="E1311" s="20" t="str">
        <f t="shared" si="1"/>
        <v>1044@hotmail.com</v>
      </c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</row>
    <row r="1312" ht="15.75" customHeight="1">
      <c r="A1312" s="18" t="str">
        <f>Descargas!A1312</f>
        <v>1045@coac.net</v>
      </c>
      <c r="B1312" s="19" t="str">
        <f>IFERROR(__xludf.DUMMYFUNCTION("IF(OR(regexmatch(A1312,"".*@simon.es$""),REGEXMATCH(A1312,"".*@simon.pt$""),REGEXMATCH(A1312,"".*@simonelectrica.com$""),REGEXMATCH(A1312,"".*@hiberus.com$""),REGEXMATCH(A1312,"".*@simonbrico.es$""),regexmatch(A1312,"".*@simonelectric.com$"")),""null"",A1"&amp;"312)"),"1045@coac.net")</f>
        <v>1045@coac.net</v>
      </c>
      <c r="C1312" s="5">
        <f>IF(B1312="null","null",Descargas!B1312)</f>
        <v>43954</v>
      </c>
      <c r="D1312" s="6" t="str">
        <f>Descargas!E1312</f>
        <v>https://resources.simonelectric.com/simon-catalogo-vehiculo-electrico</v>
      </c>
      <c r="E1312" s="20" t="str">
        <f t="shared" si="1"/>
        <v>1045@coac.net</v>
      </c>
      <c r="F1312" s="21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</row>
    <row r="1313" ht="15.75" customHeight="1">
      <c r="A1313" s="18" t="str">
        <f>Descargas!A1313</f>
        <v>1046@gmail.com</v>
      </c>
      <c r="B1313" s="19" t="str">
        <f>IFERROR(__xludf.DUMMYFUNCTION("IF(OR(regexmatch(A1313,"".*@simon.es$""),REGEXMATCH(A1313,"".*@simon.pt$""),REGEXMATCH(A1313,"".*@simonelectrica.com$""),REGEXMATCH(A1313,"".*@hiberus.com$""),REGEXMATCH(A1313,"".*@simonbrico.es$""),regexmatch(A1313,"".*@simonelectric.com$"")),""null"",A1"&amp;"313)"),"1046@gmail.com")</f>
        <v>1046@gmail.com</v>
      </c>
      <c r="C1313" s="5">
        <f>IF(B1313="null","null",Descargas!B1313)</f>
        <v>43954</v>
      </c>
      <c r="D1313" s="6" t="str">
        <f>Descargas!E1313</f>
        <v>https://resources.simonelectric.com/simon-ebook-vehiculo-electrico-ppc</v>
      </c>
      <c r="E1313" s="20" t="str">
        <f t="shared" si="1"/>
        <v>1046@gmail.com</v>
      </c>
      <c r="F1313" s="21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</row>
    <row r="1314" ht="15.75" customHeight="1">
      <c r="A1314" s="18" t="str">
        <f>Descargas!A1314</f>
        <v>1047@coag.es</v>
      </c>
      <c r="B1314" s="19" t="str">
        <f>IFERROR(__xludf.DUMMYFUNCTION("IF(OR(regexmatch(A1314,"".*@simon.es$""),REGEXMATCH(A1314,"".*@simon.pt$""),REGEXMATCH(A1314,"".*@simonelectrica.com$""),REGEXMATCH(A1314,"".*@hiberus.com$""),REGEXMATCH(A1314,"".*@simonbrico.es$""),regexmatch(A1314,"".*@simonelectric.com$"")),""null"",A1"&amp;"314)"),"1047@coag.es")</f>
        <v>1047@coag.es</v>
      </c>
      <c r="C1314" s="5">
        <f>IF(B1314="null","null",Descargas!B1314)</f>
        <v>43953</v>
      </c>
      <c r="D1314" s="6" t="str">
        <f>Descargas!E1314</f>
        <v>https://resources.simonelectric.com/simon-catalogo-vehiculo-electrico</v>
      </c>
      <c r="E1314" s="20" t="str">
        <f t="shared" si="1"/>
        <v>1047@coag.es</v>
      </c>
      <c r="F1314" s="21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</row>
    <row r="1315" ht="15.75" customHeight="1">
      <c r="A1315" s="18" t="str">
        <f>Descargas!A1315</f>
        <v>1048@usc.es</v>
      </c>
      <c r="B1315" s="19" t="str">
        <f>IFERROR(__xludf.DUMMYFUNCTION("IF(OR(regexmatch(A1315,"".*@simon.es$""),REGEXMATCH(A1315,"".*@simon.pt$""),REGEXMATCH(A1315,"".*@simonelectrica.com$""),REGEXMATCH(A1315,"".*@hiberus.com$""),REGEXMATCH(A1315,"".*@simonbrico.es$""),regexmatch(A1315,"".*@simonelectric.com$"")),""null"",A1"&amp;"315)"),"1048@usc.es")</f>
        <v>1048@usc.es</v>
      </c>
      <c r="C1315" s="5">
        <f>IF(B1315="null","null",Descargas!B1315)</f>
        <v>43953</v>
      </c>
      <c r="D1315" s="6" t="str">
        <f>Descargas!E1315</f>
        <v>https://resources.simonelectric.com/simon-catalogo-vehiculo-electrico</v>
      </c>
      <c r="E1315" s="20" t="str">
        <f t="shared" si="1"/>
        <v>1048@usc.es</v>
      </c>
      <c r="F1315" s="21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</row>
    <row r="1316" ht="15.75" customHeight="1">
      <c r="A1316" s="18" t="str">
        <f>Descargas!A1316</f>
        <v>1049@gmail.com</v>
      </c>
      <c r="B1316" s="19" t="str">
        <f>IFERROR(__xludf.DUMMYFUNCTION("IF(OR(regexmatch(A1316,"".*@simon.es$""),REGEXMATCH(A1316,"".*@simon.pt$""),REGEXMATCH(A1316,"".*@simonelectrica.com$""),REGEXMATCH(A1316,"".*@hiberus.com$""),REGEXMATCH(A1316,"".*@simonbrico.es$""),regexmatch(A1316,"".*@simonelectric.com$"")),""null"",A1"&amp;"316)"),"1049@gmail.com")</f>
        <v>1049@gmail.com</v>
      </c>
      <c r="C1316" s="5">
        <f>IF(B1316="null","null",Descargas!B1316)</f>
        <v>43953</v>
      </c>
      <c r="D1316" s="6" t="str">
        <f>Descargas!E1316</f>
        <v>https://resources.simonelectric.com/simon-catalogo-vehiculo-electrico</v>
      </c>
      <c r="E1316" s="20" t="str">
        <f t="shared" si="1"/>
        <v>1049@gmail.com</v>
      </c>
      <c r="F1316" s="21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</row>
    <row r="1317" ht="15.75" customHeight="1">
      <c r="A1317" s="18" t="str">
        <f>Descargas!A1317</f>
        <v>1050@hotmail.es</v>
      </c>
      <c r="B1317" s="19" t="str">
        <f>IFERROR(__xludf.DUMMYFUNCTION("IF(OR(regexmatch(A1317,"".*@simon.es$""),REGEXMATCH(A1317,"".*@simon.pt$""),REGEXMATCH(A1317,"".*@simonelectrica.com$""),REGEXMATCH(A1317,"".*@hiberus.com$""),REGEXMATCH(A1317,"".*@simonbrico.es$""),regexmatch(A1317,"".*@simonelectric.com$"")),""null"",A1"&amp;"317)"),"1050@hotmail.es")</f>
        <v>1050@hotmail.es</v>
      </c>
      <c r="C1317" s="5">
        <f>IF(B1317="null","null",Descargas!B1317)</f>
        <v>43953</v>
      </c>
      <c r="D1317" s="6" t="str">
        <f>Descargas!E1317</f>
        <v>https://resources.simonelectric.com/simon-ebook-vehiculo-electrico-ppc</v>
      </c>
      <c r="E1317" s="20" t="str">
        <f t="shared" si="1"/>
        <v>1050@hotmail.es</v>
      </c>
      <c r="F1317" s="21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</row>
    <row r="1318" ht="15.75" customHeight="1">
      <c r="A1318" s="18" t="str">
        <f>Descargas!A1318</f>
        <v>1051@gmail.com</v>
      </c>
      <c r="B1318" s="19" t="str">
        <f>IFERROR(__xludf.DUMMYFUNCTION("IF(OR(regexmatch(A1318,"".*@simon.es$""),REGEXMATCH(A1318,"".*@simon.pt$""),REGEXMATCH(A1318,"".*@simonelectrica.com$""),REGEXMATCH(A1318,"".*@hiberus.com$""),REGEXMATCH(A1318,"".*@simonbrico.es$""),regexmatch(A1318,"".*@simonelectric.com$"")),""null"",A1"&amp;"318)"),"1051@gmail.com")</f>
        <v>1051@gmail.com</v>
      </c>
      <c r="C1318" s="5">
        <f>IF(B1318="null","null",Descargas!B1318)</f>
        <v>43953</v>
      </c>
      <c r="D1318" s="6" t="str">
        <f>Descargas!E1318</f>
        <v>https://resources.simonelectric.com/simon-catalogo-vehiculo-electrico</v>
      </c>
      <c r="E1318" s="20" t="str">
        <f t="shared" si="1"/>
        <v>1051@gmail.com</v>
      </c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</row>
    <row r="1319" ht="15.75" customHeight="1">
      <c r="A1319" s="18" t="str">
        <f>Descargas!A1319</f>
        <v>331@gmail.com</v>
      </c>
      <c r="B1319" s="19" t="str">
        <f>IFERROR(__xludf.DUMMYFUNCTION("IF(OR(regexmatch(A1319,"".*@simon.es$""),REGEXMATCH(A1319,"".*@simon.pt$""),REGEXMATCH(A1319,"".*@simonelectrica.com$""),REGEXMATCH(A1319,"".*@hiberus.com$""),REGEXMATCH(A1319,"".*@simonbrico.es$""),regexmatch(A1319,"".*@simonelectric.com$"")),""null"",A1"&amp;"319)"),"331@gmail.com")</f>
        <v>331@gmail.com</v>
      </c>
      <c r="C1319" s="5">
        <f>IF(B1319="null","null",Descargas!B1319)</f>
        <v>43953</v>
      </c>
      <c r="D1319" s="6" t="str">
        <f>Descargas!E1319</f>
        <v>https://resources.simonelectric.com/simon-catalogo-vehiculo-electrico</v>
      </c>
      <c r="E1319" s="20" t="str">
        <f t="shared" si="1"/>
        <v>331@gmail.com</v>
      </c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</row>
    <row r="1320" ht="15.75" customHeight="1">
      <c r="A1320" s="18" t="str">
        <f>Descargas!A1320</f>
        <v>1052@yahoo.es</v>
      </c>
      <c r="B1320" s="19" t="str">
        <f>IFERROR(__xludf.DUMMYFUNCTION("IF(OR(regexmatch(A1320,"".*@simon.es$""),REGEXMATCH(A1320,"".*@simon.pt$""),REGEXMATCH(A1320,"".*@simonelectrica.com$""),REGEXMATCH(A1320,"".*@hiberus.com$""),REGEXMATCH(A1320,"".*@simonbrico.es$""),regexmatch(A1320,"".*@simonelectric.com$"")),""null"",A1"&amp;"320)"),"1052@yahoo.es")</f>
        <v>1052@yahoo.es</v>
      </c>
      <c r="C1320" s="5">
        <f>IF(B1320="null","null",Descargas!B1320)</f>
        <v>43953</v>
      </c>
      <c r="D1320" s="6" t="str">
        <f>Descargas!E1320</f>
        <v>https://resources.simonelectric.com/simon-ebook-vehiculo-electrico-ppc</v>
      </c>
      <c r="E1320" s="20" t="str">
        <f t="shared" si="1"/>
        <v>1052@yahoo.es</v>
      </c>
      <c r="F1320" s="21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</row>
    <row r="1321" ht="15.75" customHeight="1">
      <c r="A1321" s="18" t="str">
        <f>Descargas!A1321</f>
        <v>1053@gmail.com</v>
      </c>
      <c r="B1321" s="19" t="str">
        <f>IFERROR(__xludf.DUMMYFUNCTION("IF(OR(regexmatch(A1321,"".*@simon.es$""),REGEXMATCH(A1321,"".*@simon.pt$""),REGEXMATCH(A1321,"".*@simonelectrica.com$""),REGEXMATCH(A1321,"".*@hiberus.com$""),REGEXMATCH(A1321,"".*@simonbrico.es$""),regexmatch(A1321,"".*@simonelectric.com$"")),""null"",A1"&amp;"321)"),"1053@gmail.com")</f>
        <v>1053@gmail.com</v>
      </c>
      <c r="C1321" s="5">
        <f>IF(B1321="null","null",Descargas!B1321)</f>
        <v>43953</v>
      </c>
      <c r="D1321" s="6" t="str">
        <f>Descargas!E1321</f>
        <v>https://resources.simonelectric.com/simon-catalogo-vehiculo-electrico</v>
      </c>
      <c r="E1321" s="20" t="str">
        <f t="shared" si="1"/>
        <v>1053@gmail.com</v>
      </c>
      <c r="F1321" s="21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</row>
    <row r="1322" ht="15.75" customHeight="1">
      <c r="A1322" s="18" t="str">
        <f>Descargas!A1322</f>
        <v>1054@isd-ingenieria.es</v>
      </c>
      <c r="B1322" s="19" t="str">
        <f>IFERROR(__xludf.DUMMYFUNCTION("IF(OR(regexmatch(A1322,"".*@simon.es$""),REGEXMATCH(A1322,"".*@simon.pt$""),REGEXMATCH(A1322,"".*@simonelectrica.com$""),REGEXMATCH(A1322,"".*@hiberus.com$""),REGEXMATCH(A1322,"".*@simonbrico.es$""),regexmatch(A1322,"".*@simonelectric.com$"")),""null"",A1"&amp;"322)"),"1054@isd-ingenieria.es")</f>
        <v>1054@isd-ingenieria.es</v>
      </c>
      <c r="C1322" s="5">
        <f>IF(B1322="null","null",Descargas!B1322)</f>
        <v>43953</v>
      </c>
      <c r="D1322" s="6" t="str">
        <f>Descargas!E1322</f>
        <v>https://resources.simonelectric.com/simon-ebook-vehiculo-electrico-0</v>
      </c>
      <c r="E1322" s="20" t="str">
        <f t="shared" si="1"/>
        <v>1054@isd-ingenieria.es</v>
      </c>
      <c r="F1322" s="21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</row>
    <row r="1323" ht="15.75" customHeight="1">
      <c r="A1323" s="18" t="str">
        <f>Descargas!A1323</f>
        <v>1055@gmail.com</v>
      </c>
      <c r="B1323" s="19" t="str">
        <f>IFERROR(__xludf.DUMMYFUNCTION("IF(OR(regexmatch(A1323,"".*@simon.es$""),REGEXMATCH(A1323,"".*@simon.pt$""),REGEXMATCH(A1323,"".*@simonelectrica.com$""),REGEXMATCH(A1323,"".*@hiberus.com$""),REGEXMATCH(A1323,"".*@simonbrico.es$""),regexmatch(A1323,"".*@simonelectric.com$"")),""null"",A1"&amp;"323)"),"1055@gmail.com")</f>
        <v>1055@gmail.com</v>
      </c>
      <c r="C1323" s="5">
        <f>IF(B1323="null","null",Descargas!B1323)</f>
        <v>43953</v>
      </c>
      <c r="D1323" s="6" t="str">
        <f>Descargas!E1323</f>
        <v>https://resources.simonelectric.com/simon-catalogo-vehiculo-electrico</v>
      </c>
      <c r="E1323" s="20" t="str">
        <f t="shared" si="1"/>
        <v>1055@gmail.com</v>
      </c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</row>
    <row r="1324" ht="15.75" customHeight="1">
      <c r="A1324" s="18" t="str">
        <f>Descargas!A1324</f>
        <v>1056@gmail.com</v>
      </c>
      <c r="B1324" s="19" t="str">
        <f>IFERROR(__xludf.DUMMYFUNCTION("IF(OR(regexmatch(A1324,"".*@simon.es$""),REGEXMATCH(A1324,"".*@simon.pt$""),REGEXMATCH(A1324,"".*@simonelectrica.com$""),REGEXMATCH(A1324,"".*@hiberus.com$""),REGEXMATCH(A1324,"".*@simonbrico.es$""),regexmatch(A1324,"".*@simonelectric.com$"")),""null"",A1"&amp;"324)"),"1056@gmail.com")</f>
        <v>1056@gmail.com</v>
      </c>
      <c r="C1324" s="5">
        <f>IF(B1324="null","null",Descargas!B1324)</f>
        <v>43953</v>
      </c>
      <c r="D1324" s="6" t="str">
        <f>Descargas!E1324</f>
        <v>https://resources.simonelectric.com/simon-ebook-vehiculo-electrico-0</v>
      </c>
      <c r="E1324" s="20" t="str">
        <f t="shared" si="1"/>
        <v>1056@gmail.com</v>
      </c>
      <c r="F1324" s="21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</row>
    <row r="1325" ht="15.75" customHeight="1">
      <c r="A1325" s="18" t="str">
        <f>Descargas!A1325</f>
        <v>1057@gmsil.com</v>
      </c>
      <c r="B1325" s="19" t="str">
        <f>IFERROR(__xludf.DUMMYFUNCTION("IF(OR(regexmatch(A1325,"".*@simon.es$""),REGEXMATCH(A1325,"".*@simon.pt$""),REGEXMATCH(A1325,"".*@simonelectrica.com$""),REGEXMATCH(A1325,"".*@hiberus.com$""),REGEXMATCH(A1325,"".*@simonbrico.es$""),regexmatch(A1325,"".*@simonelectric.com$"")),""null"",A1"&amp;"325)"),"1057@gmsil.com")</f>
        <v>1057@gmsil.com</v>
      </c>
      <c r="C1325" s="5">
        <f>IF(B1325="null","null",Descargas!B1325)</f>
        <v>43953</v>
      </c>
      <c r="D1325" s="6" t="str">
        <f>Descargas!E1325</f>
        <v>https://resources.simonelectric.com/simon-ebook-vehiculo-electrico-0</v>
      </c>
      <c r="E1325" s="20" t="str">
        <f t="shared" si="1"/>
        <v>1057@gmsil.com</v>
      </c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</row>
    <row r="1326" ht="15.75" customHeight="1">
      <c r="A1326" s="18" t="str">
        <f>Descargas!A1326</f>
        <v>1058@gmail.com</v>
      </c>
      <c r="B1326" s="19" t="str">
        <f>IFERROR(__xludf.DUMMYFUNCTION("IF(OR(regexmatch(A1326,"".*@simon.es$""),REGEXMATCH(A1326,"".*@simon.pt$""),REGEXMATCH(A1326,"".*@simonelectrica.com$""),REGEXMATCH(A1326,"".*@hiberus.com$""),REGEXMATCH(A1326,"".*@simonbrico.es$""),regexmatch(A1326,"".*@simonelectric.com$"")),""null"",A1"&amp;"326)"),"1058@gmail.com")</f>
        <v>1058@gmail.com</v>
      </c>
      <c r="C1326" s="5">
        <f>IF(B1326="null","null",Descargas!B1326)</f>
        <v>43953</v>
      </c>
      <c r="D1326" s="6" t="str">
        <f>Descargas!E1326</f>
        <v>https://resources.simonelectric.com/simon-catalogo-vehiculo-electrico</v>
      </c>
      <c r="E1326" s="20" t="str">
        <f t="shared" si="1"/>
        <v>1058@gmail.com</v>
      </c>
      <c r="F1326" s="21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</row>
    <row r="1327" ht="15.75" customHeight="1">
      <c r="A1327" s="18" t="str">
        <f>Descargas!A1327</f>
        <v>1059@yahoo.es</v>
      </c>
      <c r="B1327" s="19" t="str">
        <f>IFERROR(__xludf.DUMMYFUNCTION("IF(OR(regexmatch(A1327,"".*@simon.es$""),REGEXMATCH(A1327,"".*@simon.pt$""),REGEXMATCH(A1327,"".*@simonelectrica.com$""),REGEXMATCH(A1327,"".*@hiberus.com$""),REGEXMATCH(A1327,"".*@simonbrico.es$""),regexmatch(A1327,"".*@simonelectric.com$"")),""null"",A1"&amp;"327)"),"1059@yahoo.es")</f>
        <v>1059@yahoo.es</v>
      </c>
      <c r="C1327" s="5">
        <f>IF(B1327="null","null",Descargas!B1327)</f>
        <v>43953</v>
      </c>
      <c r="D1327" s="6" t="str">
        <f>Descargas!E1327</f>
        <v>https://resources.simonelectric.com/simon-catalogo-vehiculo-electrico</v>
      </c>
      <c r="E1327" s="20" t="str">
        <f t="shared" si="1"/>
        <v>1059@yahoo.es</v>
      </c>
      <c r="F1327" s="21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</row>
    <row r="1328" ht="15.75" customHeight="1">
      <c r="A1328" s="18" t="str">
        <f>Descargas!A1328</f>
        <v>978@gmail.com</v>
      </c>
      <c r="B1328" s="19" t="str">
        <f>IFERROR(__xludf.DUMMYFUNCTION("IF(OR(regexmatch(A1328,"".*@simon.es$""),REGEXMATCH(A1328,"".*@simon.pt$""),REGEXMATCH(A1328,"".*@simonelectrica.com$""),REGEXMATCH(A1328,"".*@hiberus.com$""),REGEXMATCH(A1328,"".*@simonbrico.es$""),regexmatch(A1328,"".*@simonelectric.com$"")),""null"",A1"&amp;"328)"),"978@gmail.com")</f>
        <v>978@gmail.com</v>
      </c>
      <c r="C1328" s="5">
        <f>IF(B1328="null","null",Descargas!B1328)</f>
        <v>43953</v>
      </c>
      <c r="D1328" s="6" t="str">
        <f>Descargas!E1328</f>
        <v>https://resources.simonelectric.com/simon-catalogo-vehiculo-electrico</v>
      </c>
      <c r="E1328" s="20" t="str">
        <f t="shared" si="1"/>
        <v>978@gmail.com</v>
      </c>
      <c r="F1328" s="21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</row>
    <row r="1329" ht="15.75" customHeight="1">
      <c r="A1329" s="18" t="str">
        <f>Descargas!A1329</f>
        <v>1060@hotmail.com</v>
      </c>
      <c r="B1329" s="19" t="str">
        <f>IFERROR(__xludf.DUMMYFUNCTION("IF(OR(regexmatch(A1329,"".*@simon.es$""),REGEXMATCH(A1329,"".*@simon.pt$""),REGEXMATCH(A1329,"".*@simonelectrica.com$""),REGEXMATCH(A1329,"".*@hiberus.com$""),REGEXMATCH(A1329,"".*@simonbrico.es$""),regexmatch(A1329,"".*@simonelectric.com$"")),""null"",A1"&amp;"329)"),"1060@hotmail.com")</f>
        <v>1060@hotmail.com</v>
      </c>
      <c r="C1329" s="5">
        <f>IF(B1329="null","null",Descargas!B1329)</f>
        <v>43953</v>
      </c>
      <c r="D1329" s="6" t="str">
        <f>Descargas!E1329</f>
        <v>https://resources.simonelectric.com/simon-catalogo-vehiculo-electrico</v>
      </c>
      <c r="E1329" s="20" t="str">
        <f t="shared" si="1"/>
        <v>1060@hotmail.com</v>
      </c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</row>
    <row r="1330" ht="15.75" customHeight="1">
      <c r="A1330" s="18" t="str">
        <f>Descargas!A1330</f>
        <v>1002@hotmail.com</v>
      </c>
      <c r="B1330" s="19" t="str">
        <f>IFERROR(__xludf.DUMMYFUNCTION("IF(OR(regexmatch(A1330,"".*@simon.es$""),REGEXMATCH(A1330,"".*@simon.pt$""),REGEXMATCH(A1330,"".*@simonelectrica.com$""),REGEXMATCH(A1330,"".*@hiberus.com$""),REGEXMATCH(A1330,"".*@simonbrico.es$""),regexmatch(A1330,"".*@simonelectric.com$"")),""null"",A1"&amp;"330)"),"1002@hotmail.com")</f>
        <v>1002@hotmail.com</v>
      </c>
      <c r="C1330" s="5">
        <f>IF(B1330="null","null",Descargas!B1330)</f>
        <v>43952</v>
      </c>
      <c r="D1330" s="6" t="str">
        <f>Descargas!E1330</f>
        <v>https://resources.simonelectric.com/simon-catalogo-vehiculo-electrico</v>
      </c>
      <c r="E1330" s="20" t="str">
        <f t="shared" si="1"/>
        <v>1002@hotmail.com</v>
      </c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</row>
    <row r="1331" ht="15.75" customHeight="1">
      <c r="A1331" s="18" t="str">
        <f>Descargas!A1331</f>
        <v>1061@perezescribano.es</v>
      </c>
      <c r="B1331" s="19" t="str">
        <f>IFERROR(__xludf.DUMMYFUNCTION("IF(OR(regexmatch(A1331,"".*@simon.es$""),REGEXMATCH(A1331,"".*@simon.pt$""),REGEXMATCH(A1331,"".*@simonelectrica.com$""),REGEXMATCH(A1331,"".*@hiberus.com$""),REGEXMATCH(A1331,"".*@simonbrico.es$""),regexmatch(A1331,"".*@simonelectric.com$"")),""null"",A1"&amp;"331)"),"1061@perezescribano.es")</f>
        <v>1061@perezescribano.es</v>
      </c>
      <c r="C1331" s="5">
        <f>IF(B1331="null","null",Descargas!B1331)</f>
        <v>43952</v>
      </c>
      <c r="D1331" s="6" t="str">
        <f>Descargas!E1331</f>
        <v>https://resources.simonelectric.com/simon-catalogo-vehiculo-electrico</v>
      </c>
      <c r="E1331" s="20" t="str">
        <f t="shared" si="1"/>
        <v>1061@perezescribano.es</v>
      </c>
      <c r="F1331" s="21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</row>
    <row r="1332" ht="15.75" customHeight="1">
      <c r="A1332" s="18" t="str">
        <f>Descargas!A1332</f>
        <v>1062@hotmail.com</v>
      </c>
      <c r="B1332" s="19" t="str">
        <f>IFERROR(__xludf.DUMMYFUNCTION("IF(OR(regexmatch(A1332,"".*@simon.es$""),REGEXMATCH(A1332,"".*@simon.pt$""),REGEXMATCH(A1332,"".*@simonelectrica.com$""),REGEXMATCH(A1332,"".*@hiberus.com$""),REGEXMATCH(A1332,"".*@simonbrico.es$""),regexmatch(A1332,"".*@simonelectric.com$"")),""null"",A1"&amp;"332)"),"1062@hotmail.com")</f>
        <v>1062@hotmail.com</v>
      </c>
      <c r="C1332" s="5">
        <f>IF(B1332="null","null",Descargas!B1332)</f>
        <v>43952</v>
      </c>
      <c r="D1332" s="6" t="str">
        <f>Descargas!E1332</f>
        <v>https://resources.simonelectric.com/simon-catalogo-vehiculo-electrico</v>
      </c>
      <c r="E1332" s="20" t="str">
        <f t="shared" si="1"/>
        <v>1062@hotmail.com</v>
      </c>
      <c r="F1332" s="21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</row>
    <row r="1333" ht="15.75" customHeight="1">
      <c r="A1333" s="18" t="str">
        <f>Descargas!A1333</f>
        <v>1063@gmail.com</v>
      </c>
      <c r="B1333" s="19" t="str">
        <f>IFERROR(__xludf.DUMMYFUNCTION("IF(OR(regexmatch(A1333,"".*@simon.es$""),REGEXMATCH(A1333,"".*@simon.pt$""),REGEXMATCH(A1333,"".*@simonelectrica.com$""),REGEXMATCH(A1333,"".*@hiberus.com$""),REGEXMATCH(A1333,"".*@simonbrico.es$""),regexmatch(A1333,"".*@simonelectric.com$"")),""null"",A1"&amp;"333)"),"1063@gmail.com")</f>
        <v>1063@gmail.com</v>
      </c>
      <c r="C1333" s="5">
        <f>IF(B1333="null","null",Descargas!B1333)</f>
        <v>43952</v>
      </c>
      <c r="D1333" s="6" t="str">
        <f>Descargas!E1333</f>
        <v>https://resources.simonelectric.com/simon-catalogo-vehiculo-electrico</v>
      </c>
      <c r="E1333" s="20" t="str">
        <f t="shared" si="1"/>
        <v>1063@gmail.com</v>
      </c>
      <c r="F1333" s="21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</row>
    <row r="1334" ht="15.75" customHeight="1">
      <c r="A1334" s="18" t="str">
        <f>Descargas!A1334</f>
        <v>1064@abxat.com</v>
      </c>
      <c r="B1334" s="19" t="str">
        <f>IFERROR(__xludf.DUMMYFUNCTION("IF(OR(regexmatch(A1334,"".*@simon.es$""),REGEXMATCH(A1334,"".*@simon.pt$""),REGEXMATCH(A1334,"".*@simonelectrica.com$""),REGEXMATCH(A1334,"".*@hiberus.com$""),REGEXMATCH(A1334,"".*@simonbrico.es$""),regexmatch(A1334,"".*@simonelectric.com$"")),""null"",A1"&amp;"334)"),"1064@abxat.com")</f>
        <v>1064@abxat.com</v>
      </c>
      <c r="C1334" s="5">
        <f>IF(B1334="null","null",Descargas!B1334)</f>
        <v>43952</v>
      </c>
      <c r="D1334" s="6" t="str">
        <f>Descargas!E1334</f>
        <v>https://resources.simonelectric.com/simon-ebook-vehiculo-electrico-ppc</v>
      </c>
      <c r="E1334" s="20" t="str">
        <f t="shared" si="1"/>
        <v>1064@abxat.com</v>
      </c>
      <c r="F1334" s="21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</row>
    <row r="1335" ht="15.75" customHeight="1">
      <c r="A1335" s="18" t="str">
        <f>Descargas!A1335</f>
        <v>1065@movistar.es</v>
      </c>
      <c r="B1335" s="19" t="str">
        <f>IFERROR(__xludf.DUMMYFUNCTION("IF(OR(regexmatch(A1335,"".*@simon.es$""),REGEXMATCH(A1335,"".*@simon.pt$""),REGEXMATCH(A1335,"".*@simonelectrica.com$""),REGEXMATCH(A1335,"".*@hiberus.com$""),REGEXMATCH(A1335,"".*@simonbrico.es$""),regexmatch(A1335,"".*@simonelectric.com$"")),""null"",A1"&amp;"335)"),"1065@movistar.es")</f>
        <v>1065@movistar.es</v>
      </c>
      <c r="C1335" s="5">
        <f>IF(B1335="null","null",Descargas!B1335)</f>
        <v>43952</v>
      </c>
      <c r="D1335" s="6" t="str">
        <f>Descargas!E1335</f>
        <v>https://resources.simonelectric.com/simon-catalogo-vehiculo-electrico</v>
      </c>
      <c r="E1335" s="20" t="str">
        <f t="shared" si="1"/>
        <v>1065@movistar.es</v>
      </c>
      <c r="F1335" s="21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</row>
    <row r="1336" ht="15.75" customHeight="1">
      <c r="A1336" s="18" t="str">
        <f>Descargas!A1336</f>
        <v>1066@gmail.com</v>
      </c>
      <c r="B1336" s="19" t="str">
        <f>IFERROR(__xludf.DUMMYFUNCTION("IF(OR(regexmatch(A1336,"".*@simon.es$""),REGEXMATCH(A1336,"".*@simon.pt$""),REGEXMATCH(A1336,"".*@simonelectrica.com$""),REGEXMATCH(A1336,"".*@hiberus.com$""),REGEXMATCH(A1336,"".*@simonbrico.es$""),regexmatch(A1336,"".*@simonelectric.com$"")),""null"",A1"&amp;"336)"),"1066@gmail.com")</f>
        <v>1066@gmail.com</v>
      </c>
      <c r="C1336" s="5">
        <f>IF(B1336="null","null",Descargas!B1336)</f>
        <v>43952</v>
      </c>
      <c r="D1336" s="6" t="str">
        <f>Descargas!E1336</f>
        <v>https://resources.simonelectric.com/simon-catalogo-vehiculo-electrico</v>
      </c>
      <c r="E1336" s="20" t="str">
        <f t="shared" si="1"/>
        <v>1066@gmail.com</v>
      </c>
      <c r="F1336" s="21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</row>
    <row r="1337" ht="15.75" customHeight="1">
      <c r="A1337" s="18" t="str">
        <f>Descargas!A1337</f>
        <v>1067@gmail.com</v>
      </c>
      <c r="B1337" s="19" t="str">
        <f>IFERROR(__xludf.DUMMYFUNCTION("IF(OR(regexmatch(A1337,"".*@simon.es$""),REGEXMATCH(A1337,"".*@simon.pt$""),REGEXMATCH(A1337,"".*@simonelectrica.com$""),REGEXMATCH(A1337,"".*@hiberus.com$""),REGEXMATCH(A1337,"".*@simonbrico.es$""),regexmatch(A1337,"".*@simonelectric.com$"")),""null"",A1"&amp;"337)"),"1067@gmail.com")</f>
        <v>1067@gmail.com</v>
      </c>
      <c r="C1337" s="5">
        <f>IF(B1337="null","null",Descargas!B1337)</f>
        <v>43952</v>
      </c>
      <c r="D1337" s="6" t="str">
        <f>Descargas!E1337</f>
        <v>https://resources.simonelectric.com/simon-catalogo-vehiculo-electrico</v>
      </c>
      <c r="E1337" s="20" t="str">
        <f t="shared" si="1"/>
        <v>1067@gmail.com</v>
      </c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</row>
    <row r="1338" ht="15.75" customHeight="1">
      <c r="A1338" s="18" t="str">
        <f>Descargas!A1338</f>
        <v>1068@dominion.es</v>
      </c>
      <c r="B1338" s="19" t="str">
        <f>IFERROR(__xludf.DUMMYFUNCTION("IF(OR(regexmatch(A1338,"".*@simon.es$""),REGEXMATCH(A1338,"".*@simon.pt$""),REGEXMATCH(A1338,"".*@simonelectrica.com$""),REGEXMATCH(A1338,"".*@hiberus.com$""),REGEXMATCH(A1338,"".*@simonbrico.es$""),regexmatch(A1338,"".*@simonelectric.com$"")),""null"",A1"&amp;"338)"),"1068@dominion.es")</f>
        <v>1068@dominion.es</v>
      </c>
      <c r="C1338" s="5">
        <f>IF(B1338="null","null",Descargas!B1338)</f>
        <v>43952</v>
      </c>
      <c r="D1338" s="6" t="str">
        <f>Descargas!E1338</f>
        <v>https://resources.simonelectric.com/simon-catalogo-vehiculo-electrico</v>
      </c>
      <c r="E1338" s="20" t="str">
        <f t="shared" si="1"/>
        <v>1068@dominion.es</v>
      </c>
      <c r="F1338" s="21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</row>
    <row r="1339" ht="15.75" customHeight="1">
      <c r="A1339" s="18" t="str">
        <f>Descargas!A1339</f>
        <v>999@aeperez.es</v>
      </c>
      <c r="B1339" s="19" t="str">
        <f>IFERROR(__xludf.DUMMYFUNCTION("IF(OR(regexmatch(A1339,"".*@simon.es$""),REGEXMATCH(A1339,"".*@simon.pt$""),REGEXMATCH(A1339,"".*@simonelectrica.com$""),REGEXMATCH(A1339,"".*@hiberus.com$""),REGEXMATCH(A1339,"".*@simonbrico.es$""),regexmatch(A1339,"".*@simonelectric.com$"")),""null"",A1"&amp;"339)"),"999@aeperez.es")</f>
        <v>999@aeperez.es</v>
      </c>
      <c r="C1339" s="5">
        <f>IF(B1339="null","null",Descargas!B1339)</f>
        <v>43952</v>
      </c>
      <c r="D1339" s="6" t="str">
        <f>Descargas!E1339</f>
        <v>https://resources.simonelectric.com/simon-catalogo-vehiculo-electrico</v>
      </c>
      <c r="E1339" s="20" t="str">
        <f t="shared" si="1"/>
        <v>999@aeperez.es</v>
      </c>
      <c r="F1339" s="21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</row>
    <row r="1340" ht="15.75" customHeight="1">
      <c r="A1340" s="18" t="str">
        <f>Descargas!A1340</f>
        <v>1069@agoitziru.es</v>
      </c>
      <c r="B1340" s="19" t="str">
        <f>IFERROR(__xludf.DUMMYFUNCTION("IF(OR(regexmatch(A1340,"".*@simon.es$""),REGEXMATCH(A1340,"".*@simon.pt$""),REGEXMATCH(A1340,"".*@simonelectrica.com$""),REGEXMATCH(A1340,"".*@hiberus.com$""),REGEXMATCH(A1340,"".*@simonbrico.es$""),regexmatch(A1340,"".*@simonelectric.com$"")),""null"",A1"&amp;"340)"),"1069@agoitziru.es")</f>
        <v>1069@agoitziru.es</v>
      </c>
      <c r="C1340" s="5">
        <f>IF(B1340="null","null",Descargas!B1340)</f>
        <v>43952</v>
      </c>
      <c r="D1340" s="6" t="str">
        <f>Descargas!E1340</f>
        <v>https://resources.simonelectric.com/simon-catalogo-vehiculo-electrico</v>
      </c>
      <c r="E1340" s="20" t="str">
        <f t="shared" si="1"/>
        <v>1069@agoitziru.es</v>
      </c>
      <c r="F1340" s="21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</row>
    <row r="1341" ht="15.75" customHeight="1">
      <c r="A1341" s="18" t="str">
        <f>Descargas!A1341</f>
        <v>989@electricasllop.com</v>
      </c>
      <c r="B1341" s="19" t="str">
        <f>IFERROR(__xludf.DUMMYFUNCTION("IF(OR(regexmatch(A1341,"".*@simon.es$""),REGEXMATCH(A1341,"".*@simon.pt$""),REGEXMATCH(A1341,"".*@simonelectrica.com$""),REGEXMATCH(A1341,"".*@hiberus.com$""),REGEXMATCH(A1341,"".*@simonbrico.es$""),regexmatch(A1341,"".*@simonelectric.com$"")),""null"",A1"&amp;"341)"),"989@electricasllop.com")</f>
        <v>989@electricasllop.com</v>
      </c>
      <c r="C1341" s="5">
        <f>IF(B1341="null","null",Descargas!B1341)</f>
        <v>43952</v>
      </c>
      <c r="D1341" s="6" t="str">
        <f>Descargas!E1341</f>
        <v>https://resources.simonelectric.com/simon-catalogo-vehiculo-electrico</v>
      </c>
      <c r="E1341" s="20" t="str">
        <f t="shared" si="1"/>
        <v>989@electricasllop.com</v>
      </c>
      <c r="F1341" s="21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</row>
    <row r="1342" ht="15.75" customHeight="1">
      <c r="A1342" s="18" t="str">
        <f>Descargas!A1342</f>
        <v>1070@vamostelecom.es</v>
      </c>
      <c r="B1342" s="19" t="str">
        <f>IFERROR(__xludf.DUMMYFUNCTION("IF(OR(regexmatch(A1342,"".*@simon.es$""),REGEXMATCH(A1342,"".*@simon.pt$""),REGEXMATCH(A1342,"".*@simonelectrica.com$""),REGEXMATCH(A1342,"".*@hiberus.com$""),REGEXMATCH(A1342,"".*@simonbrico.es$""),regexmatch(A1342,"".*@simonelectric.com$"")),""null"",A1"&amp;"342)"),"1070@vamostelecom.es")</f>
        <v>1070@vamostelecom.es</v>
      </c>
      <c r="C1342" s="5">
        <f>IF(B1342="null","null",Descargas!B1342)</f>
        <v>43952</v>
      </c>
      <c r="D1342" s="6" t="str">
        <f>Descargas!E1342</f>
        <v>https://resources.simonelectric.com/simon-catalogo-vehiculo-electrico</v>
      </c>
      <c r="E1342" s="20" t="str">
        <f t="shared" si="1"/>
        <v>1070@vamostelecom.es</v>
      </c>
      <c r="F1342" s="21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</row>
    <row r="1343" ht="15.75" customHeight="1">
      <c r="A1343" s="18" t="str">
        <f>Descargas!A1343</f>
        <v>1071@industrialgines.com</v>
      </c>
      <c r="B1343" s="19" t="str">
        <f>IFERROR(__xludf.DUMMYFUNCTION("IF(OR(regexmatch(A1343,"".*@simon.es$""),REGEXMATCH(A1343,"".*@simon.pt$""),REGEXMATCH(A1343,"".*@simonelectrica.com$""),REGEXMATCH(A1343,"".*@hiberus.com$""),REGEXMATCH(A1343,"".*@simonbrico.es$""),regexmatch(A1343,"".*@simonelectric.com$"")),""null"",A1"&amp;"343)"),"1071@industrialgines.com")</f>
        <v>1071@industrialgines.com</v>
      </c>
      <c r="C1343" s="5">
        <f>IF(B1343="null","null",Descargas!B1343)</f>
        <v>43952</v>
      </c>
      <c r="D1343" s="6" t="str">
        <f>Descargas!E1343</f>
        <v>https://resources.simonelectric.com/simon-catalogo-vehiculo-electrico</v>
      </c>
      <c r="E1343" s="20" t="str">
        <f t="shared" si="1"/>
        <v>1071@industrialgines.com</v>
      </c>
      <c r="F1343" s="21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</row>
    <row r="1344" ht="15.75" customHeight="1">
      <c r="A1344" s="18" t="str">
        <f>Descargas!A1344</f>
        <v>1072@gmail.com</v>
      </c>
      <c r="B1344" s="19" t="str">
        <f>IFERROR(__xludf.DUMMYFUNCTION("IF(OR(regexmatch(A1344,"".*@simon.es$""),REGEXMATCH(A1344,"".*@simon.pt$""),REGEXMATCH(A1344,"".*@simonelectrica.com$""),REGEXMATCH(A1344,"".*@hiberus.com$""),REGEXMATCH(A1344,"".*@simonbrico.es$""),regexmatch(A1344,"".*@simonelectric.com$"")),""null"",A1"&amp;"344)"),"1072@gmail.com")</f>
        <v>1072@gmail.com</v>
      </c>
      <c r="C1344" s="5">
        <f>IF(B1344="null","null",Descargas!B1344)</f>
        <v>43952</v>
      </c>
      <c r="D1344" s="6" t="str">
        <f>Descargas!E1344</f>
        <v>https://resources.simonelectric.com/simon-catalogo-vehiculo-electrico</v>
      </c>
      <c r="E1344" s="20" t="str">
        <f t="shared" si="1"/>
        <v>1072@gmail.com</v>
      </c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</row>
    <row r="1345" ht="15.75" customHeight="1">
      <c r="A1345" s="18" t="str">
        <f>Descargas!A1345</f>
        <v>589@freelight.es</v>
      </c>
      <c r="B1345" s="19" t="str">
        <f>IFERROR(__xludf.DUMMYFUNCTION("IF(OR(regexmatch(A1345,"".*@simon.es$""),REGEXMATCH(A1345,"".*@simon.pt$""),REGEXMATCH(A1345,"".*@simonelectrica.com$""),REGEXMATCH(A1345,"".*@hiberus.com$""),REGEXMATCH(A1345,"".*@simonbrico.es$""),regexmatch(A1345,"".*@simonelectric.com$"")),""null"",A1"&amp;"345)"),"589@freelight.es")</f>
        <v>589@freelight.es</v>
      </c>
      <c r="C1345" s="5">
        <f>IF(B1345="null","null",Descargas!B1345)</f>
        <v>43952</v>
      </c>
      <c r="D1345" s="6" t="str">
        <f>Descargas!E1345</f>
        <v>https://resources.simonelectric.com/simon-catalogo-vehiculo-electrico</v>
      </c>
      <c r="E1345" s="20" t="str">
        <f t="shared" si="1"/>
        <v>589@freelight.es</v>
      </c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</row>
    <row r="1346" ht="15.75" customHeight="1">
      <c r="A1346" s="18" t="str">
        <f>Descargas!A1346</f>
        <v>1073@grupolasser.com</v>
      </c>
      <c r="B1346" s="19" t="str">
        <f>IFERROR(__xludf.DUMMYFUNCTION("IF(OR(regexmatch(A1346,"".*@simon.es$""),REGEXMATCH(A1346,"".*@simon.pt$""),REGEXMATCH(A1346,"".*@simonelectrica.com$""),REGEXMATCH(A1346,"".*@hiberus.com$""),REGEXMATCH(A1346,"".*@simonbrico.es$""),regexmatch(A1346,"".*@simonelectric.com$"")),""null"",A1"&amp;"346)"),"1073@grupolasser.com")</f>
        <v>1073@grupolasser.com</v>
      </c>
      <c r="C1346" s="5">
        <f>IF(B1346="null","null",Descargas!B1346)</f>
        <v>43952</v>
      </c>
      <c r="D1346" s="6" t="str">
        <f>Descargas!E1346</f>
        <v>https://resources.simonelectric.com/simon-ebook-vehiculo-electrico</v>
      </c>
      <c r="E1346" s="20" t="str">
        <f t="shared" si="1"/>
        <v>1073@grupolasser.com</v>
      </c>
      <c r="F1346" s="21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</row>
    <row r="1347" ht="15.75" customHeight="1">
      <c r="A1347" s="18" t="str">
        <f>Descargas!A1347</f>
        <v>1074@hotmail.com</v>
      </c>
      <c r="B1347" s="19" t="str">
        <f>IFERROR(__xludf.DUMMYFUNCTION("IF(OR(regexmatch(A1347,"".*@simon.es$""),REGEXMATCH(A1347,"".*@simon.pt$""),REGEXMATCH(A1347,"".*@simonelectrica.com$""),REGEXMATCH(A1347,"".*@hiberus.com$""),REGEXMATCH(A1347,"".*@simonbrico.es$""),regexmatch(A1347,"".*@simonelectric.com$"")),""null"",A1"&amp;"347)"),"1074@hotmail.com")</f>
        <v>1074@hotmail.com</v>
      </c>
      <c r="C1347" s="5">
        <f>IF(B1347="null","null",Descargas!B1347)</f>
        <v>43952</v>
      </c>
      <c r="D1347" s="6" t="str">
        <f>Descargas!E1347</f>
        <v>https://resources.simonelectric.com/simon-catalogo-vehiculo-electrico</v>
      </c>
      <c r="E1347" s="20" t="str">
        <f t="shared" si="1"/>
        <v>1074@hotmail.com</v>
      </c>
      <c r="F1347" s="21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</row>
    <row r="1348" ht="15.75" customHeight="1">
      <c r="A1348" s="18" t="str">
        <f>Descargas!A1348</f>
        <v>835@gmail.com</v>
      </c>
      <c r="B1348" s="19" t="str">
        <f>IFERROR(__xludf.DUMMYFUNCTION("IF(OR(regexmatch(A1348,"".*@simon.es$""),REGEXMATCH(A1348,"".*@simon.pt$""),REGEXMATCH(A1348,"".*@simonelectrica.com$""),REGEXMATCH(A1348,"".*@hiberus.com$""),REGEXMATCH(A1348,"".*@simonbrico.es$""),regexmatch(A1348,"".*@simonelectric.com$"")),""null"",A1"&amp;"348)"),"835@gmail.com")</f>
        <v>835@gmail.com</v>
      </c>
      <c r="C1348" s="5">
        <f>IF(B1348="null","null",Descargas!B1348)</f>
        <v>43952</v>
      </c>
      <c r="D1348" s="6" t="str">
        <f>Descargas!E1348</f>
        <v>https://resources.simonelectric.com/simon-ebook-vehiculo-electrico-ppc</v>
      </c>
      <c r="E1348" s="20" t="str">
        <f t="shared" si="1"/>
        <v>835@gmail.com</v>
      </c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</row>
    <row r="1349" ht="15.75" customHeight="1">
      <c r="A1349" s="18" t="str">
        <f>Descargas!A1349</f>
        <v>1075@gmail.com</v>
      </c>
      <c r="B1349" s="19" t="str">
        <f>IFERROR(__xludf.DUMMYFUNCTION("IF(OR(regexmatch(A1349,"".*@simon.es$""),REGEXMATCH(A1349,"".*@simon.pt$""),REGEXMATCH(A1349,"".*@simonelectrica.com$""),REGEXMATCH(A1349,"".*@hiberus.com$""),REGEXMATCH(A1349,"".*@simonbrico.es$""),regexmatch(A1349,"".*@simonelectric.com$"")),""null"",A1"&amp;"349)"),"1075@gmail.com")</f>
        <v>1075@gmail.com</v>
      </c>
      <c r="C1349" s="5">
        <f>IF(B1349="null","null",Descargas!B1349)</f>
        <v>43952</v>
      </c>
      <c r="D1349" s="6" t="str">
        <f>Descargas!E1349</f>
        <v>https://resources.simonelectric.com/simon-catalogo-vehiculo-electrico</v>
      </c>
      <c r="E1349" s="20" t="str">
        <f t="shared" si="1"/>
        <v>1075@gmail.com</v>
      </c>
      <c r="F1349" s="21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</row>
    <row r="1350" ht="15.75" customHeight="1">
      <c r="A1350" s="18" t="str">
        <f>Descargas!A1350</f>
        <v>1076@gmail.com</v>
      </c>
      <c r="B1350" s="19" t="str">
        <f>IFERROR(__xludf.DUMMYFUNCTION("IF(OR(regexmatch(A1350,"".*@simon.es$""),REGEXMATCH(A1350,"".*@simon.pt$""),REGEXMATCH(A1350,"".*@simonelectrica.com$""),REGEXMATCH(A1350,"".*@hiberus.com$""),REGEXMATCH(A1350,"".*@simonbrico.es$""),regexmatch(A1350,"".*@simonelectric.com$"")),""null"",A1"&amp;"350)"),"1076@gmail.com")</f>
        <v>1076@gmail.com</v>
      </c>
      <c r="C1350" s="5">
        <f>IF(B1350="null","null",Descargas!B1350)</f>
        <v>43952</v>
      </c>
      <c r="D1350" s="6" t="str">
        <f>Descargas!E1350</f>
        <v>https://resources.simonelectric.com/simon-ebook-vehiculo-electrico-ppc</v>
      </c>
      <c r="E1350" s="20" t="str">
        <f t="shared" si="1"/>
        <v>1076@gmail.com</v>
      </c>
      <c r="F1350" s="21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</row>
    <row r="1351" ht="15.75" customHeight="1">
      <c r="A1351" s="18" t="str">
        <f>Descargas!A1351</f>
        <v>1077@hotmail.com</v>
      </c>
      <c r="B1351" s="19" t="str">
        <f>IFERROR(__xludf.DUMMYFUNCTION("IF(OR(regexmatch(A1351,"".*@simon.es$""),REGEXMATCH(A1351,"".*@simon.pt$""),REGEXMATCH(A1351,"".*@simonelectrica.com$""),REGEXMATCH(A1351,"".*@hiberus.com$""),REGEXMATCH(A1351,"".*@simonbrico.es$""),regexmatch(A1351,"".*@simonelectric.com$"")),""null"",A1"&amp;"351)"),"1077@hotmail.com")</f>
        <v>1077@hotmail.com</v>
      </c>
      <c r="C1351" s="5">
        <f>IF(B1351="null","null",Descargas!B1351)</f>
        <v>43952</v>
      </c>
      <c r="D1351" s="6" t="str">
        <f>Descargas!E1351</f>
        <v>https://resources.simonelectric.com/simon-ebook-vehiculo-electrico-ppc</v>
      </c>
      <c r="E1351" s="20" t="str">
        <f t="shared" si="1"/>
        <v>1077@hotmail.com</v>
      </c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</row>
    <row r="1352" ht="15.75" customHeight="1">
      <c r="A1352" s="18" t="str">
        <f>Descargas!A1352</f>
        <v>1078@gmail.com</v>
      </c>
      <c r="B1352" s="19" t="str">
        <f>IFERROR(__xludf.DUMMYFUNCTION("IF(OR(regexmatch(A1352,"".*@simon.es$""),REGEXMATCH(A1352,"".*@simon.pt$""),REGEXMATCH(A1352,"".*@simonelectrica.com$""),REGEXMATCH(A1352,"".*@hiberus.com$""),REGEXMATCH(A1352,"".*@simonbrico.es$""),regexmatch(A1352,"".*@simonelectric.com$"")),""null"",A1"&amp;"352)"),"1078@gmail.com")</f>
        <v>1078@gmail.com</v>
      </c>
      <c r="C1352" s="5">
        <f>IF(B1352="null","null",Descargas!B1352)</f>
        <v>43952</v>
      </c>
      <c r="D1352" s="6" t="str">
        <f>Descargas!E1352</f>
        <v>https://resources.simonelectric.com/simon-catalogo-vehiculo-electrico</v>
      </c>
      <c r="E1352" s="20" t="str">
        <f t="shared" si="1"/>
        <v>1078@gmail.com</v>
      </c>
      <c r="F1352" s="21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</row>
    <row r="1353" ht="15.75" customHeight="1">
      <c r="A1353" s="18" t="str">
        <f>Descargas!A1353</f>
        <v>1079@outlook.es</v>
      </c>
      <c r="B1353" s="19" t="str">
        <f>IFERROR(__xludf.DUMMYFUNCTION("IF(OR(regexmatch(A1353,"".*@simon.es$""),REGEXMATCH(A1353,"".*@simon.pt$""),REGEXMATCH(A1353,"".*@simonelectrica.com$""),REGEXMATCH(A1353,"".*@hiberus.com$""),REGEXMATCH(A1353,"".*@simonbrico.es$""),regexmatch(A1353,"".*@simonelectric.com$"")),""null"",A1"&amp;"353)"),"1079@outlook.es")</f>
        <v>1079@outlook.es</v>
      </c>
      <c r="C1353" s="5">
        <f>IF(B1353="null","null",Descargas!B1353)</f>
        <v>43952</v>
      </c>
      <c r="D1353" s="6" t="str">
        <f>Descargas!E1353</f>
        <v>https://resources.simonelectric.com/simon-catalogo-vehiculo-electrico</v>
      </c>
      <c r="E1353" s="20" t="str">
        <f t="shared" si="1"/>
        <v>1079@outlook.es</v>
      </c>
      <c r="F1353" s="21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</row>
    <row r="1354" ht="15.75" customHeight="1">
      <c r="A1354" s="18" t="str">
        <f>Descargas!A1354</f>
        <v>1080@levitec.es</v>
      </c>
      <c r="B1354" s="19" t="str">
        <f>IFERROR(__xludf.DUMMYFUNCTION("IF(OR(regexmatch(A1354,"".*@simon.es$""),REGEXMATCH(A1354,"".*@simon.pt$""),REGEXMATCH(A1354,"".*@simonelectrica.com$""),REGEXMATCH(A1354,"".*@hiberus.com$""),REGEXMATCH(A1354,"".*@simonbrico.es$""),regexmatch(A1354,"".*@simonelectric.com$"")),""null"",A1"&amp;"354)"),"1080@levitec.es")</f>
        <v>1080@levitec.es</v>
      </c>
      <c r="C1354" s="5">
        <f>IF(B1354="null","null",Descargas!B1354)</f>
        <v>43952</v>
      </c>
      <c r="D1354" s="6" t="str">
        <f>Descargas!E1354</f>
        <v>https://resources.simonelectric.com/simon-catalogo-vehiculo-electrico</v>
      </c>
      <c r="E1354" s="20" t="str">
        <f t="shared" si="1"/>
        <v>1080@levitec.es</v>
      </c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</row>
    <row r="1355" ht="15.75" customHeight="1">
      <c r="A1355" s="18" t="str">
        <f>Descargas!A1355</f>
        <v>1080@levitec.es</v>
      </c>
      <c r="B1355" s="19" t="str">
        <f>IFERROR(__xludf.DUMMYFUNCTION("IF(OR(regexmatch(A1355,"".*@simon.es$""),REGEXMATCH(A1355,"".*@simon.pt$""),REGEXMATCH(A1355,"".*@simonelectrica.com$""),REGEXMATCH(A1355,"".*@hiberus.com$""),REGEXMATCH(A1355,"".*@simonbrico.es$""),regexmatch(A1355,"".*@simonelectric.com$"")),""null"",A1"&amp;"355)"),"1080@levitec.es")</f>
        <v>1080@levitec.es</v>
      </c>
      <c r="C1355" s="5">
        <f>IF(B1355="null","null",Descargas!B1355)</f>
        <v>43952</v>
      </c>
      <c r="D1355" s="6" t="str">
        <f>Descargas!E1355</f>
        <v>https://resources.simonelectric.com/simon-catalogo-vehiculo-electrico</v>
      </c>
      <c r="E1355" s="20" t="str">
        <f t="shared" si="1"/>
        <v>1080@levitec.es</v>
      </c>
      <c r="F1355" s="21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</row>
    <row r="1356" ht="15.75" customHeight="1">
      <c r="A1356" s="18" t="str">
        <f>Descargas!A1356</f>
        <v>1081@teideingenieros.com</v>
      </c>
      <c r="B1356" s="19" t="str">
        <f>IFERROR(__xludf.DUMMYFUNCTION("IF(OR(regexmatch(A1356,"".*@simon.es$""),REGEXMATCH(A1356,"".*@simon.pt$""),REGEXMATCH(A1356,"".*@simonelectrica.com$""),REGEXMATCH(A1356,"".*@hiberus.com$""),REGEXMATCH(A1356,"".*@simonbrico.es$""),regexmatch(A1356,"".*@simonelectric.com$"")),""null"",A1"&amp;"356)"),"1081@teideingenieros.com")</f>
        <v>1081@teideingenieros.com</v>
      </c>
      <c r="C1356" s="5">
        <f>IF(B1356="null","null",Descargas!B1356)</f>
        <v>43952</v>
      </c>
      <c r="D1356" s="6" t="str">
        <f>Descargas!E1356</f>
        <v>https://resources.simonelectric.com/simon-catalogo-vehiculo-electrico</v>
      </c>
      <c r="E1356" s="20" t="str">
        <f t="shared" si="1"/>
        <v>1081@teideingenieros.com</v>
      </c>
      <c r="F1356" s="21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</row>
    <row r="1357" ht="15.75" customHeight="1">
      <c r="A1357" s="18" t="str">
        <f>Descargas!A1357</f>
        <v>1082@gmail.com</v>
      </c>
      <c r="B1357" s="19" t="str">
        <f>IFERROR(__xludf.DUMMYFUNCTION("IF(OR(regexmatch(A1357,"".*@simon.es$""),REGEXMATCH(A1357,"".*@simon.pt$""),REGEXMATCH(A1357,"".*@simonelectrica.com$""),REGEXMATCH(A1357,"".*@hiberus.com$""),REGEXMATCH(A1357,"".*@simonbrico.es$""),regexmatch(A1357,"".*@simonelectric.com$"")),""null"",A1"&amp;"357)"),"1082@gmail.com")</f>
        <v>1082@gmail.com</v>
      </c>
      <c r="C1357" s="5">
        <f>IF(B1357="null","null",Descargas!B1357)</f>
        <v>43952</v>
      </c>
      <c r="D1357" s="6" t="str">
        <f>Descargas!E1357</f>
        <v>https://resources.simonelectric.com/simon-ebook-vehiculo-electrico</v>
      </c>
      <c r="E1357" s="20" t="str">
        <f t="shared" si="1"/>
        <v>1082@gmail.com</v>
      </c>
      <c r="F1357" s="21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</row>
    <row r="1358" ht="15.75" customHeight="1">
      <c r="A1358" s="18" t="str">
        <f>Descargas!A1358</f>
        <v>1083@hotmail.com</v>
      </c>
      <c r="B1358" s="19" t="str">
        <f>IFERROR(__xludf.DUMMYFUNCTION("IF(OR(regexmatch(A1358,"".*@simon.es$""),REGEXMATCH(A1358,"".*@simon.pt$""),REGEXMATCH(A1358,"".*@simonelectrica.com$""),REGEXMATCH(A1358,"".*@hiberus.com$""),REGEXMATCH(A1358,"".*@simonbrico.es$""),regexmatch(A1358,"".*@simonelectric.com$"")),""null"",A1"&amp;"358)"),"1083@hotmail.com")</f>
        <v>1083@hotmail.com</v>
      </c>
      <c r="C1358" s="5">
        <f>IF(B1358="null","null",Descargas!B1358)</f>
        <v>43952</v>
      </c>
      <c r="D1358" s="6" t="str">
        <f>Descargas!E1358</f>
        <v>https://resources.simonelectric.com/simon-ebook-vehiculo-electrico-0</v>
      </c>
      <c r="E1358" s="20" t="str">
        <f t="shared" si="1"/>
        <v>1083@hotmail.com</v>
      </c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</row>
    <row r="1359" ht="15.75" customHeight="1">
      <c r="A1359" s="18" t="str">
        <f>Descargas!A1359</f>
        <v>824@gmail.com</v>
      </c>
      <c r="B1359" s="19" t="str">
        <f>IFERROR(__xludf.DUMMYFUNCTION("IF(OR(regexmatch(A1359,"".*@simon.es$""),REGEXMATCH(A1359,"".*@simon.pt$""),REGEXMATCH(A1359,"".*@simonelectrica.com$""),REGEXMATCH(A1359,"".*@hiberus.com$""),REGEXMATCH(A1359,"".*@simonbrico.es$""),regexmatch(A1359,"".*@simonelectric.com$"")),""null"",A1"&amp;"359)"),"824@gmail.com")</f>
        <v>824@gmail.com</v>
      </c>
      <c r="C1359" s="5">
        <f>IF(B1359="null","null",Descargas!B1359)</f>
        <v>43952</v>
      </c>
      <c r="D1359" s="6" t="str">
        <f>Descargas!E1359</f>
        <v>https://resources.simonelectric.com/simon-catalogo-vehiculo-electrico</v>
      </c>
      <c r="E1359" s="20" t="str">
        <f t="shared" si="1"/>
        <v>824@gmail.com</v>
      </c>
      <c r="F1359" s="21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</row>
    <row r="1360" ht="15.75" customHeight="1">
      <c r="A1360" s="18" t="str">
        <f>Descargas!A1360</f>
        <v>1084@gmail.com</v>
      </c>
      <c r="B1360" s="19" t="str">
        <f>IFERROR(__xludf.DUMMYFUNCTION("IF(OR(regexmatch(A1360,"".*@simon.es$""),REGEXMATCH(A1360,"".*@simon.pt$""),REGEXMATCH(A1360,"".*@simonelectrica.com$""),REGEXMATCH(A1360,"".*@hiberus.com$""),REGEXMATCH(A1360,"".*@simonbrico.es$""),regexmatch(A1360,"".*@simonelectric.com$"")),""null"",A1"&amp;"360)"),"1084@gmail.com")</f>
        <v>1084@gmail.com</v>
      </c>
      <c r="C1360" s="5">
        <f>IF(B1360="null","null",Descargas!B1360)</f>
        <v>43951</v>
      </c>
      <c r="D1360" s="6" t="str">
        <f>Descargas!E1360</f>
        <v>https://resources.simonelectric.com/simon-ebook-vehiculo-electrico-ppc</v>
      </c>
      <c r="E1360" s="20" t="str">
        <f t="shared" si="1"/>
        <v>1084@gmail.com</v>
      </c>
      <c r="F1360" s="21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</row>
    <row r="1361" ht="15.75" customHeight="1">
      <c r="A1361" s="18" t="str">
        <f>Descargas!A1361</f>
        <v>1085@gmail.com</v>
      </c>
      <c r="B1361" s="19" t="str">
        <f>IFERROR(__xludf.DUMMYFUNCTION("IF(OR(regexmatch(A1361,"".*@simon.es$""),REGEXMATCH(A1361,"".*@simon.pt$""),REGEXMATCH(A1361,"".*@simonelectrica.com$""),REGEXMATCH(A1361,"".*@hiberus.com$""),REGEXMATCH(A1361,"".*@simonbrico.es$""),regexmatch(A1361,"".*@simonelectric.com$"")),""null"",A1"&amp;"361)"),"1085@gmail.com")</f>
        <v>1085@gmail.com</v>
      </c>
      <c r="C1361" s="5">
        <f>IF(B1361="null","null",Descargas!B1361)</f>
        <v>43951</v>
      </c>
      <c r="D1361" s="6" t="str">
        <f>Descargas!E1361</f>
        <v>https://resources.simonelectric.com/simon-catalogo-vehiculo-electrico</v>
      </c>
      <c r="E1361" s="20" t="str">
        <f t="shared" si="1"/>
        <v>1085@gmail.com</v>
      </c>
      <c r="F1361" s="21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</row>
    <row r="1362" ht="15.75" customHeight="1">
      <c r="A1362" s="18" t="str">
        <f>Descargas!A1362</f>
        <v>1086@gmail.com</v>
      </c>
      <c r="B1362" s="19" t="str">
        <f>IFERROR(__xludf.DUMMYFUNCTION("IF(OR(regexmatch(A1362,"".*@simon.es$""),REGEXMATCH(A1362,"".*@simon.pt$""),REGEXMATCH(A1362,"".*@simonelectrica.com$""),REGEXMATCH(A1362,"".*@hiberus.com$""),REGEXMATCH(A1362,"".*@simonbrico.es$""),regexmatch(A1362,"".*@simonelectric.com$"")),""null"",A1"&amp;"362)"),"1086@gmail.com")</f>
        <v>1086@gmail.com</v>
      </c>
      <c r="C1362" s="5">
        <f>IF(B1362="null","null",Descargas!B1362)</f>
        <v>43951</v>
      </c>
      <c r="D1362" s="6" t="str">
        <f>Descargas!E1362</f>
        <v>https://resources.simonelectric.com/simon-catalogo-vehiculo-electrico</v>
      </c>
      <c r="E1362" s="20" t="str">
        <f t="shared" si="1"/>
        <v>1086@gmail.com</v>
      </c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</row>
    <row r="1363" ht="15.75" customHeight="1">
      <c r="A1363" s="18" t="str">
        <f>Descargas!A1363</f>
        <v>1087@hotmail.com</v>
      </c>
      <c r="B1363" s="19" t="str">
        <f>IFERROR(__xludf.DUMMYFUNCTION("IF(OR(regexmatch(A1363,"".*@simon.es$""),REGEXMATCH(A1363,"".*@simon.pt$""),REGEXMATCH(A1363,"".*@simonelectrica.com$""),REGEXMATCH(A1363,"".*@hiberus.com$""),REGEXMATCH(A1363,"".*@simonbrico.es$""),regexmatch(A1363,"".*@simonelectric.com$"")),""null"",A1"&amp;"363)"),"1087@hotmail.com")</f>
        <v>1087@hotmail.com</v>
      </c>
      <c r="C1363" s="5">
        <f>IF(B1363="null","null",Descargas!B1363)</f>
        <v>43951</v>
      </c>
      <c r="D1363" s="6" t="str">
        <f>Descargas!E1363</f>
        <v>https://resources.simonelectric.com/simon-catalogo-vehiculo-electrico</v>
      </c>
      <c r="E1363" s="20" t="str">
        <f t="shared" si="1"/>
        <v>1087@hotmail.com</v>
      </c>
      <c r="F1363" s="21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</row>
    <row r="1364" ht="15.75" customHeight="1">
      <c r="A1364" s="18" t="str">
        <f>Descargas!A1364</f>
        <v>1088@citemaing.com</v>
      </c>
      <c r="B1364" s="19" t="str">
        <f>IFERROR(__xludf.DUMMYFUNCTION("IF(OR(regexmatch(A1364,"".*@simon.es$""),REGEXMATCH(A1364,"".*@simon.pt$""),REGEXMATCH(A1364,"".*@simonelectrica.com$""),REGEXMATCH(A1364,"".*@hiberus.com$""),REGEXMATCH(A1364,"".*@simonbrico.es$""),regexmatch(A1364,"".*@simonelectric.com$"")),""null"",A1"&amp;"364)"),"1088@citemaing.com")</f>
        <v>1088@citemaing.com</v>
      </c>
      <c r="C1364" s="5">
        <f>IF(B1364="null","null",Descargas!B1364)</f>
        <v>43951</v>
      </c>
      <c r="D1364" s="6" t="str">
        <f>Descargas!E1364</f>
        <v>https://resources.simonelectric.com/simon-catalogo-vehiculo-electrico</v>
      </c>
      <c r="E1364" s="20" t="str">
        <f t="shared" si="1"/>
        <v>1088@citemaing.com</v>
      </c>
      <c r="F1364" s="21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</row>
    <row r="1365" ht="15.75" customHeight="1">
      <c r="A1365" s="18" t="str">
        <f>Descargas!A1365</f>
        <v>1088@citemaing.com</v>
      </c>
      <c r="B1365" s="19" t="str">
        <f>IFERROR(__xludf.DUMMYFUNCTION("IF(OR(regexmatch(A1365,"".*@simon.es$""),REGEXMATCH(A1365,"".*@simon.pt$""),REGEXMATCH(A1365,"".*@simonelectrica.com$""),REGEXMATCH(A1365,"".*@hiberus.com$""),REGEXMATCH(A1365,"".*@simonbrico.es$""),regexmatch(A1365,"".*@simonelectric.com$"")),""null"",A1"&amp;"365)"),"1088@citemaing.com")</f>
        <v>1088@citemaing.com</v>
      </c>
      <c r="C1365" s="5">
        <f>IF(B1365="null","null",Descargas!B1365)</f>
        <v>43951</v>
      </c>
      <c r="D1365" s="6" t="str">
        <f>Descargas!E1365</f>
        <v>https://resources.simonelectric.com/simon-catalogo-vehiculo-electrico</v>
      </c>
      <c r="E1365" s="20" t="str">
        <f t="shared" si="1"/>
        <v>1088@citemaing.com</v>
      </c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</row>
    <row r="1366" ht="15.75" customHeight="1">
      <c r="A1366" s="18" t="str">
        <f>Descargas!A1366</f>
        <v>1089@gmail.com</v>
      </c>
      <c r="B1366" s="19" t="str">
        <f>IFERROR(__xludf.DUMMYFUNCTION("IF(OR(regexmatch(A1366,"".*@simon.es$""),REGEXMATCH(A1366,"".*@simon.pt$""),REGEXMATCH(A1366,"".*@simonelectrica.com$""),REGEXMATCH(A1366,"".*@hiberus.com$""),REGEXMATCH(A1366,"".*@simonbrico.es$""),regexmatch(A1366,"".*@simonelectric.com$"")),""null"",A1"&amp;"366)"),"1089@gmail.com")</f>
        <v>1089@gmail.com</v>
      </c>
      <c r="C1366" s="5">
        <f>IF(B1366="null","null",Descargas!B1366)</f>
        <v>43951</v>
      </c>
      <c r="D1366" s="6" t="str">
        <f>Descargas!E1366</f>
        <v>https://resources.simonelectric.com/simon-catalogo-vehiculo-electrico</v>
      </c>
      <c r="E1366" s="20" t="str">
        <f t="shared" si="1"/>
        <v>1089@gmail.com</v>
      </c>
      <c r="F1366" s="21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</row>
    <row r="1367" ht="15.75" customHeight="1">
      <c r="A1367" s="18" t="str">
        <f>Descargas!A1367</f>
        <v>1090@hotmail.com</v>
      </c>
      <c r="B1367" s="19" t="str">
        <f>IFERROR(__xludf.DUMMYFUNCTION("IF(OR(regexmatch(A1367,"".*@simon.es$""),REGEXMATCH(A1367,"".*@simon.pt$""),REGEXMATCH(A1367,"".*@simonelectrica.com$""),REGEXMATCH(A1367,"".*@hiberus.com$""),REGEXMATCH(A1367,"".*@simonbrico.es$""),regexmatch(A1367,"".*@simonelectric.com$"")),""null"",A1"&amp;"367)"),"1090@hotmail.com")</f>
        <v>1090@hotmail.com</v>
      </c>
      <c r="C1367" s="5">
        <f>IF(B1367="null","null",Descargas!B1367)</f>
        <v>43951</v>
      </c>
      <c r="D1367" s="6" t="str">
        <f>Descargas!E1367</f>
        <v>https://resources.simonelectric.com/simon-ebook-vehiculo-electrico-ppc</v>
      </c>
      <c r="E1367" s="20" t="str">
        <f t="shared" si="1"/>
        <v>1090@hotmail.com</v>
      </c>
      <c r="F1367" s="21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</row>
    <row r="1368" ht="15.75" customHeight="1">
      <c r="A1368" s="18" t="str">
        <f>Descargas!A1368</f>
        <v>1091@simon.es</v>
      </c>
      <c r="B1368" s="19" t="str">
        <f>IFERROR(__xludf.DUMMYFUNCTION("IF(OR(regexmatch(A1368,"".*@simon.es$""),REGEXMATCH(A1368,"".*@simon.pt$""),REGEXMATCH(A1368,"".*@simonelectrica.com$""),REGEXMATCH(A1368,"".*@hiberus.com$""),REGEXMATCH(A1368,"".*@simonbrico.es$""),regexmatch(A1368,"".*@simonelectric.com$"")),""null"",A1"&amp;"368)"),"null")</f>
        <v>null</v>
      </c>
      <c r="C1368" s="5" t="str">
        <f>IF(B1368="null","null",Descargas!B1368)</f>
        <v>null</v>
      </c>
      <c r="D1368" s="6" t="str">
        <f>Descargas!E1368</f>
        <v>https://resources.simonelectric.com/simon-ebook-vehiculo-electrico</v>
      </c>
      <c r="E1368" s="24" t="str">
        <f t="shared" si="1"/>
        <v/>
      </c>
      <c r="F1368" s="21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</row>
    <row r="1369" ht="15.75" customHeight="1">
      <c r="A1369" s="18" t="str">
        <f>Descargas!A1369</f>
        <v>1091@simon.es</v>
      </c>
      <c r="B1369" s="19" t="str">
        <f>IFERROR(__xludf.DUMMYFUNCTION("IF(OR(regexmatch(A1369,"".*@simon.es$""),REGEXMATCH(A1369,"".*@simon.pt$""),REGEXMATCH(A1369,"".*@simonelectrica.com$""),REGEXMATCH(A1369,"".*@hiberus.com$""),REGEXMATCH(A1369,"".*@simonbrico.es$""),regexmatch(A1369,"".*@simonelectric.com$"")),""null"",A1"&amp;"369)"),"null")</f>
        <v>null</v>
      </c>
      <c r="C1369" s="5" t="str">
        <f>IF(B1369="null","null",Descargas!B1369)</f>
        <v>null</v>
      </c>
      <c r="D1369" s="6" t="str">
        <f>Descargas!E1369</f>
        <v>https://resources.simonelectric.com/simon-catalogo-vehiculo-electrico</v>
      </c>
      <c r="E1369" s="24" t="str">
        <f t="shared" si="1"/>
        <v/>
      </c>
      <c r="F1369" s="21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</row>
    <row r="1370" ht="15.75" customHeight="1">
      <c r="A1370" s="18" t="str">
        <f>Descargas!A1370</f>
        <v>1092@cipfpcanastell.com</v>
      </c>
      <c r="B1370" s="19" t="str">
        <f>IFERROR(__xludf.DUMMYFUNCTION("IF(OR(regexmatch(A1370,"".*@simon.es$""),REGEXMATCH(A1370,"".*@simon.pt$""),REGEXMATCH(A1370,"".*@simonelectrica.com$""),REGEXMATCH(A1370,"".*@hiberus.com$""),REGEXMATCH(A1370,"".*@simonbrico.es$""),regexmatch(A1370,"".*@simonelectric.com$"")),""null"",A1"&amp;"370)"),"1092@cipfpcanastell.com")</f>
        <v>1092@cipfpcanastell.com</v>
      </c>
      <c r="C1370" s="5">
        <f>IF(B1370="null","null",Descargas!B1370)</f>
        <v>43951</v>
      </c>
      <c r="D1370" s="6" t="str">
        <f>Descargas!E1370</f>
        <v>https://resources.simonelectric.com/simon-catalogo-vehiculo-electrico</v>
      </c>
      <c r="E1370" s="20" t="str">
        <f t="shared" si="1"/>
        <v>1092@cipfpcanastell.com</v>
      </c>
      <c r="F1370" s="21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</row>
    <row r="1371" ht="15.75" customHeight="1">
      <c r="A1371" s="18" t="str">
        <f>Descargas!A1371</f>
        <v>1093@edu.xunta.es</v>
      </c>
      <c r="B1371" s="19" t="str">
        <f>IFERROR(__xludf.DUMMYFUNCTION("IF(OR(regexmatch(A1371,"".*@simon.es$""),REGEXMATCH(A1371,"".*@simon.pt$""),REGEXMATCH(A1371,"".*@simonelectrica.com$""),REGEXMATCH(A1371,"".*@hiberus.com$""),REGEXMATCH(A1371,"".*@simonbrico.es$""),regexmatch(A1371,"".*@simonelectric.com$"")),""null"",A1"&amp;"371)"),"1093@edu.xunta.es")</f>
        <v>1093@edu.xunta.es</v>
      </c>
      <c r="C1371" s="5">
        <f>IF(B1371="null","null",Descargas!B1371)</f>
        <v>43951</v>
      </c>
      <c r="D1371" s="6" t="str">
        <f>Descargas!E1371</f>
        <v>https://resources.simonelectric.com/simon-catalogo-vehiculo-electrico</v>
      </c>
      <c r="E1371" s="20" t="str">
        <f t="shared" si="1"/>
        <v>1093@edu.xunta.es</v>
      </c>
      <c r="F1371" s="21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</row>
    <row r="1372" ht="15.75" customHeight="1">
      <c r="A1372" s="18" t="str">
        <f>Descargas!A1372</f>
        <v>1094@hotmail.com</v>
      </c>
      <c r="B1372" s="19" t="str">
        <f>IFERROR(__xludf.DUMMYFUNCTION("IF(OR(regexmatch(A1372,"".*@simon.es$""),REGEXMATCH(A1372,"".*@simon.pt$""),REGEXMATCH(A1372,"".*@simonelectrica.com$""),REGEXMATCH(A1372,"".*@hiberus.com$""),REGEXMATCH(A1372,"".*@simonbrico.es$""),regexmatch(A1372,"".*@simonelectric.com$"")),""null"",A1"&amp;"372)"),"1094@hotmail.com")</f>
        <v>1094@hotmail.com</v>
      </c>
      <c r="C1372" s="5">
        <f>IF(B1372="null","null",Descargas!B1372)</f>
        <v>43951</v>
      </c>
      <c r="D1372" s="6" t="str">
        <f>Descargas!E1372</f>
        <v>https://resources.simonelectric.com/simon-ebook-vehiculo-electrico</v>
      </c>
      <c r="E1372" s="20" t="str">
        <f t="shared" si="1"/>
        <v>1094@hotmail.com</v>
      </c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</row>
    <row r="1373" ht="15.75" customHeight="1">
      <c r="A1373" s="18" t="str">
        <f>Descargas!A1373</f>
        <v>1095@gmail.com</v>
      </c>
      <c r="B1373" s="19" t="str">
        <f>IFERROR(__xludf.DUMMYFUNCTION("IF(OR(regexmatch(A1373,"".*@simon.es$""),REGEXMATCH(A1373,"".*@simon.pt$""),REGEXMATCH(A1373,"".*@simonelectrica.com$""),REGEXMATCH(A1373,"".*@hiberus.com$""),REGEXMATCH(A1373,"".*@simonbrico.es$""),regexmatch(A1373,"".*@simonelectric.com$"")),""null"",A1"&amp;"373)"),"1095@gmail.com")</f>
        <v>1095@gmail.com</v>
      </c>
      <c r="C1373" s="5">
        <f>IF(B1373="null","null",Descargas!B1373)</f>
        <v>43951</v>
      </c>
      <c r="D1373" s="6" t="str">
        <f>Descargas!E1373</f>
        <v>https://resources.simonelectric.com/simon-catalogo-vehiculo-electrico</v>
      </c>
      <c r="E1373" s="20" t="str">
        <f t="shared" si="1"/>
        <v>1095@gmail.com</v>
      </c>
      <c r="F1373" s="21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</row>
    <row r="1374" ht="15.75" customHeight="1">
      <c r="A1374" s="18" t="str">
        <f>Descargas!A1374</f>
        <v>1096@mpf-ingenieria.es</v>
      </c>
      <c r="B1374" s="19" t="str">
        <f>IFERROR(__xludf.DUMMYFUNCTION("IF(OR(regexmatch(A1374,"".*@simon.es$""),REGEXMATCH(A1374,"".*@simon.pt$""),REGEXMATCH(A1374,"".*@simonelectrica.com$""),REGEXMATCH(A1374,"".*@hiberus.com$""),REGEXMATCH(A1374,"".*@simonbrico.es$""),regexmatch(A1374,"".*@simonelectric.com$"")),""null"",A1"&amp;"374)"),"1096@mpf-ingenieria.es")</f>
        <v>1096@mpf-ingenieria.es</v>
      </c>
      <c r="C1374" s="5">
        <f>IF(B1374="null","null",Descargas!B1374)</f>
        <v>43951</v>
      </c>
      <c r="D1374" s="6" t="str">
        <f>Descargas!E1374</f>
        <v>https://resources.simonelectric.com/simon-catalogo-vehiculo-electrico</v>
      </c>
      <c r="E1374" s="20" t="str">
        <f t="shared" si="1"/>
        <v>1096@mpf-ingenieria.es</v>
      </c>
      <c r="F1374" s="21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</row>
    <row r="1375" ht="15.75" customHeight="1">
      <c r="A1375" s="18" t="str">
        <f>Descargas!A1375</f>
        <v>1097@santaeulalia.cat</v>
      </c>
      <c r="B1375" s="19" t="str">
        <f>IFERROR(__xludf.DUMMYFUNCTION("IF(OR(regexmatch(A1375,"".*@simon.es$""),REGEXMATCH(A1375,"".*@simon.pt$""),REGEXMATCH(A1375,"".*@simonelectrica.com$""),REGEXMATCH(A1375,"".*@hiberus.com$""),REGEXMATCH(A1375,"".*@simonbrico.es$""),regexmatch(A1375,"".*@simonelectric.com$"")),""null"",A1"&amp;"375)"),"1097@santaeulalia.cat")</f>
        <v>1097@santaeulalia.cat</v>
      </c>
      <c r="C1375" s="5">
        <f>IF(B1375="null","null",Descargas!B1375)</f>
        <v>43951</v>
      </c>
      <c r="D1375" s="6" t="str">
        <f>Descargas!E1375</f>
        <v>https://resources.simonelectric.com/simon-catalogo-vehiculo-electrico</v>
      </c>
      <c r="E1375" s="20" t="str">
        <f t="shared" si="1"/>
        <v>1097@santaeulalia.cat</v>
      </c>
      <c r="F1375" s="21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</row>
    <row r="1376" ht="15.75" customHeight="1">
      <c r="A1376" s="18" t="str">
        <f>Descargas!A1376</f>
        <v>984@gmail.com</v>
      </c>
      <c r="B1376" s="19" t="str">
        <f>IFERROR(__xludf.DUMMYFUNCTION("IF(OR(regexmatch(A1376,"".*@simon.es$""),REGEXMATCH(A1376,"".*@simon.pt$""),REGEXMATCH(A1376,"".*@simonelectrica.com$""),REGEXMATCH(A1376,"".*@hiberus.com$""),REGEXMATCH(A1376,"".*@simonbrico.es$""),regexmatch(A1376,"".*@simonelectric.com$"")),""null"",A1"&amp;"376)"),"984@gmail.com")</f>
        <v>984@gmail.com</v>
      </c>
      <c r="C1376" s="5">
        <f>IF(B1376="null","null",Descargas!B1376)</f>
        <v>43951</v>
      </c>
      <c r="D1376" s="6" t="str">
        <f>Descargas!E1376</f>
        <v>https://resources.simonelectric.com/simon-catalogo-vehiculo-electrico</v>
      </c>
      <c r="E1376" s="20" t="str">
        <f t="shared" si="1"/>
        <v>984@gmail.com</v>
      </c>
      <c r="F1376" s="21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</row>
    <row r="1377" ht="15.75" customHeight="1">
      <c r="A1377" s="18" t="str">
        <f>Descargas!A1377</f>
        <v>1098@simonelectrica.com</v>
      </c>
      <c r="B1377" s="19" t="str">
        <f>IFERROR(__xludf.DUMMYFUNCTION("IF(OR(regexmatch(A1377,"".*@simon.es$""),REGEXMATCH(A1377,"".*@simon.pt$""),REGEXMATCH(A1377,"".*@simonelectrica.com$""),REGEXMATCH(A1377,"".*@hiberus.com$""),REGEXMATCH(A1377,"".*@simonbrico.es$""),regexmatch(A1377,"".*@simonelectric.com$"")),""null"",A1"&amp;"377)"),"null")</f>
        <v>null</v>
      </c>
      <c r="C1377" s="5" t="str">
        <f>IF(B1377="null","null",Descargas!B1377)</f>
        <v>null</v>
      </c>
      <c r="D1377" s="6" t="str">
        <f>Descargas!E1377</f>
        <v>https://resources.simonelectric.com/simon-catalogo-vehiculo-electrico</v>
      </c>
      <c r="E1377" s="24" t="str">
        <f t="shared" si="1"/>
        <v/>
      </c>
      <c r="F1377" s="21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</row>
    <row r="1378" ht="15.75" customHeight="1">
      <c r="A1378" s="18" t="str">
        <f>Descargas!A1378</f>
        <v>1010@simon.es</v>
      </c>
      <c r="B1378" s="19" t="str">
        <f>IFERROR(__xludf.DUMMYFUNCTION("IF(OR(regexmatch(A1378,"".*@simon.es$""),REGEXMATCH(A1378,"".*@simon.pt$""),REGEXMATCH(A1378,"".*@simonelectrica.com$""),REGEXMATCH(A1378,"".*@hiberus.com$""),REGEXMATCH(A1378,"".*@simonbrico.es$""),regexmatch(A1378,"".*@simonelectric.com$"")),""null"",A1"&amp;"378)"),"null")</f>
        <v>null</v>
      </c>
      <c r="C1378" s="5" t="str">
        <f>IF(B1378="null","null",Descargas!B1378)</f>
        <v>null</v>
      </c>
      <c r="D1378" s="6" t="str">
        <f>Descargas!E1378</f>
        <v>https://resources.simonelectric.com/simon-catalogo-vehiculo-electrico</v>
      </c>
      <c r="E1378" s="24" t="str">
        <f t="shared" si="1"/>
        <v/>
      </c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</row>
    <row r="1379" ht="15.75" customHeight="1">
      <c r="A1379" s="18" t="str">
        <f>Descargas!A1379</f>
        <v>1099@hotmail.com</v>
      </c>
      <c r="B1379" s="19" t="str">
        <f>IFERROR(__xludf.DUMMYFUNCTION("IF(OR(regexmatch(A1379,"".*@simon.es$""),REGEXMATCH(A1379,"".*@simon.pt$""),REGEXMATCH(A1379,"".*@simonelectrica.com$""),REGEXMATCH(A1379,"".*@hiberus.com$""),REGEXMATCH(A1379,"".*@simonbrico.es$""),regexmatch(A1379,"".*@simonelectric.com$"")),""null"",A1"&amp;"379)"),"1099@hotmail.com")</f>
        <v>1099@hotmail.com</v>
      </c>
      <c r="C1379" s="5">
        <f>IF(B1379="null","null",Descargas!B1379)</f>
        <v>43951</v>
      </c>
      <c r="D1379" s="6" t="str">
        <f>Descargas!E1379</f>
        <v>https://resources.simonelectric.com/simon-catalogo-vehiculo-electrico</v>
      </c>
      <c r="E1379" s="20" t="str">
        <f t="shared" si="1"/>
        <v>1099@hotmail.com</v>
      </c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</row>
    <row r="1380" ht="15.75" customHeight="1">
      <c r="A1380" s="18" t="str">
        <f>Descargas!A1380</f>
        <v>1100@boffor.com</v>
      </c>
      <c r="B1380" s="19" t="str">
        <f>IFERROR(__xludf.DUMMYFUNCTION("IF(OR(regexmatch(A1380,"".*@simon.es$""),REGEXMATCH(A1380,"".*@simon.pt$""),REGEXMATCH(A1380,"".*@simonelectrica.com$""),REGEXMATCH(A1380,"".*@hiberus.com$""),REGEXMATCH(A1380,"".*@simonbrico.es$""),regexmatch(A1380,"".*@simonelectric.com$"")),""null"",A1"&amp;"380)"),"1100@boffor.com")</f>
        <v>1100@boffor.com</v>
      </c>
      <c r="C1380" s="5">
        <f>IF(B1380="null","null",Descargas!B1380)</f>
        <v>43951</v>
      </c>
      <c r="D1380" s="6" t="str">
        <f>Descargas!E1380</f>
        <v>https://resources.simonelectric.com/simon-catalogo-vehiculo-electrico</v>
      </c>
      <c r="E1380" s="20" t="str">
        <f t="shared" si="1"/>
        <v>1100@boffor.com</v>
      </c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</row>
    <row r="1381" ht="15.75" customHeight="1">
      <c r="A1381" s="18" t="str">
        <f>Descargas!A1381</f>
        <v>1101@hotmail.com</v>
      </c>
      <c r="B1381" s="19" t="str">
        <f>IFERROR(__xludf.DUMMYFUNCTION("IF(OR(regexmatch(A1381,"".*@simon.es$""),REGEXMATCH(A1381,"".*@simon.pt$""),REGEXMATCH(A1381,"".*@simonelectrica.com$""),REGEXMATCH(A1381,"".*@hiberus.com$""),REGEXMATCH(A1381,"".*@simonbrico.es$""),regexmatch(A1381,"".*@simonelectric.com$"")),""null"",A1"&amp;"381)"),"1101@hotmail.com")</f>
        <v>1101@hotmail.com</v>
      </c>
      <c r="C1381" s="5">
        <f>IF(B1381="null","null",Descargas!B1381)</f>
        <v>43951</v>
      </c>
      <c r="D1381" s="6" t="str">
        <f>Descargas!E1381</f>
        <v>https://resources.simonelectric.com/simon-catalogo-vehiculo-electrico</v>
      </c>
      <c r="E1381" s="20" t="str">
        <f t="shared" si="1"/>
        <v>1101@hotmail.com</v>
      </c>
      <c r="F1381" s="21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</row>
    <row r="1382" ht="15.75" customHeight="1">
      <c r="A1382" s="18" t="str">
        <f>Descargas!A1382</f>
        <v>1102@gmail.com</v>
      </c>
      <c r="B1382" s="19" t="str">
        <f>IFERROR(__xludf.DUMMYFUNCTION("IF(OR(regexmatch(A1382,"".*@simon.es$""),REGEXMATCH(A1382,"".*@simon.pt$""),REGEXMATCH(A1382,"".*@simonelectrica.com$""),REGEXMATCH(A1382,"".*@hiberus.com$""),REGEXMATCH(A1382,"".*@simonbrico.es$""),regexmatch(A1382,"".*@simonelectric.com$"")),""null"",A1"&amp;"382)"),"1102@gmail.com")</f>
        <v>1102@gmail.com</v>
      </c>
      <c r="C1382" s="5">
        <f>IF(B1382="null","null",Descargas!B1382)</f>
        <v>43951</v>
      </c>
      <c r="D1382" s="6" t="str">
        <f>Descargas!E1382</f>
        <v>https://resources.simonelectric.com/simon-ebook-vehiculo-electrico-0</v>
      </c>
      <c r="E1382" s="20" t="str">
        <f t="shared" si="1"/>
        <v>1102@gmail.com</v>
      </c>
      <c r="F1382" s="21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</row>
    <row r="1383" ht="15.75" customHeight="1">
      <c r="A1383" s="18" t="str">
        <f>Descargas!A1383</f>
        <v>1103@montajeselectricosfase.com</v>
      </c>
      <c r="B1383" s="19" t="str">
        <f>IFERROR(__xludf.DUMMYFUNCTION("IF(OR(regexmatch(A1383,"".*@simon.es$""),REGEXMATCH(A1383,"".*@simon.pt$""),REGEXMATCH(A1383,"".*@simonelectrica.com$""),REGEXMATCH(A1383,"".*@hiberus.com$""),REGEXMATCH(A1383,"".*@simonbrico.es$""),regexmatch(A1383,"".*@simonelectric.com$"")),""null"",A1"&amp;"383)"),"1103@montajeselectricosfase.com")</f>
        <v>1103@montajeselectricosfase.com</v>
      </c>
      <c r="C1383" s="5">
        <f>IF(B1383="null","null",Descargas!B1383)</f>
        <v>43951</v>
      </c>
      <c r="D1383" s="6" t="str">
        <f>Descargas!E1383</f>
        <v>https://resources.simonelectric.com/simon-catalogo-vehiculo-electrico</v>
      </c>
      <c r="E1383" s="20" t="str">
        <f t="shared" si="1"/>
        <v>1103@montajeselectricosfase.com</v>
      </c>
      <c r="F1383" s="21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</row>
    <row r="1384" ht="15.75" customHeight="1">
      <c r="A1384" s="18" t="str">
        <f>Descargas!A1384</f>
        <v>1104@gmail.com</v>
      </c>
      <c r="B1384" s="19" t="str">
        <f>IFERROR(__xludf.DUMMYFUNCTION("IF(OR(regexmatch(A1384,"".*@simon.es$""),REGEXMATCH(A1384,"".*@simon.pt$""),REGEXMATCH(A1384,"".*@simonelectrica.com$""),REGEXMATCH(A1384,"".*@hiberus.com$""),REGEXMATCH(A1384,"".*@simonbrico.es$""),regexmatch(A1384,"".*@simonelectric.com$"")),""null"",A1"&amp;"384)"),"1104@gmail.com")</f>
        <v>1104@gmail.com</v>
      </c>
      <c r="C1384" s="5">
        <f>IF(B1384="null","null",Descargas!B1384)</f>
        <v>43951</v>
      </c>
      <c r="D1384" s="6" t="str">
        <f>Descargas!E1384</f>
        <v>https://resources.simonelectric.com/simon-catalogo-vehiculo-electrico</v>
      </c>
      <c r="E1384" s="20" t="str">
        <f t="shared" si="1"/>
        <v>1104@gmail.com</v>
      </c>
      <c r="F1384" s="21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</row>
    <row r="1385" ht="15.75" customHeight="1">
      <c r="A1385" s="18" t="str">
        <f>Descargas!A1385</f>
        <v>1105@gmail.com</v>
      </c>
      <c r="B1385" s="19" t="str">
        <f>IFERROR(__xludf.DUMMYFUNCTION("IF(OR(regexmatch(A1385,"".*@simon.es$""),REGEXMATCH(A1385,"".*@simon.pt$""),REGEXMATCH(A1385,"".*@simonelectrica.com$""),REGEXMATCH(A1385,"".*@hiberus.com$""),REGEXMATCH(A1385,"".*@simonbrico.es$""),regexmatch(A1385,"".*@simonelectric.com$"")),""null"",A1"&amp;"385)"),"1105@gmail.com")</f>
        <v>1105@gmail.com</v>
      </c>
      <c r="C1385" s="5">
        <f>IF(B1385="null","null",Descargas!B1385)</f>
        <v>43951</v>
      </c>
      <c r="D1385" s="6" t="str">
        <f>Descargas!E1385</f>
        <v>https://resources.simonelectric.com/simon-catalogo-vehiculo-electrico</v>
      </c>
      <c r="E1385" s="20" t="str">
        <f t="shared" si="1"/>
        <v>1105@gmail.com</v>
      </c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</row>
    <row r="1386" ht="15.75" customHeight="1">
      <c r="A1386" s="18" t="str">
        <f>Descargas!A1386</f>
        <v>1106@gruponoria.com</v>
      </c>
      <c r="B1386" s="19" t="str">
        <f>IFERROR(__xludf.DUMMYFUNCTION("IF(OR(regexmatch(A1386,"".*@simon.es$""),REGEXMATCH(A1386,"".*@simon.pt$""),REGEXMATCH(A1386,"".*@simonelectrica.com$""),REGEXMATCH(A1386,"".*@hiberus.com$""),REGEXMATCH(A1386,"".*@simonbrico.es$""),regexmatch(A1386,"".*@simonelectric.com$"")),""null"",A1"&amp;"386)"),"1106@gruponoria.com")</f>
        <v>1106@gruponoria.com</v>
      </c>
      <c r="C1386" s="5">
        <f>IF(B1386="null","null",Descargas!B1386)</f>
        <v>43951</v>
      </c>
      <c r="D1386" s="6" t="str">
        <f>Descargas!E1386</f>
        <v>https://resources.simonelectric.com/simon-catalogo-vehiculo-electrico</v>
      </c>
      <c r="E1386" s="20" t="str">
        <f t="shared" si="1"/>
        <v>1106@gruponoria.com</v>
      </c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</row>
    <row r="1387" ht="15.75" customHeight="1">
      <c r="A1387" s="18" t="str">
        <f>Descargas!A1387</f>
        <v>1107@ryaingenieros.com</v>
      </c>
      <c r="B1387" s="19" t="str">
        <f>IFERROR(__xludf.DUMMYFUNCTION("IF(OR(regexmatch(A1387,"".*@simon.es$""),REGEXMATCH(A1387,"".*@simon.pt$""),REGEXMATCH(A1387,"".*@simonelectrica.com$""),REGEXMATCH(A1387,"".*@hiberus.com$""),REGEXMATCH(A1387,"".*@simonbrico.es$""),regexmatch(A1387,"".*@simonelectric.com$"")),""null"",A1"&amp;"387)"),"1107@ryaingenieros.com")</f>
        <v>1107@ryaingenieros.com</v>
      </c>
      <c r="C1387" s="5">
        <f>IF(B1387="null","null",Descargas!B1387)</f>
        <v>43951</v>
      </c>
      <c r="D1387" s="6" t="str">
        <f>Descargas!E1387</f>
        <v>https://resources.simonelectric.com/simon-catalogo-vehiculo-electrico</v>
      </c>
      <c r="E1387" s="20" t="str">
        <f t="shared" si="1"/>
        <v>1107@ryaingenieros.com</v>
      </c>
      <c r="F1387" s="21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</row>
    <row r="1388" ht="15.75" customHeight="1">
      <c r="A1388" s="18" t="str">
        <f>Descargas!A1388</f>
        <v>1108@enginyerstarragona.cat</v>
      </c>
      <c r="B1388" s="19" t="str">
        <f>IFERROR(__xludf.DUMMYFUNCTION("IF(OR(regexmatch(A1388,"".*@simon.es$""),REGEXMATCH(A1388,"".*@simon.pt$""),REGEXMATCH(A1388,"".*@simonelectrica.com$""),REGEXMATCH(A1388,"".*@hiberus.com$""),REGEXMATCH(A1388,"".*@simonbrico.es$""),regexmatch(A1388,"".*@simonelectric.com$"")),""null"",A1"&amp;"388)"),"1108@enginyerstarragona.cat")</f>
        <v>1108@enginyerstarragona.cat</v>
      </c>
      <c r="C1388" s="5">
        <f>IF(B1388="null","null",Descargas!B1388)</f>
        <v>43951</v>
      </c>
      <c r="D1388" s="6" t="str">
        <f>Descargas!E1388</f>
        <v>https://resources.simonelectric.com/simon-catalogo-vehiculo-electrico</v>
      </c>
      <c r="E1388" s="20" t="str">
        <f t="shared" si="1"/>
        <v>1108@enginyerstarragona.cat</v>
      </c>
      <c r="F1388" s="21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</row>
    <row r="1389" ht="15.75" customHeight="1">
      <c r="A1389" s="18" t="str">
        <f>Descargas!A1389</f>
        <v>1109@gmail.com</v>
      </c>
      <c r="B1389" s="19" t="str">
        <f>IFERROR(__xludf.DUMMYFUNCTION("IF(OR(regexmatch(A1389,"".*@simon.es$""),REGEXMATCH(A1389,"".*@simon.pt$""),REGEXMATCH(A1389,"".*@simonelectrica.com$""),REGEXMATCH(A1389,"".*@hiberus.com$""),REGEXMATCH(A1389,"".*@simonbrico.es$""),regexmatch(A1389,"".*@simonelectric.com$"")),""null"",A1"&amp;"389)"),"1109@gmail.com")</f>
        <v>1109@gmail.com</v>
      </c>
      <c r="C1389" s="5">
        <f>IF(B1389="null","null",Descargas!B1389)</f>
        <v>43951</v>
      </c>
      <c r="D1389" s="6" t="str">
        <f>Descargas!E1389</f>
        <v>https://resources.simonelectric.com/simon-catalogo-vehiculo-electrico</v>
      </c>
      <c r="E1389" s="20" t="str">
        <f t="shared" si="1"/>
        <v>1109@gmail.com</v>
      </c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</row>
    <row r="1390" ht="15.75" customHeight="1">
      <c r="A1390" s="18" t="str">
        <f>Descargas!A1390</f>
        <v>1110@gmail.com</v>
      </c>
      <c r="B1390" s="19" t="str">
        <f>IFERROR(__xludf.DUMMYFUNCTION("IF(OR(regexmatch(A1390,"".*@simon.es$""),REGEXMATCH(A1390,"".*@simon.pt$""),REGEXMATCH(A1390,"".*@simonelectrica.com$""),REGEXMATCH(A1390,"".*@hiberus.com$""),REGEXMATCH(A1390,"".*@simonbrico.es$""),regexmatch(A1390,"".*@simonelectric.com$"")),""null"",A1"&amp;"390)"),"1110@gmail.com")</f>
        <v>1110@gmail.com</v>
      </c>
      <c r="C1390" s="5">
        <f>IF(B1390="null","null",Descargas!B1390)</f>
        <v>43951</v>
      </c>
      <c r="D1390" s="6" t="str">
        <f>Descargas!E1390</f>
        <v>https://resources.simonelectric.com/simon-ebook-vehiculo-electrico-ppc</v>
      </c>
      <c r="E1390" s="20" t="str">
        <f t="shared" si="1"/>
        <v>1110@gmail.com</v>
      </c>
      <c r="F1390" s="21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</row>
    <row r="1391" ht="15.75" customHeight="1">
      <c r="A1391" s="18" t="str">
        <f>Descargas!A1391</f>
        <v>1111@hotmail.com</v>
      </c>
      <c r="B1391" s="19" t="str">
        <f>IFERROR(__xludf.DUMMYFUNCTION("IF(OR(regexmatch(A1391,"".*@simon.es$""),REGEXMATCH(A1391,"".*@simon.pt$""),REGEXMATCH(A1391,"".*@simonelectrica.com$""),REGEXMATCH(A1391,"".*@hiberus.com$""),REGEXMATCH(A1391,"".*@simonbrico.es$""),regexmatch(A1391,"".*@simonelectric.com$"")),""null"",A1"&amp;"391)"),"1111@hotmail.com")</f>
        <v>1111@hotmail.com</v>
      </c>
      <c r="C1391" s="5">
        <f>IF(B1391="null","null",Descargas!B1391)</f>
        <v>43951</v>
      </c>
      <c r="D1391" s="6" t="str">
        <f>Descargas!E1391</f>
        <v>https://resources.simonelectric.com/simon-catalogo-vehiculo-electrico</v>
      </c>
      <c r="E1391" s="20" t="str">
        <f t="shared" si="1"/>
        <v>1111@hotmail.com</v>
      </c>
      <c r="F1391" s="21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</row>
    <row r="1392" ht="15.75" customHeight="1">
      <c r="A1392" s="18" t="str">
        <f>Descargas!A1392</f>
        <v>1112@covama.es</v>
      </c>
      <c r="B1392" s="19" t="str">
        <f>IFERROR(__xludf.DUMMYFUNCTION("IF(OR(regexmatch(A1392,"".*@simon.es$""),REGEXMATCH(A1392,"".*@simon.pt$""),REGEXMATCH(A1392,"".*@simonelectrica.com$""),REGEXMATCH(A1392,"".*@hiberus.com$""),REGEXMATCH(A1392,"".*@simonbrico.es$""),regexmatch(A1392,"".*@simonelectric.com$"")),""null"",A1"&amp;"392)"),"1112@covama.es")</f>
        <v>1112@covama.es</v>
      </c>
      <c r="C1392" s="5">
        <f>IF(B1392="null","null",Descargas!B1392)</f>
        <v>43951</v>
      </c>
      <c r="D1392" s="6" t="str">
        <f>Descargas!E1392</f>
        <v>https://resources.simonelectric.com/simon-ebook-vehiculo-electrico</v>
      </c>
      <c r="E1392" s="20" t="str">
        <f t="shared" si="1"/>
        <v>1112@covama.es</v>
      </c>
      <c r="F1392" s="21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</row>
    <row r="1393" ht="15.75" customHeight="1">
      <c r="A1393" s="18" t="str">
        <f>Descargas!A1393</f>
        <v>1113@aurialux.com</v>
      </c>
      <c r="B1393" s="19" t="str">
        <f>IFERROR(__xludf.DUMMYFUNCTION("IF(OR(regexmatch(A1393,"".*@simon.es$""),REGEXMATCH(A1393,"".*@simon.pt$""),REGEXMATCH(A1393,"".*@simonelectrica.com$""),REGEXMATCH(A1393,"".*@hiberus.com$""),REGEXMATCH(A1393,"".*@simonbrico.es$""),regexmatch(A1393,"".*@simonelectric.com$"")),""null"",A1"&amp;"393)"),"1113@aurialux.com")</f>
        <v>1113@aurialux.com</v>
      </c>
      <c r="C1393" s="5">
        <f>IF(B1393="null","null",Descargas!B1393)</f>
        <v>43951</v>
      </c>
      <c r="D1393" s="6" t="str">
        <f>Descargas!E1393</f>
        <v>https://resources.simonelectric.com/simon-catalogo-vehiculo-electrico</v>
      </c>
      <c r="E1393" s="20" t="str">
        <f t="shared" si="1"/>
        <v>1113@aurialux.com</v>
      </c>
      <c r="F1393" s="21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</row>
    <row r="1394" ht="15.75" customHeight="1">
      <c r="A1394" s="18" t="str">
        <f>Descargas!A1394</f>
        <v>1114@teclisa.com</v>
      </c>
      <c r="B1394" s="19" t="str">
        <f>IFERROR(__xludf.DUMMYFUNCTION("IF(OR(regexmatch(A1394,"".*@simon.es$""),REGEXMATCH(A1394,"".*@simon.pt$""),REGEXMATCH(A1394,"".*@simonelectrica.com$""),REGEXMATCH(A1394,"".*@hiberus.com$""),REGEXMATCH(A1394,"".*@simonbrico.es$""),regexmatch(A1394,"".*@simonelectric.com$"")),""null"",A1"&amp;"394)"),"1114@teclisa.com")</f>
        <v>1114@teclisa.com</v>
      </c>
      <c r="C1394" s="5">
        <f>IF(B1394="null","null",Descargas!B1394)</f>
        <v>43951</v>
      </c>
      <c r="D1394" s="6" t="str">
        <f>Descargas!E1394</f>
        <v>https://resources.simonelectric.com/simon-catalogo-vehiculo-electrico</v>
      </c>
      <c r="E1394" s="20" t="str">
        <f t="shared" si="1"/>
        <v>1114@teclisa.com</v>
      </c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</row>
    <row r="1395" ht="15.75" customHeight="1">
      <c r="A1395" s="18" t="str">
        <f>Descargas!A1395</f>
        <v>656@gmail.com</v>
      </c>
      <c r="B1395" s="19" t="str">
        <f>IFERROR(__xludf.DUMMYFUNCTION("IF(OR(regexmatch(A1395,"".*@simon.es$""),REGEXMATCH(A1395,"".*@simon.pt$""),REGEXMATCH(A1395,"".*@simonelectrica.com$""),REGEXMATCH(A1395,"".*@hiberus.com$""),REGEXMATCH(A1395,"".*@simonbrico.es$""),regexmatch(A1395,"".*@simonelectric.com$"")),""null"",A1"&amp;"395)"),"656@gmail.com")</f>
        <v>656@gmail.com</v>
      </c>
      <c r="C1395" s="5">
        <f>IF(B1395="null","null",Descargas!B1395)</f>
        <v>43951</v>
      </c>
      <c r="D1395" s="6" t="str">
        <f>Descargas!E1395</f>
        <v>https://resources.simonelectric.com/simon-catalogo-vehiculo-electrico</v>
      </c>
      <c r="E1395" s="20" t="str">
        <f t="shared" si="1"/>
        <v>656@gmail.com</v>
      </c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</row>
    <row r="1396" ht="15.75" customHeight="1">
      <c r="A1396" s="18" t="str">
        <f>Descargas!A1396</f>
        <v>1115@muntanerelectro.com</v>
      </c>
      <c r="B1396" s="19" t="str">
        <f>IFERROR(__xludf.DUMMYFUNCTION("IF(OR(regexmatch(A1396,"".*@simon.es$""),REGEXMATCH(A1396,"".*@simon.pt$""),REGEXMATCH(A1396,"".*@simonelectrica.com$""),REGEXMATCH(A1396,"".*@hiberus.com$""),REGEXMATCH(A1396,"".*@simonbrico.es$""),regexmatch(A1396,"".*@simonelectric.com$"")),""null"",A1"&amp;"396)"),"1115@muntanerelectro.com")</f>
        <v>1115@muntanerelectro.com</v>
      </c>
      <c r="C1396" s="5">
        <f>IF(B1396="null","null",Descargas!B1396)</f>
        <v>43951</v>
      </c>
      <c r="D1396" s="6" t="str">
        <f>Descargas!E1396</f>
        <v>https://resources.simonelectric.com/simon-catalogo-vehiculo-electrico</v>
      </c>
      <c r="E1396" s="20" t="str">
        <f t="shared" si="1"/>
        <v>1115@muntanerelectro.com</v>
      </c>
      <c r="F1396" s="21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</row>
    <row r="1397" ht="15.75" customHeight="1">
      <c r="A1397" s="18" t="str">
        <f>Descargas!A1397</f>
        <v>1116@suelba.com</v>
      </c>
      <c r="B1397" s="19" t="str">
        <f>IFERROR(__xludf.DUMMYFUNCTION("IF(OR(regexmatch(A1397,"".*@simon.es$""),REGEXMATCH(A1397,"".*@simon.pt$""),REGEXMATCH(A1397,"".*@simonelectrica.com$""),REGEXMATCH(A1397,"".*@hiberus.com$""),REGEXMATCH(A1397,"".*@simonbrico.es$""),regexmatch(A1397,"".*@simonelectric.com$"")),""null"",A1"&amp;"397)"),"1116@suelba.com")</f>
        <v>1116@suelba.com</v>
      </c>
      <c r="C1397" s="5">
        <f>IF(B1397="null","null",Descargas!B1397)</f>
        <v>43951</v>
      </c>
      <c r="D1397" s="6" t="str">
        <f>Descargas!E1397</f>
        <v>https://resources.simonelectric.com/simon-catalogo-vehiculo-electrico</v>
      </c>
      <c r="E1397" s="20" t="str">
        <f t="shared" si="1"/>
        <v>1116@suelba.com</v>
      </c>
      <c r="F1397" s="21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</row>
    <row r="1398" ht="15.75" customHeight="1">
      <c r="A1398" s="18" t="str">
        <f>Descargas!A1398</f>
        <v>1117@hotmail.com</v>
      </c>
      <c r="B1398" s="19" t="str">
        <f>IFERROR(__xludf.DUMMYFUNCTION("IF(OR(regexmatch(A1398,"".*@simon.es$""),REGEXMATCH(A1398,"".*@simon.pt$""),REGEXMATCH(A1398,"".*@simonelectrica.com$""),REGEXMATCH(A1398,"".*@hiberus.com$""),REGEXMATCH(A1398,"".*@simonbrico.es$""),regexmatch(A1398,"".*@simonelectric.com$"")),""null"",A1"&amp;"398)"),"1117@hotmail.com")</f>
        <v>1117@hotmail.com</v>
      </c>
      <c r="C1398" s="5">
        <f>IF(B1398="null","null",Descargas!B1398)</f>
        <v>43951</v>
      </c>
      <c r="D1398" s="6" t="str">
        <f>Descargas!E1398</f>
        <v>https://resources.simonelectric.com/simon-catalogo-vehiculo-electrico</v>
      </c>
      <c r="E1398" s="20" t="str">
        <f t="shared" si="1"/>
        <v>1117@hotmail.com</v>
      </c>
      <c r="F1398" s="21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</row>
    <row r="1399" ht="15.75" customHeight="1">
      <c r="A1399" s="18" t="str">
        <f>Descargas!A1399</f>
        <v>1118@coitiar.es</v>
      </c>
      <c r="B1399" s="19" t="str">
        <f>IFERROR(__xludf.DUMMYFUNCTION("IF(OR(regexmatch(A1399,"".*@simon.es$""),REGEXMATCH(A1399,"".*@simon.pt$""),REGEXMATCH(A1399,"".*@simonelectrica.com$""),REGEXMATCH(A1399,"".*@hiberus.com$""),REGEXMATCH(A1399,"".*@simonbrico.es$""),regexmatch(A1399,"".*@simonelectric.com$"")),""null"",A1"&amp;"399)"),"1118@coitiar.es")</f>
        <v>1118@coitiar.es</v>
      </c>
      <c r="C1399" s="5">
        <f>IF(B1399="null","null",Descargas!B1399)</f>
        <v>43951</v>
      </c>
      <c r="D1399" s="6" t="str">
        <f>Descargas!E1399</f>
        <v>https://resources.simonelectric.com/simon-ebook-vehiculo-electrico</v>
      </c>
      <c r="E1399" s="20" t="str">
        <f t="shared" si="1"/>
        <v>1118@coitiar.es</v>
      </c>
      <c r="F1399" s="21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</row>
    <row r="1400" ht="15.75" customHeight="1">
      <c r="A1400" s="18" t="str">
        <f>Descargas!A1400</f>
        <v>1119@gmail.com</v>
      </c>
      <c r="B1400" s="19" t="str">
        <f>IFERROR(__xludf.DUMMYFUNCTION("IF(OR(regexmatch(A1400,"".*@simon.es$""),REGEXMATCH(A1400,"".*@simon.pt$""),REGEXMATCH(A1400,"".*@simonelectrica.com$""),REGEXMATCH(A1400,"".*@hiberus.com$""),REGEXMATCH(A1400,"".*@simonbrico.es$""),regexmatch(A1400,"".*@simonelectric.com$"")),""null"",A1"&amp;"400)"),"1119@gmail.com")</f>
        <v>1119@gmail.com</v>
      </c>
      <c r="C1400" s="5">
        <f>IF(B1400="null","null",Descargas!B1400)</f>
        <v>43951</v>
      </c>
      <c r="D1400" s="6" t="str">
        <f>Descargas!E1400</f>
        <v>https://resources.simonelectric.com/simon-catalogo-vehiculo-electrico</v>
      </c>
      <c r="E1400" s="20" t="str">
        <f t="shared" si="1"/>
        <v>1119@gmail.com</v>
      </c>
      <c r="F1400" s="21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</row>
    <row r="1401" ht="15.75" customHeight="1">
      <c r="A1401" s="18" t="str">
        <f>Descargas!A1401</f>
        <v>1120@sonepar.es</v>
      </c>
      <c r="B1401" s="19" t="str">
        <f>IFERROR(__xludf.DUMMYFUNCTION("IF(OR(regexmatch(A1401,"".*@simon.es$""),REGEXMATCH(A1401,"".*@simon.pt$""),REGEXMATCH(A1401,"".*@simonelectrica.com$""),REGEXMATCH(A1401,"".*@hiberus.com$""),REGEXMATCH(A1401,"".*@simonbrico.es$""),regexmatch(A1401,"".*@simonelectric.com$"")),""null"",A1"&amp;"401)"),"1120@sonepar.es")</f>
        <v>1120@sonepar.es</v>
      </c>
      <c r="C1401" s="5">
        <f>IF(B1401="null","null",Descargas!B1401)</f>
        <v>43951</v>
      </c>
      <c r="D1401" s="6" t="str">
        <f>Descargas!E1401</f>
        <v>https://resources.simonelectric.com/simon-catalogo-vehiculo-electrico</v>
      </c>
      <c r="E1401" s="20" t="str">
        <f t="shared" si="1"/>
        <v>1120@sonepar.es</v>
      </c>
      <c r="F1401" s="21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</row>
    <row r="1402" ht="15.75" customHeight="1">
      <c r="A1402" s="18" t="str">
        <f>Descargas!A1402</f>
        <v>1121@gmail.com</v>
      </c>
      <c r="B1402" s="19" t="str">
        <f>IFERROR(__xludf.DUMMYFUNCTION("IF(OR(regexmatch(A1402,"".*@simon.es$""),REGEXMATCH(A1402,"".*@simon.pt$""),REGEXMATCH(A1402,"".*@simonelectrica.com$""),REGEXMATCH(A1402,"".*@hiberus.com$""),REGEXMATCH(A1402,"".*@simonbrico.es$""),regexmatch(A1402,"".*@simonelectric.com$"")),""null"",A1"&amp;"402)"),"1121@gmail.com")</f>
        <v>1121@gmail.com</v>
      </c>
      <c r="C1402" s="5">
        <f>IF(B1402="null","null",Descargas!B1402)</f>
        <v>43951</v>
      </c>
      <c r="D1402" s="6" t="str">
        <f>Descargas!E1402</f>
        <v>https://resources.simonelectric.com/simon-catalogo-vehiculo-electrico</v>
      </c>
      <c r="E1402" s="20" t="str">
        <f t="shared" si="1"/>
        <v>1121@gmail.com</v>
      </c>
      <c r="F1402" s="21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</row>
    <row r="1403" ht="15.75" customHeight="1">
      <c r="A1403" s="18" t="str">
        <f>Descargas!A1403</f>
        <v>1122@hotmail.es</v>
      </c>
      <c r="B1403" s="19" t="str">
        <f>IFERROR(__xludf.DUMMYFUNCTION("IF(OR(regexmatch(A1403,"".*@simon.es$""),REGEXMATCH(A1403,"".*@simon.pt$""),REGEXMATCH(A1403,"".*@simonelectrica.com$""),REGEXMATCH(A1403,"".*@hiberus.com$""),REGEXMATCH(A1403,"".*@simonbrico.es$""),regexmatch(A1403,"".*@simonelectric.com$"")),""null"",A1"&amp;"403)"),"1122@hotmail.es")</f>
        <v>1122@hotmail.es</v>
      </c>
      <c r="C1403" s="5">
        <f>IF(B1403="null","null",Descargas!B1403)</f>
        <v>43951</v>
      </c>
      <c r="D1403" s="6" t="str">
        <f>Descargas!E1403</f>
        <v>https://resources.simonelectric.com/simon-catalogo-vehiculo-electrico</v>
      </c>
      <c r="E1403" s="20" t="str">
        <f t="shared" si="1"/>
        <v>1122@hotmail.es</v>
      </c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</row>
    <row r="1404" ht="15.75" customHeight="1">
      <c r="A1404" s="18" t="str">
        <f>Descargas!A1404</f>
        <v>208@acortaenergia.com</v>
      </c>
      <c r="B1404" s="19" t="str">
        <f>IFERROR(__xludf.DUMMYFUNCTION("IF(OR(regexmatch(A1404,"".*@simon.es$""),REGEXMATCH(A1404,"".*@simon.pt$""),REGEXMATCH(A1404,"".*@simonelectrica.com$""),REGEXMATCH(A1404,"".*@hiberus.com$""),REGEXMATCH(A1404,"".*@simonbrico.es$""),regexmatch(A1404,"".*@simonelectric.com$"")),""null"",A1"&amp;"404)"),"208@acortaenergia.com")</f>
        <v>208@acortaenergia.com</v>
      </c>
      <c r="C1404" s="5">
        <f>IF(B1404="null","null",Descargas!B1404)</f>
        <v>43951</v>
      </c>
      <c r="D1404" s="6" t="str">
        <f>Descargas!E1404</f>
        <v>https://resources.simonelectric.com/simon-catalogo-vehiculo-electrico</v>
      </c>
      <c r="E1404" s="20" t="str">
        <f t="shared" si="1"/>
        <v>208@acortaenergia.com</v>
      </c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</row>
    <row r="1405" ht="15.75" customHeight="1">
      <c r="A1405" s="18" t="str">
        <f>Descargas!A1405</f>
        <v>320@gmail.com</v>
      </c>
      <c r="B1405" s="19" t="str">
        <f>IFERROR(__xludf.DUMMYFUNCTION("IF(OR(regexmatch(A1405,"".*@simon.es$""),REGEXMATCH(A1405,"".*@simon.pt$""),REGEXMATCH(A1405,"".*@simonelectrica.com$""),REGEXMATCH(A1405,"".*@hiberus.com$""),REGEXMATCH(A1405,"".*@simonbrico.es$""),regexmatch(A1405,"".*@simonelectric.com$"")),""null"",A1"&amp;"405)"),"320@gmail.com")</f>
        <v>320@gmail.com</v>
      </c>
      <c r="C1405" s="5">
        <f>IF(B1405="null","null",Descargas!B1405)</f>
        <v>43951</v>
      </c>
      <c r="D1405" s="6" t="str">
        <f>Descargas!E1405</f>
        <v>https://resources.simonelectric.com/simon-ebook-vehiculo-electrico-0</v>
      </c>
      <c r="E1405" s="20" t="str">
        <f t="shared" si="1"/>
        <v>320@gmail.com</v>
      </c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</row>
    <row r="1406" ht="15.75" customHeight="1">
      <c r="A1406" s="18" t="str">
        <f>Descargas!A1406</f>
        <v>1123@gmail.com</v>
      </c>
      <c r="B1406" s="19" t="str">
        <f>IFERROR(__xludf.DUMMYFUNCTION("IF(OR(regexmatch(A1406,"".*@simon.es$""),REGEXMATCH(A1406,"".*@simon.pt$""),REGEXMATCH(A1406,"".*@simonelectrica.com$""),REGEXMATCH(A1406,"".*@hiberus.com$""),REGEXMATCH(A1406,"".*@simonbrico.es$""),regexmatch(A1406,"".*@simonelectric.com$"")),""null"",A1"&amp;"406)"),"1123@gmail.com")</f>
        <v>1123@gmail.com</v>
      </c>
      <c r="C1406" s="5">
        <f>IF(B1406="null","null",Descargas!B1406)</f>
        <v>43951</v>
      </c>
      <c r="D1406" s="6" t="str">
        <f>Descargas!E1406</f>
        <v>https://resources.simonelectric.com/simon-catalogo-vehiculo-electrico</v>
      </c>
      <c r="E1406" s="20" t="str">
        <f t="shared" si="1"/>
        <v>1123@gmail.com</v>
      </c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</row>
    <row r="1407" ht="15.75" customHeight="1">
      <c r="A1407" s="18" t="str">
        <f>Descargas!A1407</f>
        <v>1124@energonrenovables.es</v>
      </c>
      <c r="B1407" s="19" t="str">
        <f>IFERROR(__xludf.DUMMYFUNCTION("IF(OR(regexmatch(A1407,"".*@simon.es$""),REGEXMATCH(A1407,"".*@simon.pt$""),REGEXMATCH(A1407,"".*@simonelectrica.com$""),REGEXMATCH(A1407,"".*@hiberus.com$""),REGEXMATCH(A1407,"".*@simonbrico.es$""),regexmatch(A1407,"".*@simonelectric.com$"")),""null"",A1"&amp;"407)"),"1124@energonrenovables.es")</f>
        <v>1124@energonrenovables.es</v>
      </c>
      <c r="C1407" s="5">
        <f>IF(B1407="null","null",Descargas!B1407)</f>
        <v>43951</v>
      </c>
      <c r="D1407" s="6" t="str">
        <f>Descargas!E1407</f>
        <v>https://resources.simonelectric.com/simon-catalogo-vehiculo-electrico</v>
      </c>
      <c r="E1407" s="20" t="str">
        <f t="shared" si="1"/>
        <v>1124@energonrenovables.es</v>
      </c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</row>
    <row r="1408" ht="15.75" customHeight="1">
      <c r="A1408" s="18" t="str">
        <f>Descargas!A1408</f>
        <v>1125@rocaingenieros.com</v>
      </c>
      <c r="B1408" s="19" t="str">
        <f>IFERROR(__xludf.DUMMYFUNCTION("IF(OR(regexmatch(A1408,"".*@simon.es$""),REGEXMATCH(A1408,"".*@simon.pt$""),REGEXMATCH(A1408,"".*@simonelectrica.com$""),REGEXMATCH(A1408,"".*@hiberus.com$""),REGEXMATCH(A1408,"".*@simonbrico.es$""),regexmatch(A1408,"".*@simonelectric.com$"")),""null"",A1"&amp;"408)"),"1125@rocaingenieros.com")</f>
        <v>1125@rocaingenieros.com</v>
      </c>
      <c r="C1408" s="5">
        <f>IF(B1408="null","null",Descargas!B1408)</f>
        <v>43951</v>
      </c>
      <c r="D1408" s="6" t="str">
        <f>Descargas!E1408</f>
        <v>https://resources.simonelectric.com/simon-catalogo-vehiculo-electrico</v>
      </c>
      <c r="E1408" s="20" t="str">
        <f t="shared" si="1"/>
        <v>1125@rocaingenieros.com</v>
      </c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</row>
    <row r="1409" ht="15.75" customHeight="1">
      <c r="A1409" s="18" t="str">
        <f>Descargas!A1409</f>
        <v>1126@viveme.es</v>
      </c>
      <c r="B1409" s="19" t="str">
        <f>IFERROR(__xludf.DUMMYFUNCTION("IF(OR(regexmatch(A1409,"".*@simon.es$""),REGEXMATCH(A1409,"".*@simon.pt$""),REGEXMATCH(A1409,"".*@simonelectrica.com$""),REGEXMATCH(A1409,"".*@hiberus.com$""),REGEXMATCH(A1409,"".*@simonbrico.es$""),regexmatch(A1409,"".*@simonelectric.com$"")),""null"",A1"&amp;"409)"),"1126@viveme.es")</f>
        <v>1126@viveme.es</v>
      </c>
      <c r="C1409" s="5">
        <f>IF(B1409="null","null",Descargas!B1409)</f>
        <v>43951</v>
      </c>
      <c r="D1409" s="6" t="str">
        <f>Descargas!E1409</f>
        <v>https://resources.simonelectric.com/simon-catalogo-vehiculo-electrico</v>
      </c>
      <c r="E1409" s="20" t="str">
        <f t="shared" si="1"/>
        <v>1126@viveme.es</v>
      </c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</row>
    <row r="1410" ht="15.75" customHeight="1">
      <c r="A1410" s="18" t="str">
        <f>Descargas!A1410</f>
        <v>1127@telefonica.net</v>
      </c>
      <c r="B1410" s="19" t="str">
        <f>IFERROR(__xludf.DUMMYFUNCTION("IF(OR(regexmatch(A1410,"".*@simon.es$""),REGEXMATCH(A1410,"".*@simon.pt$""),REGEXMATCH(A1410,"".*@simonelectrica.com$""),REGEXMATCH(A1410,"".*@hiberus.com$""),REGEXMATCH(A1410,"".*@simonbrico.es$""),regexmatch(A1410,"".*@simonelectric.com$"")),""null"",A1"&amp;"410)"),"1127@telefonica.net")</f>
        <v>1127@telefonica.net</v>
      </c>
      <c r="C1410" s="5">
        <f>IF(B1410="null","null",Descargas!B1410)</f>
        <v>43951</v>
      </c>
      <c r="D1410" s="6" t="str">
        <f>Descargas!E1410</f>
        <v>https://resources.simonelectric.com/simon-catalogo-vehiculo-electrico</v>
      </c>
      <c r="E1410" s="20" t="str">
        <f t="shared" si="1"/>
        <v>1127@telefonica.net</v>
      </c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</row>
    <row r="1411" ht="15.75" customHeight="1">
      <c r="A1411" s="18" t="str">
        <f>Descargas!A1411</f>
        <v>1128@fgingenieria.com</v>
      </c>
      <c r="B1411" s="19" t="str">
        <f>IFERROR(__xludf.DUMMYFUNCTION("IF(OR(regexmatch(A1411,"".*@simon.es$""),REGEXMATCH(A1411,"".*@simon.pt$""),REGEXMATCH(A1411,"".*@simonelectrica.com$""),REGEXMATCH(A1411,"".*@hiberus.com$""),REGEXMATCH(A1411,"".*@simonbrico.es$""),regexmatch(A1411,"".*@simonelectric.com$"")),""null"",A1"&amp;"411)"),"1128@fgingenieria.com")</f>
        <v>1128@fgingenieria.com</v>
      </c>
      <c r="C1411" s="5">
        <f>IF(B1411="null","null",Descargas!B1411)</f>
        <v>43951</v>
      </c>
      <c r="D1411" s="6" t="str">
        <f>Descargas!E1411</f>
        <v>https://resources.simonelectric.com/simon-catalogo-vehiculo-electrico</v>
      </c>
      <c r="E1411" s="20" t="str">
        <f t="shared" si="1"/>
        <v>1128@fgingenieria.com</v>
      </c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</row>
    <row r="1412" ht="15.75" customHeight="1">
      <c r="A1412" s="18" t="str">
        <f>Descargas!A1412</f>
        <v>1129@eselfri.com</v>
      </c>
      <c r="B1412" s="19" t="str">
        <f>IFERROR(__xludf.DUMMYFUNCTION("IF(OR(regexmatch(A1412,"".*@simon.es$""),REGEXMATCH(A1412,"".*@simon.pt$""),REGEXMATCH(A1412,"".*@simonelectrica.com$""),REGEXMATCH(A1412,"".*@hiberus.com$""),REGEXMATCH(A1412,"".*@simonbrico.es$""),regexmatch(A1412,"".*@simonelectric.com$"")),""null"",A1"&amp;"412)"),"1129@eselfri.com")</f>
        <v>1129@eselfri.com</v>
      </c>
      <c r="C1412" s="5">
        <f>IF(B1412="null","null",Descargas!B1412)</f>
        <v>43951</v>
      </c>
      <c r="D1412" s="6" t="str">
        <f>Descargas!E1412</f>
        <v>https://resources.simonelectric.com/simon-catalogo-vehiculo-electrico</v>
      </c>
      <c r="E1412" s="20" t="str">
        <f t="shared" si="1"/>
        <v>1129@eselfri.com</v>
      </c>
      <c r="F1412" s="21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</row>
    <row r="1413" ht="15.75" customHeight="1">
      <c r="A1413" s="18" t="str">
        <f>Descargas!A1413</f>
        <v>1130@kairsa.com</v>
      </c>
      <c r="B1413" s="19" t="str">
        <f>IFERROR(__xludf.DUMMYFUNCTION("IF(OR(regexmatch(A1413,"".*@simon.es$""),REGEXMATCH(A1413,"".*@simon.pt$""),REGEXMATCH(A1413,"".*@simonelectrica.com$""),REGEXMATCH(A1413,"".*@hiberus.com$""),REGEXMATCH(A1413,"".*@simonbrico.es$""),regexmatch(A1413,"".*@simonelectric.com$"")),""null"",A1"&amp;"413)"),"1130@kairsa.com")</f>
        <v>1130@kairsa.com</v>
      </c>
      <c r="C1413" s="5">
        <f>IF(B1413="null","null",Descargas!B1413)</f>
        <v>43951</v>
      </c>
      <c r="D1413" s="6" t="str">
        <f>Descargas!E1413</f>
        <v>https://resources.simonelectric.com/simon-catalogo-vehiculo-electrico</v>
      </c>
      <c r="E1413" s="20" t="str">
        <f t="shared" si="1"/>
        <v>1130@kairsa.com</v>
      </c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</row>
    <row r="1414" ht="15.75" customHeight="1">
      <c r="A1414" s="18" t="str">
        <f>Descargas!A1414</f>
        <v>1131@gmail.com</v>
      </c>
      <c r="B1414" s="19" t="str">
        <f>IFERROR(__xludf.DUMMYFUNCTION("IF(OR(regexmatch(A1414,"".*@simon.es$""),REGEXMATCH(A1414,"".*@simon.pt$""),REGEXMATCH(A1414,"".*@simonelectrica.com$""),REGEXMATCH(A1414,"".*@hiberus.com$""),REGEXMATCH(A1414,"".*@simonbrico.es$""),regexmatch(A1414,"".*@simonelectric.com$"")),""null"",A1"&amp;"414)"),"1131@gmail.com")</f>
        <v>1131@gmail.com</v>
      </c>
      <c r="C1414" s="5">
        <f>IF(B1414="null","null",Descargas!B1414)</f>
        <v>43951</v>
      </c>
      <c r="D1414" s="6" t="str">
        <f>Descargas!E1414</f>
        <v>https://resources.simonelectric.com/simon-ebook-vehiculo-electrico-0</v>
      </c>
      <c r="E1414" s="20" t="str">
        <f t="shared" si="1"/>
        <v>1131@gmail.com</v>
      </c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</row>
    <row r="1415" ht="15.75" customHeight="1">
      <c r="A1415" s="18" t="str">
        <f>Descargas!A1415</f>
        <v>1132@yahoo.es</v>
      </c>
      <c r="B1415" s="19" t="str">
        <f>IFERROR(__xludf.DUMMYFUNCTION("IF(OR(regexmatch(A1415,"".*@simon.es$""),REGEXMATCH(A1415,"".*@simon.pt$""),REGEXMATCH(A1415,"".*@simonelectrica.com$""),REGEXMATCH(A1415,"".*@hiberus.com$""),REGEXMATCH(A1415,"".*@simonbrico.es$""),regexmatch(A1415,"".*@simonelectric.com$"")),""null"",A1"&amp;"415)"),"1132@yahoo.es")</f>
        <v>1132@yahoo.es</v>
      </c>
      <c r="C1415" s="5">
        <f>IF(B1415="null","null",Descargas!B1415)</f>
        <v>43951</v>
      </c>
      <c r="D1415" s="6" t="str">
        <f>Descargas!E1415</f>
        <v>https://resources.simonelectric.com/simon-catalogo-vehiculo-electrico</v>
      </c>
      <c r="E1415" s="20" t="str">
        <f t="shared" si="1"/>
        <v>1132@yahoo.es</v>
      </c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</row>
    <row r="1416" ht="15.75" customHeight="1">
      <c r="A1416" s="18" t="str">
        <f>Descargas!A1416</f>
        <v>1133@hotmail.com</v>
      </c>
      <c r="B1416" s="19" t="str">
        <f>IFERROR(__xludf.DUMMYFUNCTION("IF(OR(regexmatch(A1416,"".*@simon.es$""),REGEXMATCH(A1416,"".*@simon.pt$""),REGEXMATCH(A1416,"".*@simonelectrica.com$""),REGEXMATCH(A1416,"".*@hiberus.com$""),REGEXMATCH(A1416,"".*@simonbrico.es$""),regexmatch(A1416,"".*@simonelectric.com$"")),""null"",A1"&amp;"416)"),"1133@hotmail.com")</f>
        <v>1133@hotmail.com</v>
      </c>
      <c r="C1416" s="5">
        <f>IF(B1416="null","null",Descargas!B1416)</f>
        <v>43951</v>
      </c>
      <c r="D1416" s="6" t="str">
        <f>Descargas!E1416</f>
        <v>https://resources.simonelectric.com/simon-catalogo-vehiculo-electrico</v>
      </c>
      <c r="E1416" s="20" t="str">
        <f t="shared" si="1"/>
        <v>1133@hotmail.com</v>
      </c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</row>
    <row r="1417" ht="15.75" customHeight="1">
      <c r="A1417" s="18" t="str">
        <f>Descargas!A1417</f>
        <v>1134@integratoledo.com</v>
      </c>
      <c r="B1417" s="19" t="str">
        <f>IFERROR(__xludf.DUMMYFUNCTION("IF(OR(regexmatch(A1417,"".*@simon.es$""),REGEXMATCH(A1417,"".*@simon.pt$""),REGEXMATCH(A1417,"".*@simonelectrica.com$""),REGEXMATCH(A1417,"".*@hiberus.com$""),REGEXMATCH(A1417,"".*@simonbrico.es$""),regexmatch(A1417,"".*@simonelectric.com$"")),""null"",A1"&amp;"417)"),"1134@integratoledo.com")</f>
        <v>1134@integratoledo.com</v>
      </c>
      <c r="C1417" s="5">
        <f>IF(B1417="null","null",Descargas!B1417)</f>
        <v>43951</v>
      </c>
      <c r="D1417" s="6" t="str">
        <f>Descargas!E1417</f>
        <v>https://resources.simonelectric.com/simon-catalogo-vehiculo-electrico</v>
      </c>
      <c r="E1417" s="20" t="str">
        <f t="shared" si="1"/>
        <v>1134@integratoledo.com</v>
      </c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</row>
    <row r="1418" ht="15.75" customHeight="1">
      <c r="A1418" s="18" t="str">
        <f>Descargas!A1418</f>
        <v>1135@gmail.com</v>
      </c>
      <c r="B1418" s="19" t="str">
        <f>IFERROR(__xludf.DUMMYFUNCTION("IF(OR(regexmatch(A1418,"".*@simon.es$""),REGEXMATCH(A1418,"".*@simon.pt$""),REGEXMATCH(A1418,"".*@simonelectrica.com$""),REGEXMATCH(A1418,"".*@hiberus.com$""),REGEXMATCH(A1418,"".*@simonbrico.es$""),regexmatch(A1418,"".*@simonelectric.com$"")),""null"",A1"&amp;"418)"),"1135@gmail.com")</f>
        <v>1135@gmail.com</v>
      </c>
      <c r="C1418" s="5">
        <f>IF(B1418="null","null",Descargas!B1418)</f>
        <v>43951</v>
      </c>
      <c r="D1418" s="6" t="str">
        <f>Descargas!E1418</f>
        <v>https://resources.simonelectric.com/simon-catalogo-vehiculo-electrico</v>
      </c>
      <c r="E1418" s="20" t="str">
        <f t="shared" si="1"/>
        <v>1135@gmail.com</v>
      </c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</row>
    <row r="1419" ht="15.75" customHeight="1">
      <c r="A1419" s="18" t="str">
        <f>Descargas!A1419</f>
        <v>1136@metalux.es</v>
      </c>
      <c r="B1419" s="19" t="str">
        <f>IFERROR(__xludf.DUMMYFUNCTION("IF(OR(regexmatch(A1419,"".*@simon.es$""),REGEXMATCH(A1419,"".*@simon.pt$""),REGEXMATCH(A1419,"".*@simonelectrica.com$""),REGEXMATCH(A1419,"".*@hiberus.com$""),REGEXMATCH(A1419,"".*@simonbrico.es$""),regexmatch(A1419,"".*@simonelectric.com$"")),""null"",A1"&amp;"419)"),"1136@metalux.es")</f>
        <v>1136@metalux.es</v>
      </c>
      <c r="C1419" s="5">
        <f>IF(B1419="null","null",Descargas!B1419)</f>
        <v>43951</v>
      </c>
      <c r="D1419" s="6" t="str">
        <f>Descargas!E1419</f>
        <v>https://resources.simonelectric.com/simon-catalogo-vehiculo-electrico</v>
      </c>
      <c r="E1419" s="20" t="str">
        <f t="shared" si="1"/>
        <v>1136@metalux.es</v>
      </c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</row>
    <row r="1420" ht="15.75" customHeight="1">
      <c r="A1420" s="18" t="str">
        <f>Descargas!A1420</f>
        <v>1137@eiasein.es</v>
      </c>
      <c r="B1420" s="19" t="str">
        <f>IFERROR(__xludf.DUMMYFUNCTION("IF(OR(regexmatch(A1420,"".*@simon.es$""),REGEXMATCH(A1420,"".*@simon.pt$""),REGEXMATCH(A1420,"".*@simonelectrica.com$""),REGEXMATCH(A1420,"".*@hiberus.com$""),REGEXMATCH(A1420,"".*@simonbrico.es$""),regexmatch(A1420,"".*@simonelectric.com$"")),""null"",A1"&amp;"420)"),"1137@eiasein.es")</f>
        <v>1137@eiasein.es</v>
      </c>
      <c r="C1420" s="5">
        <f>IF(B1420="null","null",Descargas!B1420)</f>
        <v>43951</v>
      </c>
      <c r="D1420" s="6" t="str">
        <f>Descargas!E1420</f>
        <v>https://resources.simonelectric.com/simon-catalogo-vehiculo-electrico</v>
      </c>
      <c r="E1420" s="20" t="str">
        <f t="shared" si="1"/>
        <v>1137@eiasein.es</v>
      </c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</row>
    <row r="1421" ht="15.75" customHeight="1">
      <c r="A1421" s="18" t="str">
        <f>Descargas!A1421</f>
        <v>1138@arquired.es</v>
      </c>
      <c r="B1421" s="19" t="str">
        <f>IFERROR(__xludf.DUMMYFUNCTION("IF(OR(regexmatch(A1421,"".*@simon.es$""),REGEXMATCH(A1421,"".*@simon.pt$""),REGEXMATCH(A1421,"".*@simonelectrica.com$""),REGEXMATCH(A1421,"".*@hiberus.com$""),REGEXMATCH(A1421,"".*@simonbrico.es$""),regexmatch(A1421,"".*@simonelectric.com$"")),""null"",A1"&amp;"421)"),"1138@arquired.es")</f>
        <v>1138@arquired.es</v>
      </c>
      <c r="C1421" s="5">
        <f>IF(B1421="null","null",Descargas!B1421)</f>
        <v>43951</v>
      </c>
      <c r="D1421" s="6" t="str">
        <f>Descargas!E1421</f>
        <v>https://resources.simonelectric.com/simon-catalogo-vehiculo-electrico</v>
      </c>
      <c r="E1421" s="20" t="str">
        <f t="shared" si="1"/>
        <v>1138@arquired.es</v>
      </c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</row>
    <row r="1422" ht="15.75" customHeight="1">
      <c r="A1422" s="18" t="str">
        <f>Descargas!A1422</f>
        <v>1139@gmail.com</v>
      </c>
      <c r="B1422" s="19" t="str">
        <f>IFERROR(__xludf.DUMMYFUNCTION("IF(OR(regexmatch(A1422,"".*@simon.es$""),REGEXMATCH(A1422,"".*@simon.pt$""),REGEXMATCH(A1422,"".*@simonelectrica.com$""),REGEXMATCH(A1422,"".*@hiberus.com$""),REGEXMATCH(A1422,"".*@simonbrico.es$""),regexmatch(A1422,"".*@simonelectric.com$"")),""null"",A1"&amp;"422)"),"1139@gmail.com")</f>
        <v>1139@gmail.com</v>
      </c>
      <c r="C1422" s="5">
        <f>IF(B1422="null","null",Descargas!B1422)</f>
        <v>43951</v>
      </c>
      <c r="D1422" s="6" t="str">
        <f>Descargas!E1422</f>
        <v>https://resources.simonelectric.com/simon-catalogo-vehiculo-electrico</v>
      </c>
      <c r="E1422" s="20" t="str">
        <f t="shared" si="1"/>
        <v>1139@gmail.com</v>
      </c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</row>
    <row r="1423" ht="15.75" customHeight="1">
      <c r="A1423" s="18" t="str">
        <f>Descargas!A1423</f>
        <v>1140@fer.es</v>
      </c>
      <c r="B1423" s="19" t="str">
        <f>IFERROR(__xludf.DUMMYFUNCTION("IF(OR(regexmatch(A1423,"".*@simon.es$""),REGEXMATCH(A1423,"".*@simon.pt$""),REGEXMATCH(A1423,"".*@simonelectrica.com$""),REGEXMATCH(A1423,"".*@hiberus.com$""),REGEXMATCH(A1423,"".*@simonbrico.es$""),regexmatch(A1423,"".*@simonelectric.com$"")),""null"",A1"&amp;"423)"),"1140@fer.es")</f>
        <v>1140@fer.es</v>
      </c>
      <c r="C1423" s="5">
        <f>IF(B1423="null","null",Descargas!B1423)</f>
        <v>43951</v>
      </c>
      <c r="D1423" s="6" t="str">
        <f>Descargas!E1423</f>
        <v>https://resources.simonelectric.com/simon-catalogo-vehiculo-electrico</v>
      </c>
      <c r="E1423" s="20" t="str">
        <f t="shared" si="1"/>
        <v>1140@fer.es</v>
      </c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</row>
    <row r="1424" ht="15.75" customHeight="1">
      <c r="A1424" s="18" t="str">
        <f>Descargas!A1424</f>
        <v>1141@coitim.es</v>
      </c>
      <c r="B1424" s="19" t="str">
        <f>IFERROR(__xludf.DUMMYFUNCTION("IF(OR(regexmatch(A1424,"".*@simon.es$""),REGEXMATCH(A1424,"".*@simon.pt$""),REGEXMATCH(A1424,"".*@simonelectrica.com$""),REGEXMATCH(A1424,"".*@hiberus.com$""),REGEXMATCH(A1424,"".*@simonbrico.es$""),regexmatch(A1424,"".*@simonelectric.com$"")),""null"",A1"&amp;"424)"),"1141@coitim.es")</f>
        <v>1141@coitim.es</v>
      </c>
      <c r="C1424" s="5">
        <f>IF(B1424="null","null",Descargas!B1424)</f>
        <v>43951</v>
      </c>
      <c r="D1424" s="6" t="str">
        <f>Descargas!E1424</f>
        <v>https://resources.simonelectric.com/simon-catalogo-vehiculo-electrico</v>
      </c>
      <c r="E1424" s="20" t="str">
        <f t="shared" si="1"/>
        <v>1141@coitim.es</v>
      </c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</row>
    <row r="1425" ht="15.75" customHeight="1">
      <c r="A1425" s="18" t="str">
        <f>Descargas!A1425</f>
        <v>1142@asmesl.es</v>
      </c>
      <c r="B1425" s="19" t="str">
        <f>IFERROR(__xludf.DUMMYFUNCTION("IF(OR(regexmatch(A1425,"".*@simon.es$""),REGEXMATCH(A1425,"".*@simon.pt$""),REGEXMATCH(A1425,"".*@simonelectrica.com$""),REGEXMATCH(A1425,"".*@hiberus.com$""),REGEXMATCH(A1425,"".*@simonbrico.es$""),regexmatch(A1425,"".*@simonelectric.com$"")),""null"",A1"&amp;"425)"),"1142@asmesl.es")</f>
        <v>1142@asmesl.es</v>
      </c>
      <c r="C1425" s="5">
        <f>IF(B1425="null","null",Descargas!B1425)</f>
        <v>43951</v>
      </c>
      <c r="D1425" s="6" t="str">
        <f>Descargas!E1425</f>
        <v>https://resources.simonelectric.com/simon-catalogo-vehiculo-electrico</v>
      </c>
      <c r="E1425" s="20" t="str">
        <f t="shared" si="1"/>
        <v>1142@asmesl.es</v>
      </c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</row>
    <row r="1426" ht="15.75" customHeight="1">
      <c r="A1426" s="18" t="str">
        <f>Descargas!A1426</f>
        <v>1143@gmail.com</v>
      </c>
      <c r="B1426" s="19" t="str">
        <f>IFERROR(__xludf.DUMMYFUNCTION("IF(OR(regexmatch(A1426,"".*@simon.es$""),REGEXMATCH(A1426,"".*@simon.pt$""),REGEXMATCH(A1426,"".*@simonelectrica.com$""),REGEXMATCH(A1426,"".*@hiberus.com$""),REGEXMATCH(A1426,"".*@simonbrico.es$""),regexmatch(A1426,"".*@simonelectric.com$"")),""null"",A1"&amp;"426)"),"1143@gmail.com")</f>
        <v>1143@gmail.com</v>
      </c>
      <c r="C1426" s="5">
        <f>IF(B1426="null","null",Descargas!B1426)</f>
        <v>43951</v>
      </c>
      <c r="D1426" s="6" t="str">
        <f>Descargas!E1426</f>
        <v>https://resources.simonelectric.com/simon-catalogo-vehiculo-electrico</v>
      </c>
      <c r="E1426" s="20" t="str">
        <f t="shared" si="1"/>
        <v>1143@gmail.com</v>
      </c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</row>
    <row r="1427" ht="15.75" customHeight="1">
      <c r="A1427" s="18" t="str">
        <f>Descargas!A1427</f>
        <v>1144@idponline.net</v>
      </c>
      <c r="B1427" s="19" t="str">
        <f>IFERROR(__xludf.DUMMYFUNCTION("IF(OR(regexmatch(A1427,"".*@simon.es$""),REGEXMATCH(A1427,"".*@simon.pt$""),REGEXMATCH(A1427,"".*@simonelectrica.com$""),REGEXMATCH(A1427,"".*@hiberus.com$""),REGEXMATCH(A1427,"".*@simonbrico.es$""),regexmatch(A1427,"".*@simonelectric.com$"")),""null"",A1"&amp;"427)"),"1144@idponline.net")</f>
        <v>1144@idponline.net</v>
      </c>
      <c r="C1427" s="5">
        <f>IF(B1427="null","null",Descargas!B1427)</f>
        <v>43951</v>
      </c>
      <c r="D1427" s="6" t="str">
        <f>Descargas!E1427</f>
        <v>https://resources.simonelectric.com/simon-catalogo-vehiculo-electrico</v>
      </c>
      <c r="E1427" s="20" t="str">
        <f t="shared" si="1"/>
        <v>1144@idponline.net</v>
      </c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</row>
    <row r="1428" ht="15.75" customHeight="1">
      <c r="A1428" s="18" t="str">
        <f>Descargas!A1428</f>
        <v>1145@miretelectricidad.com</v>
      </c>
      <c r="B1428" s="19" t="str">
        <f>IFERROR(__xludf.DUMMYFUNCTION("IF(OR(regexmatch(A1428,"".*@simon.es$""),REGEXMATCH(A1428,"".*@simon.pt$""),REGEXMATCH(A1428,"".*@simonelectrica.com$""),REGEXMATCH(A1428,"".*@hiberus.com$""),REGEXMATCH(A1428,"".*@simonbrico.es$""),regexmatch(A1428,"".*@simonelectric.com$"")),""null"",A1"&amp;"428)"),"1145@miretelectricidad.com")</f>
        <v>1145@miretelectricidad.com</v>
      </c>
      <c r="C1428" s="5">
        <f>IF(B1428="null","null",Descargas!B1428)</f>
        <v>43951</v>
      </c>
      <c r="D1428" s="6" t="str">
        <f>Descargas!E1428</f>
        <v>https://resources.simonelectric.com/simon-ebook-vehiculo-electrico</v>
      </c>
      <c r="E1428" s="20" t="str">
        <f t="shared" si="1"/>
        <v>1145@miretelectricidad.com</v>
      </c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</row>
    <row r="1429" ht="15.75" customHeight="1">
      <c r="A1429" s="18" t="str">
        <f>Descargas!A1429</f>
        <v>1146@hotmail.com</v>
      </c>
      <c r="B1429" s="19" t="str">
        <f>IFERROR(__xludf.DUMMYFUNCTION("IF(OR(regexmatch(A1429,"".*@simon.es$""),REGEXMATCH(A1429,"".*@simon.pt$""),REGEXMATCH(A1429,"".*@simonelectrica.com$""),REGEXMATCH(A1429,"".*@hiberus.com$""),REGEXMATCH(A1429,"".*@simonbrico.es$""),regexmatch(A1429,"".*@simonelectric.com$"")),""null"",A1"&amp;"429)"),"1146@hotmail.com")</f>
        <v>1146@hotmail.com</v>
      </c>
      <c r="C1429" s="5">
        <f>IF(B1429="null","null",Descargas!B1429)</f>
        <v>43951</v>
      </c>
      <c r="D1429" s="6" t="str">
        <f>Descargas!E1429</f>
        <v>https://resources.simonelectric.com/simon-ebook-vehiculo-electrico</v>
      </c>
      <c r="E1429" s="20" t="str">
        <f t="shared" si="1"/>
        <v>1146@hotmail.com</v>
      </c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</row>
    <row r="1430" ht="15.75" customHeight="1">
      <c r="A1430" s="18" t="str">
        <f>Descargas!A1430</f>
        <v>1145@miretelectricidad.com</v>
      </c>
      <c r="B1430" s="19" t="str">
        <f>IFERROR(__xludf.DUMMYFUNCTION("IF(OR(regexmatch(A1430,"".*@simon.es$""),REGEXMATCH(A1430,"".*@simon.pt$""),REGEXMATCH(A1430,"".*@simonelectrica.com$""),REGEXMATCH(A1430,"".*@hiberus.com$""),REGEXMATCH(A1430,"".*@simonbrico.es$""),regexmatch(A1430,"".*@simonelectric.com$"")),""null"",A1"&amp;"430)"),"1145@miretelectricidad.com")</f>
        <v>1145@miretelectricidad.com</v>
      </c>
      <c r="C1430" s="5">
        <f>IF(B1430="null","null",Descargas!B1430)</f>
        <v>43951</v>
      </c>
      <c r="D1430" s="6" t="str">
        <f>Descargas!E1430</f>
        <v>https://resources.simonelectric.com/simon-catalogo-vehiculo-electrico</v>
      </c>
      <c r="E1430" s="20" t="str">
        <f t="shared" si="1"/>
        <v>1145@miretelectricidad.com</v>
      </c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</row>
    <row r="1431" ht="15.75" customHeight="1">
      <c r="A1431" s="18" t="str">
        <f>Descargas!A1431</f>
        <v>1147@magalux.es</v>
      </c>
      <c r="B1431" s="19" t="str">
        <f>IFERROR(__xludf.DUMMYFUNCTION("IF(OR(regexmatch(A1431,"".*@simon.es$""),REGEXMATCH(A1431,"".*@simon.pt$""),REGEXMATCH(A1431,"".*@simonelectrica.com$""),REGEXMATCH(A1431,"".*@hiberus.com$""),REGEXMATCH(A1431,"".*@simonbrico.es$""),regexmatch(A1431,"".*@simonelectric.com$"")),""null"",A1"&amp;"431)"),"1147@magalux.es")</f>
        <v>1147@magalux.es</v>
      </c>
      <c r="C1431" s="5">
        <f>IF(B1431="null","null",Descargas!B1431)</f>
        <v>43951</v>
      </c>
      <c r="D1431" s="6" t="str">
        <f>Descargas!E1431</f>
        <v>https://resources.simonelectric.com/simon-catalogo-vehiculo-electrico</v>
      </c>
      <c r="E1431" s="20" t="str">
        <f t="shared" si="1"/>
        <v>1147@magalux.es</v>
      </c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</row>
    <row r="1432" ht="15.75" customHeight="1">
      <c r="A1432" s="18" t="str">
        <f>Descargas!A1432</f>
        <v>1148@dipusevilla.es</v>
      </c>
      <c r="B1432" s="19" t="str">
        <f>IFERROR(__xludf.DUMMYFUNCTION("IF(OR(regexmatch(A1432,"".*@simon.es$""),REGEXMATCH(A1432,"".*@simon.pt$""),REGEXMATCH(A1432,"".*@simonelectrica.com$""),REGEXMATCH(A1432,"".*@hiberus.com$""),REGEXMATCH(A1432,"".*@simonbrico.es$""),regexmatch(A1432,"".*@simonelectric.com$"")),""null"",A1"&amp;"432)"),"1148@dipusevilla.es")</f>
        <v>1148@dipusevilla.es</v>
      </c>
      <c r="C1432" s="5">
        <f>IF(B1432="null","null",Descargas!B1432)</f>
        <v>43951</v>
      </c>
      <c r="D1432" s="6" t="str">
        <f>Descargas!E1432</f>
        <v>https://resources.simonelectric.com/simon-catalogo-vehiculo-electrico</v>
      </c>
      <c r="E1432" s="20" t="str">
        <f t="shared" si="1"/>
        <v>1148@dipusevilla.es</v>
      </c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</row>
    <row r="1433" ht="15.75" customHeight="1">
      <c r="A1433" s="18" t="str">
        <f>Descargas!A1433</f>
        <v>1149@fillsdelluissureda.cat</v>
      </c>
      <c r="B1433" s="19" t="str">
        <f>IFERROR(__xludf.DUMMYFUNCTION("IF(OR(regexmatch(A1433,"".*@simon.es$""),REGEXMATCH(A1433,"".*@simon.pt$""),REGEXMATCH(A1433,"".*@simonelectrica.com$""),REGEXMATCH(A1433,"".*@hiberus.com$""),REGEXMATCH(A1433,"".*@simonbrico.es$""),regexmatch(A1433,"".*@simonelectric.com$"")),""null"",A1"&amp;"433)"),"1149@fillsdelluissureda.cat")</f>
        <v>1149@fillsdelluissureda.cat</v>
      </c>
      <c r="C1433" s="5">
        <f>IF(B1433="null","null",Descargas!B1433)</f>
        <v>43951</v>
      </c>
      <c r="D1433" s="6" t="str">
        <f>Descargas!E1433</f>
        <v>https://resources.simonelectric.com/simon-catalogo-vehiculo-electrico</v>
      </c>
      <c r="E1433" s="20" t="str">
        <f t="shared" si="1"/>
        <v>1149@fillsdelluissureda.cat</v>
      </c>
      <c r="F1433" s="21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</row>
    <row r="1434" ht="15.75" customHeight="1">
      <c r="A1434" s="18" t="str">
        <f>Descargas!A1434</f>
        <v>209@azingenieria.es</v>
      </c>
      <c r="B1434" s="19" t="str">
        <f>IFERROR(__xludf.DUMMYFUNCTION("IF(OR(regexmatch(A1434,"".*@simon.es$""),REGEXMATCH(A1434,"".*@simon.pt$""),REGEXMATCH(A1434,"".*@simonelectrica.com$""),REGEXMATCH(A1434,"".*@hiberus.com$""),REGEXMATCH(A1434,"".*@simonbrico.es$""),regexmatch(A1434,"".*@simonelectric.com$"")),""null"",A1"&amp;"434)"),"209@azingenieria.es")</f>
        <v>209@azingenieria.es</v>
      </c>
      <c r="C1434" s="5">
        <f>IF(B1434="null","null",Descargas!B1434)</f>
        <v>43951</v>
      </c>
      <c r="D1434" s="6" t="str">
        <f>Descargas!E1434</f>
        <v>https://resources.simonelectric.com/simon-catalogo-vehiculo-electrico</v>
      </c>
      <c r="E1434" s="20" t="str">
        <f t="shared" si="1"/>
        <v>209@azingenieria.es</v>
      </c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</row>
    <row r="1435" ht="15.75" customHeight="1">
      <c r="A1435" s="18" t="str">
        <f>Descargas!A1435</f>
        <v>1150@gmail.com</v>
      </c>
      <c r="B1435" s="19" t="str">
        <f>IFERROR(__xludf.DUMMYFUNCTION("IF(OR(regexmatch(A1435,"".*@simon.es$""),REGEXMATCH(A1435,"".*@simon.pt$""),REGEXMATCH(A1435,"".*@simonelectrica.com$""),REGEXMATCH(A1435,"".*@hiberus.com$""),REGEXMATCH(A1435,"".*@simonbrico.es$""),regexmatch(A1435,"".*@simonelectric.com$"")),""null"",A1"&amp;"435)"),"1150@gmail.com")</f>
        <v>1150@gmail.com</v>
      </c>
      <c r="C1435" s="5">
        <f>IF(B1435="null","null",Descargas!B1435)</f>
        <v>43951</v>
      </c>
      <c r="D1435" s="6" t="str">
        <f>Descargas!E1435</f>
        <v>https://resources.simonelectric.com/simon-catalogo-vehiculo-electrico</v>
      </c>
      <c r="E1435" s="20" t="str">
        <f t="shared" si="1"/>
        <v>1150@gmail.com</v>
      </c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</row>
    <row r="1436" ht="15.75" customHeight="1">
      <c r="A1436" s="18" t="str">
        <f>Descargas!A1436</f>
        <v>1151@telefonica.net</v>
      </c>
      <c r="B1436" s="19" t="str">
        <f>IFERROR(__xludf.DUMMYFUNCTION("IF(OR(regexmatch(A1436,"".*@simon.es$""),REGEXMATCH(A1436,"".*@simon.pt$""),REGEXMATCH(A1436,"".*@simonelectrica.com$""),REGEXMATCH(A1436,"".*@hiberus.com$""),REGEXMATCH(A1436,"".*@simonbrico.es$""),regexmatch(A1436,"".*@simonelectric.com$"")),""null"",A1"&amp;"436)"),"1151@telefonica.net")</f>
        <v>1151@telefonica.net</v>
      </c>
      <c r="C1436" s="5">
        <f>IF(B1436="null","null",Descargas!B1436)</f>
        <v>43951</v>
      </c>
      <c r="D1436" s="6" t="str">
        <f>Descargas!E1436</f>
        <v>https://resources.simonelectric.com/simon-catalogo-vehiculo-electrico</v>
      </c>
      <c r="E1436" s="20" t="str">
        <f t="shared" si="1"/>
        <v>1151@telefonica.net</v>
      </c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</row>
    <row r="1437" ht="15.75" customHeight="1">
      <c r="A1437" s="18" t="str">
        <f>Descargas!A1437</f>
        <v>1152@lahidro.net</v>
      </c>
      <c r="B1437" s="19" t="str">
        <f>IFERROR(__xludf.DUMMYFUNCTION("IF(OR(regexmatch(A1437,"".*@simon.es$""),REGEXMATCH(A1437,"".*@simon.pt$""),REGEXMATCH(A1437,"".*@simonelectrica.com$""),REGEXMATCH(A1437,"".*@hiberus.com$""),REGEXMATCH(A1437,"".*@simonbrico.es$""),regexmatch(A1437,"".*@simonelectric.com$"")),""null"",A1"&amp;"437)"),"1152@lahidro.net")</f>
        <v>1152@lahidro.net</v>
      </c>
      <c r="C1437" s="5">
        <f>IF(B1437="null","null",Descargas!B1437)</f>
        <v>43951</v>
      </c>
      <c r="D1437" s="6" t="str">
        <f>Descargas!E1437</f>
        <v>https://resources.simonelectric.com/simon-catalogo-vehiculo-electrico</v>
      </c>
      <c r="E1437" s="20" t="str">
        <f t="shared" si="1"/>
        <v>1152@lahidro.net</v>
      </c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</row>
    <row r="1438" ht="15.75" customHeight="1">
      <c r="A1438" s="18" t="str">
        <f>Descargas!A1438</f>
        <v>1153@hotmail.com</v>
      </c>
      <c r="B1438" s="19" t="str">
        <f>IFERROR(__xludf.DUMMYFUNCTION("IF(OR(regexmatch(A1438,"".*@simon.es$""),REGEXMATCH(A1438,"".*@simon.pt$""),REGEXMATCH(A1438,"".*@simonelectrica.com$""),REGEXMATCH(A1438,"".*@hiberus.com$""),REGEXMATCH(A1438,"".*@simonbrico.es$""),regexmatch(A1438,"".*@simonelectric.com$"")),""null"",A1"&amp;"438)"),"1153@hotmail.com")</f>
        <v>1153@hotmail.com</v>
      </c>
      <c r="C1438" s="5">
        <f>IF(B1438="null","null",Descargas!B1438)</f>
        <v>43951</v>
      </c>
      <c r="D1438" s="6" t="str">
        <f>Descargas!E1438</f>
        <v>https://resources.simonelectric.com/simon-catalogo-vehiculo-electrico</v>
      </c>
      <c r="E1438" s="20" t="str">
        <f t="shared" si="1"/>
        <v>1153@hotmail.com</v>
      </c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</row>
    <row r="1439" ht="15.75" customHeight="1">
      <c r="A1439" s="18" t="str">
        <f>Descargas!A1439</f>
        <v>1154@gmail.com</v>
      </c>
      <c r="B1439" s="19" t="str">
        <f>IFERROR(__xludf.DUMMYFUNCTION("IF(OR(regexmatch(A1439,"".*@simon.es$""),REGEXMATCH(A1439,"".*@simon.pt$""),REGEXMATCH(A1439,"".*@simonelectrica.com$""),REGEXMATCH(A1439,"".*@hiberus.com$""),REGEXMATCH(A1439,"".*@simonbrico.es$""),regexmatch(A1439,"".*@simonelectric.com$"")),""null"",A1"&amp;"439)"),"1154@gmail.com")</f>
        <v>1154@gmail.com</v>
      </c>
      <c r="C1439" s="5">
        <f>IF(B1439="null","null",Descargas!B1439)</f>
        <v>43951</v>
      </c>
      <c r="D1439" s="6" t="str">
        <f>Descargas!E1439</f>
        <v>https://resources.simonelectric.com/simon-catalogo-vehiculo-electrico</v>
      </c>
      <c r="E1439" s="20" t="str">
        <f t="shared" si="1"/>
        <v>1154@gmail.com</v>
      </c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</row>
    <row r="1440" ht="15.75" customHeight="1">
      <c r="A1440" s="18" t="str">
        <f>Descargas!A1440</f>
        <v>1154@gmail.com</v>
      </c>
      <c r="B1440" s="19" t="str">
        <f>IFERROR(__xludf.DUMMYFUNCTION("IF(OR(regexmatch(A1440,"".*@simon.es$""),REGEXMATCH(A1440,"".*@simon.pt$""),REGEXMATCH(A1440,"".*@simonelectrica.com$""),REGEXMATCH(A1440,"".*@hiberus.com$""),REGEXMATCH(A1440,"".*@simonbrico.es$""),regexmatch(A1440,"".*@simonelectric.com$"")),""null"",A1"&amp;"440)"),"1154@gmail.com")</f>
        <v>1154@gmail.com</v>
      </c>
      <c r="C1440" s="5">
        <f>IF(B1440="null","null",Descargas!B1440)</f>
        <v>43951</v>
      </c>
      <c r="D1440" s="6" t="str">
        <f>Descargas!E1440</f>
        <v>https://resources.simonelectric.com/simon-catalogo-vehiculo-electrico</v>
      </c>
      <c r="E1440" s="20" t="str">
        <f t="shared" si="1"/>
        <v>1154@gmail.com</v>
      </c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</row>
    <row r="1441" ht="15.75" customHeight="1">
      <c r="A1441" s="18" t="str">
        <f>Descargas!A1441</f>
        <v>1155@mapelsl.com</v>
      </c>
      <c r="B1441" s="19" t="str">
        <f>IFERROR(__xludf.DUMMYFUNCTION("IF(OR(regexmatch(A1441,"".*@simon.es$""),REGEXMATCH(A1441,"".*@simon.pt$""),REGEXMATCH(A1441,"".*@simonelectrica.com$""),REGEXMATCH(A1441,"".*@hiberus.com$""),REGEXMATCH(A1441,"".*@simonbrico.es$""),regexmatch(A1441,"".*@simonelectric.com$"")),""null"",A1"&amp;"441)"),"1155@mapelsl.com")</f>
        <v>1155@mapelsl.com</v>
      </c>
      <c r="C1441" s="5">
        <f>IF(B1441="null","null",Descargas!B1441)</f>
        <v>43951</v>
      </c>
      <c r="D1441" s="6" t="str">
        <f>Descargas!E1441</f>
        <v>https://resources.simonelectric.com/simon-catalogo-vehiculo-electrico</v>
      </c>
      <c r="E1441" s="20" t="str">
        <f t="shared" si="1"/>
        <v>1155@mapelsl.com</v>
      </c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</row>
    <row r="1442" ht="15.75" customHeight="1">
      <c r="A1442" s="18" t="str">
        <f>Descargas!A1442</f>
        <v>1156@berrilanbim.com</v>
      </c>
      <c r="B1442" s="19" t="str">
        <f>IFERROR(__xludf.DUMMYFUNCTION("IF(OR(regexmatch(A1442,"".*@simon.es$""),REGEXMATCH(A1442,"".*@simon.pt$""),REGEXMATCH(A1442,"".*@simonelectrica.com$""),REGEXMATCH(A1442,"".*@hiberus.com$""),REGEXMATCH(A1442,"".*@simonbrico.es$""),regexmatch(A1442,"".*@simonelectric.com$"")),""null"",A1"&amp;"442)"),"1156@berrilanbim.com")</f>
        <v>1156@berrilanbim.com</v>
      </c>
      <c r="C1442" s="5">
        <f>IF(B1442="null","null",Descargas!B1442)</f>
        <v>43951</v>
      </c>
      <c r="D1442" s="6" t="str">
        <f>Descargas!E1442</f>
        <v>https://resources.simonelectric.com/simon-catalogo-vehiculo-electrico</v>
      </c>
      <c r="E1442" s="20" t="str">
        <f t="shared" si="1"/>
        <v>1156@berrilanbim.com</v>
      </c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</row>
    <row r="1443" ht="15.75" customHeight="1">
      <c r="A1443" s="18" t="str">
        <f>Descargas!A1443</f>
        <v>1157@himalayaclimatizacionycontrol.es</v>
      </c>
      <c r="B1443" s="19" t="str">
        <f>IFERROR(__xludf.DUMMYFUNCTION("IF(OR(regexmatch(A1443,"".*@simon.es$""),REGEXMATCH(A1443,"".*@simon.pt$""),REGEXMATCH(A1443,"".*@simonelectrica.com$""),REGEXMATCH(A1443,"".*@hiberus.com$""),REGEXMATCH(A1443,"".*@simonbrico.es$""),regexmatch(A1443,"".*@simonelectric.com$"")),""null"",A1"&amp;"443)"),"1157@himalayaclimatizacionycontrol.es")</f>
        <v>1157@himalayaclimatizacionycontrol.es</v>
      </c>
      <c r="C1443" s="5">
        <f>IF(B1443="null","null",Descargas!B1443)</f>
        <v>43951</v>
      </c>
      <c r="D1443" s="6" t="str">
        <f>Descargas!E1443</f>
        <v>https://resources.simonelectric.com/simon-catalogo-vehiculo-electrico</v>
      </c>
      <c r="E1443" s="20" t="str">
        <f t="shared" si="1"/>
        <v>1157@himalayaclimatizacionycontrol.es</v>
      </c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</row>
    <row r="1444" ht="15.75" customHeight="1">
      <c r="A1444" s="18" t="str">
        <f>Descargas!A1444</f>
        <v>1158@hotmail.com</v>
      </c>
      <c r="B1444" s="19" t="str">
        <f>IFERROR(__xludf.DUMMYFUNCTION("IF(OR(regexmatch(A1444,"".*@simon.es$""),REGEXMATCH(A1444,"".*@simon.pt$""),REGEXMATCH(A1444,"".*@simonelectrica.com$""),REGEXMATCH(A1444,"".*@hiberus.com$""),REGEXMATCH(A1444,"".*@simonbrico.es$""),regexmatch(A1444,"".*@simonelectric.com$"")),""null"",A1"&amp;"444)"),"1158@hotmail.com")</f>
        <v>1158@hotmail.com</v>
      </c>
      <c r="C1444" s="5">
        <f>IF(B1444="null","null",Descargas!B1444)</f>
        <v>43951</v>
      </c>
      <c r="D1444" s="6" t="str">
        <f>Descargas!E1444</f>
        <v>https://resources.simonelectric.com/simon-catalogo-vehiculo-electrico</v>
      </c>
      <c r="E1444" s="20" t="str">
        <f t="shared" si="1"/>
        <v>1158@hotmail.com</v>
      </c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</row>
    <row r="1445" ht="15.75" customHeight="1">
      <c r="A1445" s="18" t="str">
        <f>Descargas!A1445</f>
        <v>1159@birtes.com.tr</v>
      </c>
      <c r="B1445" s="19" t="str">
        <f>IFERROR(__xludf.DUMMYFUNCTION("IF(OR(regexmatch(A1445,"".*@simon.es$""),REGEXMATCH(A1445,"".*@simon.pt$""),REGEXMATCH(A1445,"".*@simonelectrica.com$""),REGEXMATCH(A1445,"".*@hiberus.com$""),REGEXMATCH(A1445,"".*@simonbrico.es$""),regexmatch(A1445,"".*@simonelectric.com$"")),""null"",A1"&amp;"445)"),"1159@birtes.com.tr")</f>
        <v>1159@birtes.com.tr</v>
      </c>
      <c r="C1445" s="5">
        <f>IF(B1445="null","null",Descargas!B1445)</f>
        <v>43951</v>
      </c>
      <c r="D1445" s="6" t="str">
        <f>Descargas!E1445</f>
        <v>https://resources.simonelectric.com/simon-catalogo-vehiculo-electrico</v>
      </c>
      <c r="E1445" s="20" t="str">
        <f t="shared" si="1"/>
        <v>1159@birtes.com.tr</v>
      </c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</row>
    <row r="1446" ht="15.75" customHeight="1">
      <c r="A1446" s="18" t="str">
        <f>Descargas!A1446</f>
        <v>1160@copcisa.com</v>
      </c>
      <c r="B1446" s="19" t="str">
        <f>IFERROR(__xludf.DUMMYFUNCTION("IF(OR(regexmatch(A1446,"".*@simon.es$""),REGEXMATCH(A1446,"".*@simon.pt$""),REGEXMATCH(A1446,"".*@simonelectrica.com$""),REGEXMATCH(A1446,"".*@hiberus.com$""),REGEXMATCH(A1446,"".*@simonbrico.es$""),regexmatch(A1446,"".*@simonelectric.com$"")),""null"",A1"&amp;"446)"),"1160@copcisa.com")</f>
        <v>1160@copcisa.com</v>
      </c>
      <c r="C1446" s="5">
        <f>IF(B1446="null","null",Descargas!B1446)</f>
        <v>43951</v>
      </c>
      <c r="D1446" s="6" t="str">
        <f>Descargas!E1446</f>
        <v>https://resources.simonelectric.com/simon-catalogo-vehiculo-electrico</v>
      </c>
      <c r="E1446" s="20" t="str">
        <f t="shared" si="1"/>
        <v>1160@copcisa.com</v>
      </c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</row>
    <row r="1447" ht="15.75" customHeight="1">
      <c r="A1447" s="18" t="str">
        <f>Descargas!A1447</f>
        <v>1161@sygsa.com</v>
      </c>
      <c r="B1447" s="19" t="str">
        <f>IFERROR(__xludf.DUMMYFUNCTION("IF(OR(regexmatch(A1447,"".*@simon.es$""),REGEXMATCH(A1447,"".*@simon.pt$""),REGEXMATCH(A1447,"".*@simonelectrica.com$""),REGEXMATCH(A1447,"".*@hiberus.com$""),REGEXMATCH(A1447,"".*@simonbrico.es$""),regexmatch(A1447,"".*@simonelectric.com$"")),""null"",A1"&amp;"447)"),"1161@sygsa.com")</f>
        <v>1161@sygsa.com</v>
      </c>
      <c r="C1447" s="5">
        <f>IF(B1447="null","null",Descargas!B1447)</f>
        <v>43951</v>
      </c>
      <c r="D1447" s="6" t="str">
        <f>Descargas!E1447</f>
        <v>https://resources.simonelectric.com/simon-catalogo-vehiculo-electrico</v>
      </c>
      <c r="E1447" s="20" t="str">
        <f t="shared" si="1"/>
        <v>1161@sygsa.com</v>
      </c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</row>
    <row r="1448" ht="15.75" customHeight="1">
      <c r="A1448" s="18" t="str">
        <f>Descargas!A1448</f>
        <v>1162@gmail.com</v>
      </c>
      <c r="B1448" s="19" t="str">
        <f>IFERROR(__xludf.DUMMYFUNCTION("IF(OR(regexmatch(A1448,"".*@simon.es$""),REGEXMATCH(A1448,"".*@simon.pt$""),REGEXMATCH(A1448,"".*@simonelectrica.com$""),REGEXMATCH(A1448,"".*@hiberus.com$""),REGEXMATCH(A1448,"".*@simonbrico.es$""),regexmatch(A1448,"".*@simonelectric.com$"")),""null"",A1"&amp;"448)"),"1162@gmail.com")</f>
        <v>1162@gmail.com</v>
      </c>
      <c r="C1448" s="5">
        <f>IF(B1448="null","null",Descargas!B1448)</f>
        <v>43951</v>
      </c>
      <c r="D1448" s="6" t="str">
        <f>Descargas!E1448</f>
        <v>https://resources.simonelectric.com/simon-catalogo-vehiculo-electrico</v>
      </c>
      <c r="E1448" s="20" t="str">
        <f t="shared" si="1"/>
        <v>1162@gmail.com</v>
      </c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</row>
    <row r="1449" ht="15.75" customHeight="1">
      <c r="A1449" s="18" t="str">
        <f>Descargas!A1449</f>
        <v>1163@instalmasa.com</v>
      </c>
      <c r="B1449" s="19" t="str">
        <f>IFERROR(__xludf.DUMMYFUNCTION("IF(OR(regexmatch(A1449,"".*@simon.es$""),REGEXMATCH(A1449,"".*@simon.pt$""),REGEXMATCH(A1449,"".*@simonelectrica.com$""),REGEXMATCH(A1449,"".*@hiberus.com$""),REGEXMATCH(A1449,"".*@simonbrico.es$""),regexmatch(A1449,"".*@simonelectric.com$"")),""null"",A1"&amp;"449)"),"1163@instalmasa.com")</f>
        <v>1163@instalmasa.com</v>
      </c>
      <c r="C1449" s="5">
        <f>IF(B1449="null","null",Descargas!B1449)</f>
        <v>43951</v>
      </c>
      <c r="D1449" s="6" t="str">
        <f>Descargas!E1449</f>
        <v>https://resources.simonelectric.com/simon-catalogo-vehiculo-electrico</v>
      </c>
      <c r="E1449" s="20" t="str">
        <f t="shared" si="1"/>
        <v>1163@instalmasa.com</v>
      </c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</row>
    <row r="1450" ht="15.75" customHeight="1">
      <c r="A1450" s="18" t="str">
        <f>Descargas!A1450</f>
        <v>1164@projecat.com</v>
      </c>
      <c r="B1450" s="19" t="str">
        <f>IFERROR(__xludf.DUMMYFUNCTION("IF(OR(regexmatch(A1450,"".*@simon.es$""),REGEXMATCH(A1450,"".*@simon.pt$""),REGEXMATCH(A1450,"".*@simonelectrica.com$""),REGEXMATCH(A1450,"".*@hiberus.com$""),REGEXMATCH(A1450,"".*@simonbrico.es$""),regexmatch(A1450,"".*@simonelectric.com$"")),""null"",A1"&amp;"450)"),"1164@projecat.com")</f>
        <v>1164@projecat.com</v>
      </c>
      <c r="C1450" s="5">
        <f>IF(B1450="null","null",Descargas!B1450)</f>
        <v>43951</v>
      </c>
      <c r="D1450" s="6" t="str">
        <f>Descargas!E1450</f>
        <v>https://resources.simonelectric.com/simon-catalogo-vehiculo-electrico</v>
      </c>
      <c r="E1450" s="20" t="str">
        <f t="shared" si="1"/>
        <v>1164@projecat.com</v>
      </c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</row>
    <row r="1451" ht="15.75" customHeight="1">
      <c r="A1451" s="18" t="str">
        <f>Descargas!A1451</f>
        <v>992@yahoo.es</v>
      </c>
      <c r="B1451" s="19" t="str">
        <f>IFERROR(__xludf.DUMMYFUNCTION("IF(OR(regexmatch(A1451,"".*@simon.es$""),REGEXMATCH(A1451,"".*@simon.pt$""),REGEXMATCH(A1451,"".*@simonelectrica.com$""),REGEXMATCH(A1451,"".*@hiberus.com$""),REGEXMATCH(A1451,"".*@simonbrico.es$""),regexmatch(A1451,"".*@simonelectric.com$"")),""null"",A1"&amp;"451)"),"992@yahoo.es")</f>
        <v>992@yahoo.es</v>
      </c>
      <c r="C1451" s="5">
        <f>IF(B1451="null","null",Descargas!B1451)</f>
        <v>43951</v>
      </c>
      <c r="D1451" s="6" t="str">
        <f>Descargas!E1451</f>
        <v>https://resources.simonelectric.com/simon-catalogo-vehiculo-electrico</v>
      </c>
      <c r="E1451" s="20" t="str">
        <f t="shared" si="1"/>
        <v>992@yahoo.es</v>
      </c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</row>
    <row r="1452" ht="15.75" customHeight="1">
      <c r="A1452" s="18" t="str">
        <f>Descargas!A1452</f>
        <v>1165@gmail.com</v>
      </c>
      <c r="B1452" s="19" t="str">
        <f>IFERROR(__xludf.DUMMYFUNCTION("IF(OR(regexmatch(A1452,"".*@simon.es$""),REGEXMATCH(A1452,"".*@simon.pt$""),REGEXMATCH(A1452,"".*@simonelectrica.com$""),REGEXMATCH(A1452,"".*@hiberus.com$""),REGEXMATCH(A1452,"".*@simonbrico.es$""),regexmatch(A1452,"".*@simonelectric.com$"")),""null"",A1"&amp;"452)"),"1165@gmail.com")</f>
        <v>1165@gmail.com</v>
      </c>
      <c r="C1452" s="5">
        <f>IF(B1452="null","null",Descargas!B1452)</f>
        <v>43951</v>
      </c>
      <c r="D1452" s="6" t="str">
        <f>Descargas!E1452</f>
        <v>https://resources.simonelectric.com/simon-catalogo-vehiculo-electrico</v>
      </c>
      <c r="E1452" s="20" t="str">
        <f t="shared" si="1"/>
        <v>1165@gmail.com</v>
      </c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</row>
    <row r="1453" ht="15.75" customHeight="1">
      <c r="A1453" s="18" t="str">
        <f>Descargas!A1453</f>
        <v>1166@hotmail.com</v>
      </c>
      <c r="B1453" s="19" t="str">
        <f>IFERROR(__xludf.DUMMYFUNCTION("IF(OR(regexmatch(A1453,"".*@simon.es$""),REGEXMATCH(A1453,"".*@simon.pt$""),REGEXMATCH(A1453,"".*@simonelectrica.com$""),REGEXMATCH(A1453,"".*@hiberus.com$""),REGEXMATCH(A1453,"".*@simonbrico.es$""),regexmatch(A1453,"".*@simonelectric.com$"")),""null"",A1"&amp;"453)"),"1166@hotmail.com")</f>
        <v>1166@hotmail.com</v>
      </c>
      <c r="C1453" s="5">
        <f>IF(B1453="null","null",Descargas!B1453)</f>
        <v>43951</v>
      </c>
      <c r="D1453" s="6" t="str">
        <f>Descargas!E1453</f>
        <v>https://resources.simonelectric.com/simon-catalogo-vehiculo-electrico</v>
      </c>
      <c r="E1453" s="20" t="str">
        <f t="shared" si="1"/>
        <v>1166@hotmail.com</v>
      </c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</row>
    <row r="1454" ht="15.75" customHeight="1">
      <c r="A1454" s="18" t="str">
        <f>Descargas!A1454</f>
        <v>1167@tselsur.es</v>
      </c>
      <c r="B1454" s="19" t="str">
        <f>IFERROR(__xludf.DUMMYFUNCTION("IF(OR(regexmatch(A1454,"".*@simon.es$""),REGEXMATCH(A1454,"".*@simon.pt$""),REGEXMATCH(A1454,"".*@simonelectrica.com$""),REGEXMATCH(A1454,"".*@hiberus.com$""),REGEXMATCH(A1454,"".*@simonbrico.es$""),regexmatch(A1454,"".*@simonelectric.com$"")),""null"",A1"&amp;"454)"),"1167@tselsur.es")</f>
        <v>1167@tselsur.es</v>
      </c>
      <c r="C1454" s="5">
        <f>IF(B1454="null","null",Descargas!B1454)</f>
        <v>43951</v>
      </c>
      <c r="D1454" s="6" t="str">
        <f>Descargas!E1454</f>
        <v>https://resources.simonelectric.com/simon-catalogo-vehiculo-electrico</v>
      </c>
      <c r="E1454" s="20" t="str">
        <f t="shared" si="1"/>
        <v>1167@tselsur.es</v>
      </c>
      <c r="F1454" s="21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</row>
    <row r="1455" ht="15.75" customHeight="1">
      <c r="A1455" s="18" t="str">
        <f>Descargas!A1455</f>
        <v>1168@renaultpineda.com</v>
      </c>
      <c r="B1455" s="19" t="str">
        <f>IFERROR(__xludf.DUMMYFUNCTION("IF(OR(regexmatch(A1455,"".*@simon.es$""),REGEXMATCH(A1455,"".*@simon.pt$""),REGEXMATCH(A1455,"".*@simonelectrica.com$""),REGEXMATCH(A1455,"".*@hiberus.com$""),REGEXMATCH(A1455,"".*@simonbrico.es$""),regexmatch(A1455,"".*@simonelectric.com$"")),""null"",A1"&amp;"455)"),"1168@renaultpineda.com")</f>
        <v>1168@renaultpineda.com</v>
      </c>
      <c r="C1455" s="5">
        <f>IF(B1455="null","null",Descargas!B1455)</f>
        <v>43951</v>
      </c>
      <c r="D1455" s="6" t="str">
        <f>Descargas!E1455</f>
        <v>https://resources.simonelectric.com/simon-catalogo-vehiculo-electrico</v>
      </c>
      <c r="E1455" s="20" t="str">
        <f t="shared" si="1"/>
        <v>1168@renaultpineda.com</v>
      </c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</row>
    <row r="1456" ht="15.75" customHeight="1">
      <c r="A1456" s="18" t="str">
        <f>Descargas!A1456</f>
        <v>1169@gmail.com</v>
      </c>
      <c r="B1456" s="19" t="str">
        <f>IFERROR(__xludf.DUMMYFUNCTION("IF(OR(regexmatch(A1456,"".*@simon.es$""),REGEXMATCH(A1456,"".*@simon.pt$""),REGEXMATCH(A1456,"".*@simonelectrica.com$""),REGEXMATCH(A1456,"".*@hiberus.com$""),REGEXMATCH(A1456,"".*@simonbrico.es$""),regexmatch(A1456,"".*@simonelectric.com$"")),""null"",A1"&amp;"456)"),"1169@gmail.com")</f>
        <v>1169@gmail.com</v>
      </c>
      <c r="C1456" s="5">
        <f>IF(B1456="null","null",Descargas!B1456)</f>
        <v>43951</v>
      </c>
      <c r="D1456" s="6" t="str">
        <f>Descargas!E1456</f>
        <v>https://resources.simonelectric.com/simon-catalogo-vehiculo-electrico</v>
      </c>
      <c r="E1456" s="20" t="str">
        <f t="shared" si="1"/>
        <v>1169@gmail.com</v>
      </c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</row>
    <row r="1457" ht="15.75" customHeight="1">
      <c r="A1457" s="18" t="str">
        <f>Descargas!A1457</f>
        <v>349@dipualba.es</v>
      </c>
      <c r="B1457" s="19" t="str">
        <f>IFERROR(__xludf.DUMMYFUNCTION("IF(OR(regexmatch(A1457,"".*@simon.es$""),REGEXMATCH(A1457,"".*@simon.pt$""),REGEXMATCH(A1457,"".*@simonelectrica.com$""),REGEXMATCH(A1457,"".*@hiberus.com$""),REGEXMATCH(A1457,"".*@simonbrico.es$""),regexmatch(A1457,"".*@simonelectric.com$"")),""null"",A1"&amp;"457)"),"349@dipualba.es")</f>
        <v>349@dipualba.es</v>
      </c>
      <c r="C1457" s="5">
        <f>IF(B1457="null","null",Descargas!B1457)</f>
        <v>43951</v>
      </c>
      <c r="D1457" s="6" t="str">
        <f>Descargas!E1457</f>
        <v>https://resources.simonelectric.com/simon-catalogo-vehiculo-electrico</v>
      </c>
      <c r="E1457" s="20" t="str">
        <f t="shared" si="1"/>
        <v>349@dipualba.es</v>
      </c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</row>
    <row r="1458" ht="15.75" customHeight="1">
      <c r="A1458" s="18" t="str">
        <f>Descargas!A1458</f>
        <v>1170@lahidro.net</v>
      </c>
      <c r="B1458" s="19" t="str">
        <f>IFERROR(__xludf.DUMMYFUNCTION("IF(OR(regexmatch(A1458,"".*@simon.es$""),REGEXMATCH(A1458,"".*@simon.pt$""),REGEXMATCH(A1458,"".*@simonelectrica.com$""),REGEXMATCH(A1458,"".*@hiberus.com$""),REGEXMATCH(A1458,"".*@simonbrico.es$""),regexmatch(A1458,"".*@simonelectric.com$"")),""null"",A1"&amp;"458)"),"1170@lahidro.net")</f>
        <v>1170@lahidro.net</v>
      </c>
      <c r="C1458" s="5">
        <f>IF(B1458="null","null",Descargas!B1458)</f>
        <v>43951</v>
      </c>
      <c r="D1458" s="6" t="str">
        <f>Descargas!E1458</f>
        <v>https://resources.simonelectric.com/simon-catalogo-vehiculo-electrico</v>
      </c>
      <c r="E1458" s="20" t="str">
        <f t="shared" si="1"/>
        <v>1170@lahidro.net</v>
      </c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</row>
    <row r="1459" ht="15.75" customHeight="1">
      <c r="A1459" s="18" t="str">
        <f>Descargas!A1459</f>
        <v>1171@albaida.es</v>
      </c>
      <c r="B1459" s="19" t="str">
        <f>IFERROR(__xludf.DUMMYFUNCTION("IF(OR(regexmatch(A1459,"".*@simon.es$""),REGEXMATCH(A1459,"".*@simon.pt$""),REGEXMATCH(A1459,"".*@simonelectrica.com$""),REGEXMATCH(A1459,"".*@hiberus.com$""),REGEXMATCH(A1459,"".*@simonbrico.es$""),regexmatch(A1459,"".*@simonelectric.com$"")),""null"",A1"&amp;"459)"),"1171@albaida.es")</f>
        <v>1171@albaida.es</v>
      </c>
      <c r="C1459" s="5">
        <f>IF(B1459="null","null",Descargas!B1459)</f>
        <v>43951</v>
      </c>
      <c r="D1459" s="6" t="str">
        <f>Descargas!E1459</f>
        <v>https://resources.simonelectric.com/simon-catalogo-vehiculo-electrico</v>
      </c>
      <c r="E1459" s="20" t="str">
        <f t="shared" si="1"/>
        <v>1171@albaida.es</v>
      </c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</row>
    <row r="1460" ht="15.75" customHeight="1">
      <c r="A1460" s="18" t="str">
        <f>Descargas!A1460</f>
        <v>1172@sunkatel.com</v>
      </c>
      <c r="B1460" s="19" t="str">
        <f>IFERROR(__xludf.DUMMYFUNCTION("IF(OR(regexmatch(A1460,"".*@simon.es$""),REGEXMATCH(A1460,"".*@simon.pt$""),REGEXMATCH(A1460,"".*@simonelectrica.com$""),REGEXMATCH(A1460,"".*@hiberus.com$""),REGEXMATCH(A1460,"".*@simonbrico.es$""),regexmatch(A1460,"".*@simonelectric.com$"")),""null"",A1"&amp;"460)"),"1172@sunkatel.com")</f>
        <v>1172@sunkatel.com</v>
      </c>
      <c r="C1460" s="5">
        <f>IF(B1460="null","null",Descargas!B1460)</f>
        <v>43951</v>
      </c>
      <c r="D1460" s="6" t="str">
        <f>Descargas!E1460</f>
        <v>https://resources.simonelectric.com/simon-catalogo-vehiculo-electrico</v>
      </c>
      <c r="E1460" s="20" t="str">
        <f t="shared" si="1"/>
        <v>1172@sunkatel.com</v>
      </c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</row>
    <row r="1461" ht="15.75" customHeight="1">
      <c r="A1461" s="18" t="str">
        <f>Descargas!A1461</f>
        <v>1173@vifrisan.com</v>
      </c>
      <c r="B1461" s="19" t="str">
        <f>IFERROR(__xludf.DUMMYFUNCTION("IF(OR(regexmatch(A1461,"".*@simon.es$""),REGEXMATCH(A1461,"".*@simon.pt$""),REGEXMATCH(A1461,"".*@simonelectrica.com$""),REGEXMATCH(A1461,"".*@hiberus.com$""),REGEXMATCH(A1461,"".*@simonbrico.es$""),regexmatch(A1461,"".*@simonelectric.com$"")),""null"",A1"&amp;"461)"),"1173@vifrisan.com")</f>
        <v>1173@vifrisan.com</v>
      </c>
      <c r="C1461" s="5">
        <f>IF(B1461="null","null",Descargas!B1461)</f>
        <v>43951</v>
      </c>
      <c r="D1461" s="6" t="str">
        <f>Descargas!E1461</f>
        <v>https://resources.simonelectric.com/simon-catalogo-vehiculo-electrico</v>
      </c>
      <c r="E1461" s="20" t="str">
        <f t="shared" si="1"/>
        <v>1173@vifrisan.com</v>
      </c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</row>
    <row r="1462" ht="15.75" customHeight="1">
      <c r="A1462" s="18" t="str">
        <f>Descargas!A1462</f>
        <v>1174@alem.es</v>
      </c>
      <c r="B1462" s="19" t="str">
        <f>IFERROR(__xludf.DUMMYFUNCTION("IF(OR(regexmatch(A1462,"".*@simon.es$""),REGEXMATCH(A1462,"".*@simon.pt$""),REGEXMATCH(A1462,"".*@simonelectrica.com$""),REGEXMATCH(A1462,"".*@hiberus.com$""),REGEXMATCH(A1462,"".*@simonbrico.es$""),regexmatch(A1462,"".*@simonelectric.com$"")),""null"",A1"&amp;"462)"),"1174@alem.es")</f>
        <v>1174@alem.es</v>
      </c>
      <c r="C1462" s="5">
        <f>IF(B1462="null","null",Descargas!B1462)</f>
        <v>43951</v>
      </c>
      <c r="D1462" s="6" t="str">
        <f>Descargas!E1462</f>
        <v>https://resources.simonelectric.com/simon-catalogo-vehiculo-electrico</v>
      </c>
      <c r="E1462" s="20" t="str">
        <f t="shared" si="1"/>
        <v>1174@alem.es</v>
      </c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</row>
    <row r="1463" ht="15.75" customHeight="1">
      <c r="A1463" s="18" t="str">
        <f>Descargas!A1463</f>
        <v>1175@gmail.com</v>
      </c>
      <c r="B1463" s="19" t="str">
        <f>IFERROR(__xludf.DUMMYFUNCTION("IF(OR(regexmatch(A1463,"".*@simon.es$""),REGEXMATCH(A1463,"".*@simon.pt$""),REGEXMATCH(A1463,"".*@simonelectrica.com$""),REGEXMATCH(A1463,"".*@hiberus.com$""),REGEXMATCH(A1463,"".*@simonbrico.es$""),regexmatch(A1463,"".*@simonelectric.com$"")),""null"",A1"&amp;"463)"),"1175@gmail.com")</f>
        <v>1175@gmail.com</v>
      </c>
      <c r="C1463" s="5">
        <f>IF(B1463="null","null",Descargas!B1463)</f>
        <v>43951</v>
      </c>
      <c r="D1463" s="6" t="str">
        <f>Descargas!E1463</f>
        <v>https://resources.simonelectric.com/simon-catalogo-vehiculo-electrico</v>
      </c>
      <c r="E1463" s="20" t="str">
        <f t="shared" si="1"/>
        <v>1175@gmail.com</v>
      </c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</row>
    <row r="1464" ht="15.75" customHeight="1">
      <c r="A1464" s="18" t="str">
        <f>Descargas!A1464</f>
        <v>1176@gmail.com</v>
      </c>
      <c r="B1464" s="19" t="str">
        <f>IFERROR(__xludf.DUMMYFUNCTION("IF(OR(regexmatch(A1464,"".*@simon.es$""),REGEXMATCH(A1464,"".*@simon.pt$""),REGEXMATCH(A1464,"".*@simonelectrica.com$""),REGEXMATCH(A1464,"".*@hiberus.com$""),REGEXMATCH(A1464,"".*@simonbrico.es$""),regexmatch(A1464,"".*@simonelectric.com$"")),""null"",A1"&amp;"464)"),"1176@gmail.com")</f>
        <v>1176@gmail.com</v>
      </c>
      <c r="C1464" s="5">
        <f>IF(B1464="null","null",Descargas!B1464)</f>
        <v>43951</v>
      </c>
      <c r="D1464" s="6" t="str">
        <f>Descargas!E1464</f>
        <v>https://resources.simonelectric.com/simon-catalogo-vehiculo-electrico</v>
      </c>
      <c r="E1464" s="20" t="str">
        <f t="shared" si="1"/>
        <v>1176@gmail.com</v>
      </c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</row>
    <row r="1465" ht="15.75" customHeight="1">
      <c r="A1465" s="18" t="str">
        <f>Descargas!A1465</f>
        <v>1177@imte.cat</v>
      </c>
      <c r="B1465" s="19" t="str">
        <f>IFERROR(__xludf.DUMMYFUNCTION("IF(OR(regexmatch(A1465,"".*@simon.es$""),REGEXMATCH(A1465,"".*@simon.pt$""),REGEXMATCH(A1465,"".*@simonelectrica.com$""),REGEXMATCH(A1465,"".*@hiberus.com$""),REGEXMATCH(A1465,"".*@simonbrico.es$""),regexmatch(A1465,"".*@simonelectric.com$"")),""null"",A1"&amp;"465)"),"1177@imte.cat")</f>
        <v>1177@imte.cat</v>
      </c>
      <c r="C1465" s="5">
        <f>IF(B1465="null","null",Descargas!B1465)</f>
        <v>43951</v>
      </c>
      <c r="D1465" s="6" t="str">
        <f>Descargas!E1465</f>
        <v>https://resources.simonelectric.com/simon-catalogo-vehiculo-electrico</v>
      </c>
      <c r="E1465" s="20" t="str">
        <f t="shared" si="1"/>
        <v>1177@imte.cat</v>
      </c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</row>
    <row r="1466" ht="15.75" customHeight="1">
      <c r="A1466" s="18" t="str">
        <f>Descargas!A1466</f>
        <v>1178@hotmail.com</v>
      </c>
      <c r="B1466" s="19" t="str">
        <f>IFERROR(__xludf.DUMMYFUNCTION("IF(OR(regexmatch(A1466,"".*@simon.es$""),REGEXMATCH(A1466,"".*@simon.pt$""),REGEXMATCH(A1466,"".*@simonelectrica.com$""),REGEXMATCH(A1466,"".*@hiberus.com$""),REGEXMATCH(A1466,"".*@simonbrico.es$""),regexmatch(A1466,"".*@simonelectric.com$"")),""null"",A1"&amp;"466)"),"1178@hotmail.com")</f>
        <v>1178@hotmail.com</v>
      </c>
      <c r="C1466" s="5">
        <f>IF(B1466="null","null",Descargas!B1466)</f>
        <v>43951</v>
      </c>
      <c r="D1466" s="6" t="str">
        <f>Descargas!E1466</f>
        <v>https://resources.simonelectric.com/simon-catalogo-vehiculo-electrico</v>
      </c>
      <c r="E1466" s="20" t="str">
        <f t="shared" si="1"/>
        <v>1178@hotmail.com</v>
      </c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</row>
    <row r="1467" ht="15.75" customHeight="1">
      <c r="A1467" s="18" t="str">
        <f>Descargas!A1467</f>
        <v>1179@hotmail.com</v>
      </c>
      <c r="B1467" s="19" t="str">
        <f>IFERROR(__xludf.DUMMYFUNCTION("IF(OR(regexmatch(A1467,"".*@simon.es$""),REGEXMATCH(A1467,"".*@simon.pt$""),REGEXMATCH(A1467,"".*@simonelectrica.com$""),REGEXMATCH(A1467,"".*@hiberus.com$""),REGEXMATCH(A1467,"".*@simonbrico.es$""),regexmatch(A1467,"".*@simonelectric.com$"")),""null"",A1"&amp;"467)"),"1179@hotmail.com")</f>
        <v>1179@hotmail.com</v>
      </c>
      <c r="C1467" s="5">
        <f>IF(B1467="null","null",Descargas!B1467)</f>
        <v>43951</v>
      </c>
      <c r="D1467" s="6" t="str">
        <f>Descargas!E1467</f>
        <v>https://resources.simonelectric.com/simon-catalogo-vehiculo-electrico</v>
      </c>
      <c r="E1467" s="20" t="str">
        <f t="shared" si="1"/>
        <v>1179@hotmail.com</v>
      </c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</row>
    <row r="1468" ht="15.75" customHeight="1">
      <c r="A1468" s="18" t="str">
        <f>Descargas!A1468</f>
        <v>1180@sonepar.es</v>
      </c>
      <c r="B1468" s="19" t="str">
        <f>IFERROR(__xludf.DUMMYFUNCTION("IF(OR(regexmatch(A1468,"".*@simon.es$""),REGEXMATCH(A1468,"".*@simon.pt$""),REGEXMATCH(A1468,"".*@simonelectrica.com$""),REGEXMATCH(A1468,"".*@hiberus.com$""),REGEXMATCH(A1468,"".*@simonbrico.es$""),regexmatch(A1468,"".*@simonelectric.com$"")),""null"",A1"&amp;"468)"),"1180@sonepar.es")</f>
        <v>1180@sonepar.es</v>
      </c>
      <c r="C1468" s="5">
        <f>IF(B1468="null","null",Descargas!B1468)</f>
        <v>43951</v>
      </c>
      <c r="D1468" s="6" t="str">
        <f>Descargas!E1468</f>
        <v>https://resources.simonelectric.com/simon-catalogo-vehiculo-electrico</v>
      </c>
      <c r="E1468" s="20" t="str">
        <f t="shared" si="1"/>
        <v>1180@sonepar.es</v>
      </c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</row>
    <row r="1469" ht="15.75" customHeight="1">
      <c r="A1469" s="18" t="str">
        <f>Descargas!A1469</f>
        <v>1181@mapfre.com</v>
      </c>
      <c r="B1469" s="19" t="str">
        <f>IFERROR(__xludf.DUMMYFUNCTION("IF(OR(regexmatch(A1469,"".*@simon.es$""),REGEXMATCH(A1469,"".*@simon.pt$""),REGEXMATCH(A1469,"".*@simonelectrica.com$""),REGEXMATCH(A1469,"".*@hiberus.com$""),REGEXMATCH(A1469,"".*@simonbrico.es$""),regexmatch(A1469,"".*@simonelectric.com$"")),""null"",A1"&amp;"469)"),"1181@mapfre.com")</f>
        <v>1181@mapfre.com</v>
      </c>
      <c r="C1469" s="5">
        <f>IF(B1469="null","null",Descargas!B1469)</f>
        <v>43951</v>
      </c>
      <c r="D1469" s="6" t="str">
        <f>Descargas!E1469</f>
        <v>https://resources.simonelectric.com/simon-catalogo-vehiculo-electrico</v>
      </c>
      <c r="E1469" s="20" t="str">
        <f t="shared" si="1"/>
        <v>1181@mapfre.com</v>
      </c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</row>
    <row r="1470" ht="15.75" customHeight="1">
      <c r="A1470" s="18" t="str">
        <f>Descargas!A1470</f>
        <v>1182@damm.es</v>
      </c>
      <c r="B1470" s="19" t="str">
        <f>IFERROR(__xludf.DUMMYFUNCTION("IF(OR(regexmatch(A1470,"".*@simon.es$""),REGEXMATCH(A1470,"".*@simon.pt$""),REGEXMATCH(A1470,"".*@simonelectrica.com$""),REGEXMATCH(A1470,"".*@hiberus.com$""),REGEXMATCH(A1470,"".*@simonbrico.es$""),regexmatch(A1470,"".*@simonelectric.com$"")),""null"",A1"&amp;"470)"),"1182@damm.es")</f>
        <v>1182@damm.es</v>
      </c>
      <c r="C1470" s="5">
        <f>IF(B1470="null","null",Descargas!B1470)</f>
        <v>43951</v>
      </c>
      <c r="D1470" s="6" t="str">
        <f>Descargas!E1470</f>
        <v>https://resources.simonelectric.com/simon-catalogo-vehiculo-electrico</v>
      </c>
      <c r="E1470" s="20" t="str">
        <f t="shared" si="1"/>
        <v>1182@damm.es</v>
      </c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</row>
    <row r="1471" ht="15.75" customHeight="1">
      <c r="A1471" s="18" t="str">
        <f>Descargas!A1471</f>
        <v>1003@gmail.com</v>
      </c>
      <c r="B1471" s="19" t="str">
        <f>IFERROR(__xludf.DUMMYFUNCTION("IF(OR(regexmatch(A1471,"".*@simon.es$""),REGEXMATCH(A1471,"".*@simon.pt$""),REGEXMATCH(A1471,"".*@simonelectrica.com$""),REGEXMATCH(A1471,"".*@hiberus.com$""),REGEXMATCH(A1471,"".*@simonbrico.es$""),regexmatch(A1471,"".*@simonelectric.com$"")),""null"",A1"&amp;"471)"),"1003@gmail.com")</f>
        <v>1003@gmail.com</v>
      </c>
      <c r="C1471" s="5">
        <f>IF(B1471="null","null",Descargas!B1471)</f>
        <v>43951</v>
      </c>
      <c r="D1471" s="6" t="str">
        <f>Descargas!E1471</f>
        <v>https://resources.simonelectric.com/simon-catalogo-vehiculo-electrico</v>
      </c>
      <c r="E1471" s="20" t="str">
        <f t="shared" si="1"/>
        <v>1003@gmail.com</v>
      </c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</row>
    <row r="1472" ht="15.75" customHeight="1">
      <c r="A1472" s="18" t="str">
        <f>Descargas!A1472</f>
        <v>1183@ddisl.com</v>
      </c>
      <c r="B1472" s="19" t="str">
        <f>IFERROR(__xludf.DUMMYFUNCTION("IF(OR(regexmatch(A1472,"".*@simon.es$""),REGEXMATCH(A1472,"".*@simon.pt$""),REGEXMATCH(A1472,"".*@simonelectrica.com$""),REGEXMATCH(A1472,"".*@hiberus.com$""),REGEXMATCH(A1472,"".*@simonbrico.es$""),regexmatch(A1472,"".*@simonelectric.com$"")),""null"",A1"&amp;"472)"),"1183@ddisl.com")</f>
        <v>1183@ddisl.com</v>
      </c>
      <c r="C1472" s="5">
        <f>IF(B1472="null","null",Descargas!B1472)</f>
        <v>43951</v>
      </c>
      <c r="D1472" s="6" t="str">
        <f>Descargas!E1472</f>
        <v>https://resources.simonelectric.com/simon-catalogo-vehiculo-electrico</v>
      </c>
      <c r="E1472" s="20" t="str">
        <f t="shared" si="1"/>
        <v>1183@ddisl.com</v>
      </c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</row>
    <row r="1473" ht="15.75" customHeight="1">
      <c r="A1473" s="18" t="str">
        <f>Descargas!A1473</f>
        <v>1184@tecmotica.net</v>
      </c>
      <c r="B1473" s="19" t="str">
        <f>IFERROR(__xludf.DUMMYFUNCTION("IF(OR(regexmatch(A1473,"".*@simon.es$""),REGEXMATCH(A1473,"".*@simon.pt$""),REGEXMATCH(A1473,"".*@simonelectrica.com$""),REGEXMATCH(A1473,"".*@hiberus.com$""),REGEXMATCH(A1473,"".*@simonbrico.es$""),regexmatch(A1473,"".*@simonelectric.com$"")),""null"",A1"&amp;"473)"),"1184@tecmotica.net")</f>
        <v>1184@tecmotica.net</v>
      </c>
      <c r="C1473" s="5">
        <f>IF(B1473="null","null",Descargas!B1473)</f>
        <v>43951</v>
      </c>
      <c r="D1473" s="6" t="str">
        <f>Descargas!E1473</f>
        <v>https://resources.simonelectric.com/simon-catalogo-vehiculo-electrico</v>
      </c>
      <c r="E1473" s="20" t="str">
        <f t="shared" si="1"/>
        <v>1184@tecmotica.net</v>
      </c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</row>
    <row r="1474" ht="15.75" customHeight="1">
      <c r="A1474" s="18" t="str">
        <f>Descargas!A1474</f>
        <v>1185@lmretavi.es</v>
      </c>
      <c r="B1474" s="19" t="str">
        <f>IFERROR(__xludf.DUMMYFUNCTION("IF(OR(regexmatch(A1474,"".*@simon.es$""),REGEXMATCH(A1474,"".*@simon.pt$""),REGEXMATCH(A1474,"".*@simonelectrica.com$""),REGEXMATCH(A1474,"".*@hiberus.com$""),REGEXMATCH(A1474,"".*@simonbrico.es$""),regexmatch(A1474,"".*@simonelectric.com$"")),""null"",A1"&amp;"474)"),"1185@lmretavi.es")</f>
        <v>1185@lmretavi.es</v>
      </c>
      <c r="C1474" s="5">
        <f>IF(B1474="null","null",Descargas!B1474)</f>
        <v>43951</v>
      </c>
      <c r="D1474" s="6" t="str">
        <f>Descargas!E1474</f>
        <v>https://resources.simonelectric.com/simon-catalogo-vehiculo-electrico</v>
      </c>
      <c r="E1474" s="20" t="str">
        <f t="shared" si="1"/>
        <v>1185@lmretavi.es</v>
      </c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</row>
    <row r="1475" ht="15.75" customHeight="1">
      <c r="A1475" s="18" t="str">
        <f>Descargas!A1475</f>
        <v>1186@gmail.com</v>
      </c>
      <c r="B1475" s="19" t="str">
        <f>IFERROR(__xludf.DUMMYFUNCTION("IF(OR(regexmatch(A1475,"".*@simon.es$""),REGEXMATCH(A1475,"".*@simon.pt$""),REGEXMATCH(A1475,"".*@simonelectrica.com$""),REGEXMATCH(A1475,"".*@hiberus.com$""),REGEXMATCH(A1475,"".*@simonbrico.es$""),regexmatch(A1475,"".*@simonelectric.com$"")),""null"",A1"&amp;"475)"),"1186@gmail.com")</f>
        <v>1186@gmail.com</v>
      </c>
      <c r="C1475" s="5">
        <f>IF(B1475="null","null",Descargas!B1475)</f>
        <v>43951</v>
      </c>
      <c r="D1475" s="6" t="str">
        <f>Descargas!E1475</f>
        <v>https://resources.simonelectric.com/simon-catalogo-vehiculo-electrico</v>
      </c>
      <c r="E1475" s="20" t="str">
        <f t="shared" si="1"/>
        <v>1186@gmail.com</v>
      </c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</row>
    <row r="1476" ht="15.75" customHeight="1">
      <c r="A1476" s="18" t="str">
        <f>Descargas!A1476</f>
        <v>1187@gmail.com</v>
      </c>
      <c r="B1476" s="19" t="str">
        <f>IFERROR(__xludf.DUMMYFUNCTION("IF(OR(regexmatch(A1476,"".*@simon.es$""),REGEXMATCH(A1476,"".*@simon.pt$""),REGEXMATCH(A1476,"".*@simonelectrica.com$""),REGEXMATCH(A1476,"".*@hiberus.com$""),REGEXMATCH(A1476,"".*@simonbrico.es$""),regexmatch(A1476,"".*@simonelectric.com$"")),""null"",A1"&amp;"476)"),"1187@gmail.com")</f>
        <v>1187@gmail.com</v>
      </c>
      <c r="C1476" s="5">
        <f>IF(B1476="null","null",Descargas!B1476)</f>
        <v>43951</v>
      </c>
      <c r="D1476" s="6" t="str">
        <f>Descargas!E1476</f>
        <v>https://resources.simonelectric.com/simon-catalogo-vehiculo-electrico</v>
      </c>
      <c r="E1476" s="20" t="str">
        <f t="shared" si="1"/>
        <v>1187@gmail.com</v>
      </c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</row>
    <row r="1477" ht="15.75" customHeight="1">
      <c r="A1477" s="18" t="str">
        <f>Descargas!A1477</f>
        <v>1188@gmail.com</v>
      </c>
      <c r="B1477" s="19" t="str">
        <f>IFERROR(__xludf.DUMMYFUNCTION("IF(OR(regexmatch(A1477,"".*@simon.es$""),REGEXMATCH(A1477,"".*@simon.pt$""),REGEXMATCH(A1477,"".*@simonelectrica.com$""),REGEXMATCH(A1477,"".*@hiberus.com$""),REGEXMATCH(A1477,"".*@simonbrico.es$""),regexmatch(A1477,"".*@simonelectric.com$"")),""null"",A1"&amp;"477)"),"1188@gmail.com")</f>
        <v>1188@gmail.com</v>
      </c>
      <c r="C1477" s="5">
        <f>IF(B1477="null","null",Descargas!B1477)</f>
        <v>43951</v>
      </c>
      <c r="D1477" s="6" t="str">
        <f>Descargas!E1477</f>
        <v>https://resources.simonelectric.com/simon-catalogo-vehiculo-electrico</v>
      </c>
      <c r="E1477" s="20" t="str">
        <f t="shared" si="1"/>
        <v>1188@gmail.com</v>
      </c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</row>
    <row r="1478" ht="15.75" customHeight="1">
      <c r="A1478" s="18" t="str">
        <f>Descargas!A1478</f>
        <v>1189@gmail.com</v>
      </c>
      <c r="B1478" s="19" t="str">
        <f>IFERROR(__xludf.DUMMYFUNCTION("IF(OR(regexmatch(A1478,"".*@simon.es$""),REGEXMATCH(A1478,"".*@simon.pt$""),REGEXMATCH(A1478,"".*@simonelectrica.com$""),REGEXMATCH(A1478,"".*@hiberus.com$""),REGEXMATCH(A1478,"".*@simonbrico.es$""),regexmatch(A1478,"".*@simonelectric.com$"")),""null"",A1"&amp;"478)"),"1189@gmail.com")</f>
        <v>1189@gmail.com</v>
      </c>
      <c r="C1478" s="5">
        <f>IF(B1478="null","null",Descargas!B1478)</f>
        <v>43951</v>
      </c>
      <c r="D1478" s="6" t="str">
        <f>Descargas!E1478</f>
        <v>https://resources.simonelectric.com/simon-catalogo-vehiculo-electrico</v>
      </c>
      <c r="E1478" s="20" t="str">
        <f t="shared" si="1"/>
        <v>1189@gmail.com</v>
      </c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</row>
    <row r="1479" ht="15.75" customHeight="1">
      <c r="A1479" s="18" t="str">
        <f>Descargas!A1479</f>
        <v>1190@telecable.es</v>
      </c>
      <c r="B1479" s="19" t="str">
        <f>IFERROR(__xludf.DUMMYFUNCTION("IF(OR(regexmatch(A1479,"".*@simon.es$""),REGEXMATCH(A1479,"".*@simon.pt$""),REGEXMATCH(A1479,"".*@simonelectrica.com$""),REGEXMATCH(A1479,"".*@hiberus.com$""),REGEXMATCH(A1479,"".*@simonbrico.es$""),regexmatch(A1479,"".*@simonelectric.com$"")),""null"",A1"&amp;"479)"),"1190@telecable.es")</f>
        <v>1190@telecable.es</v>
      </c>
      <c r="C1479" s="5">
        <f>IF(B1479="null","null",Descargas!B1479)</f>
        <v>43951</v>
      </c>
      <c r="D1479" s="6" t="str">
        <f>Descargas!E1479</f>
        <v>https://resources.simonelectric.com/simon-catalogo-vehiculo-electrico</v>
      </c>
      <c r="E1479" s="20" t="str">
        <f t="shared" si="1"/>
        <v>1190@telecable.es</v>
      </c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</row>
    <row r="1480" ht="15.75" customHeight="1">
      <c r="A1480" s="18" t="str">
        <f>Descargas!A1480</f>
        <v>1191@tinet.fut.es</v>
      </c>
      <c r="B1480" s="19" t="str">
        <f>IFERROR(__xludf.DUMMYFUNCTION("IF(OR(regexmatch(A1480,"".*@simon.es$""),REGEXMATCH(A1480,"".*@simon.pt$""),REGEXMATCH(A1480,"".*@simonelectrica.com$""),REGEXMATCH(A1480,"".*@hiberus.com$""),REGEXMATCH(A1480,"".*@simonbrico.es$""),regexmatch(A1480,"".*@simonelectric.com$"")),""null"",A1"&amp;"480)"),"1191@tinet.fut.es")</f>
        <v>1191@tinet.fut.es</v>
      </c>
      <c r="C1480" s="5">
        <f>IF(B1480="null","null",Descargas!B1480)</f>
        <v>43951</v>
      </c>
      <c r="D1480" s="6" t="str">
        <f>Descargas!E1480</f>
        <v>https://resources.simonelectric.com/simon-ebook-vehiculo-electrico-ppc</v>
      </c>
      <c r="E1480" s="20" t="str">
        <f t="shared" si="1"/>
        <v>1191@tinet.fut.es</v>
      </c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</row>
    <row r="1481" ht="15.75" customHeight="1">
      <c r="A1481" s="18" t="str">
        <f>Descargas!A1481</f>
        <v>1192@toyota-canarias.es</v>
      </c>
      <c r="B1481" s="19" t="str">
        <f>IFERROR(__xludf.DUMMYFUNCTION("IF(OR(regexmatch(A1481,"".*@simon.es$""),REGEXMATCH(A1481,"".*@simon.pt$""),REGEXMATCH(A1481,"".*@simonelectrica.com$""),REGEXMATCH(A1481,"".*@hiberus.com$""),REGEXMATCH(A1481,"".*@simonbrico.es$""),regexmatch(A1481,"".*@simonelectric.com$"")),""null"",A1"&amp;"481)"),"1192@toyota-canarias.es")</f>
        <v>1192@toyota-canarias.es</v>
      </c>
      <c r="C1481" s="5">
        <f>IF(B1481="null","null",Descargas!B1481)</f>
        <v>43951</v>
      </c>
      <c r="D1481" s="6" t="str">
        <f>Descargas!E1481</f>
        <v>https://resources.simonelectric.com/simon-ebook-vehiculo-electrico-ppc</v>
      </c>
      <c r="E1481" s="20" t="str">
        <f t="shared" si="1"/>
        <v>1192@toyota-canarias.es</v>
      </c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</row>
    <row r="1482" ht="15.75" customHeight="1">
      <c r="A1482" s="18" t="str">
        <f>Descargas!A1482</f>
        <v>1193@grupoelectrostocks.com</v>
      </c>
      <c r="B1482" s="19" t="str">
        <f>IFERROR(__xludf.DUMMYFUNCTION("IF(OR(regexmatch(A1482,"".*@simon.es$""),REGEXMATCH(A1482,"".*@simon.pt$""),REGEXMATCH(A1482,"".*@simonelectrica.com$""),REGEXMATCH(A1482,"".*@hiberus.com$""),REGEXMATCH(A1482,"".*@simonbrico.es$""),regexmatch(A1482,"".*@simonelectric.com$"")),""null"",A1"&amp;"482)"),"1193@grupoelectrostocks.com")</f>
        <v>1193@grupoelectrostocks.com</v>
      </c>
      <c r="C1482" s="5">
        <f>IF(B1482="null","null",Descargas!B1482)</f>
        <v>43951</v>
      </c>
      <c r="D1482" s="6" t="str">
        <f>Descargas!E1482</f>
        <v>https://resources.simonelectric.com/simon-catalogo-vehiculo-electrico</v>
      </c>
      <c r="E1482" s="20" t="str">
        <f t="shared" si="1"/>
        <v>1193@grupoelectrostocks.com</v>
      </c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</row>
    <row r="1483" ht="15.75" customHeight="1">
      <c r="A1483" s="18" t="str">
        <f>Descargas!A1483</f>
        <v>219@gmail.com</v>
      </c>
      <c r="B1483" s="19" t="str">
        <f>IFERROR(__xludf.DUMMYFUNCTION("IF(OR(regexmatch(A1483,"".*@simon.es$""),REGEXMATCH(A1483,"".*@simon.pt$""),REGEXMATCH(A1483,"".*@simonelectrica.com$""),REGEXMATCH(A1483,"".*@hiberus.com$""),REGEXMATCH(A1483,"".*@simonbrico.es$""),regexmatch(A1483,"".*@simonelectric.com$"")),""null"",A1"&amp;"483)"),"219@gmail.com")</f>
        <v>219@gmail.com</v>
      </c>
      <c r="C1483" s="5">
        <f>IF(B1483="null","null",Descargas!B1483)</f>
        <v>43951</v>
      </c>
      <c r="D1483" s="6" t="str">
        <f>Descargas!E1483</f>
        <v>https://resources.simonelectric.com/simon-catalogo-vehiculo-electrico</v>
      </c>
      <c r="E1483" s="20" t="str">
        <f t="shared" si="1"/>
        <v>219@gmail.com</v>
      </c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</row>
    <row r="1484" ht="15.75" customHeight="1">
      <c r="A1484" s="18" t="str">
        <f>Descargas!A1484</f>
        <v>1194@hotmail.com</v>
      </c>
      <c r="B1484" s="19" t="str">
        <f>IFERROR(__xludf.DUMMYFUNCTION("IF(OR(regexmatch(A1484,"".*@simon.es$""),REGEXMATCH(A1484,"".*@simon.pt$""),REGEXMATCH(A1484,"".*@simonelectrica.com$""),REGEXMATCH(A1484,"".*@hiberus.com$""),REGEXMATCH(A1484,"".*@simonbrico.es$""),regexmatch(A1484,"".*@simonelectric.com$"")),""null"",A1"&amp;"484)"),"1194@hotmail.com")</f>
        <v>1194@hotmail.com</v>
      </c>
      <c r="C1484" s="5">
        <f>IF(B1484="null","null",Descargas!B1484)</f>
        <v>43951</v>
      </c>
      <c r="D1484" s="6" t="str">
        <f>Descargas!E1484</f>
        <v>https://resources.simonelectric.com/simon-catalogo-vehiculo-electrico</v>
      </c>
      <c r="E1484" s="20" t="str">
        <f t="shared" si="1"/>
        <v>1194@hotmail.com</v>
      </c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</row>
    <row r="1485" ht="15.75" customHeight="1">
      <c r="A1485" s="18" t="str">
        <f>Descargas!A1485</f>
        <v>1195@gmail.com</v>
      </c>
      <c r="B1485" s="19" t="str">
        <f>IFERROR(__xludf.DUMMYFUNCTION("IF(OR(regexmatch(A1485,"".*@simon.es$""),REGEXMATCH(A1485,"".*@simon.pt$""),REGEXMATCH(A1485,"".*@simonelectrica.com$""),REGEXMATCH(A1485,"".*@hiberus.com$""),REGEXMATCH(A1485,"".*@simonbrico.es$""),regexmatch(A1485,"".*@simonelectric.com$"")),""null"",A1"&amp;"485)"),"1195@gmail.com")</f>
        <v>1195@gmail.com</v>
      </c>
      <c r="C1485" s="5">
        <f>IF(B1485="null","null",Descargas!B1485)</f>
        <v>43951</v>
      </c>
      <c r="D1485" s="6" t="str">
        <f>Descargas!E1485</f>
        <v>https://resources.simonelectric.com/simon-catalogo-vehiculo-electrico</v>
      </c>
      <c r="E1485" s="20" t="str">
        <f t="shared" si="1"/>
        <v>1195@gmail.com</v>
      </c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</row>
    <row r="1486" ht="15.75" customHeight="1">
      <c r="A1486" s="18" t="str">
        <f>Descargas!A1486</f>
        <v>1196@hotmail.com</v>
      </c>
      <c r="B1486" s="19" t="str">
        <f>IFERROR(__xludf.DUMMYFUNCTION("IF(OR(regexmatch(A1486,"".*@simon.es$""),REGEXMATCH(A1486,"".*@simon.pt$""),REGEXMATCH(A1486,"".*@simonelectrica.com$""),REGEXMATCH(A1486,"".*@hiberus.com$""),REGEXMATCH(A1486,"".*@simonbrico.es$""),regexmatch(A1486,"".*@simonelectric.com$"")),""null"",A1"&amp;"486)"),"1196@hotmail.com")</f>
        <v>1196@hotmail.com</v>
      </c>
      <c r="C1486" s="5">
        <f>IF(B1486="null","null",Descargas!B1486)</f>
        <v>43950</v>
      </c>
      <c r="D1486" s="6" t="str">
        <f>Descargas!E1486</f>
        <v>https://resources.simonelectric.com/simon-catalogo-vehiculo-electrico</v>
      </c>
      <c r="E1486" s="20" t="str">
        <f t="shared" si="1"/>
        <v>1196@hotmail.com</v>
      </c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</row>
    <row r="1487" ht="15.75" customHeight="1">
      <c r="A1487" s="18" t="str">
        <f>Descargas!A1487</f>
        <v>1197@electricidadcelec.com</v>
      </c>
      <c r="B1487" s="19" t="str">
        <f>IFERROR(__xludf.DUMMYFUNCTION("IF(OR(regexmatch(A1487,"".*@simon.es$""),REGEXMATCH(A1487,"".*@simon.pt$""),REGEXMATCH(A1487,"".*@simonelectrica.com$""),REGEXMATCH(A1487,"".*@hiberus.com$""),REGEXMATCH(A1487,"".*@simonbrico.es$""),regexmatch(A1487,"".*@simonelectric.com$"")),""null"",A1"&amp;"487)"),"1197@electricidadcelec.com")</f>
        <v>1197@electricidadcelec.com</v>
      </c>
      <c r="C1487" s="5">
        <f>IF(B1487="null","null",Descargas!B1487)</f>
        <v>43950</v>
      </c>
      <c r="D1487" s="6" t="str">
        <f>Descargas!E1487</f>
        <v>https://resources.simonelectric.com/simon-catalogo-vehiculo-electrico</v>
      </c>
      <c r="E1487" s="20" t="str">
        <f t="shared" si="1"/>
        <v>1197@electricidadcelec.com</v>
      </c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</row>
    <row r="1488" ht="15.75" customHeight="1">
      <c r="A1488" s="18" t="str">
        <f>Descargas!A1488</f>
        <v>1198@hotmail.com</v>
      </c>
      <c r="B1488" s="19" t="str">
        <f>IFERROR(__xludf.DUMMYFUNCTION("IF(OR(regexmatch(A1488,"".*@simon.es$""),REGEXMATCH(A1488,"".*@simon.pt$""),REGEXMATCH(A1488,"".*@simonelectrica.com$""),REGEXMATCH(A1488,"".*@hiberus.com$""),REGEXMATCH(A1488,"".*@simonbrico.es$""),regexmatch(A1488,"".*@simonelectric.com$"")),""null"",A1"&amp;"488)"),"1198@hotmail.com")</f>
        <v>1198@hotmail.com</v>
      </c>
      <c r="C1488" s="5">
        <f>IF(B1488="null","null",Descargas!B1488)</f>
        <v>43950</v>
      </c>
      <c r="D1488" s="6" t="str">
        <f>Descargas!E1488</f>
        <v>https://resources.simonelectric.com/simon-catalogo-vehiculo-electrico</v>
      </c>
      <c r="E1488" s="20" t="str">
        <f t="shared" si="1"/>
        <v>1198@hotmail.com</v>
      </c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</row>
    <row r="1489" ht="15.75" customHeight="1">
      <c r="A1489" s="18" t="str">
        <f>Descargas!A1489</f>
        <v>1199@qwerty.es</v>
      </c>
      <c r="B1489" s="19" t="str">
        <f>IFERROR(__xludf.DUMMYFUNCTION("IF(OR(regexmatch(A1489,"".*@simon.es$""),REGEXMATCH(A1489,"".*@simon.pt$""),REGEXMATCH(A1489,"".*@simonelectrica.com$""),REGEXMATCH(A1489,"".*@hiberus.com$""),REGEXMATCH(A1489,"".*@simonbrico.es$""),regexmatch(A1489,"".*@simonelectric.com$"")),""null"",A1"&amp;"489)"),"1199@qwerty.es")</f>
        <v>1199@qwerty.es</v>
      </c>
      <c r="C1489" s="5">
        <f>IF(B1489="null","null",Descargas!B1489)</f>
        <v>43950</v>
      </c>
      <c r="D1489" s="6" t="str">
        <f>Descargas!E1489</f>
        <v>https://resources.simonelectric.com/simon-catalogo-vehiculo-electrico</v>
      </c>
      <c r="E1489" s="20" t="str">
        <f t="shared" si="1"/>
        <v>1199@qwerty.es</v>
      </c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</row>
    <row r="1490" ht="15.75" customHeight="1">
      <c r="A1490" s="18" t="str">
        <f>Descargas!A1490</f>
        <v>1200@gg.com</v>
      </c>
      <c r="B1490" s="19" t="str">
        <f>IFERROR(__xludf.DUMMYFUNCTION("IF(OR(regexmatch(A1490,"".*@simon.es$""),REGEXMATCH(A1490,"".*@simon.pt$""),REGEXMATCH(A1490,"".*@simonelectrica.com$""),REGEXMATCH(A1490,"".*@hiberus.com$""),REGEXMATCH(A1490,"".*@simonbrico.es$""),regexmatch(A1490,"".*@simonelectric.com$"")),""null"",A1"&amp;"490)"),"1200@gg.com")</f>
        <v>1200@gg.com</v>
      </c>
      <c r="C1490" s="5">
        <f>IF(B1490="null","null",Descargas!B1490)</f>
        <v>43950</v>
      </c>
      <c r="D1490" s="6" t="str">
        <f>Descargas!E1490</f>
        <v>https://resources.simonelectric.com/simon-catalogo-vehiculo-electrico</v>
      </c>
      <c r="E1490" s="20" t="str">
        <f t="shared" si="1"/>
        <v>1200@gg.com</v>
      </c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</row>
    <row r="1491" ht="15.75" customHeight="1">
      <c r="A1491" s="18" t="str">
        <f>Descargas!A1491</f>
        <v>1201@yahoo.es</v>
      </c>
      <c r="B1491" s="19" t="str">
        <f>IFERROR(__xludf.DUMMYFUNCTION("IF(OR(regexmatch(A1491,"".*@simon.es$""),REGEXMATCH(A1491,"".*@simon.pt$""),REGEXMATCH(A1491,"".*@simonelectrica.com$""),REGEXMATCH(A1491,"".*@hiberus.com$""),REGEXMATCH(A1491,"".*@simonbrico.es$""),regexmatch(A1491,"".*@simonelectric.com$"")),""null"",A1"&amp;"491)"),"1201@yahoo.es")</f>
        <v>1201@yahoo.es</v>
      </c>
      <c r="C1491" s="5">
        <f>IF(B1491="null","null",Descargas!B1491)</f>
        <v>43950</v>
      </c>
      <c r="D1491" s="6" t="str">
        <f>Descargas!E1491</f>
        <v>https://resources.simonelectric.com/simon-catalogo-vehiculo-electrico</v>
      </c>
      <c r="E1491" s="20" t="str">
        <f t="shared" si="1"/>
        <v>1201@yahoo.es</v>
      </c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</row>
    <row r="1492" ht="15.75" customHeight="1">
      <c r="A1492" s="18" t="str">
        <f>Descargas!A1492</f>
        <v>1202@gmail.com</v>
      </c>
      <c r="B1492" s="19" t="str">
        <f>IFERROR(__xludf.DUMMYFUNCTION("IF(OR(regexmatch(A1492,"".*@simon.es$""),REGEXMATCH(A1492,"".*@simon.pt$""),REGEXMATCH(A1492,"".*@simonelectrica.com$""),REGEXMATCH(A1492,"".*@hiberus.com$""),REGEXMATCH(A1492,"".*@simonbrico.es$""),regexmatch(A1492,"".*@simonelectric.com$"")),""null"",A1"&amp;"492)"),"1202@gmail.com")</f>
        <v>1202@gmail.com</v>
      </c>
      <c r="C1492" s="5">
        <f>IF(B1492="null","null",Descargas!B1492)</f>
        <v>43950</v>
      </c>
      <c r="D1492" s="6" t="str">
        <f>Descargas!E1492</f>
        <v>https://resources.simonelectric.com/simon-catalogo-vehiculo-electrico</v>
      </c>
      <c r="E1492" s="20" t="str">
        <f t="shared" si="1"/>
        <v>1202@gmail.com</v>
      </c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</row>
    <row r="1493" ht="15.75" customHeight="1">
      <c r="A1493" s="18" t="str">
        <f>Descargas!A1493</f>
        <v>1203@smarthaus.studio</v>
      </c>
      <c r="B1493" s="19" t="str">
        <f>IFERROR(__xludf.DUMMYFUNCTION("IF(OR(regexmatch(A1493,"".*@simon.es$""),REGEXMATCH(A1493,"".*@simon.pt$""),REGEXMATCH(A1493,"".*@simonelectrica.com$""),REGEXMATCH(A1493,"".*@hiberus.com$""),REGEXMATCH(A1493,"".*@simonbrico.es$""),regexmatch(A1493,"".*@simonelectric.com$"")),""null"",A1"&amp;"493)"),"1203@smarthaus.studio")</f>
        <v>1203@smarthaus.studio</v>
      </c>
      <c r="C1493" s="5">
        <f>IF(B1493="null","null",Descargas!B1493)</f>
        <v>43950</v>
      </c>
      <c r="D1493" s="6" t="str">
        <f>Descargas!E1493</f>
        <v>https://resources.simonelectric.com/simon-catalogo-vehiculo-electrico</v>
      </c>
      <c r="E1493" s="20" t="str">
        <f t="shared" si="1"/>
        <v>1203@smarthaus.studio</v>
      </c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</row>
    <row r="1494" ht="15.75" customHeight="1">
      <c r="A1494" s="18" t="str">
        <f>Descargas!A1494</f>
        <v>1204@me.com</v>
      </c>
      <c r="B1494" s="19" t="str">
        <f>IFERROR(__xludf.DUMMYFUNCTION("IF(OR(regexmatch(A1494,"".*@simon.es$""),REGEXMATCH(A1494,"".*@simon.pt$""),REGEXMATCH(A1494,"".*@simonelectrica.com$""),REGEXMATCH(A1494,"".*@hiberus.com$""),REGEXMATCH(A1494,"".*@simonbrico.es$""),regexmatch(A1494,"".*@simonelectric.com$"")),""null"",A1"&amp;"494)"),"1204@me.com")</f>
        <v>1204@me.com</v>
      </c>
      <c r="C1494" s="5">
        <f>IF(B1494="null","null",Descargas!B1494)</f>
        <v>43950</v>
      </c>
      <c r="D1494" s="6" t="str">
        <f>Descargas!E1494</f>
        <v>https://resources.simonelectric.com/simon-catalogo-vehiculo-electrico</v>
      </c>
      <c r="E1494" s="20" t="str">
        <f t="shared" si="1"/>
        <v>1204@me.com</v>
      </c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</row>
    <row r="1495" ht="15.75" customHeight="1">
      <c r="A1495" s="18" t="str">
        <f>Descargas!A1495</f>
        <v>1205@telefonica.net</v>
      </c>
      <c r="B1495" s="19" t="str">
        <f>IFERROR(__xludf.DUMMYFUNCTION("IF(OR(regexmatch(A1495,"".*@simon.es$""),REGEXMATCH(A1495,"".*@simon.pt$""),REGEXMATCH(A1495,"".*@simonelectrica.com$""),REGEXMATCH(A1495,"".*@hiberus.com$""),REGEXMATCH(A1495,"".*@simonbrico.es$""),regexmatch(A1495,"".*@simonelectric.com$"")),""null"",A1"&amp;"495)"),"1205@telefonica.net")</f>
        <v>1205@telefonica.net</v>
      </c>
      <c r="C1495" s="5">
        <f>IF(B1495="null","null",Descargas!B1495)</f>
        <v>43950</v>
      </c>
      <c r="D1495" s="6" t="str">
        <f>Descargas!E1495</f>
        <v>https://resources.simonelectric.com/simon-catalogo-vehiculo-electrico</v>
      </c>
      <c r="E1495" s="20" t="str">
        <f t="shared" si="1"/>
        <v>1205@telefonica.net</v>
      </c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</row>
    <row r="1496" ht="15.75" customHeight="1">
      <c r="A1496" s="18" t="str">
        <f>Descargas!A1496</f>
        <v>1206@gmail.com</v>
      </c>
      <c r="B1496" s="19" t="str">
        <f>IFERROR(__xludf.DUMMYFUNCTION("IF(OR(regexmatch(A1496,"".*@simon.es$""),REGEXMATCH(A1496,"".*@simon.pt$""),REGEXMATCH(A1496,"".*@simonelectrica.com$""),REGEXMATCH(A1496,"".*@hiberus.com$""),REGEXMATCH(A1496,"".*@simonbrico.es$""),regexmatch(A1496,"".*@simonelectric.com$"")),""null"",A1"&amp;"496)"),"1206@gmail.com")</f>
        <v>1206@gmail.com</v>
      </c>
      <c r="C1496" s="5">
        <f>IF(B1496="null","null",Descargas!B1496)</f>
        <v>43950</v>
      </c>
      <c r="D1496" s="6" t="str">
        <f>Descargas!E1496</f>
        <v>https://resources.simonelectric.com/simon-catalogo-vehiculo-electrico</v>
      </c>
      <c r="E1496" s="20" t="str">
        <f t="shared" si="1"/>
        <v>1206@gmail.com</v>
      </c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</row>
    <row r="1497" ht="15.75" customHeight="1">
      <c r="A1497" s="18" t="str">
        <f>Descargas!A1497</f>
        <v>1207@gmail.com</v>
      </c>
      <c r="B1497" s="19" t="str">
        <f>IFERROR(__xludf.DUMMYFUNCTION("IF(OR(regexmatch(A1497,"".*@simon.es$""),REGEXMATCH(A1497,"".*@simon.pt$""),REGEXMATCH(A1497,"".*@simonelectrica.com$""),REGEXMATCH(A1497,"".*@hiberus.com$""),REGEXMATCH(A1497,"".*@simonbrico.es$""),regexmatch(A1497,"".*@simonelectric.com$"")),""null"",A1"&amp;"497)"),"1207@gmail.com")</f>
        <v>1207@gmail.com</v>
      </c>
      <c r="C1497" s="5">
        <f>IF(B1497="null","null",Descargas!B1497)</f>
        <v>43950</v>
      </c>
      <c r="D1497" s="6" t="str">
        <f>Descargas!E1497</f>
        <v>https://resources.simonelectric.com/simon-catalogo-vehiculo-electrico</v>
      </c>
      <c r="E1497" s="20" t="str">
        <f t="shared" si="1"/>
        <v>1207@gmail.com</v>
      </c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</row>
    <row r="1498" ht="15.75" customHeight="1">
      <c r="A1498" s="18" t="str">
        <f>Descargas!A1498</f>
        <v>1208@gmail.com</v>
      </c>
      <c r="B1498" s="19" t="str">
        <f>IFERROR(__xludf.DUMMYFUNCTION("IF(OR(regexmatch(A1498,"".*@simon.es$""),REGEXMATCH(A1498,"".*@simon.pt$""),REGEXMATCH(A1498,"".*@simonelectrica.com$""),REGEXMATCH(A1498,"".*@hiberus.com$""),REGEXMATCH(A1498,"".*@simonbrico.es$""),regexmatch(A1498,"".*@simonelectric.com$"")),""null"",A1"&amp;"498)"),"1208@gmail.com")</f>
        <v>1208@gmail.com</v>
      </c>
      <c r="C1498" s="5">
        <f>IF(B1498="null","null",Descargas!B1498)</f>
        <v>43950</v>
      </c>
      <c r="D1498" s="6" t="str">
        <f>Descargas!E1498</f>
        <v>https://resources.simonelectric.com/simon-catalogo-vehiculo-electrico</v>
      </c>
      <c r="E1498" s="20" t="str">
        <f t="shared" si="1"/>
        <v>1208@gmail.com</v>
      </c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</row>
    <row r="1499" ht="15.75" customHeight="1">
      <c r="A1499" s="18" t="str">
        <f>Descargas!A1499</f>
        <v>1209@hotmail.es</v>
      </c>
      <c r="B1499" s="19" t="str">
        <f>IFERROR(__xludf.DUMMYFUNCTION("IF(OR(regexmatch(A1499,"".*@simon.es$""),REGEXMATCH(A1499,"".*@simon.pt$""),REGEXMATCH(A1499,"".*@simonelectrica.com$""),REGEXMATCH(A1499,"".*@hiberus.com$""),REGEXMATCH(A1499,"".*@simonbrico.es$""),regexmatch(A1499,"".*@simonelectric.com$"")),""null"",A1"&amp;"499)"),"1209@hotmail.es")</f>
        <v>1209@hotmail.es</v>
      </c>
      <c r="C1499" s="5">
        <f>IF(B1499="null","null",Descargas!B1499)</f>
        <v>43950</v>
      </c>
      <c r="D1499" s="6" t="str">
        <f>Descargas!E1499</f>
        <v>https://resources.simonelectric.com/simon-catalogo-vehiculo-electrico</v>
      </c>
      <c r="E1499" s="20" t="str">
        <f t="shared" si="1"/>
        <v>1209@hotmail.es</v>
      </c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</row>
    <row r="1500" ht="15.75" customHeight="1">
      <c r="A1500" s="18" t="str">
        <f>Descargas!A1500</f>
        <v>1210@pepepower.es</v>
      </c>
      <c r="B1500" s="19" t="str">
        <f>IFERROR(__xludf.DUMMYFUNCTION("IF(OR(regexmatch(A1500,"".*@simon.es$""),REGEXMATCH(A1500,"".*@simon.pt$""),REGEXMATCH(A1500,"".*@simonelectrica.com$""),REGEXMATCH(A1500,"".*@hiberus.com$""),REGEXMATCH(A1500,"".*@simonbrico.es$""),regexmatch(A1500,"".*@simonelectric.com$"")),""null"",A1"&amp;"500)"),"1210@pepepower.es")</f>
        <v>1210@pepepower.es</v>
      </c>
      <c r="C1500" s="5">
        <f>IF(B1500="null","null",Descargas!B1500)</f>
        <v>43950</v>
      </c>
      <c r="D1500" s="6" t="str">
        <f>Descargas!E1500</f>
        <v>https://resources.simonelectric.com/simon-catalogo-vehiculo-electrico</v>
      </c>
      <c r="E1500" s="20" t="str">
        <f t="shared" si="1"/>
        <v>1210@pepepower.es</v>
      </c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</row>
    <row r="1501" ht="15.75" customHeight="1">
      <c r="A1501" s="18" t="str">
        <f>Descargas!A1501</f>
        <v>1211@outlook.es</v>
      </c>
      <c r="B1501" s="19" t="str">
        <f>IFERROR(__xludf.DUMMYFUNCTION("IF(OR(regexmatch(A1501,"".*@simon.es$""),REGEXMATCH(A1501,"".*@simon.pt$""),REGEXMATCH(A1501,"".*@simonelectrica.com$""),REGEXMATCH(A1501,"".*@hiberus.com$""),REGEXMATCH(A1501,"".*@simonbrico.es$""),regexmatch(A1501,"".*@simonelectric.com$"")),""null"",A1"&amp;"501)"),"1211@outlook.es")</f>
        <v>1211@outlook.es</v>
      </c>
      <c r="C1501" s="5">
        <f>IF(B1501="null","null",Descargas!B1501)</f>
        <v>43950</v>
      </c>
      <c r="D1501" s="6" t="str">
        <f>Descargas!E1501</f>
        <v>https://resources.simonelectric.com/simon-catalogo-vehiculo-electrico</v>
      </c>
      <c r="E1501" s="20" t="str">
        <f t="shared" si="1"/>
        <v>1211@outlook.es</v>
      </c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</row>
    <row r="1502" ht="15.75" customHeight="1">
      <c r="A1502" s="18" t="str">
        <f>Descargas!A1502</f>
        <v>1212@hotmail.com</v>
      </c>
      <c r="B1502" s="19" t="str">
        <f>IFERROR(__xludf.DUMMYFUNCTION("IF(OR(regexmatch(A1502,"".*@simon.es$""),REGEXMATCH(A1502,"".*@simon.pt$""),REGEXMATCH(A1502,"".*@simonelectrica.com$""),REGEXMATCH(A1502,"".*@hiberus.com$""),REGEXMATCH(A1502,"".*@simonbrico.es$""),regexmatch(A1502,"".*@simonelectric.com$"")),""null"",A1"&amp;"502)"),"1212@hotmail.com")</f>
        <v>1212@hotmail.com</v>
      </c>
      <c r="C1502" s="5">
        <f>IF(B1502="null","null",Descargas!B1502)</f>
        <v>43950</v>
      </c>
      <c r="D1502" s="6" t="str">
        <f>Descargas!E1502</f>
        <v>https://resources.simonelectric.com/simon-catalogo-vehiculo-electrico</v>
      </c>
      <c r="E1502" s="20" t="str">
        <f t="shared" si="1"/>
        <v>1212@hotmail.com</v>
      </c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</row>
    <row r="1503" ht="15.75" customHeight="1">
      <c r="A1503" s="18" t="str">
        <f>Descargas!A1503</f>
        <v>1213@hotmail.com</v>
      </c>
      <c r="B1503" s="19" t="str">
        <f>IFERROR(__xludf.DUMMYFUNCTION("IF(OR(regexmatch(A1503,"".*@simon.es$""),REGEXMATCH(A1503,"".*@simon.pt$""),REGEXMATCH(A1503,"".*@simonelectrica.com$""),REGEXMATCH(A1503,"".*@hiberus.com$""),REGEXMATCH(A1503,"".*@simonbrico.es$""),regexmatch(A1503,"".*@simonelectric.com$"")),""null"",A1"&amp;"503)"),"1213@hotmail.com")</f>
        <v>1213@hotmail.com</v>
      </c>
      <c r="C1503" s="5">
        <f>IF(B1503="null","null",Descargas!B1503)</f>
        <v>43950</v>
      </c>
      <c r="D1503" s="6" t="str">
        <f>Descargas!E1503</f>
        <v>https://resources.simonelectric.com/simon-catalogo-vehiculo-electrico</v>
      </c>
      <c r="E1503" s="20" t="str">
        <f t="shared" si="1"/>
        <v>1213@hotmail.com</v>
      </c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</row>
    <row r="1504" ht="15.75" customHeight="1">
      <c r="A1504" s="18" t="str">
        <f>Descargas!A1504</f>
        <v>1214@gmail.com</v>
      </c>
      <c r="B1504" s="19" t="str">
        <f>IFERROR(__xludf.DUMMYFUNCTION("IF(OR(regexmatch(A1504,"".*@simon.es$""),REGEXMATCH(A1504,"".*@simon.pt$""),REGEXMATCH(A1504,"".*@simonelectrica.com$""),REGEXMATCH(A1504,"".*@hiberus.com$""),REGEXMATCH(A1504,"".*@simonbrico.es$""),regexmatch(A1504,"".*@simonelectric.com$"")),""null"",A1"&amp;"504)"),"1214@gmail.com")</f>
        <v>1214@gmail.com</v>
      </c>
      <c r="C1504" s="5">
        <f>IF(B1504="null","null",Descargas!B1504)</f>
        <v>43950</v>
      </c>
      <c r="D1504" s="6" t="str">
        <f>Descargas!E1504</f>
        <v>https://resources.simonelectric.com/simon-catalogo-vehiculo-electrico</v>
      </c>
      <c r="E1504" s="20" t="str">
        <f t="shared" si="1"/>
        <v>1214@gmail.com</v>
      </c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</row>
    <row r="1505" ht="15.75" customHeight="1">
      <c r="A1505" s="18" t="str">
        <f>Descargas!A1505</f>
        <v>1215@subis.cat</v>
      </c>
      <c r="B1505" s="19" t="str">
        <f>IFERROR(__xludf.DUMMYFUNCTION("IF(OR(regexmatch(A1505,"".*@simon.es$""),REGEXMATCH(A1505,"".*@simon.pt$""),REGEXMATCH(A1505,"".*@simonelectrica.com$""),REGEXMATCH(A1505,"".*@hiberus.com$""),REGEXMATCH(A1505,"".*@simonbrico.es$""),regexmatch(A1505,"".*@simonelectric.com$"")),""null"",A1"&amp;"505)"),"1215@subis.cat")</f>
        <v>1215@subis.cat</v>
      </c>
      <c r="C1505" s="5">
        <f>IF(B1505="null","null",Descargas!B1505)</f>
        <v>43950</v>
      </c>
      <c r="D1505" s="6" t="str">
        <f>Descargas!E1505</f>
        <v>https://resources.simonelectric.com/simon-catalogo-vehiculo-electrico</v>
      </c>
      <c r="E1505" s="20" t="str">
        <f t="shared" si="1"/>
        <v>1215@subis.cat</v>
      </c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</row>
    <row r="1506" ht="15.75" customHeight="1">
      <c r="A1506" s="18" t="str">
        <f>Descargas!A1506</f>
        <v>1216@gmail.com</v>
      </c>
      <c r="B1506" s="19" t="str">
        <f>IFERROR(__xludf.DUMMYFUNCTION("IF(OR(regexmatch(A1506,"".*@simon.es$""),REGEXMATCH(A1506,"".*@simon.pt$""),REGEXMATCH(A1506,"".*@simonelectrica.com$""),REGEXMATCH(A1506,"".*@hiberus.com$""),REGEXMATCH(A1506,"".*@simonbrico.es$""),regexmatch(A1506,"".*@simonelectric.com$"")),""null"",A1"&amp;"506)"),"1216@gmail.com")</f>
        <v>1216@gmail.com</v>
      </c>
      <c r="C1506" s="5">
        <f>IF(B1506="null","null",Descargas!B1506)</f>
        <v>43950</v>
      </c>
      <c r="D1506" s="6" t="str">
        <f>Descargas!E1506</f>
        <v>https://resources.simonelectric.com/simon-catalogo-vehiculo-electrico</v>
      </c>
      <c r="E1506" s="20" t="str">
        <f t="shared" si="1"/>
        <v>1216@gmail.com</v>
      </c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</row>
    <row r="1507" ht="15.75" customHeight="1">
      <c r="A1507" s="18" t="str">
        <f>Descargas!A1507</f>
        <v>1217@gmail.com</v>
      </c>
      <c r="B1507" s="19" t="str">
        <f>IFERROR(__xludf.DUMMYFUNCTION("IF(OR(regexmatch(A1507,"".*@simon.es$""),REGEXMATCH(A1507,"".*@simon.pt$""),REGEXMATCH(A1507,"".*@simonelectrica.com$""),REGEXMATCH(A1507,"".*@hiberus.com$""),REGEXMATCH(A1507,"".*@simonbrico.es$""),regexmatch(A1507,"".*@simonelectric.com$"")),""null"",A1"&amp;"507)"),"1217@gmail.com")</f>
        <v>1217@gmail.com</v>
      </c>
      <c r="C1507" s="5">
        <f>IF(B1507="null","null",Descargas!B1507)</f>
        <v>43950</v>
      </c>
      <c r="D1507" s="6" t="str">
        <f>Descargas!E1507</f>
        <v>https://resources.simonelectric.com/simon-catalogo-vehiculo-electrico</v>
      </c>
      <c r="E1507" s="20" t="str">
        <f t="shared" si="1"/>
        <v>1217@gmail.com</v>
      </c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</row>
    <row r="1508" ht="15.75" customHeight="1">
      <c r="A1508" s="18" t="str">
        <f>Descargas!A1508</f>
        <v>1218@gmail.com</v>
      </c>
      <c r="B1508" s="19" t="str">
        <f>IFERROR(__xludf.DUMMYFUNCTION("IF(OR(regexmatch(A1508,"".*@simon.es$""),REGEXMATCH(A1508,"".*@simon.pt$""),REGEXMATCH(A1508,"".*@simonelectrica.com$""),REGEXMATCH(A1508,"".*@hiberus.com$""),REGEXMATCH(A1508,"".*@simonbrico.es$""),regexmatch(A1508,"".*@simonelectric.com$"")),""null"",A1"&amp;"508)"),"1218@gmail.com")</f>
        <v>1218@gmail.com</v>
      </c>
      <c r="C1508" s="5">
        <f>IF(B1508="null","null",Descargas!B1508)</f>
        <v>43950</v>
      </c>
      <c r="D1508" s="6" t="str">
        <f>Descargas!E1508</f>
        <v>https://resources.simonelectric.com/simon-catalogo-vehiculo-electrico</v>
      </c>
      <c r="E1508" s="20" t="str">
        <f t="shared" si="1"/>
        <v>1218@gmail.com</v>
      </c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</row>
    <row r="1509" ht="15.75" customHeight="1">
      <c r="A1509" s="18" t="str">
        <f>Descargas!A1509</f>
        <v>840@gmail.com</v>
      </c>
      <c r="B1509" s="19" t="str">
        <f>IFERROR(__xludf.DUMMYFUNCTION("IF(OR(regexmatch(A1509,"".*@simon.es$""),REGEXMATCH(A1509,"".*@simon.pt$""),REGEXMATCH(A1509,"".*@simonelectrica.com$""),REGEXMATCH(A1509,"".*@hiberus.com$""),REGEXMATCH(A1509,"".*@simonbrico.es$""),regexmatch(A1509,"".*@simonelectric.com$"")),""null"",A1"&amp;"509)"),"840@gmail.com")</f>
        <v>840@gmail.com</v>
      </c>
      <c r="C1509" s="5">
        <f>IF(B1509="null","null",Descargas!B1509)</f>
        <v>43950</v>
      </c>
      <c r="D1509" s="6" t="str">
        <f>Descargas!E1509</f>
        <v>https://resources.simonelectric.com/simon-catalogo-vehiculo-electrico</v>
      </c>
      <c r="E1509" s="20" t="str">
        <f t="shared" si="1"/>
        <v>840@gmail.com</v>
      </c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</row>
    <row r="1510" ht="15.75" customHeight="1">
      <c r="A1510" s="18" t="str">
        <f>Descargas!A1510</f>
        <v>1219@actluz.com</v>
      </c>
      <c r="B1510" s="19" t="str">
        <f>IFERROR(__xludf.DUMMYFUNCTION("IF(OR(regexmatch(A1510,"".*@simon.es$""),REGEXMATCH(A1510,"".*@simon.pt$""),REGEXMATCH(A1510,"".*@simonelectrica.com$""),REGEXMATCH(A1510,"".*@hiberus.com$""),REGEXMATCH(A1510,"".*@simonbrico.es$""),regexmatch(A1510,"".*@simonelectric.com$"")),""null"",A1"&amp;"510)"),"1219@actluz.com")</f>
        <v>1219@actluz.com</v>
      </c>
      <c r="C1510" s="5">
        <f>IF(B1510="null","null",Descargas!B1510)</f>
        <v>43950</v>
      </c>
      <c r="D1510" s="6" t="str">
        <f>Descargas!E1510</f>
        <v>https://resources.simonelectric.com/simon-catalogo-vehiculo-electrico</v>
      </c>
      <c r="E1510" s="20" t="str">
        <f t="shared" si="1"/>
        <v>1219@actluz.com</v>
      </c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</row>
    <row r="1511" ht="15.75" customHeight="1">
      <c r="A1511" s="18" t="str">
        <f>Descargas!A1511</f>
        <v>1220@sanitariosbosco.es</v>
      </c>
      <c r="B1511" s="19" t="str">
        <f>IFERROR(__xludf.DUMMYFUNCTION("IF(OR(regexmatch(A1511,"".*@simon.es$""),REGEXMATCH(A1511,"".*@simon.pt$""),REGEXMATCH(A1511,"".*@simonelectrica.com$""),REGEXMATCH(A1511,"".*@hiberus.com$""),REGEXMATCH(A1511,"".*@simonbrico.es$""),regexmatch(A1511,"".*@simonelectric.com$"")),""null"",A1"&amp;"511)"),"1220@sanitariosbosco.es")</f>
        <v>1220@sanitariosbosco.es</v>
      </c>
      <c r="C1511" s="5">
        <f>IF(B1511="null","null",Descargas!B1511)</f>
        <v>43950</v>
      </c>
      <c r="D1511" s="6" t="str">
        <f>Descargas!E1511</f>
        <v>https://resources.simonelectric.com/simon-catalogo-vehiculo-electrico</v>
      </c>
      <c r="E1511" s="20" t="str">
        <f t="shared" si="1"/>
        <v>1220@sanitariosbosco.es</v>
      </c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</row>
    <row r="1512" ht="15.75" customHeight="1">
      <c r="A1512" s="18" t="str">
        <f>Descargas!A1512</f>
        <v>1221@gencat.cat</v>
      </c>
      <c r="B1512" s="19" t="str">
        <f>IFERROR(__xludf.DUMMYFUNCTION("IF(OR(regexmatch(A1512,"".*@simon.es$""),REGEXMATCH(A1512,"".*@simon.pt$""),REGEXMATCH(A1512,"".*@simonelectrica.com$""),REGEXMATCH(A1512,"".*@hiberus.com$""),REGEXMATCH(A1512,"".*@simonbrico.es$""),regexmatch(A1512,"".*@simonelectric.com$"")),""null"",A1"&amp;"512)"),"1221@gencat.cat")</f>
        <v>1221@gencat.cat</v>
      </c>
      <c r="C1512" s="5">
        <f>IF(B1512="null","null",Descargas!B1512)</f>
        <v>43950</v>
      </c>
      <c r="D1512" s="6" t="str">
        <f>Descargas!E1512</f>
        <v>https://resources.simonelectric.com/simon-catalogo-vehiculo-electrico</v>
      </c>
      <c r="E1512" s="20" t="str">
        <f t="shared" si="1"/>
        <v>1221@gencat.cat</v>
      </c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</row>
    <row r="1513" ht="15.75" customHeight="1">
      <c r="A1513" s="18" t="str">
        <f>Descargas!A1513</f>
        <v>1222@hotmail.com</v>
      </c>
      <c r="B1513" s="19" t="str">
        <f>IFERROR(__xludf.DUMMYFUNCTION("IF(OR(regexmatch(A1513,"".*@simon.es$""),REGEXMATCH(A1513,"".*@simon.pt$""),REGEXMATCH(A1513,"".*@simonelectrica.com$""),REGEXMATCH(A1513,"".*@hiberus.com$""),REGEXMATCH(A1513,"".*@simonbrico.es$""),regexmatch(A1513,"".*@simonelectric.com$"")),""null"",A1"&amp;"513)"),"1222@hotmail.com")</f>
        <v>1222@hotmail.com</v>
      </c>
      <c r="C1513" s="5">
        <f>IF(B1513="null","null",Descargas!B1513)</f>
        <v>43950</v>
      </c>
      <c r="D1513" s="6" t="str">
        <f>Descargas!E1513</f>
        <v>https://resources.simonelectric.com/simon-catalogo-vehiculo-electrico</v>
      </c>
      <c r="E1513" s="20" t="str">
        <f t="shared" si="1"/>
        <v>1222@hotmail.com</v>
      </c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</row>
    <row r="1514" ht="15.75" customHeight="1">
      <c r="A1514" s="18" t="str">
        <f>Descargas!A1514</f>
        <v>1223@proyecta79.com</v>
      </c>
      <c r="B1514" s="19" t="str">
        <f>IFERROR(__xludf.DUMMYFUNCTION("IF(OR(regexmatch(A1514,"".*@simon.es$""),REGEXMATCH(A1514,"".*@simon.pt$""),REGEXMATCH(A1514,"".*@simonelectrica.com$""),REGEXMATCH(A1514,"".*@hiberus.com$""),REGEXMATCH(A1514,"".*@simonbrico.es$""),regexmatch(A1514,"".*@simonelectric.com$"")),""null"",A1"&amp;"514)"),"1223@proyecta79.com")</f>
        <v>1223@proyecta79.com</v>
      </c>
      <c r="C1514" s="5">
        <f>IF(B1514="null","null",Descargas!B1514)</f>
        <v>43950</v>
      </c>
      <c r="D1514" s="6" t="str">
        <f>Descargas!E1514</f>
        <v>https://resources.simonelectric.com/simon-catalogo-vehiculo-electrico</v>
      </c>
      <c r="E1514" s="20" t="str">
        <f t="shared" si="1"/>
        <v>1223@proyecta79.com</v>
      </c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</row>
    <row r="1515" ht="15.75" customHeight="1">
      <c r="A1515" s="18" t="str">
        <f>Descargas!A1515</f>
        <v>1224@ipertec.es</v>
      </c>
      <c r="B1515" s="19" t="str">
        <f>IFERROR(__xludf.DUMMYFUNCTION("IF(OR(regexmatch(A1515,"".*@simon.es$""),REGEXMATCH(A1515,"".*@simon.pt$""),REGEXMATCH(A1515,"".*@simonelectrica.com$""),REGEXMATCH(A1515,"".*@hiberus.com$""),REGEXMATCH(A1515,"".*@simonbrico.es$""),regexmatch(A1515,"".*@simonelectric.com$"")),""null"",A1"&amp;"515)"),"1224@ipertec.es")</f>
        <v>1224@ipertec.es</v>
      </c>
      <c r="C1515" s="5">
        <f>IF(B1515="null","null",Descargas!B1515)</f>
        <v>43950</v>
      </c>
      <c r="D1515" s="6" t="str">
        <f>Descargas!E1515</f>
        <v>https://resources.simonelectric.com/simon-catalogo-vehiculo-electrico</v>
      </c>
      <c r="E1515" s="20" t="str">
        <f t="shared" si="1"/>
        <v>1224@ipertec.es</v>
      </c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</row>
    <row r="1516" ht="15.75" customHeight="1">
      <c r="A1516" s="18" t="str">
        <f>Descargas!A1516</f>
        <v>1225@yahoo.es</v>
      </c>
      <c r="B1516" s="19" t="str">
        <f>IFERROR(__xludf.DUMMYFUNCTION("IF(OR(regexmatch(A1516,"".*@simon.es$""),REGEXMATCH(A1516,"".*@simon.pt$""),REGEXMATCH(A1516,"".*@simonelectrica.com$""),REGEXMATCH(A1516,"".*@hiberus.com$""),REGEXMATCH(A1516,"".*@simonbrico.es$""),regexmatch(A1516,"".*@simonelectric.com$"")),""null"",A1"&amp;"516)"),"1225@yahoo.es")</f>
        <v>1225@yahoo.es</v>
      </c>
      <c r="C1516" s="5">
        <f>IF(B1516="null","null",Descargas!B1516)</f>
        <v>43950</v>
      </c>
      <c r="D1516" s="6" t="str">
        <f>Descargas!E1516</f>
        <v>https://resources.simonelectric.com/simon-catalogo-vehiculo-electrico</v>
      </c>
      <c r="E1516" s="20" t="str">
        <f t="shared" si="1"/>
        <v>1225@yahoo.es</v>
      </c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</row>
    <row r="1517" ht="15.75" customHeight="1">
      <c r="A1517" s="18" t="str">
        <f>Descargas!A1517</f>
        <v>1222@hotmail.com</v>
      </c>
      <c r="B1517" s="19" t="str">
        <f>IFERROR(__xludf.DUMMYFUNCTION("IF(OR(regexmatch(A1517,"".*@simon.es$""),REGEXMATCH(A1517,"".*@simon.pt$""),REGEXMATCH(A1517,"".*@simonelectrica.com$""),REGEXMATCH(A1517,"".*@hiberus.com$""),REGEXMATCH(A1517,"".*@simonbrico.es$""),regexmatch(A1517,"".*@simonelectric.com$"")),""null"",A1"&amp;"517)"),"1222@hotmail.com")</f>
        <v>1222@hotmail.com</v>
      </c>
      <c r="C1517" s="5">
        <f>IF(B1517="null","null",Descargas!B1517)</f>
        <v>43950</v>
      </c>
      <c r="D1517" s="6" t="str">
        <f>Descargas!E1517</f>
        <v>https://resources.simonelectric.com/simon-catalogo-vehiculo-electrico</v>
      </c>
      <c r="E1517" s="20" t="str">
        <f t="shared" si="1"/>
        <v>1222@hotmail.com</v>
      </c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</row>
    <row r="1518" ht="15.75" customHeight="1">
      <c r="A1518" s="18" t="str">
        <f>Descargas!A1518</f>
        <v>1226@agiceringenieros.es</v>
      </c>
      <c r="B1518" s="19" t="str">
        <f>IFERROR(__xludf.DUMMYFUNCTION("IF(OR(regexmatch(A1518,"".*@simon.es$""),REGEXMATCH(A1518,"".*@simon.pt$""),REGEXMATCH(A1518,"".*@simonelectrica.com$""),REGEXMATCH(A1518,"".*@hiberus.com$""),REGEXMATCH(A1518,"".*@simonbrico.es$""),regexmatch(A1518,"".*@simonelectric.com$"")),""null"",A1"&amp;"518)"),"1226@agiceringenieros.es")</f>
        <v>1226@agiceringenieros.es</v>
      </c>
      <c r="C1518" s="5">
        <f>IF(B1518="null","null",Descargas!B1518)</f>
        <v>43950</v>
      </c>
      <c r="D1518" s="6" t="str">
        <f>Descargas!E1518</f>
        <v>https://resources.simonelectric.com/simon-catalogo-vehiculo-electrico</v>
      </c>
      <c r="E1518" s="20" t="str">
        <f t="shared" si="1"/>
        <v>1226@agiceringenieros.es</v>
      </c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</row>
    <row r="1519" ht="15.75" customHeight="1">
      <c r="A1519" s="18" t="str">
        <f>Descargas!A1519</f>
        <v>1227@telefonica.net</v>
      </c>
      <c r="B1519" s="19" t="str">
        <f>IFERROR(__xludf.DUMMYFUNCTION("IF(OR(regexmatch(A1519,"".*@simon.es$""),REGEXMATCH(A1519,"".*@simon.pt$""),REGEXMATCH(A1519,"".*@simonelectrica.com$""),REGEXMATCH(A1519,"".*@hiberus.com$""),REGEXMATCH(A1519,"".*@simonbrico.es$""),regexmatch(A1519,"".*@simonelectric.com$"")),""null"",A1"&amp;"519)"),"1227@telefonica.net")</f>
        <v>1227@telefonica.net</v>
      </c>
      <c r="C1519" s="5">
        <f>IF(B1519="null","null",Descargas!B1519)</f>
        <v>43950</v>
      </c>
      <c r="D1519" s="6" t="str">
        <f>Descargas!E1519</f>
        <v>https://resources.simonelectric.com/simon-catalogo-vehiculo-electrico</v>
      </c>
      <c r="E1519" s="20" t="str">
        <f t="shared" si="1"/>
        <v>1227@telefonica.net</v>
      </c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</row>
    <row r="1520" ht="15.75" customHeight="1">
      <c r="A1520" s="18" t="str">
        <f>Descargas!A1520</f>
        <v>1228@entax.es</v>
      </c>
      <c r="B1520" s="19" t="str">
        <f>IFERROR(__xludf.DUMMYFUNCTION("IF(OR(regexmatch(A1520,"".*@simon.es$""),REGEXMATCH(A1520,"".*@simon.pt$""),REGEXMATCH(A1520,"".*@simonelectrica.com$""),REGEXMATCH(A1520,"".*@hiberus.com$""),REGEXMATCH(A1520,"".*@simonbrico.es$""),regexmatch(A1520,"".*@simonelectric.com$"")),""null"",A1"&amp;"520)"),"1228@entax.es")</f>
        <v>1228@entax.es</v>
      </c>
      <c r="C1520" s="5">
        <f>IF(B1520="null","null",Descargas!B1520)</f>
        <v>43950</v>
      </c>
      <c r="D1520" s="6" t="str">
        <f>Descargas!E1520</f>
        <v>https://resources.simonelectric.com/simon-catalogo-vehiculo-electrico</v>
      </c>
      <c r="E1520" s="20" t="str">
        <f t="shared" si="1"/>
        <v>1228@entax.es</v>
      </c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</row>
    <row r="1521" ht="15.75" customHeight="1">
      <c r="A1521" s="18" t="str">
        <f>Descargas!A1521</f>
        <v>1229@yahoo.es</v>
      </c>
      <c r="B1521" s="19" t="str">
        <f>IFERROR(__xludf.DUMMYFUNCTION("IF(OR(regexmatch(A1521,"".*@simon.es$""),REGEXMATCH(A1521,"".*@simon.pt$""),REGEXMATCH(A1521,"".*@simonelectrica.com$""),REGEXMATCH(A1521,"".*@hiberus.com$""),REGEXMATCH(A1521,"".*@simonbrico.es$""),regexmatch(A1521,"".*@simonelectric.com$"")),""null"",A1"&amp;"521)"),"1229@yahoo.es")</f>
        <v>1229@yahoo.es</v>
      </c>
      <c r="C1521" s="5">
        <f>IF(B1521="null","null",Descargas!B1521)</f>
        <v>43950</v>
      </c>
      <c r="D1521" s="6" t="str">
        <f>Descargas!E1521</f>
        <v>https://resources.simonelectric.com/simon-catalogo-vehiculo-electrico</v>
      </c>
      <c r="E1521" s="20" t="str">
        <f t="shared" si="1"/>
        <v>1229@yahoo.es</v>
      </c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</row>
    <row r="1522" ht="15.75" customHeight="1">
      <c r="A1522" s="18" t="str">
        <f>Descargas!A1522</f>
        <v>363@gmail.com</v>
      </c>
      <c r="B1522" s="19" t="str">
        <f>IFERROR(__xludf.DUMMYFUNCTION("IF(OR(regexmatch(A1522,"".*@simon.es$""),REGEXMATCH(A1522,"".*@simon.pt$""),REGEXMATCH(A1522,"".*@simonelectrica.com$""),REGEXMATCH(A1522,"".*@hiberus.com$""),REGEXMATCH(A1522,"".*@simonbrico.es$""),regexmatch(A1522,"".*@simonelectric.com$"")),""null"",A1"&amp;"522)"),"363@gmail.com")</f>
        <v>363@gmail.com</v>
      </c>
      <c r="C1522" s="5">
        <f>IF(B1522="null","null",Descargas!B1522)</f>
        <v>43950</v>
      </c>
      <c r="D1522" s="6" t="str">
        <f>Descargas!E1522</f>
        <v>https://resources.simonelectric.com/simon-catalogo-vehiculo-electrico</v>
      </c>
      <c r="E1522" s="20" t="str">
        <f t="shared" si="1"/>
        <v>363@gmail.com</v>
      </c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</row>
    <row r="1523" ht="15.75" customHeight="1">
      <c r="A1523" s="18" t="str">
        <f>Descargas!A1523</f>
        <v>1230@gmail.com</v>
      </c>
      <c r="B1523" s="19" t="str">
        <f>IFERROR(__xludf.DUMMYFUNCTION("IF(OR(regexmatch(A1523,"".*@simon.es$""),REGEXMATCH(A1523,"".*@simon.pt$""),REGEXMATCH(A1523,"".*@simonelectrica.com$""),REGEXMATCH(A1523,"".*@hiberus.com$""),REGEXMATCH(A1523,"".*@simonbrico.es$""),regexmatch(A1523,"".*@simonelectric.com$"")),""null"",A1"&amp;"523)"),"1230@gmail.com")</f>
        <v>1230@gmail.com</v>
      </c>
      <c r="C1523" s="5">
        <f>IF(B1523="null","null",Descargas!B1523)</f>
        <v>43950</v>
      </c>
      <c r="D1523" s="6" t="str">
        <f>Descargas!E1523</f>
        <v>https://resources.simonelectric.com/simon-catalogo-vehiculo-electrico</v>
      </c>
      <c r="E1523" s="20" t="str">
        <f t="shared" si="1"/>
        <v>1230@gmail.com</v>
      </c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</row>
    <row r="1524" ht="15.75" customHeight="1">
      <c r="A1524" s="18" t="str">
        <f>Descargas!A1524</f>
        <v>1231@gmail.com</v>
      </c>
      <c r="B1524" s="19" t="str">
        <f>IFERROR(__xludf.DUMMYFUNCTION("IF(OR(regexmatch(A1524,"".*@simon.es$""),REGEXMATCH(A1524,"".*@simon.pt$""),REGEXMATCH(A1524,"".*@simonelectrica.com$""),REGEXMATCH(A1524,"".*@hiberus.com$""),REGEXMATCH(A1524,"".*@simonbrico.es$""),regexmatch(A1524,"".*@simonelectric.com$"")),""null"",A1"&amp;"524)"),"1231@gmail.com")</f>
        <v>1231@gmail.com</v>
      </c>
      <c r="C1524" s="5">
        <f>IF(B1524="null","null",Descargas!B1524)</f>
        <v>43950</v>
      </c>
      <c r="D1524" s="6" t="str">
        <f>Descargas!E1524</f>
        <v>https://resources.simonelectric.com/simon-catalogo-vehiculo-electrico</v>
      </c>
      <c r="E1524" s="20" t="str">
        <f t="shared" si="1"/>
        <v>1231@gmail.com</v>
      </c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</row>
    <row r="1525" ht="15.75" customHeight="1">
      <c r="A1525" s="18" t="str">
        <f>Descargas!A1525</f>
        <v>1232@planocaceres.com</v>
      </c>
      <c r="B1525" s="19" t="str">
        <f>IFERROR(__xludf.DUMMYFUNCTION("IF(OR(regexmatch(A1525,"".*@simon.es$""),REGEXMATCH(A1525,"".*@simon.pt$""),REGEXMATCH(A1525,"".*@simonelectrica.com$""),REGEXMATCH(A1525,"".*@hiberus.com$""),REGEXMATCH(A1525,"".*@simonbrico.es$""),regexmatch(A1525,"".*@simonelectric.com$"")),""null"",A1"&amp;"525)"),"1232@planocaceres.com")</f>
        <v>1232@planocaceres.com</v>
      </c>
      <c r="C1525" s="5">
        <f>IF(B1525="null","null",Descargas!B1525)</f>
        <v>43950</v>
      </c>
      <c r="D1525" s="6" t="str">
        <f>Descargas!E1525</f>
        <v>https://resources.simonelectric.com/simon-catalogo-vehiculo-electrico</v>
      </c>
      <c r="E1525" s="20" t="str">
        <f t="shared" si="1"/>
        <v>1232@planocaceres.com</v>
      </c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</row>
    <row r="1526" ht="15.75" customHeight="1">
      <c r="A1526" s="18" t="str">
        <f>Descargas!A1526</f>
        <v>1233@hotmail.com</v>
      </c>
      <c r="B1526" s="19" t="str">
        <f>IFERROR(__xludf.DUMMYFUNCTION("IF(OR(regexmatch(A1526,"".*@simon.es$""),REGEXMATCH(A1526,"".*@simon.pt$""),REGEXMATCH(A1526,"".*@simonelectrica.com$""),REGEXMATCH(A1526,"".*@hiberus.com$""),REGEXMATCH(A1526,"".*@simonbrico.es$""),regexmatch(A1526,"".*@simonelectric.com$"")),""null"",A1"&amp;"526)"),"1233@hotmail.com")</f>
        <v>1233@hotmail.com</v>
      </c>
      <c r="C1526" s="5">
        <f>IF(B1526="null","null",Descargas!B1526)</f>
        <v>43950</v>
      </c>
      <c r="D1526" s="6" t="str">
        <f>Descargas!E1526</f>
        <v>https://resources.simonelectric.com/simon-catalogo-vehiculo-electrico</v>
      </c>
      <c r="E1526" s="20" t="str">
        <f t="shared" si="1"/>
        <v>1233@hotmail.com</v>
      </c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</row>
    <row r="1527" ht="15.75" customHeight="1">
      <c r="A1527" s="18" t="str">
        <f>Descargas!A1527</f>
        <v>1234@gmail.com</v>
      </c>
      <c r="B1527" s="19" t="str">
        <f>IFERROR(__xludf.DUMMYFUNCTION("IF(OR(regexmatch(A1527,"".*@simon.es$""),REGEXMATCH(A1527,"".*@simon.pt$""),REGEXMATCH(A1527,"".*@simonelectrica.com$""),REGEXMATCH(A1527,"".*@hiberus.com$""),REGEXMATCH(A1527,"".*@simonbrico.es$""),regexmatch(A1527,"".*@simonelectric.com$"")),""null"",A1"&amp;"527)"),"1234@gmail.com")</f>
        <v>1234@gmail.com</v>
      </c>
      <c r="C1527" s="5">
        <f>IF(B1527="null","null",Descargas!B1527)</f>
        <v>43950</v>
      </c>
      <c r="D1527" s="6" t="str">
        <f>Descargas!E1527</f>
        <v>https://resources.simonelectric.com/simon-catalogo-vehiculo-electrico</v>
      </c>
      <c r="E1527" s="20" t="str">
        <f t="shared" si="1"/>
        <v>1234@gmail.com</v>
      </c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</row>
    <row r="1528" ht="15.75" customHeight="1">
      <c r="A1528" s="18" t="str">
        <f>Descargas!A1528</f>
        <v>1234@gmail.com</v>
      </c>
      <c r="B1528" s="19" t="str">
        <f>IFERROR(__xludf.DUMMYFUNCTION("IF(OR(regexmatch(A1528,"".*@simon.es$""),REGEXMATCH(A1528,"".*@simon.pt$""),REGEXMATCH(A1528,"".*@simonelectrica.com$""),REGEXMATCH(A1528,"".*@hiberus.com$""),REGEXMATCH(A1528,"".*@simonbrico.es$""),regexmatch(A1528,"".*@simonelectric.com$"")),""null"",A1"&amp;"528)"),"1234@gmail.com")</f>
        <v>1234@gmail.com</v>
      </c>
      <c r="C1528" s="5">
        <f>IF(B1528="null","null",Descargas!B1528)</f>
        <v>43950</v>
      </c>
      <c r="D1528" s="6" t="str">
        <f>Descargas!E1528</f>
        <v>https://resources.simonelectric.com/simon-catalogo-vehiculo-electrico</v>
      </c>
      <c r="E1528" s="20" t="str">
        <f t="shared" si="1"/>
        <v>1234@gmail.com</v>
      </c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</row>
    <row r="1529" ht="15.75" customHeight="1">
      <c r="A1529" s="18" t="str">
        <f>Descargas!A1529</f>
        <v>1235@gmail.com</v>
      </c>
      <c r="B1529" s="19" t="str">
        <f>IFERROR(__xludf.DUMMYFUNCTION("IF(OR(regexmatch(A1529,"".*@simon.es$""),REGEXMATCH(A1529,"".*@simon.pt$""),REGEXMATCH(A1529,"".*@simonelectrica.com$""),REGEXMATCH(A1529,"".*@hiberus.com$""),REGEXMATCH(A1529,"".*@simonbrico.es$""),regexmatch(A1529,"".*@simonelectric.com$"")),""null"",A1"&amp;"529)"),"1235@gmail.com")</f>
        <v>1235@gmail.com</v>
      </c>
      <c r="C1529" s="5">
        <f>IF(B1529="null","null",Descargas!B1529)</f>
        <v>43950</v>
      </c>
      <c r="D1529" s="6" t="str">
        <f>Descargas!E1529</f>
        <v>https://resources.simonelectric.com/simon-catalogo-vehiculo-electrico</v>
      </c>
      <c r="E1529" s="20" t="str">
        <f t="shared" si="1"/>
        <v>1235@gmail.com</v>
      </c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</row>
    <row r="1530" ht="15.75" customHeight="1">
      <c r="A1530" s="18" t="str">
        <f>Descargas!A1530</f>
        <v>1236@hotmail.com</v>
      </c>
      <c r="B1530" s="19" t="str">
        <f>IFERROR(__xludf.DUMMYFUNCTION("IF(OR(regexmatch(A1530,"".*@simon.es$""),REGEXMATCH(A1530,"".*@simon.pt$""),REGEXMATCH(A1530,"".*@simonelectrica.com$""),REGEXMATCH(A1530,"".*@hiberus.com$""),REGEXMATCH(A1530,"".*@simonbrico.es$""),regexmatch(A1530,"".*@simonelectric.com$"")),""null"",A1"&amp;"530)"),"1236@hotmail.com")</f>
        <v>1236@hotmail.com</v>
      </c>
      <c r="C1530" s="5">
        <f>IF(B1530="null","null",Descargas!B1530)</f>
        <v>43950</v>
      </c>
      <c r="D1530" s="6" t="str">
        <f>Descargas!E1530</f>
        <v>https://resources.simonelectric.com/simon-catalogo-vehiculo-electrico</v>
      </c>
      <c r="E1530" s="20" t="str">
        <f t="shared" si="1"/>
        <v>1236@hotmail.com</v>
      </c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</row>
    <row r="1531" ht="15.75" customHeight="1">
      <c r="A1531" s="18" t="str">
        <f>Descargas!A1531</f>
        <v>1237@gmail.com</v>
      </c>
      <c r="B1531" s="19" t="str">
        <f>IFERROR(__xludf.DUMMYFUNCTION("IF(OR(regexmatch(A1531,"".*@simon.es$""),REGEXMATCH(A1531,"".*@simon.pt$""),REGEXMATCH(A1531,"".*@simonelectrica.com$""),REGEXMATCH(A1531,"".*@hiberus.com$""),REGEXMATCH(A1531,"".*@simonbrico.es$""),regexmatch(A1531,"".*@simonelectric.com$"")),""null"",A1"&amp;"531)"),"1237@gmail.com")</f>
        <v>1237@gmail.com</v>
      </c>
      <c r="C1531" s="5">
        <f>IF(B1531="null","null",Descargas!B1531)</f>
        <v>43950</v>
      </c>
      <c r="D1531" s="6" t="str">
        <f>Descargas!E1531</f>
        <v>https://resources.simonelectric.com/simon-catalogo-vehiculo-electrico</v>
      </c>
      <c r="E1531" s="20" t="str">
        <f t="shared" si="1"/>
        <v>1237@gmail.com</v>
      </c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</row>
    <row r="1532" ht="15.75" customHeight="1">
      <c r="A1532" s="18" t="str">
        <f>Descargas!A1532</f>
        <v>1238@gmail.com</v>
      </c>
      <c r="B1532" s="19" t="str">
        <f>IFERROR(__xludf.DUMMYFUNCTION("IF(OR(regexmatch(A1532,"".*@simon.es$""),REGEXMATCH(A1532,"".*@simon.pt$""),REGEXMATCH(A1532,"".*@simonelectrica.com$""),REGEXMATCH(A1532,"".*@hiberus.com$""),REGEXMATCH(A1532,"".*@simonbrico.es$""),regexmatch(A1532,"".*@simonelectric.com$"")),""null"",A1"&amp;"532)"),"1238@gmail.com")</f>
        <v>1238@gmail.com</v>
      </c>
      <c r="C1532" s="5">
        <f>IF(B1532="null","null",Descargas!B1532)</f>
        <v>43950</v>
      </c>
      <c r="D1532" s="6" t="str">
        <f>Descargas!E1532</f>
        <v>https://resources.simonelectric.com/simon-catalogo-vehiculo-electrico</v>
      </c>
      <c r="E1532" s="20" t="str">
        <f t="shared" si="1"/>
        <v>1238@gmail.com</v>
      </c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</row>
    <row r="1533" ht="15.75" customHeight="1">
      <c r="A1533" s="18" t="str">
        <f>Descargas!A1533</f>
        <v>36@visaonomada.pt</v>
      </c>
      <c r="B1533" s="19" t="str">
        <f>IFERROR(__xludf.DUMMYFUNCTION("IF(OR(regexmatch(A1533,"".*@simon.es$""),REGEXMATCH(A1533,"".*@simon.pt$""),REGEXMATCH(A1533,"".*@simonelectrica.com$""),REGEXMATCH(A1533,"".*@hiberus.com$""),REGEXMATCH(A1533,"".*@simonbrico.es$""),regexmatch(A1533,"".*@simonelectric.com$"")),""null"",A1"&amp;"533)"),"36@visaonomada.pt")</f>
        <v>36@visaonomada.pt</v>
      </c>
      <c r="C1533" s="5">
        <f>IF(B1533="null","null",Descargas!B1533)</f>
        <v>43950</v>
      </c>
      <c r="D1533" s="6" t="str">
        <f>Descargas!E1533</f>
        <v>https://resources.simonelectric.com/simon-catalogo-vehiculo-electrico</v>
      </c>
      <c r="E1533" s="20" t="str">
        <f t="shared" si="1"/>
        <v>36@visaonomada.pt</v>
      </c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</row>
    <row r="1534" ht="15.75" customHeight="1">
      <c r="A1534" s="18" t="str">
        <f>Descargas!A1534</f>
        <v>1239@telefonica.net</v>
      </c>
      <c r="B1534" s="19" t="str">
        <f>IFERROR(__xludf.DUMMYFUNCTION("IF(OR(regexmatch(A1534,"".*@simon.es$""),REGEXMATCH(A1534,"".*@simon.pt$""),REGEXMATCH(A1534,"".*@simonelectrica.com$""),REGEXMATCH(A1534,"".*@hiberus.com$""),REGEXMATCH(A1534,"".*@simonbrico.es$""),regexmatch(A1534,"".*@simonelectric.com$"")),""null"",A1"&amp;"534)"),"1239@telefonica.net")</f>
        <v>1239@telefonica.net</v>
      </c>
      <c r="C1534" s="5">
        <f>IF(B1534="null","null",Descargas!B1534)</f>
        <v>43950</v>
      </c>
      <c r="D1534" s="6" t="str">
        <f>Descargas!E1534</f>
        <v>https://resources.simonelectric.com/simon-catalogo-vehiculo-electrico</v>
      </c>
      <c r="E1534" s="20" t="str">
        <f t="shared" si="1"/>
        <v>1239@telefonica.net</v>
      </c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</row>
    <row r="1535" ht="15.75" customHeight="1">
      <c r="A1535" s="18" t="str">
        <f>Descargas!A1535</f>
        <v>1240@hotmail.com</v>
      </c>
      <c r="B1535" s="19" t="str">
        <f>IFERROR(__xludf.DUMMYFUNCTION("IF(OR(regexmatch(A1535,"".*@simon.es$""),REGEXMATCH(A1535,"".*@simon.pt$""),REGEXMATCH(A1535,"".*@simonelectrica.com$""),REGEXMATCH(A1535,"".*@hiberus.com$""),REGEXMATCH(A1535,"".*@simonbrico.es$""),regexmatch(A1535,"".*@simonelectric.com$"")),""null"",A1"&amp;"535)"),"1240@hotmail.com")</f>
        <v>1240@hotmail.com</v>
      </c>
      <c r="C1535" s="5">
        <f>IF(B1535="null","null",Descargas!B1535)</f>
        <v>43950</v>
      </c>
      <c r="D1535" s="6" t="str">
        <f>Descargas!E1535</f>
        <v>https://resources.simonelectric.com/simon-catalogo-vehiculo-electrico</v>
      </c>
      <c r="E1535" s="20" t="str">
        <f t="shared" si="1"/>
        <v>1240@hotmail.com</v>
      </c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</row>
    <row r="1536" ht="15.75" customHeight="1">
      <c r="A1536" s="18" t="str">
        <f>Descargas!A1536</f>
        <v>1241@gmail.com</v>
      </c>
      <c r="B1536" s="19" t="str">
        <f>IFERROR(__xludf.DUMMYFUNCTION("IF(OR(regexmatch(A1536,"".*@simon.es$""),REGEXMATCH(A1536,"".*@simon.pt$""),REGEXMATCH(A1536,"".*@simonelectrica.com$""),REGEXMATCH(A1536,"".*@hiberus.com$""),REGEXMATCH(A1536,"".*@simonbrico.es$""),regexmatch(A1536,"".*@simonelectric.com$"")),""null"",A1"&amp;"536)"),"1241@gmail.com")</f>
        <v>1241@gmail.com</v>
      </c>
      <c r="C1536" s="5">
        <f>IF(B1536="null","null",Descargas!B1536)</f>
        <v>43950</v>
      </c>
      <c r="D1536" s="6" t="str">
        <f>Descargas!E1536</f>
        <v>https://resources.simonelectric.com/simon-catalogo-vehiculo-electrico</v>
      </c>
      <c r="E1536" s="20" t="str">
        <f t="shared" si="1"/>
        <v>1241@gmail.com</v>
      </c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</row>
    <row r="1537" ht="15.75" customHeight="1">
      <c r="A1537" s="18" t="str">
        <f>Descargas!A1537</f>
        <v>1242@hotmail.com</v>
      </c>
      <c r="B1537" s="19" t="str">
        <f>IFERROR(__xludf.DUMMYFUNCTION("IF(OR(regexmatch(A1537,"".*@simon.es$""),REGEXMATCH(A1537,"".*@simon.pt$""),REGEXMATCH(A1537,"".*@simonelectrica.com$""),REGEXMATCH(A1537,"".*@hiberus.com$""),REGEXMATCH(A1537,"".*@simonbrico.es$""),regexmatch(A1537,"".*@simonelectric.com$"")),""null"",A1"&amp;"537)"),"1242@hotmail.com")</f>
        <v>1242@hotmail.com</v>
      </c>
      <c r="C1537" s="5">
        <f>IF(B1537="null","null",Descargas!B1537)</f>
        <v>43950</v>
      </c>
      <c r="D1537" s="6" t="str">
        <f>Descargas!E1537</f>
        <v>https://resources.simonelectric.com/simon-catalogo-vehiculo-electrico</v>
      </c>
      <c r="E1537" s="20" t="str">
        <f t="shared" si="1"/>
        <v>1242@hotmail.com</v>
      </c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</row>
    <row r="1538" ht="15.75" customHeight="1">
      <c r="A1538" s="18" t="str">
        <f>Descargas!A1538</f>
        <v>1243@educa.jcyl.es</v>
      </c>
      <c r="B1538" s="19" t="str">
        <f>IFERROR(__xludf.DUMMYFUNCTION("IF(OR(regexmatch(A1538,"".*@simon.es$""),REGEXMATCH(A1538,"".*@simon.pt$""),REGEXMATCH(A1538,"".*@simonelectrica.com$""),REGEXMATCH(A1538,"".*@hiberus.com$""),REGEXMATCH(A1538,"".*@simonbrico.es$""),regexmatch(A1538,"".*@simonelectric.com$"")),""null"",A1"&amp;"538)"),"1243@educa.jcyl.es")</f>
        <v>1243@educa.jcyl.es</v>
      </c>
      <c r="C1538" s="5">
        <f>IF(B1538="null","null",Descargas!B1538)</f>
        <v>43950</v>
      </c>
      <c r="D1538" s="6" t="str">
        <f>Descargas!E1538</f>
        <v>https://resources.simonelectric.com/simon-catalogo-vehiculo-electrico</v>
      </c>
      <c r="E1538" s="20" t="str">
        <f t="shared" si="1"/>
        <v>1243@educa.jcyl.es</v>
      </c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</row>
    <row r="1539" ht="15.75" customHeight="1">
      <c r="A1539" s="18" t="str">
        <f>Descargas!A1539</f>
        <v>1244@gmail.com</v>
      </c>
      <c r="B1539" s="19" t="str">
        <f>IFERROR(__xludf.DUMMYFUNCTION("IF(OR(regexmatch(A1539,"".*@simon.es$""),REGEXMATCH(A1539,"".*@simon.pt$""),REGEXMATCH(A1539,"".*@simonelectrica.com$""),REGEXMATCH(A1539,"".*@hiberus.com$""),REGEXMATCH(A1539,"".*@simonbrico.es$""),regexmatch(A1539,"".*@simonelectric.com$"")),""null"",A1"&amp;"539)"),"1244@gmail.com")</f>
        <v>1244@gmail.com</v>
      </c>
      <c r="C1539" s="5">
        <f>IF(B1539="null","null",Descargas!B1539)</f>
        <v>43950</v>
      </c>
      <c r="D1539" s="6" t="str">
        <f>Descargas!E1539</f>
        <v>https://resources.simonelectric.com/simon-catalogo-vehiculo-electrico</v>
      </c>
      <c r="E1539" s="20" t="str">
        <f t="shared" si="1"/>
        <v>1244@gmail.com</v>
      </c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</row>
    <row r="1540" ht="15.75" customHeight="1">
      <c r="A1540" s="18" t="str">
        <f>Descargas!A1540</f>
        <v>1245@hotmail.com</v>
      </c>
      <c r="B1540" s="19" t="str">
        <f>IFERROR(__xludf.DUMMYFUNCTION("IF(OR(regexmatch(A1540,"".*@simon.es$""),REGEXMATCH(A1540,"".*@simon.pt$""),REGEXMATCH(A1540,"".*@simonelectrica.com$""),REGEXMATCH(A1540,"".*@hiberus.com$""),REGEXMATCH(A1540,"".*@simonbrico.es$""),regexmatch(A1540,"".*@simonelectric.com$"")),""null"",A1"&amp;"540)"),"1245@hotmail.com")</f>
        <v>1245@hotmail.com</v>
      </c>
      <c r="C1540" s="5">
        <f>IF(B1540="null","null",Descargas!B1540)</f>
        <v>43950</v>
      </c>
      <c r="D1540" s="6" t="str">
        <f>Descargas!E1540</f>
        <v>https://resources.simonelectric.com/simon-catalogo-vehiculo-electrico</v>
      </c>
      <c r="E1540" s="20" t="str">
        <f t="shared" si="1"/>
        <v>1245@hotmail.com</v>
      </c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</row>
    <row r="1541" ht="15.75" customHeight="1">
      <c r="A1541" s="18" t="str">
        <f>Descargas!A1541</f>
        <v>1246@ecoltan.org</v>
      </c>
      <c r="B1541" s="19" t="str">
        <f>IFERROR(__xludf.DUMMYFUNCTION("IF(OR(regexmatch(A1541,"".*@simon.es$""),REGEXMATCH(A1541,"".*@simon.pt$""),REGEXMATCH(A1541,"".*@simonelectrica.com$""),REGEXMATCH(A1541,"".*@hiberus.com$""),REGEXMATCH(A1541,"".*@simonbrico.es$""),regexmatch(A1541,"".*@simonelectric.com$"")),""null"",A1"&amp;"541)"),"1246@ecoltan.org")</f>
        <v>1246@ecoltan.org</v>
      </c>
      <c r="C1541" s="5">
        <f>IF(B1541="null","null",Descargas!B1541)</f>
        <v>43950</v>
      </c>
      <c r="D1541" s="6" t="str">
        <f>Descargas!E1541</f>
        <v>https://resources.simonelectric.com/simon-catalogo-vehiculo-electrico</v>
      </c>
      <c r="E1541" s="20" t="str">
        <f t="shared" si="1"/>
        <v>1246@ecoltan.org</v>
      </c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</row>
    <row r="1542" ht="15.75" customHeight="1">
      <c r="A1542" s="18" t="str">
        <f>Descargas!A1542</f>
        <v>1247@gmail.com</v>
      </c>
      <c r="B1542" s="19" t="str">
        <f>IFERROR(__xludf.DUMMYFUNCTION("IF(OR(regexmatch(A1542,"".*@simon.es$""),REGEXMATCH(A1542,"".*@simon.pt$""),REGEXMATCH(A1542,"".*@simonelectrica.com$""),REGEXMATCH(A1542,"".*@hiberus.com$""),REGEXMATCH(A1542,"".*@simonbrico.es$""),regexmatch(A1542,"".*@simonelectric.com$"")),""null"",A1"&amp;"542)"),"1247@gmail.com")</f>
        <v>1247@gmail.com</v>
      </c>
      <c r="C1542" s="5">
        <f>IF(B1542="null","null",Descargas!B1542)</f>
        <v>43950</v>
      </c>
      <c r="D1542" s="6" t="str">
        <f>Descargas!E1542</f>
        <v>https://resources.simonelectric.com/simon-catalogo-vehiculo-electrico</v>
      </c>
      <c r="E1542" s="20" t="str">
        <f t="shared" si="1"/>
        <v>1247@gmail.com</v>
      </c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</row>
    <row r="1543" ht="15.75" customHeight="1">
      <c r="A1543" s="18" t="str">
        <f>Descargas!A1543</f>
        <v>1248@gmail.com</v>
      </c>
      <c r="B1543" s="19" t="str">
        <f>IFERROR(__xludf.DUMMYFUNCTION("IF(OR(regexmatch(A1543,"".*@simon.es$""),REGEXMATCH(A1543,"".*@simon.pt$""),REGEXMATCH(A1543,"".*@simonelectrica.com$""),REGEXMATCH(A1543,"".*@hiberus.com$""),REGEXMATCH(A1543,"".*@simonbrico.es$""),regexmatch(A1543,"".*@simonelectric.com$"")),""null"",A1"&amp;"543)"),"1248@gmail.com")</f>
        <v>1248@gmail.com</v>
      </c>
      <c r="C1543" s="5">
        <f>IF(B1543="null","null",Descargas!B1543)</f>
        <v>43950</v>
      </c>
      <c r="D1543" s="6" t="str">
        <f>Descargas!E1543</f>
        <v>https://resources.simonelectric.com/simon-catalogo-vehiculo-electrico</v>
      </c>
      <c r="E1543" s="20" t="str">
        <f t="shared" si="1"/>
        <v>1248@gmail.com</v>
      </c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</row>
    <row r="1544" ht="15.75" customHeight="1">
      <c r="A1544" s="18" t="str">
        <f>Descargas!A1544</f>
        <v>1249@gmail.com</v>
      </c>
      <c r="B1544" s="19" t="str">
        <f>IFERROR(__xludf.DUMMYFUNCTION("IF(OR(regexmatch(A1544,"".*@simon.es$""),REGEXMATCH(A1544,"".*@simon.pt$""),REGEXMATCH(A1544,"".*@simonelectrica.com$""),REGEXMATCH(A1544,"".*@hiberus.com$""),REGEXMATCH(A1544,"".*@simonbrico.es$""),regexmatch(A1544,"".*@simonelectric.com$"")),""null"",A1"&amp;"544)"),"1249@gmail.com")</f>
        <v>1249@gmail.com</v>
      </c>
      <c r="C1544" s="5">
        <f>IF(B1544="null","null",Descargas!B1544)</f>
        <v>43950</v>
      </c>
      <c r="D1544" s="6" t="str">
        <f>Descargas!E1544</f>
        <v>https://resources.simonelectric.com/simon-catalogo-vehiculo-electrico</v>
      </c>
      <c r="E1544" s="20" t="str">
        <f t="shared" si="1"/>
        <v>1249@gmail.com</v>
      </c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</row>
    <row r="1545" ht="15.75" customHeight="1">
      <c r="A1545" s="18" t="str">
        <f>Descargas!A1545</f>
        <v>1250@telefonica.net</v>
      </c>
      <c r="B1545" s="19" t="str">
        <f>IFERROR(__xludf.DUMMYFUNCTION("IF(OR(regexmatch(A1545,"".*@simon.es$""),REGEXMATCH(A1545,"".*@simon.pt$""),REGEXMATCH(A1545,"".*@simonelectrica.com$""),REGEXMATCH(A1545,"".*@hiberus.com$""),REGEXMATCH(A1545,"".*@simonbrico.es$""),regexmatch(A1545,"".*@simonelectric.com$"")),""null"",A1"&amp;"545)"),"1250@telefonica.net")</f>
        <v>1250@telefonica.net</v>
      </c>
      <c r="C1545" s="5">
        <f>IF(B1545="null","null",Descargas!B1545)</f>
        <v>43950</v>
      </c>
      <c r="D1545" s="6" t="str">
        <f>Descargas!E1545</f>
        <v>https://resources.simonelectric.com/simon-catalogo-vehiculo-electrico</v>
      </c>
      <c r="E1545" s="20" t="str">
        <f t="shared" si="1"/>
        <v>1250@telefonica.net</v>
      </c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</row>
    <row r="1546" ht="15.75" customHeight="1">
      <c r="A1546" s="18" t="str">
        <f>Descargas!A1546</f>
        <v>1251@gomurmya.com</v>
      </c>
      <c r="B1546" s="19" t="str">
        <f>IFERROR(__xludf.DUMMYFUNCTION("IF(OR(regexmatch(A1546,"".*@simon.es$""),REGEXMATCH(A1546,"".*@simon.pt$""),REGEXMATCH(A1546,"".*@simonelectrica.com$""),REGEXMATCH(A1546,"".*@hiberus.com$""),REGEXMATCH(A1546,"".*@simonbrico.es$""),regexmatch(A1546,"".*@simonelectric.com$"")),""null"",A1"&amp;"546)"),"1251@gomurmya.com")</f>
        <v>1251@gomurmya.com</v>
      </c>
      <c r="C1546" s="5">
        <f>IF(B1546="null","null",Descargas!B1546)</f>
        <v>43950</v>
      </c>
      <c r="D1546" s="6" t="str">
        <f>Descargas!E1546</f>
        <v>https://resources.simonelectric.com/simon-ebook-vehiculo-electrico-ppc</v>
      </c>
      <c r="E1546" s="20" t="str">
        <f t="shared" si="1"/>
        <v>1251@gomurmya.com</v>
      </c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</row>
    <row r="1547" ht="15.75" customHeight="1">
      <c r="A1547" s="18" t="str">
        <f>Descargas!A1547</f>
        <v>1252@desarrollotecnico.com</v>
      </c>
      <c r="B1547" s="19" t="str">
        <f>IFERROR(__xludf.DUMMYFUNCTION("IF(OR(regexmatch(A1547,"".*@simon.es$""),REGEXMATCH(A1547,"".*@simon.pt$""),REGEXMATCH(A1547,"".*@simonelectrica.com$""),REGEXMATCH(A1547,"".*@hiberus.com$""),REGEXMATCH(A1547,"".*@simonbrico.es$""),regexmatch(A1547,"".*@simonelectric.com$"")),""null"",A1"&amp;"547)"),"1252@desarrollotecnico.com")</f>
        <v>1252@desarrollotecnico.com</v>
      </c>
      <c r="C1547" s="5">
        <f>IF(B1547="null","null",Descargas!B1547)</f>
        <v>43950</v>
      </c>
      <c r="D1547" s="6" t="str">
        <f>Descargas!E1547</f>
        <v>https://resources.simonelectric.com/simon-catalogo-vehiculo-electrico</v>
      </c>
      <c r="E1547" s="20" t="str">
        <f t="shared" si="1"/>
        <v>1252@desarrollotecnico.com</v>
      </c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</row>
    <row r="1548" ht="15.75" customHeight="1">
      <c r="A1548" s="18" t="str">
        <f>Descargas!A1548</f>
        <v>1253@gmail.com</v>
      </c>
      <c r="B1548" s="19" t="str">
        <f>IFERROR(__xludf.DUMMYFUNCTION("IF(OR(regexmatch(A1548,"".*@simon.es$""),REGEXMATCH(A1548,"".*@simon.pt$""),REGEXMATCH(A1548,"".*@simonelectrica.com$""),REGEXMATCH(A1548,"".*@hiberus.com$""),REGEXMATCH(A1548,"".*@simonbrico.es$""),regexmatch(A1548,"".*@simonelectric.com$"")),""null"",A1"&amp;"548)"),"1253@gmail.com")</f>
        <v>1253@gmail.com</v>
      </c>
      <c r="C1548" s="5">
        <f>IF(B1548="null","null",Descargas!B1548)</f>
        <v>43950</v>
      </c>
      <c r="D1548" s="6" t="str">
        <f>Descargas!E1548</f>
        <v>https://resources.simonelectric.com/simon-catalogo-vehiculo-electrico</v>
      </c>
      <c r="E1548" s="20" t="str">
        <f t="shared" si="1"/>
        <v>1253@gmail.com</v>
      </c>
      <c r="F1548" s="21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</row>
    <row r="1549" ht="15.75" customHeight="1">
      <c r="A1549" s="18" t="str">
        <f>Descargas!A1549</f>
        <v>1254@gmail.com</v>
      </c>
      <c r="B1549" s="19" t="str">
        <f>IFERROR(__xludf.DUMMYFUNCTION("IF(OR(regexmatch(A1549,"".*@simon.es$""),REGEXMATCH(A1549,"".*@simon.pt$""),REGEXMATCH(A1549,"".*@simonelectrica.com$""),REGEXMATCH(A1549,"".*@hiberus.com$""),REGEXMATCH(A1549,"".*@simonbrico.es$""),regexmatch(A1549,"".*@simonelectric.com$"")),""null"",A1"&amp;"549)"),"1254@gmail.com")</f>
        <v>1254@gmail.com</v>
      </c>
      <c r="C1549" s="5">
        <f>IF(B1549="null","null",Descargas!B1549)</f>
        <v>43950</v>
      </c>
      <c r="D1549" s="6" t="str">
        <f>Descargas!E1549</f>
        <v>https://resources.simonelectric.com/simon-catalogo-vehiculo-electrico</v>
      </c>
      <c r="E1549" s="20" t="str">
        <f t="shared" si="1"/>
        <v>1254@gmail.com</v>
      </c>
      <c r="F1549" s="21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</row>
    <row r="1550" ht="15.75" customHeight="1">
      <c r="A1550" s="18" t="str">
        <f>Descargas!A1550</f>
        <v>1255@hotmail.com</v>
      </c>
      <c r="B1550" s="19" t="str">
        <f>IFERROR(__xludf.DUMMYFUNCTION("IF(OR(regexmatch(A1550,"".*@simon.es$""),REGEXMATCH(A1550,"".*@simon.pt$""),REGEXMATCH(A1550,"".*@simonelectrica.com$""),REGEXMATCH(A1550,"".*@hiberus.com$""),REGEXMATCH(A1550,"".*@simonbrico.es$""),regexmatch(A1550,"".*@simonelectric.com$"")),""null"",A1"&amp;"550)"),"1255@hotmail.com")</f>
        <v>1255@hotmail.com</v>
      </c>
      <c r="C1550" s="5">
        <f>IF(B1550="null","null",Descargas!B1550)</f>
        <v>43950</v>
      </c>
      <c r="D1550" s="6" t="str">
        <f>Descargas!E1550</f>
        <v>https://resources.simonelectric.com/simon-catalogo-vehiculo-electrico</v>
      </c>
      <c r="E1550" s="20" t="str">
        <f t="shared" si="1"/>
        <v>1255@hotmail.com</v>
      </c>
      <c r="F1550" s="21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</row>
    <row r="1551" ht="15.75" customHeight="1">
      <c r="A1551" s="18" t="str">
        <f>Descargas!A1551</f>
        <v>1256@gmail.com</v>
      </c>
      <c r="B1551" s="19" t="str">
        <f>IFERROR(__xludf.DUMMYFUNCTION("IF(OR(regexmatch(A1551,"".*@simon.es$""),REGEXMATCH(A1551,"".*@simon.pt$""),REGEXMATCH(A1551,"".*@simonelectrica.com$""),REGEXMATCH(A1551,"".*@hiberus.com$""),REGEXMATCH(A1551,"".*@simonbrico.es$""),regexmatch(A1551,"".*@simonelectric.com$"")),""null"",A1"&amp;"551)"),"1256@gmail.com")</f>
        <v>1256@gmail.com</v>
      </c>
      <c r="C1551" s="5">
        <f>IF(B1551="null","null",Descargas!B1551)</f>
        <v>43950</v>
      </c>
      <c r="D1551" s="6" t="str">
        <f>Descargas!E1551</f>
        <v>https://resources.simonelectric.com/simon-catalogo-vehiculo-electrico</v>
      </c>
      <c r="E1551" s="20" t="str">
        <f t="shared" si="1"/>
        <v>1256@gmail.com</v>
      </c>
      <c r="F1551" s="21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</row>
    <row r="1552" ht="15.75" customHeight="1">
      <c r="A1552" s="18" t="str">
        <f>Descargas!A1552</f>
        <v>1257@carsbarcelona.es</v>
      </c>
      <c r="B1552" s="19" t="str">
        <f>IFERROR(__xludf.DUMMYFUNCTION("IF(OR(regexmatch(A1552,"".*@simon.es$""),REGEXMATCH(A1552,"".*@simon.pt$""),REGEXMATCH(A1552,"".*@simonelectrica.com$""),REGEXMATCH(A1552,"".*@hiberus.com$""),REGEXMATCH(A1552,"".*@simonbrico.es$""),regexmatch(A1552,"".*@simonelectric.com$"")),""null"",A1"&amp;"552)"),"1257@carsbarcelona.es")</f>
        <v>1257@carsbarcelona.es</v>
      </c>
      <c r="C1552" s="5">
        <f>IF(B1552="null","null",Descargas!B1552)</f>
        <v>43950</v>
      </c>
      <c r="D1552" s="6" t="str">
        <f>Descargas!E1552</f>
        <v>https://resources.simonelectric.com/simon-catalogo-vehiculo-electrico</v>
      </c>
      <c r="E1552" s="20" t="str">
        <f t="shared" si="1"/>
        <v>1257@carsbarcelona.es</v>
      </c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</row>
    <row r="1553" ht="15.75" customHeight="1">
      <c r="A1553" s="18" t="str">
        <f>Descargas!A1553</f>
        <v>625@hotmail.com</v>
      </c>
      <c r="B1553" s="19" t="str">
        <f>IFERROR(__xludf.DUMMYFUNCTION("IF(OR(regexmatch(A1553,"".*@simon.es$""),REGEXMATCH(A1553,"".*@simon.pt$""),REGEXMATCH(A1553,"".*@simonelectrica.com$""),REGEXMATCH(A1553,"".*@hiberus.com$""),REGEXMATCH(A1553,"".*@simonbrico.es$""),regexmatch(A1553,"".*@simonelectric.com$"")),""null"",A1"&amp;"553)"),"625@hotmail.com")</f>
        <v>625@hotmail.com</v>
      </c>
      <c r="C1553" s="5">
        <f>IF(B1553="null","null",Descargas!B1553)</f>
        <v>43950</v>
      </c>
      <c r="D1553" s="6" t="str">
        <f>Descargas!E1553</f>
        <v>https://resources.simonelectric.com/simon-catalogo-vehiculo-electrico</v>
      </c>
      <c r="E1553" s="20" t="str">
        <f t="shared" si="1"/>
        <v>625@hotmail.com</v>
      </c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</row>
    <row r="1554" ht="15.75" customHeight="1">
      <c r="A1554" s="18" t="str">
        <f>Descargas!A1554</f>
        <v>1256@gmail.com</v>
      </c>
      <c r="B1554" s="19" t="str">
        <f>IFERROR(__xludf.DUMMYFUNCTION("IF(OR(regexmatch(A1554,"".*@simon.es$""),REGEXMATCH(A1554,"".*@simon.pt$""),REGEXMATCH(A1554,"".*@simonelectrica.com$""),REGEXMATCH(A1554,"".*@hiberus.com$""),REGEXMATCH(A1554,"".*@simonbrico.es$""),regexmatch(A1554,"".*@simonelectric.com$"")),""null"",A1"&amp;"554)"),"1256@gmail.com")</f>
        <v>1256@gmail.com</v>
      </c>
      <c r="C1554" s="5">
        <f>IF(B1554="null","null",Descargas!B1554)</f>
        <v>43950</v>
      </c>
      <c r="D1554" s="6" t="str">
        <f>Descargas!E1554</f>
        <v>https://resources.simonelectric.com/simon-catalogo-vehiculo-electrico</v>
      </c>
      <c r="E1554" s="20" t="str">
        <f t="shared" si="1"/>
        <v>1256@gmail.com</v>
      </c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</row>
    <row r="1555" ht="15.75" customHeight="1">
      <c r="A1555" s="18" t="str">
        <f>Descargas!A1555</f>
        <v>1258@gmail.com</v>
      </c>
      <c r="B1555" s="19" t="str">
        <f>IFERROR(__xludf.DUMMYFUNCTION("IF(OR(regexmatch(A1555,"".*@simon.es$""),REGEXMATCH(A1555,"".*@simon.pt$""),REGEXMATCH(A1555,"".*@simonelectrica.com$""),REGEXMATCH(A1555,"".*@hiberus.com$""),REGEXMATCH(A1555,"".*@simonbrico.es$""),regexmatch(A1555,"".*@simonelectric.com$"")),""null"",A1"&amp;"555)"),"1258@gmail.com")</f>
        <v>1258@gmail.com</v>
      </c>
      <c r="C1555" s="5">
        <f>IF(B1555="null","null",Descargas!B1555)</f>
        <v>43950</v>
      </c>
      <c r="D1555" s="6" t="str">
        <f>Descargas!E1555</f>
        <v>https://resources.simonelectric.com/simon-catalogo-vehiculo-electrico</v>
      </c>
      <c r="E1555" s="20" t="str">
        <f t="shared" si="1"/>
        <v>1258@gmail.com</v>
      </c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</row>
    <row r="1556" ht="15.75" customHeight="1">
      <c r="A1556" s="18" t="str">
        <f>Descargas!A1556</f>
        <v>1259@radresa.com</v>
      </c>
      <c r="B1556" s="19" t="str">
        <f>IFERROR(__xludf.DUMMYFUNCTION("IF(OR(regexmatch(A1556,"".*@simon.es$""),REGEXMATCH(A1556,"".*@simon.pt$""),REGEXMATCH(A1556,"".*@simonelectrica.com$""),REGEXMATCH(A1556,"".*@hiberus.com$""),REGEXMATCH(A1556,"".*@simonbrico.es$""),regexmatch(A1556,"".*@simonelectric.com$"")),""null"",A1"&amp;"556)"),"1259@radresa.com")</f>
        <v>1259@radresa.com</v>
      </c>
      <c r="C1556" s="5">
        <f>IF(B1556="null","null",Descargas!B1556)</f>
        <v>43950</v>
      </c>
      <c r="D1556" s="6" t="str">
        <f>Descargas!E1556</f>
        <v>https://resources.simonelectric.com/simon-catalogo-vehiculo-electrico</v>
      </c>
      <c r="E1556" s="20" t="str">
        <f t="shared" si="1"/>
        <v>1259@radresa.com</v>
      </c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</row>
    <row r="1557" ht="15.75" customHeight="1">
      <c r="A1557" s="18" t="str">
        <f>Descargas!A1557</f>
        <v>1260@gdr.es</v>
      </c>
      <c r="B1557" s="19" t="str">
        <f>IFERROR(__xludf.DUMMYFUNCTION("IF(OR(regexmatch(A1557,"".*@simon.es$""),REGEXMATCH(A1557,"".*@simon.pt$""),REGEXMATCH(A1557,"".*@simonelectrica.com$""),REGEXMATCH(A1557,"".*@hiberus.com$""),REGEXMATCH(A1557,"".*@simonbrico.es$""),regexmatch(A1557,"".*@simonelectric.com$"")),""null"",A1"&amp;"557)"),"1260@gdr.es")</f>
        <v>1260@gdr.es</v>
      </c>
      <c r="C1557" s="5">
        <f>IF(B1557="null","null",Descargas!B1557)</f>
        <v>43950</v>
      </c>
      <c r="D1557" s="6" t="str">
        <f>Descargas!E1557</f>
        <v>https://resources.simonelectric.com/simon-catalogo-vehiculo-electrico</v>
      </c>
      <c r="E1557" s="20" t="str">
        <f t="shared" si="1"/>
        <v>1260@gdr.es</v>
      </c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</row>
    <row r="1558" ht="15.75" customHeight="1">
      <c r="A1558" s="18" t="str">
        <f>Descargas!A1558</f>
        <v>1261@e-copitile.es</v>
      </c>
      <c r="B1558" s="19" t="str">
        <f>IFERROR(__xludf.DUMMYFUNCTION("IF(OR(regexmatch(A1558,"".*@simon.es$""),REGEXMATCH(A1558,"".*@simon.pt$""),REGEXMATCH(A1558,"".*@simonelectrica.com$""),REGEXMATCH(A1558,"".*@hiberus.com$""),REGEXMATCH(A1558,"".*@simonbrico.es$""),regexmatch(A1558,"".*@simonelectric.com$"")),""null"",A1"&amp;"558)"),"1261@e-copitile.es")</f>
        <v>1261@e-copitile.es</v>
      </c>
      <c r="C1558" s="5">
        <f>IF(B1558="null","null",Descargas!B1558)</f>
        <v>43950</v>
      </c>
      <c r="D1558" s="6" t="str">
        <f>Descargas!E1558</f>
        <v>https://resources.simonelectric.com/simon-catalogo-vehiculo-electrico</v>
      </c>
      <c r="E1558" s="20" t="str">
        <f t="shared" si="1"/>
        <v>1261@e-copitile.es</v>
      </c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</row>
    <row r="1559" ht="15.75" customHeight="1">
      <c r="A1559" s="18" t="str">
        <f>Descargas!A1559</f>
        <v>1262@hotmail.com</v>
      </c>
      <c r="B1559" s="19" t="str">
        <f>IFERROR(__xludf.DUMMYFUNCTION("IF(OR(regexmatch(A1559,"".*@simon.es$""),REGEXMATCH(A1559,"".*@simon.pt$""),REGEXMATCH(A1559,"".*@simonelectrica.com$""),REGEXMATCH(A1559,"".*@hiberus.com$""),REGEXMATCH(A1559,"".*@simonbrico.es$""),regexmatch(A1559,"".*@simonelectric.com$"")),""null"",A1"&amp;"559)"),"1262@hotmail.com")</f>
        <v>1262@hotmail.com</v>
      </c>
      <c r="C1559" s="5">
        <f>IF(B1559="null","null",Descargas!B1559)</f>
        <v>43950</v>
      </c>
      <c r="D1559" s="6" t="str">
        <f>Descargas!E1559</f>
        <v>https://resources.simonelectric.com/simon-catalogo-vehiculo-electrico</v>
      </c>
      <c r="E1559" s="20" t="str">
        <f t="shared" si="1"/>
        <v>1262@hotmail.com</v>
      </c>
      <c r="F1559" s="21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</row>
    <row r="1560" ht="15.75" customHeight="1">
      <c r="A1560" s="18" t="str">
        <f>Descargas!A1560</f>
        <v>1263@hotmail.com</v>
      </c>
      <c r="B1560" s="19" t="str">
        <f>IFERROR(__xludf.DUMMYFUNCTION("IF(OR(regexmatch(A1560,"".*@simon.es$""),REGEXMATCH(A1560,"".*@simon.pt$""),REGEXMATCH(A1560,"".*@simonelectrica.com$""),REGEXMATCH(A1560,"".*@hiberus.com$""),REGEXMATCH(A1560,"".*@simonbrico.es$""),regexmatch(A1560,"".*@simonelectric.com$"")),""null"",A1"&amp;"560)"),"1263@hotmail.com")</f>
        <v>1263@hotmail.com</v>
      </c>
      <c r="C1560" s="5">
        <f>IF(B1560="null","null",Descargas!B1560)</f>
        <v>43950</v>
      </c>
      <c r="D1560" s="6" t="str">
        <f>Descargas!E1560</f>
        <v>https://resources.simonelectric.com/simon-catalogo-vehiculo-electrico</v>
      </c>
      <c r="E1560" s="20" t="str">
        <f t="shared" si="1"/>
        <v>1263@hotmail.com</v>
      </c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</row>
    <row r="1561" ht="15.75" customHeight="1">
      <c r="A1561" s="18" t="str">
        <f>Descargas!A1561</f>
        <v>1264@gmail.com</v>
      </c>
      <c r="B1561" s="19" t="str">
        <f>IFERROR(__xludf.DUMMYFUNCTION("IF(OR(regexmatch(A1561,"".*@simon.es$""),REGEXMATCH(A1561,"".*@simon.pt$""),REGEXMATCH(A1561,"".*@simonelectrica.com$""),REGEXMATCH(A1561,"".*@hiberus.com$""),REGEXMATCH(A1561,"".*@simonbrico.es$""),regexmatch(A1561,"".*@simonelectric.com$"")),""null"",A1"&amp;"561)"),"1264@gmail.com")</f>
        <v>1264@gmail.com</v>
      </c>
      <c r="C1561" s="5">
        <f>IF(B1561="null","null",Descargas!B1561)</f>
        <v>43950</v>
      </c>
      <c r="D1561" s="6" t="str">
        <f>Descargas!E1561</f>
        <v>https://resources.simonelectric.com/simon-catalogo-vehiculo-electrico</v>
      </c>
      <c r="E1561" s="20" t="str">
        <f t="shared" si="1"/>
        <v>1264@gmail.com</v>
      </c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</row>
    <row r="1562" ht="15.75" customHeight="1">
      <c r="A1562" s="18" t="str">
        <f>Descargas!A1562</f>
        <v>1265@hotmail.com</v>
      </c>
      <c r="B1562" s="19" t="str">
        <f>IFERROR(__xludf.DUMMYFUNCTION("IF(OR(regexmatch(A1562,"".*@simon.es$""),REGEXMATCH(A1562,"".*@simon.pt$""),REGEXMATCH(A1562,"".*@simonelectrica.com$""),REGEXMATCH(A1562,"".*@hiberus.com$""),REGEXMATCH(A1562,"".*@simonbrico.es$""),regexmatch(A1562,"".*@simonelectric.com$"")),""null"",A1"&amp;"562)"),"1265@hotmail.com")</f>
        <v>1265@hotmail.com</v>
      </c>
      <c r="C1562" s="5">
        <f>IF(B1562="null","null",Descargas!B1562)</f>
        <v>43950</v>
      </c>
      <c r="D1562" s="6" t="str">
        <f>Descargas!E1562</f>
        <v>https://resources.simonelectric.com/simon-catalogo-vehiculo-electrico</v>
      </c>
      <c r="E1562" s="20" t="str">
        <f t="shared" si="1"/>
        <v>1265@hotmail.com</v>
      </c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</row>
    <row r="1563" ht="15.75" customHeight="1">
      <c r="A1563" s="18" t="str">
        <f>Descargas!A1563</f>
        <v>1266@gmail.com</v>
      </c>
      <c r="B1563" s="19" t="str">
        <f>IFERROR(__xludf.DUMMYFUNCTION("IF(OR(regexmatch(A1563,"".*@simon.es$""),REGEXMATCH(A1563,"".*@simon.pt$""),REGEXMATCH(A1563,"".*@simonelectrica.com$""),REGEXMATCH(A1563,"".*@hiberus.com$""),REGEXMATCH(A1563,"".*@simonbrico.es$""),regexmatch(A1563,"".*@simonelectric.com$"")),""null"",A1"&amp;"563)"),"1266@gmail.com")</f>
        <v>1266@gmail.com</v>
      </c>
      <c r="C1563" s="5">
        <f>IF(B1563="null","null",Descargas!B1563)</f>
        <v>43950</v>
      </c>
      <c r="D1563" s="6" t="str">
        <f>Descargas!E1563</f>
        <v>https://resources.simonelectric.com/simon-catalogo-vehiculo-electrico</v>
      </c>
      <c r="E1563" s="20" t="str">
        <f t="shared" si="1"/>
        <v>1266@gmail.com</v>
      </c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</row>
    <row r="1564" ht="15.75" customHeight="1">
      <c r="A1564" s="18" t="str">
        <f>Descargas!A1564</f>
        <v>1267@motor2000.net</v>
      </c>
      <c r="B1564" s="19" t="str">
        <f>IFERROR(__xludf.DUMMYFUNCTION("IF(OR(regexmatch(A1564,"".*@simon.es$""),REGEXMATCH(A1564,"".*@simon.pt$""),REGEXMATCH(A1564,"".*@simonelectrica.com$""),REGEXMATCH(A1564,"".*@hiberus.com$""),REGEXMATCH(A1564,"".*@simonbrico.es$""),regexmatch(A1564,"".*@simonelectric.com$"")),""null"",A1"&amp;"564)"),"1267@motor2000.net")</f>
        <v>1267@motor2000.net</v>
      </c>
      <c r="C1564" s="5">
        <f>IF(B1564="null","null",Descargas!B1564)</f>
        <v>43950</v>
      </c>
      <c r="D1564" s="6" t="str">
        <f>Descargas!E1564</f>
        <v>https://resources.simonelectric.com/simon-catalogo-vehiculo-electrico</v>
      </c>
      <c r="E1564" s="20" t="str">
        <f t="shared" si="1"/>
        <v>1267@motor2000.net</v>
      </c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</row>
    <row r="1565" ht="15.75" customHeight="1">
      <c r="A1565" s="18" t="str">
        <f>Descargas!A1565</f>
        <v>1268@gamai.com</v>
      </c>
      <c r="B1565" s="19" t="str">
        <f>IFERROR(__xludf.DUMMYFUNCTION("IF(OR(regexmatch(A1565,"".*@simon.es$""),REGEXMATCH(A1565,"".*@simon.pt$""),REGEXMATCH(A1565,"".*@simonelectrica.com$""),REGEXMATCH(A1565,"".*@hiberus.com$""),REGEXMATCH(A1565,"".*@simonbrico.es$""),regexmatch(A1565,"".*@simonelectric.com$"")),""null"",A1"&amp;"565)"),"1268@gamai.com")</f>
        <v>1268@gamai.com</v>
      </c>
      <c r="C1565" s="5">
        <f>IF(B1565="null","null",Descargas!B1565)</f>
        <v>43950</v>
      </c>
      <c r="D1565" s="6" t="str">
        <f>Descargas!E1565</f>
        <v>https://resources.simonelectric.com/simon-catalogo-vehiculo-electrico</v>
      </c>
      <c r="E1565" s="20" t="str">
        <f t="shared" si="1"/>
        <v>1268@gamai.com</v>
      </c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</row>
    <row r="1566" ht="15.75" customHeight="1">
      <c r="A1566" s="18" t="str">
        <f>Descargas!A1566</f>
        <v>1269@kuartafase.com</v>
      </c>
      <c r="B1566" s="19" t="str">
        <f>IFERROR(__xludf.DUMMYFUNCTION("IF(OR(regexmatch(A1566,"".*@simon.es$""),REGEXMATCH(A1566,"".*@simon.pt$""),REGEXMATCH(A1566,"".*@simonelectrica.com$""),REGEXMATCH(A1566,"".*@hiberus.com$""),REGEXMATCH(A1566,"".*@simonbrico.es$""),regexmatch(A1566,"".*@simonelectric.com$"")),""null"",A1"&amp;"566)"),"1269@kuartafase.com")</f>
        <v>1269@kuartafase.com</v>
      </c>
      <c r="C1566" s="5">
        <f>IF(B1566="null","null",Descargas!B1566)</f>
        <v>43950</v>
      </c>
      <c r="D1566" s="6" t="str">
        <f>Descargas!E1566</f>
        <v>https://resources.simonelectric.com/simon-catalogo-vehiculo-electrico</v>
      </c>
      <c r="E1566" s="20" t="str">
        <f t="shared" si="1"/>
        <v>1269@kuartafase.com</v>
      </c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</row>
    <row r="1567" ht="15.75" customHeight="1">
      <c r="A1567" s="18" t="str">
        <f>Descargas!A1567</f>
        <v>1270@solcansl.com</v>
      </c>
      <c r="B1567" s="19" t="str">
        <f>IFERROR(__xludf.DUMMYFUNCTION("IF(OR(regexmatch(A1567,"".*@simon.es$""),REGEXMATCH(A1567,"".*@simon.pt$""),REGEXMATCH(A1567,"".*@simonelectrica.com$""),REGEXMATCH(A1567,"".*@hiberus.com$""),REGEXMATCH(A1567,"".*@simonbrico.es$""),regexmatch(A1567,"".*@simonelectric.com$"")),""null"",A1"&amp;"567)"),"1270@solcansl.com")</f>
        <v>1270@solcansl.com</v>
      </c>
      <c r="C1567" s="5">
        <f>IF(B1567="null","null",Descargas!B1567)</f>
        <v>43950</v>
      </c>
      <c r="D1567" s="6" t="str">
        <f>Descargas!E1567</f>
        <v>https://resources.simonelectric.com/simon-catalogo-vehiculo-electrico</v>
      </c>
      <c r="E1567" s="20" t="str">
        <f t="shared" si="1"/>
        <v>1270@solcansl.com</v>
      </c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</row>
    <row r="1568" ht="15.75" customHeight="1">
      <c r="A1568" s="18" t="str">
        <f>Descargas!A1568</f>
        <v>1271@yahoo.es</v>
      </c>
      <c r="B1568" s="19" t="str">
        <f>IFERROR(__xludf.DUMMYFUNCTION("IF(OR(regexmatch(A1568,"".*@simon.es$""),REGEXMATCH(A1568,"".*@simon.pt$""),REGEXMATCH(A1568,"".*@simonelectrica.com$""),REGEXMATCH(A1568,"".*@hiberus.com$""),REGEXMATCH(A1568,"".*@simonbrico.es$""),regexmatch(A1568,"".*@simonelectric.com$"")),""null"",A1"&amp;"568)"),"1271@yahoo.es")</f>
        <v>1271@yahoo.es</v>
      </c>
      <c r="C1568" s="5">
        <f>IF(B1568="null","null",Descargas!B1568)</f>
        <v>43950</v>
      </c>
      <c r="D1568" s="6" t="str">
        <f>Descargas!E1568</f>
        <v>https://resources.simonelectric.com/simon-catalogo-vehiculo-electrico</v>
      </c>
      <c r="E1568" s="20" t="str">
        <f t="shared" si="1"/>
        <v>1271@yahoo.es</v>
      </c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</row>
    <row r="1569" ht="15.75" customHeight="1">
      <c r="A1569" s="18" t="str">
        <f>Descargas!A1569</f>
        <v>1272@gmail.com</v>
      </c>
      <c r="B1569" s="19" t="str">
        <f>IFERROR(__xludf.DUMMYFUNCTION("IF(OR(regexmatch(A1569,"".*@simon.es$""),REGEXMATCH(A1569,"".*@simon.pt$""),REGEXMATCH(A1569,"".*@simonelectrica.com$""),REGEXMATCH(A1569,"".*@hiberus.com$""),REGEXMATCH(A1569,"".*@simonbrico.es$""),regexmatch(A1569,"".*@simonelectric.com$"")),""null"",A1"&amp;"569)"),"1272@gmail.com")</f>
        <v>1272@gmail.com</v>
      </c>
      <c r="C1569" s="5">
        <f>IF(B1569="null","null",Descargas!B1569)</f>
        <v>43950</v>
      </c>
      <c r="D1569" s="6" t="str">
        <f>Descargas!E1569</f>
        <v>https://resources.simonelectric.com/simon-catalogo-vehiculo-electrico</v>
      </c>
      <c r="E1569" s="20" t="str">
        <f t="shared" si="1"/>
        <v>1272@gmail.com</v>
      </c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</row>
    <row r="1570" ht="15.75" customHeight="1">
      <c r="A1570" s="18" t="str">
        <f>Descargas!A1570</f>
        <v>1273@telefonica.net</v>
      </c>
      <c r="B1570" s="19" t="str">
        <f>IFERROR(__xludf.DUMMYFUNCTION("IF(OR(regexmatch(A1570,"".*@simon.es$""),REGEXMATCH(A1570,"".*@simon.pt$""),REGEXMATCH(A1570,"".*@simonelectrica.com$""),REGEXMATCH(A1570,"".*@hiberus.com$""),REGEXMATCH(A1570,"".*@simonbrico.es$""),regexmatch(A1570,"".*@simonelectric.com$"")),""null"",A1"&amp;"570)"),"1273@telefonica.net")</f>
        <v>1273@telefonica.net</v>
      </c>
      <c r="C1570" s="5">
        <f>IF(B1570="null","null",Descargas!B1570)</f>
        <v>43950</v>
      </c>
      <c r="D1570" s="6" t="str">
        <f>Descargas!E1570</f>
        <v>https://resources.simonelectric.com/simon-catalogo-vehiculo-electrico</v>
      </c>
      <c r="E1570" s="20" t="str">
        <f t="shared" si="1"/>
        <v>1273@telefonica.net</v>
      </c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</row>
    <row r="1571" ht="15.75" customHeight="1">
      <c r="A1571" s="18" t="str">
        <f>Descargas!A1571</f>
        <v>1274@gmail.com</v>
      </c>
      <c r="B1571" s="19" t="str">
        <f>IFERROR(__xludf.DUMMYFUNCTION("IF(OR(regexmatch(A1571,"".*@simon.es$""),REGEXMATCH(A1571,"".*@simon.pt$""),REGEXMATCH(A1571,"".*@simonelectrica.com$""),REGEXMATCH(A1571,"".*@hiberus.com$""),REGEXMATCH(A1571,"".*@simonbrico.es$""),regexmatch(A1571,"".*@simonelectric.com$"")),""null"",A1"&amp;"571)"),"1274@gmail.com")</f>
        <v>1274@gmail.com</v>
      </c>
      <c r="C1571" s="5">
        <f>IF(B1571="null","null",Descargas!B1571)</f>
        <v>43950</v>
      </c>
      <c r="D1571" s="6" t="str">
        <f>Descargas!E1571</f>
        <v>https://resources.simonelectric.com/simon-catalogo-vehiculo-electrico</v>
      </c>
      <c r="E1571" s="20" t="str">
        <f t="shared" si="1"/>
        <v>1274@gmail.com</v>
      </c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</row>
    <row r="1572" ht="15.75" customHeight="1">
      <c r="A1572" s="18" t="str">
        <f>Descargas!A1572</f>
        <v>1275@sonepar.es</v>
      </c>
      <c r="B1572" s="19" t="str">
        <f>IFERROR(__xludf.DUMMYFUNCTION("IF(OR(regexmatch(A1572,"".*@simon.es$""),REGEXMATCH(A1572,"".*@simon.pt$""),REGEXMATCH(A1572,"".*@simonelectrica.com$""),REGEXMATCH(A1572,"".*@hiberus.com$""),REGEXMATCH(A1572,"".*@simonbrico.es$""),regexmatch(A1572,"".*@simonelectric.com$"")),""null"",A1"&amp;"572)"),"1275@sonepar.es")</f>
        <v>1275@sonepar.es</v>
      </c>
      <c r="C1572" s="5">
        <f>IF(B1572="null","null",Descargas!B1572)</f>
        <v>43950</v>
      </c>
      <c r="D1572" s="6" t="str">
        <f>Descargas!E1572</f>
        <v>https://resources.simonelectric.com/simon-catalogo-vehiculo-electrico</v>
      </c>
      <c r="E1572" s="20" t="str">
        <f t="shared" si="1"/>
        <v>1275@sonepar.es</v>
      </c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</row>
    <row r="1573" ht="15.75" customHeight="1">
      <c r="A1573" s="18" t="str">
        <f>Descargas!A1573</f>
        <v>1276@protomar.es</v>
      </c>
      <c r="B1573" s="19" t="str">
        <f>IFERROR(__xludf.DUMMYFUNCTION("IF(OR(regexmatch(A1573,"".*@simon.es$""),REGEXMATCH(A1573,"".*@simon.pt$""),REGEXMATCH(A1573,"".*@simonelectrica.com$""),REGEXMATCH(A1573,"".*@hiberus.com$""),REGEXMATCH(A1573,"".*@simonbrico.es$""),regexmatch(A1573,"".*@simonelectric.com$"")),""null"",A1"&amp;"573)"),"1276@protomar.es")</f>
        <v>1276@protomar.es</v>
      </c>
      <c r="C1573" s="5">
        <f>IF(B1573="null","null",Descargas!B1573)</f>
        <v>43950</v>
      </c>
      <c r="D1573" s="6" t="str">
        <f>Descargas!E1573</f>
        <v>https://resources.simonelectric.com/simon-catalogo-vehiculo-electrico</v>
      </c>
      <c r="E1573" s="20" t="str">
        <f t="shared" si="1"/>
        <v>1276@protomar.es</v>
      </c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</row>
    <row r="1574" ht="15.75" customHeight="1">
      <c r="A1574" s="18" t="str">
        <f>Descargas!A1574</f>
        <v>613@proingo.es</v>
      </c>
      <c r="B1574" s="19" t="str">
        <f>IFERROR(__xludf.DUMMYFUNCTION("IF(OR(regexmatch(A1574,"".*@simon.es$""),REGEXMATCH(A1574,"".*@simon.pt$""),REGEXMATCH(A1574,"".*@simonelectrica.com$""),REGEXMATCH(A1574,"".*@hiberus.com$""),REGEXMATCH(A1574,"".*@simonbrico.es$""),regexmatch(A1574,"".*@simonelectric.com$"")),""null"",A1"&amp;"574)"),"613@proingo.es")</f>
        <v>613@proingo.es</v>
      </c>
      <c r="C1574" s="5">
        <f>IF(B1574="null","null",Descargas!B1574)</f>
        <v>43950</v>
      </c>
      <c r="D1574" s="6" t="str">
        <f>Descargas!E1574</f>
        <v>https://resources.simonelectric.com/simon-catalogo-vehiculo-electrico</v>
      </c>
      <c r="E1574" s="20" t="str">
        <f t="shared" si="1"/>
        <v>613@proingo.es</v>
      </c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</row>
    <row r="1575" ht="15.75" customHeight="1">
      <c r="A1575" s="18" t="str">
        <f>Descargas!A1575</f>
        <v>1277@sonepar.es</v>
      </c>
      <c r="B1575" s="19" t="str">
        <f>IFERROR(__xludf.DUMMYFUNCTION("IF(OR(regexmatch(A1575,"".*@simon.es$""),REGEXMATCH(A1575,"".*@simon.pt$""),REGEXMATCH(A1575,"".*@simonelectrica.com$""),REGEXMATCH(A1575,"".*@hiberus.com$""),REGEXMATCH(A1575,"".*@simonbrico.es$""),regexmatch(A1575,"".*@simonelectric.com$"")),""null"",A1"&amp;"575)"),"1277@sonepar.es")</f>
        <v>1277@sonepar.es</v>
      </c>
      <c r="C1575" s="5">
        <f>IF(B1575="null","null",Descargas!B1575)</f>
        <v>43950</v>
      </c>
      <c r="D1575" s="6" t="str">
        <f>Descargas!E1575</f>
        <v>https://resources.simonelectric.com/simon-catalogo-vehiculo-electrico</v>
      </c>
      <c r="E1575" s="20" t="str">
        <f t="shared" si="1"/>
        <v>1277@sonepar.es</v>
      </c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</row>
    <row r="1576" ht="15.75" customHeight="1">
      <c r="A1576" s="18" t="str">
        <f>Descargas!A1576</f>
        <v>1278@gmail.com</v>
      </c>
      <c r="B1576" s="19" t="str">
        <f>IFERROR(__xludf.DUMMYFUNCTION("IF(OR(regexmatch(A1576,"".*@simon.es$""),REGEXMATCH(A1576,"".*@simon.pt$""),REGEXMATCH(A1576,"".*@simonelectrica.com$""),REGEXMATCH(A1576,"".*@hiberus.com$""),REGEXMATCH(A1576,"".*@simonbrico.es$""),regexmatch(A1576,"".*@simonelectric.com$"")),""null"",A1"&amp;"576)"),"1278@gmail.com")</f>
        <v>1278@gmail.com</v>
      </c>
      <c r="C1576" s="5">
        <f>IF(B1576="null","null",Descargas!B1576)</f>
        <v>43950</v>
      </c>
      <c r="D1576" s="6" t="str">
        <f>Descargas!E1576</f>
        <v>https://resources.simonelectric.com/simon-catalogo-vehiculo-electrico</v>
      </c>
      <c r="E1576" s="20" t="str">
        <f t="shared" si="1"/>
        <v>1278@gmail.com</v>
      </c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</row>
    <row r="1577" ht="15.75" customHeight="1">
      <c r="A1577" s="18" t="str">
        <f>Descargas!A1577</f>
        <v>186@msn.com</v>
      </c>
      <c r="B1577" s="19" t="str">
        <f>IFERROR(__xludf.DUMMYFUNCTION("IF(OR(regexmatch(A1577,"".*@simon.es$""),REGEXMATCH(A1577,"".*@simon.pt$""),REGEXMATCH(A1577,"".*@simonelectrica.com$""),REGEXMATCH(A1577,"".*@hiberus.com$""),REGEXMATCH(A1577,"".*@simonbrico.es$""),regexmatch(A1577,"".*@simonelectric.com$"")),""null"",A1"&amp;"577)"),"186@msn.com")</f>
        <v>186@msn.com</v>
      </c>
      <c r="C1577" s="5">
        <f>IF(B1577="null","null",Descargas!B1577)</f>
        <v>43950</v>
      </c>
      <c r="D1577" s="6" t="str">
        <f>Descargas!E1577</f>
        <v>https://resources.simonelectric.com/simon-catalogo-vehiculo-electrico</v>
      </c>
      <c r="E1577" s="20" t="str">
        <f t="shared" si="1"/>
        <v>186@msn.com</v>
      </c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</row>
    <row r="1578" ht="15.75" customHeight="1">
      <c r="A1578" s="18" t="str">
        <f>Descargas!A1578</f>
        <v>1279@fccco.com</v>
      </c>
      <c r="B1578" s="19" t="str">
        <f>IFERROR(__xludf.DUMMYFUNCTION("IF(OR(regexmatch(A1578,"".*@simon.es$""),REGEXMATCH(A1578,"".*@simon.pt$""),REGEXMATCH(A1578,"".*@simonelectrica.com$""),REGEXMATCH(A1578,"".*@hiberus.com$""),REGEXMATCH(A1578,"".*@simonbrico.es$""),regexmatch(A1578,"".*@simonelectric.com$"")),""null"",A1"&amp;"578)"),"1279@fccco.com")</f>
        <v>1279@fccco.com</v>
      </c>
      <c r="C1578" s="5">
        <f>IF(B1578="null","null",Descargas!B1578)</f>
        <v>43950</v>
      </c>
      <c r="D1578" s="6" t="str">
        <f>Descargas!E1578</f>
        <v>https://resources.simonelectric.com/simon-catalogo-vehiculo-electrico</v>
      </c>
      <c r="E1578" s="20" t="str">
        <f t="shared" si="1"/>
        <v>1279@fccco.com</v>
      </c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</row>
    <row r="1579" ht="15.75" customHeight="1">
      <c r="A1579" s="18" t="str">
        <f>Descargas!A1579</f>
        <v>1280@coitiar.es</v>
      </c>
      <c r="B1579" s="19" t="str">
        <f>IFERROR(__xludf.DUMMYFUNCTION("IF(OR(regexmatch(A1579,"".*@simon.es$""),REGEXMATCH(A1579,"".*@simon.pt$""),REGEXMATCH(A1579,"".*@simonelectrica.com$""),REGEXMATCH(A1579,"".*@hiberus.com$""),REGEXMATCH(A1579,"".*@simonbrico.es$""),regexmatch(A1579,"".*@simonelectric.com$"")),""null"",A1"&amp;"579)"),"1280@coitiar.es")</f>
        <v>1280@coitiar.es</v>
      </c>
      <c r="C1579" s="5">
        <f>IF(B1579="null","null",Descargas!B1579)</f>
        <v>43950</v>
      </c>
      <c r="D1579" s="6" t="str">
        <f>Descargas!E1579</f>
        <v>https://resources.simonelectric.com/simon-catalogo-vehiculo-electrico</v>
      </c>
      <c r="E1579" s="20" t="str">
        <f t="shared" si="1"/>
        <v>1280@coitiar.es</v>
      </c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</row>
    <row r="1580" ht="15.75" customHeight="1">
      <c r="A1580" s="18" t="str">
        <f>Descargas!A1580</f>
        <v>1281@albillos.com</v>
      </c>
      <c r="B1580" s="19" t="str">
        <f>IFERROR(__xludf.DUMMYFUNCTION("IF(OR(regexmatch(A1580,"".*@simon.es$""),REGEXMATCH(A1580,"".*@simon.pt$""),REGEXMATCH(A1580,"".*@simonelectrica.com$""),REGEXMATCH(A1580,"".*@hiberus.com$""),REGEXMATCH(A1580,"".*@simonbrico.es$""),regexmatch(A1580,"".*@simonelectric.com$"")),""null"",A1"&amp;"580)"),"1281@albillos.com")</f>
        <v>1281@albillos.com</v>
      </c>
      <c r="C1580" s="5">
        <f>IF(B1580="null","null",Descargas!B1580)</f>
        <v>43950</v>
      </c>
      <c r="D1580" s="6" t="str">
        <f>Descargas!E1580</f>
        <v>https://resources.simonelectric.com/simon-catalogo-vehiculo-electrico</v>
      </c>
      <c r="E1580" s="20" t="str">
        <f t="shared" si="1"/>
        <v>1281@albillos.com</v>
      </c>
      <c r="F1580" s="21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</row>
    <row r="1581" ht="15.75" customHeight="1">
      <c r="A1581" s="18" t="str">
        <f>Descargas!A1581</f>
        <v>1282@hotmail.com</v>
      </c>
      <c r="B1581" s="19" t="str">
        <f>IFERROR(__xludf.DUMMYFUNCTION("IF(OR(regexmatch(A1581,"".*@simon.es$""),REGEXMATCH(A1581,"".*@simon.pt$""),REGEXMATCH(A1581,"".*@simonelectrica.com$""),REGEXMATCH(A1581,"".*@hiberus.com$""),REGEXMATCH(A1581,"".*@simonbrico.es$""),regexmatch(A1581,"".*@simonelectric.com$"")),""null"",A1"&amp;"581)"),"1282@hotmail.com")</f>
        <v>1282@hotmail.com</v>
      </c>
      <c r="C1581" s="5">
        <f>IF(B1581="null","null",Descargas!B1581)</f>
        <v>43950</v>
      </c>
      <c r="D1581" s="6" t="str">
        <f>Descargas!E1581</f>
        <v>https://resources.simonelectric.com/simon-catalogo-vehiculo-electrico</v>
      </c>
      <c r="E1581" s="20" t="str">
        <f t="shared" si="1"/>
        <v>1282@hotmail.com</v>
      </c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</row>
    <row r="1582" ht="15.75" customHeight="1">
      <c r="A1582" s="18" t="str">
        <f>Descargas!A1582</f>
        <v>1281@albillos.com</v>
      </c>
      <c r="B1582" s="19" t="str">
        <f>IFERROR(__xludf.DUMMYFUNCTION("IF(OR(regexmatch(A1582,"".*@simon.es$""),REGEXMATCH(A1582,"".*@simon.pt$""),REGEXMATCH(A1582,"".*@simonelectrica.com$""),REGEXMATCH(A1582,"".*@hiberus.com$""),REGEXMATCH(A1582,"".*@simonbrico.es$""),regexmatch(A1582,"".*@simonelectric.com$"")),""null"",A1"&amp;"582)"),"1281@albillos.com")</f>
        <v>1281@albillos.com</v>
      </c>
      <c r="C1582" s="5">
        <f>IF(B1582="null","null",Descargas!B1582)</f>
        <v>43950</v>
      </c>
      <c r="D1582" s="6" t="str">
        <f>Descargas!E1582</f>
        <v>https://resources.simonelectric.com/simon-catalogo-vehiculo-electrico</v>
      </c>
      <c r="E1582" s="20" t="str">
        <f t="shared" si="1"/>
        <v>1281@albillos.com</v>
      </c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</row>
    <row r="1583" ht="15.75" customHeight="1">
      <c r="A1583" s="18" t="str">
        <f>Descargas!A1583</f>
        <v>1283@gmail.com</v>
      </c>
      <c r="B1583" s="19" t="str">
        <f>IFERROR(__xludf.DUMMYFUNCTION("IF(OR(regexmatch(A1583,"".*@simon.es$""),REGEXMATCH(A1583,"".*@simon.pt$""),REGEXMATCH(A1583,"".*@simonelectrica.com$""),REGEXMATCH(A1583,"".*@hiberus.com$""),REGEXMATCH(A1583,"".*@simonbrico.es$""),regexmatch(A1583,"".*@simonelectric.com$"")),""null"",A1"&amp;"583)"),"1283@gmail.com")</f>
        <v>1283@gmail.com</v>
      </c>
      <c r="C1583" s="5">
        <f>IF(B1583="null","null",Descargas!B1583)</f>
        <v>43950</v>
      </c>
      <c r="D1583" s="6" t="str">
        <f>Descargas!E1583</f>
        <v>https://resources.simonelectric.com/simon-catalogo-vehiculo-electrico</v>
      </c>
      <c r="E1583" s="20" t="str">
        <f t="shared" si="1"/>
        <v>1283@gmail.com</v>
      </c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</row>
    <row r="1584" ht="15.75" customHeight="1">
      <c r="A1584" s="18" t="str">
        <f>Descargas!A1584</f>
        <v>1284@gmail.com</v>
      </c>
      <c r="B1584" s="19" t="str">
        <f>IFERROR(__xludf.DUMMYFUNCTION("IF(OR(regexmatch(A1584,"".*@simon.es$""),REGEXMATCH(A1584,"".*@simon.pt$""),REGEXMATCH(A1584,"".*@simonelectrica.com$""),REGEXMATCH(A1584,"".*@hiberus.com$""),REGEXMATCH(A1584,"".*@simonbrico.es$""),regexmatch(A1584,"".*@simonelectric.com$"")),""null"",A1"&amp;"584)"),"1284@gmail.com")</f>
        <v>1284@gmail.com</v>
      </c>
      <c r="C1584" s="5">
        <f>IF(B1584="null","null",Descargas!B1584)</f>
        <v>43950</v>
      </c>
      <c r="D1584" s="6" t="str">
        <f>Descargas!E1584</f>
        <v>https://resources.simonelectric.com/simon-catalogo-vehiculo-electrico</v>
      </c>
      <c r="E1584" s="20" t="str">
        <f t="shared" si="1"/>
        <v>1284@gmail.com</v>
      </c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</row>
    <row r="1585" ht="15.75" customHeight="1">
      <c r="A1585" s="18" t="str">
        <f>Descargas!A1585</f>
        <v>651@coitim.es</v>
      </c>
      <c r="B1585" s="19" t="str">
        <f>IFERROR(__xludf.DUMMYFUNCTION("IF(OR(regexmatch(A1585,"".*@simon.es$""),REGEXMATCH(A1585,"".*@simon.pt$""),REGEXMATCH(A1585,"".*@simonelectrica.com$""),REGEXMATCH(A1585,"".*@hiberus.com$""),REGEXMATCH(A1585,"".*@simonbrico.es$""),regexmatch(A1585,"".*@simonelectric.com$"")),""null"",A1"&amp;"585)"),"651@coitim.es")</f>
        <v>651@coitim.es</v>
      </c>
      <c r="C1585" s="5">
        <f>IF(B1585="null","null",Descargas!B1585)</f>
        <v>43950</v>
      </c>
      <c r="D1585" s="6" t="str">
        <f>Descargas!E1585</f>
        <v>https://resources.simonelectric.com/simon-catalogo-vehiculo-electrico</v>
      </c>
      <c r="E1585" s="20" t="str">
        <f t="shared" si="1"/>
        <v>651@coitim.es</v>
      </c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</row>
    <row r="1586" ht="15.75" customHeight="1">
      <c r="A1586" s="18" t="str">
        <f>Descargas!A1586</f>
        <v>1285@e3ingenieria.com</v>
      </c>
      <c r="B1586" s="19" t="str">
        <f>IFERROR(__xludf.DUMMYFUNCTION("IF(OR(regexmatch(A1586,"".*@simon.es$""),REGEXMATCH(A1586,"".*@simon.pt$""),REGEXMATCH(A1586,"".*@simonelectrica.com$""),REGEXMATCH(A1586,"".*@hiberus.com$""),REGEXMATCH(A1586,"".*@simonbrico.es$""),regexmatch(A1586,"".*@simonelectric.com$"")),""null"",A1"&amp;"586)"),"1285@e3ingenieria.com")</f>
        <v>1285@e3ingenieria.com</v>
      </c>
      <c r="C1586" s="5">
        <f>IF(B1586="null","null",Descargas!B1586)</f>
        <v>43950</v>
      </c>
      <c r="D1586" s="6" t="str">
        <f>Descargas!E1586</f>
        <v>https://resources.simonelectric.com/simon-catalogo-vehiculo-electrico</v>
      </c>
      <c r="E1586" s="20" t="str">
        <f t="shared" si="1"/>
        <v>1285@e3ingenieria.com</v>
      </c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</row>
    <row r="1587" ht="15.75" customHeight="1">
      <c r="A1587" s="18" t="str">
        <f>Descargas!A1587</f>
        <v>1286@instalacionespiru.es</v>
      </c>
      <c r="B1587" s="19" t="str">
        <f>IFERROR(__xludf.DUMMYFUNCTION("IF(OR(regexmatch(A1587,"".*@simon.es$""),REGEXMATCH(A1587,"".*@simon.pt$""),REGEXMATCH(A1587,"".*@simonelectrica.com$""),REGEXMATCH(A1587,"".*@hiberus.com$""),REGEXMATCH(A1587,"".*@simonbrico.es$""),regexmatch(A1587,"".*@simonelectric.com$"")),""null"",A1"&amp;"587)"),"1286@instalacionespiru.es")</f>
        <v>1286@instalacionespiru.es</v>
      </c>
      <c r="C1587" s="5">
        <f>IF(B1587="null","null",Descargas!B1587)</f>
        <v>43950</v>
      </c>
      <c r="D1587" s="6" t="str">
        <f>Descargas!E1587</f>
        <v>https://resources.simonelectric.com/simon-catalogo-vehiculo-electrico</v>
      </c>
      <c r="E1587" s="20" t="str">
        <f t="shared" si="1"/>
        <v>1286@instalacionespiru.es</v>
      </c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</row>
    <row r="1588" ht="15.75" customHeight="1">
      <c r="A1588" s="18" t="str">
        <f>Descargas!A1588</f>
        <v>1287@aytosalamanca.es</v>
      </c>
      <c r="B1588" s="19" t="str">
        <f>IFERROR(__xludf.DUMMYFUNCTION("IF(OR(regexmatch(A1588,"".*@simon.es$""),REGEXMATCH(A1588,"".*@simon.pt$""),REGEXMATCH(A1588,"".*@simonelectrica.com$""),REGEXMATCH(A1588,"".*@hiberus.com$""),REGEXMATCH(A1588,"".*@simonbrico.es$""),regexmatch(A1588,"".*@simonelectric.com$"")),""null"",A1"&amp;"588)"),"1287@aytosalamanca.es")</f>
        <v>1287@aytosalamanca.es</v>
      </c>
      <c r="C1588" s="5">
        <f>IF(B1588="null","null",Descargas!B1588)</f>
        <v>43950</v>
      </c>
      <c r="D1588" s="6" t="str">
        <f>Descargas!E1588</f>
        <v>https://resources.simonelectric.com/simon-catalogo-vehiculo-electrico</v>
      </c>
      <c r="E1588" s="20" t="str">
        <f t="shared" si="1"/>
        <v>1287@aytosalamanca.es</v>
      </c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</row>
    <row r="1589" ht="15.75" customHeight="1">
      <c r="A1589" s="18" t="str">
        <f>Descargas!A1589</f>
        <v>1288@serpel.es</v>
      </c>
      <c r="B1589" s="19" t="str">
        <f>IFERROR(__xludf.DUMMYFUNCTION("IF(OR(regexmatch(A1589,"".*@simon.es$""),REGEXMATCH(A1589,"".*@simon.pt$""),REGEXMATCH(A1589,"".*@simonelectrica.com$""),REGEXMATCH(A1589,"".*@hiberus.com$""),REGEXMATCH(A1589,"".*@simonbrico.es$""),regexmatch(A1589,"".*@simonelectric.com$"")),""null"",A1"&amp;"589)"),"1288@serpel.es")</f>
        <v>1288@serpel.es</v>
      </c>
      <c r="C1589" s="5">
        <f>IF(B1589="null","null",Descargas!B1589)</f>
        <v>43950</v>
      </c>
      <c r="D1589" s="6" t="str">
        <f>Descargas!E1589</f>
        <v>https://resources.simonelectric.com/simon-catalogo-vehiculo-electrico</v>
      </c>
      <c r="E1589" s="20" t="str">
        <f t="shared" si="1"/>
        <v>1288@serpel.es</v>
      </c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</row>
    <row r="1590" ht="15.75" customHeight="1">
      <c r="A1590" s="18" t="str">
        <f>Descargas!A1590</f>
        <v>976@simonelectrica.com</v>
      </c>
      <c r="B1590" s="19" t="str">
        <f>IFERROR(__xludf.DUMMYFUNCTION("IF(OR(regexmatch(A1590,"".*@simon.es$""),REGEXMATCH(A1590,"".*@simon.pt$""),REGEXMATCH(A1590,"".*@simonelectrica.com$""),REGEXMATCH(A1590,"".*@hiberus.com$""),REGEXMATCH(A1590,"".*@simonbrico.es$""),regexmatch(A1590,"".*@simonelectric.com$"")),""null"",A1"&amp;"590)"),"null")</f>
        <v>null</v>
      </c>
      <c r="C1590" s="5" t="str">
        <f>IF(B1590="null","null",Descargas!B1590)</f>
        <v>null</v>
      </c>
      <c r="D1590" s="6" t="str">
        <f>Descargas!E1590</f>
        <v>https://resources.simonelectric.com/simon-catalogo-vehiculo-electrico</v>
      </c>
      <c r="E1590" s="24" t="str">
        <f t="shared" si="1"/>
        <v/>
      </c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</row>
    <row r="1591" ht="15.75" customHeight="1">
      <c r="A1591" s="18" t="str">
        <f>Descargas!A1591</f>
        <v>665@gmail.com</v>
      </c>
      <c r="B1591" s="19" t="str">
        <f>IFERROR(__xludf.DUMMYFUNCTION("IF(OR(regexmatch(A1591,"".*@simon.es$""),REGEXMATCH(A1591,"".*@simon.pt$""),REGEXMATCH(A1591,"".*@simonelectrica.com$""),REGEXMATCH(A1591,"".*@hiberus.com$""),REGEXMATCH(A1591,"".*@simonbrico.es$""),regexmatch(A1591,"".*@simonelectric.com$"")),""null"",A1"&amp;"591)"),"665@gmail.com")</f>
        <v>665@gmail.com</v>
      </c>
      <c r="C1591" s="5">
        <f>IF(B1591="null","null",Descargas!B1591)</f>
        <v>43950</v>
      </c>
      <c r="D1591" s="6" t="str">
        <f>Descargas!E1591</f>
        <v>https://resources.simonelectric.com/simon-catalogo-vehiculo-electrico</v>
      </c>
      <c r="E1591" s="20" t="str">
        <f t="shared" si="1"/>
        <v>665@gmail.com</v>
      </c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</row>
    <row r="1592" ht="15.75" customHeight="1">
      <c r="A1592" s="18" t="str">
        <f>Descargas!A1592</f>
        <v>1289@gmail.com</v>
      </c>
      <c r="B1592" s="19" t="str">
        <f>IFERROR(__xludf.DUMMYFUNCTION("IF(OR(regexmatch(A1592,"".*@simon.es$""),REGEXMATCH(A1592,"".*@simon.pt$""),REGEXMATCH(A1592,"".*@simonelectrica.com$""),REGEXMATCH(A1592,"".*@hiberus.com$""),REGEXMATCH(A1592,"".*@simonbrico.es$""),regexmatch(A1592,"".*@simonelectric.com$"")),""null"",A1"&amp;"592)"),"1289@gmail.com")</f>
        <v>1289@gmail.com</v>
      </c>
      <c r="C1592" s="5">
        <f>IF(B1592="null","null",Descargas!B1592)</f>
        <v>43950</v>
      </c>
      <c r="D1592" s="6" t="str">
        <f>Descargas!E1592</f>
        <v>https://resources.simonelectric.com/simon-catalogo-vehiculo-electrico</v>
      </c>
      <c r="E1592" s="20" t="str">
        <f t="shared" si="1"/>
        <v>1289@gmail.com</v>
      </c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</row>
    <row r="1593" ht="15.75" customHeight="1">
      <c r="A1593" s="18" t="str">
        <f>Descargas!A1593</f>
        <v>1290@tesma.es</v>
      </c>
      <c r="B1593" s="19" t="str">
        <f>IFERROR(__xludf.DUMMYFUNCTION("IF(OR(regexmatch(A1593,"".*@simon.es$""),REGEXMATCH(A1593,"".*@simon.pt$""),REGEXMATCH(A1593,"".*@simonelectrica.com$""),REGEXMATCH(A1593,"".*@hiberus.com$""),REGEXMATCH(A1593,"".*@simonbrico.es$""),regexmatch(A1593,"".*@simonelectric.com$"")),""null"",A1"&amp;"593)"),"1290@tesma.es")</f>
        <v>1290@tesma.es</v>
      </c>
      <c r="C1593" s="5">
        <f>IF(B1593="null","null",Descargas!B1593)</f>
        <v>43950</v>
      </c>
      <c r="D1593" s="6" t="str">
        <f>Descargas!E1593</f>
        <v>https://resources.simonelectric.com/simon-catalogo-vehiculo-electrico</v>
      </c>
      <c r="E1593" s="20" t="str">
        <f t="shared" si="1"/>
        <v>1290@tesma.es</v>
      </c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</row>
    <row r="1594" ht="15.75" customHeight="1">
      <c r="A1594" s="18" t="str">
        <f>Descargas!A1594</f>
        <v>1291@macegroup.com</v>
      </c>
      <c r="B1594" s="19" t="str">
        <f>IFERROR(__xludf.DUMMYFUNCTION("IF(OR(regexmatch(A1594,"".*@simon.es$""),REGEXMATCH(A1594,"".*@simon.pt$""),REGEXMATCH(A1594,"".*@simonelectrica.com$""),REGEXMATCH(A1594,"".*@hiberus.com$""),REGEXMATCH(A1594,"".*@simonbrico.es$""),regexmatch(A1594,"".*@simonelectric.com$"")),""null"",A1"&amp;"594)"),"1291@macegroup.com")</f>
        <v>1291@macegroup.com</v>
      </c>
      <c r="C1594" s="5">
        <f>IF(B1594="null","null",Descargas!B1594)</f>
        <v>43950</v>
      </c>
      <c r="D1594" s="6" t="str">
        <f>Descargas!E1594</f>
        <v>https://resources.simonelectric.com/simon-catalogo-vehiculo-electrico</v>
      </c>
      <c r="E1594" s="20" t="str">
        <f t="shared" si="1"/>
        <v>1291@macegroup.com</v>
      </c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</row>
    <row r="1595" ht="15.75" customHeight="1">
      <c r="A1595" s="18" t="str">
        <f>Descargas!A1595</f>
        <v>1292@gmail.com</v>
      </c>
      <c r="B1595" s="19" t="str">
        <f>IFERROR(__xludf.DUMMYFUNCTION("IF(OR(regexmatch(A1595,"".*@simon.es$""),REGEXMATCH(A1595,"".*@simon.pt$""),REGEXMATCH(A1595,"".*@simonelectrica.com$""),REGEXMATCH(A1595,"".*@hiberus.com$""),REGEXMATCH(A1595,"".*@simonbrico.es$""),regexmatch(A1595,"".*@simonelectric.com$"")),""null"",A1"&amp;"595)"),"1292@gmail.com")</f>
        <v>1292@gmail.com</v>
      </c>
      <c r="C1595" s="5">
        <f>IF(B1595="null","null",Descargas!B1595)</f>
        <v>43950</v>
      </c>
      <c r="D1595" s="6" t="str">
        <f>Descargas!E1595</f>
        <v>https://resources.simonelectric.com/simon-catalogo-vehiculo-electrico</v>
      </c>
      <c r="E1595" s="20" t="str">
        <f t="shared" si="1"/>
        <v>1292@gmail.com</v>
      </c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</row>
    <row r="1596" ht="15.75" customHeight="1">
      <c r="A1596" s="18" t="str">
        <f>Descargas!A1596</f>
        <v>1293@gmail.com</v>
      </c>
      <c r="B1596" s="19" t="str">
        <f>IFERROR(__xludf.DUMMYFUNCTION("IF(OR(regexmatch(A1596,"".*@simon.es$""),REGEXMATCH(A1596,"".*@simon.pt$""),REGEXMATCH(A1596,"".*@simonelectrica.com$""),REGEXMATCH(A1596,"".*@hiberus.com$""),REGEXMATCH(A1596,"".*@simonbrico.es$""),regexmatch(A1596,"".*@simonelectric.com$"")),""null"",A1"&amp;"596)"),"1293@gmail.com")</f>
        <v>1293@gmail.com</v>
      </c>
      <c r="C1596" s="5">
        <f>IF(B1596="null","null",Descargas!B1596)</f>
        <v>43950</v>
      </c>
      <c r="D1596" s="6" t="str">
        <f>Descargas!E1596</f>
        <v>https://resources.simonelectric.com/simon-catalogo-vehiculo-electrico</v>
      </c>
      <c r="E1596" s="20" t="str">
        <f t="shared" si="1"/>
        <v>1293@gmail.com</v>
      </c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</row>
    <row r="1597" ht="15.75" customHeight="1">
      <c r="A1597" s="18" t="str">
        <f>Descargas!A1597</f>
        <v>1294@gmail.com</v>
      </c>
      <c r="B1597" s="19" t="str">
        <f>IFERROR(__xludf.DUMMYFUNCTION("IF(OR(regexmatch(A1597,"".*@simon.es$""),REGEXMATCH(A1597,"".*@simon.pt$""),REGEXMATCH(A1597,"".*@simonelectrica.com$""),REGEXMATCH(A1597,"".*@hiberus.com$""),REGEXMATCH(A1597,"".*@simonbrico.es$""),regexmatch(A1597,"".*@simonelectric.com$"")),""null"",A1"&amp;"597)"),"1294@gmail.com")</f>
        <v>1294@gmail.com</v>
      </c>
      <c r="C1597" s="5">
        <f>IF(B1597="null","null",Descargas!B1597)</f>
        <v>43950</v>
      </c>
      <c r="D1597" s="6" t="str">
        <f>Descargas!E1597</f>
        <v>https://resources.simonelectric.com/simon-catalogo-vehiculo-electrico</v>
      </c>
      <c r="E1597" s="20" t="str">
        <f t="shared" si="1"/>
        <v>1294@gmail.com</v>
      </c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</row>
    <row r="1598" ht="15.75" customHeight="1">
      <c r="A1598" s="18" t="str">
        <f>Descargas!A1598</f>
        <v>1295@hotmail.es</v>
      </c>
      <c r="B1598" s="19" t="str">
        <f>IFERROR(__xludf.DUMMYFUNCTION("IF(OR(regexmatch(A1598,"".*@simon.es$""),REGEXMATCH(A1598,"".*@simon.pt$""),REGEXMATCH(A1598,"".*@simonelectrica.com$""),REGEXMATCH(A1598,"".*@hiberus.com$""),REGEXMATCH(A1598,"".*@simonbrico.es$""),regexmatch(A1598,"".*@simonelectric.com$"")),""null"",A1"&amp;"598)"),"1295@hotmail.es")</f>
        <v>1295@hotmail.es</v>
      </c>
      <c r="C1598" s="5">
        <f>IF(B1598="null","null",Descargas!B1598)</f>
        <v>43950</v>
      </c>
      <c r="D1598" s="6" t="str">
        <f>Descargas!E1598</f>
        <v>https://resources.simonelectric.com/simon-catalogo-vehiculo-electrico</v>
      </c>
      <c r="E1598" s="20" t="str">
        <f t="shared" si="1"/>
        <v>1295@hotmail.es</v>
      </c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</row>
    <row r="1599" ht="15.75" customHeight="1">
      <c r="A1599" s="18" t="str">
        <f>Descargas!A1599</f>
        <v>1296@gmail.com</v>
      </c>
      <c r="B1599" s="19" t="str">
        <f>IFERROR(__xludf.DUMMYFUNCTION("IF(OR(regexmatch(A1599,"".*@simon.es$""),REGEXMATCH(A1599,"".*@simon.pt$""),REGEXMATCH(A1599,"".*@simonelectrica.com$""),REGEXMATCH(A1599,"".*@hiberus.com$""),REGEXMATCH(A1599,"".*@simonbrico.es$""),regexmatch(A1599,"".*@simonelectric.com$"")),""null"",A1"&amp;"599)"),"1296@gmail.com")</f>
        <v>1296@gmail.com</v>
      </c>
      <c r="C1599" s="5">
        <f>IF(B1599="null","null",Descargas!B1599)</f>
        <v>43950</v>
      </c>
      <c r="D1599" s="6" t="str">
        <f>Descargas!E1599</f>
        <v>https://resources.simonelectric.com/simon-catalogo-vehiculo-electrico</v>
      </c>
      <c r="E1599" s="20" t="str">
        <f t="shared" si="1"/>
        <v>1296@gmail.com</v>
      </c>
      <c r="F1599" s="21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</row>
    <row r="1600" ht="15.75" customHeight="1">
      <c r="A1600" s="18" t="str">
        <f>Descargas!A1600</f>
        <v>1297@silmarinstalacions.com</v>
      </c>
      <c r="B1600" s="19" t="str">
        <f>IFERROR(__xludf.DUMMYFUNCTION("IF(OR(regexmatch(A1600,"".*@simon.es$""),REGEXMATCH(A1600,"".*@simon.pt$""),REGEXMATCH(A1600,"".*@simonelectrica.com$""),REGEXMATCH(A1600,"".*@hiberus.com$""),REGEXMATCH(A1600,"".*@simonbrico.es$""),regexmatch(A1600,"".*@simonelectric.com$"")),""null"",A1"&amp;"600)"),"1297@silmarinstalacions.com")</f>
        <v>1297@silmarinstalacions.com</v>
      </c>
      <c r="C1600" s="5">
        <f>IF(B1600="null","null",Descargas!B1600)</f>
        <v>43950</v>
      </c>
      <c r="D1600" s="6" t="str">
        <f>Descargas!E1600</f>
        <v>https://resources.simonelectric.com/simon-catalogo-vehiculo-electrico</v>
      </c>
      <c r="E1600" s="20" t="str">
        <f t="shared" si="1"/>
        <v>1297@silmarinstalacions.com</v>
      </c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</row>
    <row r="1601" ht="15.75" customHeight="1">
      <c r="A1601" s="18" t="str">
        <f>Descargas!A1601</f>
        <v>1298@gmail.com</v>
      </c>
      <c r="B1601" s="19" t="str">
        <f>IFERROR(__xludf.DUMMYFUNCTION("IF(OR(regexmatch(A1601,"".*@simon.es$""),REGEXMATCH(A1601,"".*@simon.pt$""),REGEXMATCH(A1601,"".*@simonelectrica.com$""),REGEXMATCH(A1601,"".*@hiberus.com$""),REGEXMATCH(A1601,"".*@simonbrico.es$""),regexmatch(A1601,"".*@simonelectric.com$"")),""null"",A1"&amp;"601)"),"1298@gmail.com")</f>
        <v>1298@gmail.com</v>
      </c>
      <c r="C1601" s="5">
        <f>IF(B1601="null","null",Descargas!B1601)</f>
        <v>43950</v>
      </c>
      <c r="D1601" s="6" t="str">
        <f>Descargas!E1601</f>
        <v>https://resources.simonelectric.com/simon-catalogo-vehiculo-electrico</v>
      </c>
      <c r="E1601" s="20" t="str">
        <f t="shared" si="1"/>
        <v>1298@gmail.com</v>
      </c>
      <c r="F1601" s="21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</row>
    <row r="1602" ht="15.75" customHeight="1">
      <c r="A1602" s="18" t="str">
        <f>Descargas!A1602</f>
        <v>1299@sonepar.es</v>
      </c>
      <c r="B1602" s="19" t="str">
        <f>IFERROR(__xludf.DUMMYFUNCTION("IF(OR(regexmatch(A1602,"".*@simon.es$""),REGEXMATCH(A1602,"".*@simon.pt$""),REGEXMATCH(A1602,"".*@simonelectrica.com$""),REGEXMATCH(A1602,"".*@hiberus.com$""),REGEXMATCH(A1602,"".*@simonbrico.es$""),regexmatch(A1602,"".*@simonelectric.com$"")),""null"",A1"&amp;"602)"),"1299@sonepar.es")</f>
        <v>1299@sonepar.es</v>
      </c>
      <c r="C1602" s="5">
        <f>IF(B1602="null","null",Descargas!B1602)</f>
        <v>43950</v>
      </c>
      <c r="D1602" s="6" t="str">
        <f>Descargas!E1602</f>
        <v>https://resources.simonelectric.com/simon-catalogo-vehiculo-electrico</v>
      </c>
      <c r="E1602" s="20" t="str">
        <f t="shared" si="1"/>
        <v>1299@sonepar.es</v>
      </c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</row>
    <row r="1603" ht="15.75" customHeight="1">
      <c r="A1603" s="18" t="str">
        <f>Descargas!A1603</f>
        <v>1026@aia.cat</v>
      </c>
      <c r="B1603" s="19" t="str">
        <f>IFERROR(__xludf.DUMMYFUNCTION("IF(OR(regexmatch(A1603,"".*@simon.es$""),REGEXMATCH(A1603,"".*@simon.pt$""),REGEXMATCH(A1603,"".*@simonelectrica.com$""),REGEXMATCH(A1603,"".*@hiberus.com$""),REGEXMATCH(A1603,"".*@simonbrico.es$""),regexmatch(A1603,"".*@simonelectric.com$"")),""null"",A1"&amp;"603)"),"1026@aia.cat")</f>
        <v>1026@aia.cat</v>
      </c>
      <c r="C1603" s="5">
        <f>IF(B1603="null","null",Descargas!B1603)</f>
        <v>43950</v>
      </c>
      <c r="D1603" s="6" t="str">
        <f>Descargas!E1603</f>
        <v>https://resources.simonelectric.com/simon-catalogo-vehiculo-electrico</v>
      </c>
      <c r="E1603" s="20" t="str">
        <f t="shared" si="1"/>
        <v>1026@aia.cat</v>
      </c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</row>
    <row r="1604" ht="15.75" customHeight="1">
      <c r="A1604" s="18" t="str">
        <f>Descargas!A1604</f>
        <v>1300@movistar.es</v>
      </c>
      <c r="B1604" s="19" t="str">
        <f>IFERROR(__xludf.DUMMYFUNCTION("IF(OR(regexmatch(A1604,"".*@simon.es$""),REGEXMATCH(A1604,"".*@simon.pt$""),REGEXMATCH(A1604,"".*@simonelectrica.com$""),REGEXMATCH(A1604,"".*@hiberus.com$""),REGEXMATCH(A1604,"".*@simonbrico.es$""),regexmatch(A1604,"".*@simonelectric.com$"")),""null"",A1"&amp;"604)"),"1300@movistar.es")</f>
        <v>1300@movistar.es</v>
      </c>
      <c r="C1604" s="5">
        <f>IF(B1604="null","null",Descargas!B1604)</f>
        <v>43950</v>
      </c>
      <c r="D1604" s="6" t="str">
        <f>Descargas!E1604</f>
        <v>https://resources.simonelectric.com/simon-catalogo-vehiculo-electrico</v>
      </c>
      <c r="E1604" s="20" t="str">
        <f t="shared" si="1"/>
        <v>1300@movistar.es</v>
      </c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</row>
    <row r="1605" ht="15.75" customHeight="1">
      <c r="A1605" s="18" t="str">
        <f>Descargas!A1605</f>
        <v>238@engie.com</v>
      </c>
      <c r="B1605" s="19" t="str">
        <f>IFERROR(__xludf.DUMMYFUNCTION("IF(OR(regexmatch(A1605,"".*@simon.es$""),REGEXMATCH(A1605,"".*@simon.pt$""),REGEXMATCH(A1605,"".*@simonelectrica.com$""),REGEXMATCH(A1605,"".*@hiberus.com$""),REGEXMATCH(A1605,"".*@simonbrico.es$""),regexmatch(A1605,"".*@simonelectric.com$"")),""null"",A1"&amp;"605)"),"238@engie.com")</f>
        <v>238@engie.com</v>
      </c>
      <c r="C1605" s="5">
        <f>IF(B1605="null","null",Descargas!B1605)</f>
        <v>43950</v>
      </c>
      <c r="D1605" s="6" t="str">
        <f>Descargas!E1605</f>
        <v>https://resources.simonelectric.com/simon-catalogo-vehiculo-electrico</v>
      </c>
      <c r="E1605" s="20" t="str">
        <f t="shared" si="1"/>
        <v>238@engie.com</v>
      </c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</row>
    <row r="1606" ht="15.75" customHeight="1">
      <c r="A1606" s="18" t="str">
        <f>Descargas!A1606</f>
        <v>1301@electricidadaldama.com</v>
      </c>
      <c r="B1606" s="19" t="str">
        <f>IFERROR(__xludf.DUMMYFUNCTION("IF(OR(regexmatch(A1606,"".*@simon.es$""),REGEXMATCH(A1606,"".*@simon.pt$""),REGEXMATCH(A1606,"".*@simonelectrica.com$""),REGEXMATCH(A1606,"".*@hiberus.com$""),REGEXMATCH(A1606,"".*@simonbrico.es$""),regexmatch(A1606,"".*@simonelectric.com$"")),""null"",A1"&amp;"606)"),"1301@electricidadaldama.com")</f>
        <v>1301@electricidadaldama.com</v>
      </c>
      <c r="C1606" s="5">
        <f>IF(B1606="null","null",Descargas!B1606)</f>
        <v>43950</v>
      </c>
      <c r="D1606" s="6" t="str">
        <f>Descargas!E1606</f>
        <v>https://resources.simonelectric.com/simon-catalogo-vehiculo-electrico</v>
      </c>
      <c r="E1606" s="20" t="str">
        <f t="shared" si="1"/>
        <v>1301@electricidadaldama.com</v>
      </c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</row>
    <row r="1607" ht="15.75" customHeight="1">
      <c r="A1607" s="18" t="str">
        <f>Descargas!A1607</f>
        <v>1302@alem.es</v>
      </c>
      <c r="B1607" s="19" t="str">
        <f>IFERROR(__xludf.DUMMYFUNCTION("IF(OR(regexmatch(A1607,"".*@simon.es$""),REGEXMATCH(A1607,"".*@simon.pt$""),REGEXMATCH(A1607,"".*@simonelectrica.com$""),REGEXMATCH(A1607,"".*@hiberus.com$""),REGEXMATCH(A1607,"".*@simonbrico.es$""),regexmatch(A1607,"".*@simonelectric.com$"")),""null"",A1"&amp;"607)"),"1302@alem.es")</f>
        <v>1302@alem.es</v>
      </c>
      <c r="C1607" s="5">
        <f>IF(B1607="null","null",Descargas!B1607)</f>
        <v>43950</v>
      </c>
      <c r="D1607" s="6" t="str">
        <f>Descargas!E1607</f>
        <v>https://resources.simonelectric.com/simon-catalogo-vehiculo-electrico</v>
      </c>
      <c r="E1607" s="20" t="str">
        <f t="shared" si="1"/>
        <v>1302@alem.es</v>
      </c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</row>
    <row r="1608" ht="15.75" customHeight="1">
      <c r="A1608" s="18" t="str">
        <f>Descargas!A1608</f>
        <v>1303@hotmail.com</v>
      </c>
      <c r="B1608" s="19" t="str">
        <f>IFERROR(__xludf.DUMMYFUNCTION("IF(OR(regexmatch(A1608,"".*@simon.es$""),REGEXMATCH(A1608,"".*@simon.pt$""),REGEXMATCH(A1608,"".*@simonelectrica.com$""),REGEXMATCH(A1608,"".*@hiberus.com$""),REGEXMATCH(A1608,"".*@simonbrico.es$""),regexmatch(A1608,"".*@simonelectric.com$"")),""null"",A1"&amp;"608)"),"1303@hotmail.com")</f>
        <v>1303@hotmail.com</v>
      </c>
      <c r="C1608" s="5">
        <f>IF(B1608="null","null",Descargas!B1608)</f>
        <v>43950</v>
      </c>
      <c r="D1608" s="6" t="str">
        <f>Descargas!E1608</f>
        <v>https://resources.simonelectric.com/simon-catalogo-vehiculo-electrico</v>
      </c>
      <c r="E1608" s="20" t="str">
        <f t="shared" si="1"/>
        <v>1303@hotmail.com</v>
      </c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</row>
    <row r="1609" ht="15.75" customHeight="1">
      <c r="A1609" s="18" t="str">
        <f>Descargas!A1609</f>
        <v>1304@ingenibo.com</v>
      </c>
      <c r="B1609" s="19" t="str">
        <f>IFERROR(__xludf.DUMMYFUNCTION("IF(OR(regexmatch(A1609,"".*@simon.es$""),REGEXMATCH(A1609,"".*@simon.pt$""),REGEXMATCH(A1609,"".*@simonelectrica.com$""),REGEXMATCH(A1609,"".*@hiberus.com$""),REGEXMATCH(A1609,"".*@simonbrico.es$""),regexmatch(A1609,"".*@simonelectric.com$"")),""null"",A1"&amp;"609)"),"1304@ingenibo.com")</f>
        <v>1304@ingenibo.com</v>
      </c>
      <c r="C1609" s="5">
        <f>IF(B1609="null","null",Descargas!B1609)</f>
        <v>43950</v>
      </c>
      <c r="D1609" s="6" t="str">
        <f>Descargas!E1609</f>
        <v>https://resources.simonelectric.com/simon-catalogo-vehiculo-electrico</v>
      </c>
      <c r="E1609" s="20" t="str">
        <f t="shared" si="1"/>
        <v>1304@ingenibo.com</v>
      </c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</row>
    <row r="1610" ht="15.75" customHeight="1">
      <c r="A1610" s="18" t="str">
        <f>Descargas!A1610</f>
        <v>1305@checa67.es</v>
      </c>
      <c r="B1610" s="19" t="str">
        <f>IFERROR(__xludf.DUMMYFUNCTION("IF(OR(regexmatch(A1610,"".*@simon.es$""),REGEXMATCH(A1610,"".*@simon.pt$""),REGEXMATCH(A1610,"".*@simonelectrica.com$""),REGEXMATCH(A1610,"".*@hiberus.com$""),REGEXMATCH(A1610,"".*@simonbrico.es$""),regexmatch(A1610,"".*@simonelectric.com$"")),""null"",A1"&amp;"610)"),"1305@checa67.es")</f>
        <v>1305@checa67.es</v>
      </c>
      <c r="C1610" s="5">
        <f>IF(B1610="null","null",Descargas!B1610)</f>
        <v>43950</v>
      </c>
      <c r="D1610" s="6" t="str">
        <f>Descargas!E1610</f>
        <v>https://resources.simonelectric.com/simon-catalogo-vehiculo-electrico</v>
      </c>
      <c r="E1610" s="20" t="str">
        <f t="shared" si="1"/>
        <v>1305@checa67.es</v>
      </c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</row>
    <row r="1611" ht="15.75" customHeight="1">
      <c r="A1611" s="18" t="str">
        <f>Descargas!A1611</f>
        <v>1306@instalacionesyobrasdelrio.com</v>
      </c>
      <c r="B1611" s="19" t="str">
        <f>IFERROR(__xludf.DUMMYFUNCTION("IF(OR(regexmatch(A1611,"".*@simon.es$""),REGEXMATCH(A1611,"".*@simon.pt$""),REGEXMATCH(A1611,"".*@simonelectrica.com$""),REGEXMATCH(A1611,"".*@hiberus.com$""),REGEXMATCH(A1611,"".*@simonbrico.es$""),regexmatch(A1611,"".*@simonelectric.com$"")),""null"",A1"&amp;"611)"),"1306@instalacionesyobrasdelrio.com")</f>
        <v>1306@instalacionesyobrasdelrio.com</v>
      </c>
      <c r="C1611" s="5">
        <f>IF(B1611="null","null",Descargas!B1611)</f>
        <v>43950</v>
      </c>
      <c r="D1611" s="6" t="str">
        <f>Descargas!E1611</f>
        <v>https://resources.simonelectric.com/simon-catalogo-vehiculo-electrico</v>
      </c>
      <c r="E1611" s="20" t="str">
        <f t="shared" si="1"/>
        <v>1306@instalacionesyobrasdelrio.com</v>
      </c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</row>
    <row r="1612" ht="15.75" customHeight="1">
      <c r="A1612" s="18" t="str">
        <f>Descargas!A1612</f>
        <v>1307@gmail.com</v>
      </c>
      <c r="B1612" s="19" t="str">
        <f>IFERROR(__xludf.DUMMYFUNCTION("IF(OR(regexmatch(A1612,"".*@simon.es$""),REGEXMATCH(A1612,"".*@simon.pt$""),REGEXMATCH(A1612,"".*@simonelectrica.com$""),REGEXMATCH(A1612,"".*@hiberus.com$""),REGEXMATCH(A1612,"".*@simonbrico.es$""),regexmatch(A1612,"".*@simonelectric.com$"")),""null"",A1"&amp;"612)"),"1307@gmail.com")</f>
        <v>1307@gmail.com</v>
      </c>
      <c r="C1612" s="5">
        <f>IF(B1612="null","null",Descargas!B1612)</f>
        <v>43950</v>
      </c>
      <c r="D1612" s="6" t="str">
        <f>Descargas!E1612</f>
        <v>https://resources.simonelectric.com/simon-catalogo-vehiculo-electrico</v>
      </c>
      <c r="E1612" s="20" t="str">
        <f t="shared" si="1"/>
        <v>1307@gmail.com</v>
      </c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</row>
    <row r="1613" ht="15.75" customHeight="1">
      <c r="A1613" s="18" t="str">
        <f>Descargas!A1613</f>
        <v>1308@tdgi.pt</v>
      </c>
      <c r="B1613" s="19" t="str">
        <f>IFERROR(__xludf.DUMMYFUNCTION("IF(OR(regexmatch(A1613,"".*@simon.es$""),REGEXMATCH(A1613,"".*@simon.pt$""),REGEXMATCH(A1613,"".*@simonelectrica.com$""),REGEXMATCH(A1613,"".*@hiberus.com$""),REGEXMATCH(A1613,"".*@simonbrico.es$""),regexmatch(A1613,"".*@simonelectric.com$"")),""null"",A1"&amp;"613)"),"1308@tdgi.pt")</f>
        <v>1308@tdgi.pt</v>
      </c>
      <c r="C1613" s="5">
        <f>IF(B1613="null","null",Descargas!B1613)</f>
        <v>43950</v>
      </c>
      <c r="D1613" s="6" t="str">
        <f>Descargas!E1613</f>
        <v>https://resources.simonelectric.com/simon-catalogo-vehiculo-electrico</v>
      </c>
      <c r="E1613" s="20" t="str">
        <f t="shared" si="1"/>
        <v>1308@tdgi.pt</v>
      </c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</row>
    <row r="1614" ht="15.75" customHeight="1">
      <c r="A1614" s="18" t="str">
        <f>Descargas!A1614</f>
        <v>1309@gmail.com</v>
      </c>
      <c r="B1614" s="19" t="str">
        <f>IFERROR(__xludf.DUMMYFUNCTION("IF(OR(regexmatch(A1614,"".*@simon.es$""),REGEXMATCH(A1614,"".*@simon.pt$""),REGEXMATCH(A1614,"".*@simonelectrica.com$""),REGEXMATCH(A1614,"".*@hiberus.com$""),REGEXMATCH(A1614,"".*@simonbrico.es$""),regexmatch(A1614,"".*@simonelectric.com$"")),""null"",A1"&amp;"614)"),"1309@gmail.com")</f>
        <v>1309@gmail.com</v>
      </c>
      <c r="C1614" s="5">
        <f>IF(B1614="null","null",Descargas!B1614)</f>
        <v>43950</v>
      </c>
      <c r="D1614" s="6" t="str">
        <f>Descargas!E1614</f>
        <v>https://resources.simonelectric.com/simon-catalogo-vehiculo-electrico</v>
      </c>
      <c r="E1614" s="20" t="str">
        <f t="shared" si="1"/>
        <v>1309@gmail.com</v>
      </c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</row>
    <row r="1615" ht="15.75" customHeight="1">
      <c r="A1615" s="18" t="str">
        <f>Descargas!A1615</f>
        <v>991@yahoo.es</v>
      </c>
      <c r="B1615" s="19" t="str">
        <f>IFERROR(__xludf.DUMMYFUNCTION("IF(OR(regexmatch(A1615,"".*@simon.es$""),REGEXMATCH(A1615,"".*@simon.pt$""),REGEXMATCH(A1615,"".*@simonelectrica.com$""),REGEXMATCH(A1615,"".*@hiberus.com$""),REGEXMATCH(A1615,"".*@simonbrico.es$""),regexmatch(A1615,"".*@simonelectric.com$"")),""null"",A1"&amp;"615)"),"991@yahoo.es")</f>
        <v>991@yahoo.es</v>
      </c>
      <c r="C1615" s="5">
        <f>IF(B1615="null","null",Descargas!B1615)</f>
        <v>43950</v>
      </c>
      <c r="D1615" s="6" t="str">
        <f>Descargas!E1615</f>
        <v>https://resources.simonelectric.com/simon-catalogo-vehiculo-electrico</v>
      </c>
      <c r="E1615" s="20" t="str">
        <f t="shared" si="1"/>
        <v>991@yahoo.es</v>
      </c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</row>
    <row r="1616" ht="15.75" customHeight="1">
      <c r="A1616" s="18" t="str">
        <f>Descargas!A1616</f>
        <v>1310@hotmail.com</v>
      </c>
      <c r="B1616" s="19" t="str">
        <f>IFERROR(__xludf.DUMMYFUNCTION("IF(OR(regexmatch(A1616,"".*@simon.es$""),REGEXMATCH(A1616,"".*@simon.pt$""),REGEXMATCH(A1616,"".*@simonelectrica.com$""),REGEXMATCH(A1616,"".*@hiberus.com$""),REGEXMATCH(A1616,"".*@simonbrico.es$""),regexmatch(A1616,"".*@simonelectric.com$"")),""null"",A1"&amp;"616)"),"1310@hotmail.com")</f>
        <v>1310@hotmail.com</v>
      </c>
      <c r="C1616" s="5">
        <f>IF(B1616="null","null",Descargas!B1616)</f>
        <v>43950</v>
      </c>
      <c r="D1616" s="6" t="str">
        <f>Descargas!E1616</f>
        <v>https://resources.simonelectric.com/simon-catalogo-vehiculo-electrico</v>
      </c>
      <c r="E1616" s="20" t="str">
        <f t="shared" si="1"/>
        <v>1310@hotmail.com</v>
      </c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</row>
    <row r="1617" ht="15.75" customHeight="1">
      <c r="A1617" s="18" t="str">
        <f>Descargas!A1617</f>
        <v>1311@gmail.com</v>
      </c>
      <c r="B1617" s="19" t="str">
        <f>IFERROR(__xludf.DUMMYFUNCTION("IF(OR(regexmatch(A1617,"".*@simon.es$""),REGEXMATCH(A1617,"".*@simon.pt$""),REGEXMATCH(A1617,"".*@simonelectrica.com$""),REGEXMATCH(A1617,"".*@hiberus.com$""),REGEXMATCH(A1617,"".*@simonbrico.es$""),regexmatch(A1617,"".*@simonelectric.com$"")),""null"",A1"&amp;"617)"),"1311@gmail.com")</f>
        <v>1311@gmail.com</v>
      </c>
      <c r="C1617" s="5">
        <f>IF(B1617="null","null",Descargas!B1617)</f>
        <v>43950</v>
      </c>
      <c r="D1617" s="6" t="str">
        <f>Descargas!E1617</f>
        <v>https://resources.simonelectric.com/simon-catalogo-vehiculo-electrico</v>
      </c>
      <c r="E1617" s="20" t="str">
        <f t="shared" si="1"/>
        <v>1311@gmail.com</v>
      </c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</row>
    <row r="1618" ht="15.75" customHeight="1">
      <c r="A1618" s="18" t="str">
        <f>Descargas!A1618</f>
        <v>1312@gmail.com</v>
      </c>
      <c r="B1618" s="19" t="str">
        <f>IFERROR(__xludf.DUMMYFUNCTION("IF(OR(regexmatch(A1618,"".*@simon.es$""),REGEXMATCH(A1618,"".*@simon.pt$""),REGEXMATCH(A1618,"".*@simonelectrica.com$""),REGEXMATCH(A1618,"".*@hiberus.com$""),REGEXMATCH(A1618,"".*@simonbrico.es$""),regexmatch(A1618,"".*@simonelectric.com$"")),""null"",A1"&amp;"618)"),"1312@gmail.com")</f>
        <v>1312@gmail.com</v>
      </c>
      <c r="C1618" s="5">
        <f>IF(B1618="null","null",Descargas!B1618)</f>
        <v>43950</v>
      </c>
      <c r="D1618" s="6" t="str">
        <f>Descargas!E1618</f>
        <v>https://resources.simonelectric.com/simon-ebook-vehiculo-electrico-ppc</v>
      </c>
      <c r="E1618" s="20" t="str">
        <f t="shared" si="1"/>
        <v>1312@gmail.com</v>
      </c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</row>
    <row r="1619" ht="15.75" customHeight="1">
      <c r="A1619" s="18" t="str">
        <f>Descargas!A1619</f>
        <v>1313@adober.es</v>
      </c>
      <c r="B1619" s="19" t="str">
        <f>IFERROR(__xludf.DUMMYFUNCTION("IF(OR(regexmatch(A1619,"".*@simon.es$""),REGEXMATCH(A1619,"".*@simon.pt$""),REGEXMATCH(A1619,"".*@simonelectrica.com$""),REGEXMATCH(A1619,"".*@hiberus.com$""),REGEXMATCH(A1619,"".*@simonbrico.es$""),regexmatch(A1619,"".*@simonelectric.com$"")),""null"",A1"&amp;"619)"),"1313@adober.es")</f>
        <v>1313@adober.es</v>
      </c>
      <c r="C1619" s="5">
        <f>IF(B1619="null","null",Descargas!B1619)</f>
        <v>43950</v>
      </c>
      <c r="D1619" s="6" t="str">
        <f>Descargas!E1619</f>
        <v>https://resources.simonelectric.com/simon-catalogo-vehiculo-electrico</v>
      </c>
      <c r="E1619" s="20" t="str">
        <f t="shared" si="1"/>
        <v>1313@adober.es</v>
      </c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</row>
    <row r="1620" ht="15.75" customHeight="1">
      <c r="A1620" s="18" t="str">
        <f>Descargas!A1620</f>
        <v>1314@jtelectricperu.com</v>
      </c>
      <c r="B1620" s="19" t="str">
        <f>IFERROR(__xludf.DUMMYFUNCTION("IF(OR(regexmatch(A1620,"".*@simon.es$""),REGEXMATCH(A1620,"".*@simon.pt$""),REGEXMATCH(A1620,"".*@simonelectrica.com$""),REGEXMATCH(A1620,"".*@hiberus.com$""),REGEXMATCH(A1620,"".*@simonbrico.es$""),regexmatch(A1620,"".*@simonelectric.com$"")),""null"",A1"&amp;"620)"),"1314@jtelectricperu.com")</f>
        <v>1314@jtelectricperu.com</v>
      </c>
      <c r="C1620" s="5">
        <f>IF(B1620="null","null",Descargas!B1620)</f>
        <v>43950</v>
      </c>
      <c r="D1620" s="6" t="str">
        <f>Descargas!E1620</f>
        <v>https://resources.simonelectric.com/simon-catalogo-vehiculo-electrico</v>
      </c>
      <c r="E1620" s="20" t="str">
        <f t="shared" si="1"/>
        <v>1314@jtelectricperu.com</v>
      </c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</row>
    <row r="1621" ht="15.75" customHeight="1">
      <c r="A1621" s="18" t="str">
        <f>Descargas!A1621</f>
        <v>1315@riello-tdl.com</v>
      </c>
      <c r="B1621" s="19" t="str">
        <f>IFERROR(__xludf.DUMMYFUNCTION("IF(OR(regexmatch(A1621,"".*@simon.es$""),REGEXMATCH(A1621,"".*@simon.pt$""),REGEXMATCH(A1621,"".*@simonelectrica.com$""),REGEXMATCH(A1621,"".*@hiberus.com$""),REGEXMATCH(A1621,"".*@simonbrico.es$""),regexmatch(A1621,"".*@simonelectric.com$"")),""null"",A1"&amp;"621)"),"1315@riello-tdl.com")</f>
        <v>1315@riello-tdl.com</v>
      </c>
      <c r="C1621" s="5">
        <f>IF(B1621="null","null",Descargas!B1621)</f>
        <v>43950</v>
      </c>
      <c r="D1621" s="6" t="str">
        <f>Descargas!E1621</f>
        <v>https://resources.simonelectric.com/simon-catalogo-vehiculo-electrico</v>
      </c>
      <c r="E1621" s="20" t="str">
        <f t="shared" si="1"/>
        <v>1315@riello-tdl.com</v>
      </c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</row>
    <row r="1622" ht="15.75" customHeight="1">
      <c r="A1622" s="18" t="str">
        <f>Descargas!A1622</f>
        <v>1316@proyndust.es</v>
      </c>
      <c r="B1622" s="19" t="str">
        <f>IFERROR(__xludf.DUMMYFUNCTION("IF(OR(regexmatch(A1622,"".*@simon.es$""),REGEXMATCH(A1622,"".*@simon.pt$""),REGEXMATCH(A1622,"".*@simonelectrica.com$""),REGEXMATCH(A1622,"".*@hiberus.com$""),REGEXMATCH(A1622,"".*@simonbrico.es$""),regexmatch(A1622,"".*@simonelectric.com$"")),""null"",A1"&amp;"622)"),"1316@proyndust.es")</f>
        <v>1316@proyndust.es</v>
      </c>
      <c r="C1622" s="5">
        <f>IF(B1622="null","null",Descargas!B1622)</f>
        <v>43950</v>
      </c>
      <c r="D1622" s="6" t="str">
        <f>Descargas!E1622</f>
        <v>https://resources.simonelectric.com/simon-catalogo-vehiculo-electrico</v>
      </c>
      <c r="E1622" s="20" t="str">
        <f t="shared" si="1"/>
        <v>1316@proyndust.es</v>
      </c>
      <c r="F1622" s="21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</row>
    <row r="1623" ht="15.75" customHeight="1">
      <c r="A1623" s="18" t="str">
        <f>Descargas!A1623</f>
        <v>1317@gmail.com</v>
      </c>
      <c r="B1623" s="19" t="str">
        <f>IFERROR(__xludf.DUMMYFUNCTION("IF(OR(regexmatch(A1623,"".*@simon.es$""),REGEXMATCH(A1623,"".*@simon.pt$""),REGEXMATCH(A1623,"".*@simonelectrica.com$""),REGEXMATCH(A1623,"".*@hiberus.com$""),REGEXMATCH(A1623,"".*@simonbrico.es$""),regexmatch(A1623,"".*@simonelectric.com$"")),""null"",A1"&amp;"623)"),"1317@gmail.com")</f>
        <v>1317@gmail.com</v>
      </c>
      <c r="C1623" s="5">
        <f>IF(B1623="null","null",Descargas!B1623)</f>
        <v>43950</v>
      </c>
      <c r="D1623" s="6" t="str">
        <f>Descargas!E1623</f>
        <v>https://resources.simonelectric.com/simon-catalogo-vehiculo-electrico</v>
      </c>
      <c r="E1623" s="20" t="str">
        <f t="shared" si="1"/>
        <v>1317@gmail.com</v>
      </c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</row>
    <row r="1624" ht="15.75" customHeight="1">
      <c r="A1624" s="18" t="str">
        <f>Descargas!A1624</f>
        <v>1318@inteleclamancha.com</v>
      </c>
      <c r="B1624" s="19" t="str">
        <f>IFERROR(__xludf.DUMMYFUNCTION("IF(OR(regexmatch(A1624,"".*@simon.es$""),REGEXMATCH(A1624,"".*@simon.pt$""),REGEXMATCH(A1624,"".*@simonelectrica.com$""),REGEXMATCH(A1624,"".*@hiberus.com$""),REGEXMATCH(A1624,"".*@simonbrico.es$""),regexmatch(A1624,"".*@simonelectric.com$"")),""null"",A1"&amp;"624)"),"1318@inteleclamancha.com")</f>
        <v>1318@inteleclamancha.com</v>
      </c>
      <c r="C1624" s="5">
        <f>IF(B1624="null","null",Descargas!B1624)</f>
        <v>43950</v>
      </c>
      <c r="D1624" s="6" t="str">
        <f>Descargas!E1624</f>
        <v>https://resources.simonelectric.com/simon-catalogo-vehiculo-electrico</v>
      </c>
      <c r="E1624" s="20" t="str">
        <f t="shared" si="1"/>
        <v>1318@inteleclamancha.com</v>
      </c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</row>
    <row r="1625" ht="15.75" customHeight="1">
      <c r="A1625" s="18" t="str">
        <f>Descargas!A1625</f>
        <v>1319@masfarne.info</v>
      </c>
      <c r="B1625" s="19" t="str">
        <f>IFERROR(__xludf.DUMMYFUNCTION("IF(OR(regexmatch(A1625,"".*@simon.es$""),REGEXMATCH(A1625,"".*@simon.pt$""),REGEXMATCH(A1625,"".*@simonelectrica.com$""),REGEXMATCH(A1625,"".*@hiberus.com$""),REGEXMATCH(A1625,"".*@simonbrico.es$""),regexmatch(A1625,"".*@simonelectric.com$"")),""null"",A1"&amp;"625)"),"1319@masfarne.info")</f>
        <v>1319@masfarne.info</v>
      </c>
      <c r="C1625" s="5">
        <f>IF(B1625="null","null",Descargas!B1625)</f>
        <v>43950</v>
      </c>
      <c r="D1625" s="6" t="str">
        <f>Descargas!E1625</f>
        <v>https://resources.simonelectric.com/simon-catalogo-vehiculo-electrico</v>
      </c>
      <c r="E1625" s="20" t="str">
        <f t="shared" si="1"/>
        <v>1319@masfarne.info</v>
      </c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</row>
    <row r="1626" ht="15.75" customHeight="1">
      <c r="A1626" s="18" t="str">
        <f>Descargas!A1626</f>
        <v>1320@gmail.com</v>
      </c>
      <c r="B1626" s="19" t="str">
        <f>IFERROR(__xludf.DUMMYFUNCTION("IF(OR(regexmatch(A1626,"".*@simon.es$""),REGEXMATCH(A1626,"".*@simon.pt$""),REGEXMATCH(A1626,"".*@simonelectrica.com$""),REGEXMATCH(A1626,"".*@hiberus.com$""),REGEXMATCH(A1626,"".*@simonbrico.es$""),regexmatch(A1626,"".*@simonelectric.com$"")),""null"",A1"&amp;"626)"),"1320@gmail.com")</f>
        <v>1320@gmail.com</v>
      </c>
      <c r="C1626" s="5">
        <f>IF(B1626="null","null",Descargas!B1626)</f>
        <v>43950</v>
      </c>
      <c r="D1626" s="6" t="str">
        <f>Descargas!E1626</f>
        <v>https://resources.simonelectric.com/simon-catalogo-vehiculo-electrico</v>
      </c>
      <c r="E1626" s="20" t="str">
        <f t="shared" si="1"/>
        <v>1320@gmail.com</v>
      </c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</row>
    <row r="1627" ht="15.75" customHeight="1">
      <c r="A1627" s="18" t="str">
        <f>Descargas!A1627</f>
        <v>1321@gmail.com</v>
      </c>
      <c r="B1627" s="19" t="str">
        <f>IFERROR(__xludf.DUMMYFUNCTION("IF(OR(regexmatch(A1627,"".*@simon.es$""),REGEXMATCH(A1627,"".*@simon.pt$""),REGEXMATCH(A1627,"".*@simonelectrica.com$""),REGEXMATCH(A1627,"".*@hiberus.com$""),REGEXMATCH(A1627,"".*@simonbrico.es$""),regexmatch(A1627,"".*@simonelectric.com$"")),""null"",A1"&amp;"627)"),"1321@gmail.com")</f>
        <v>1321@gmail.com</v>
      </c>
      <c r="C1627" s="5">
        <f>IF(B1627="null","null",Descargas!B1627)</f>
        <v>43950</v>
      </c>
      <c r="D1627" s="6" t="str">
        <f>Descargas!E1627</f>
        <v>https://resources.simonelectric.com/simon-catalogo-vehiculo-electrico</v>
      </c>
      <c r="E1627" s="20" t="str">
        <f t="shared" si="1"/>
        <v>1321@gmail.com</v>
      </c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</row>
    <row r="1628" ht="15.75" customHeight="1">
      <c r="A1628" s="18" t="str">
        <f>Descargas!A1628</f>
        <v>651@coitim.es</v>
      </c>
      <c r="B1628" s="19" t="str">
        <f>IFERROR(__xludf.DUMMYFUNCTION("IF(OR(regexmatch(A1628,"".*@simon.es$""),REGEXMATCH(A1628,"".*@simon.pt$""),REGEXMATCH(A1628,"".*@simonelectrica.com$""),REGEXMATCH(A1628,"".*@hiberus.com$""),REGEXMATCH(A1628,"".*@simonbrico.es$""),regexmatch(A1628,"".*@simonelectric.com$"")),""null"",A1"&amp;"628)"),"651@coitim.es")</f>
        <v>651@coitim.es</v>
      </c>
      <c r="C1628" s="5">
        <f>IF(B1628="null","null",Descargas!B1628)</f>
        <v>43950</v>
      </c>
      <c r="D1628" s="6" t="str">
        <f>Descargas!E1628</f>
        <v>https://resources.simonelectric.com/simon-catalogo-vehiculo-electrico</v>
      </c>
      <c r="E1628" s="20" t="str">
        <f t="shared" si="1"/>
        <v>651@coitim.es</v>
      </c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</row>
    <row r="1629" ht="15.75" customHeight="1">
      <c r="A1629" s="18" t="str">
        <f>Descargas!A1629</f>
        <v>1322@gmail.com</v>
      </c>
      <c r="B1629" s="19" t="str">
        <f>IFERROR(__xludf.DUMMYFUNCTION("IF(OR(regexmatch(A1629,"".*@simon.es$""),REGEXMATCH(A1629,"".*@simon.pt$""),REGEXMATCH(A1629,"".*@simonelectrica.com$""),REGEXMATCH(A1629,"".*@hiberus.com$""),REGEXMATCH(A1629,"".*@simonbrico.es$""),regexmatch(A1629,"".*@simonelectric.com$"")),""null"",A1"&amp;"629)"),"1322@gmail.com")</f>
        <v>1322@gmail.com</v>
      </c>
      <c r="C1629" s="5">
        <f>IF(B1629="null","null",Descargas!B1629)</f>
        <v>43950</v>
      </c>
      <c r="D1629" s="6" t="str">
        <f>Descargas!E1629</f>
        <v>https://resources.simonelectric.com/simon-catalogo-vehiculo-electrico</v>
      </c>
      <c r="E1629" s="20" t="str">
        <f t="shared" si="1"/>
        <v>1322@gmail.com</v>
      </c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</row>
    <row r="1630" ht="15.75" customHeight="1">
      <c r="A1630" s="18" t="str">
        <f>Descargas!A1630</f>
        <v>1323@gmail.com</v>
      </c>
      <c r="B1630" s="19" t="str">
        <f>IFERROR(__xludf.DUMMYFUNCTION("IF(OR(regexmatch(A1630,"".*@simon.es$""),REGEXMATCH(A1630,"".*@simon.pt$""),REGEXMATCH(A1630,"".*@simonelectrica.com$""),REGEXMATCH(A1630,"".*@hiberus.com$""),REGEXMATCH(A1630,"".*@simonbrico.es$""),regexmatch(A1630,"".*@simonelectric.com$"")),""null"",A1"&amp;"630)"),"1323@gmail.com")</f>
        <v>1323@gmail.com</v>
      </c>
      <c r="C1630" s="5">
        <f>IF(B1630="null","null",Descargas!B1630)</f>
        <v>43950</v>
      </c>
      <c r="D1630" s="6" t="str">
        <f>Descargas!E1630</f>
        <v>https://resources.simonelectric.com/simon-catalogo-vehiculo-electrico</v>
      </c>
      <c r="E1630" s="20" t="str">
        <f t="shared" si="1"/>
        <v>1323@gmail.com</v>
      </c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</row>
    <row r="1631" ht="15.75" customHeight="1">
      <c r="A1631" s="18" t="str">
        <f>Descargas!A1631</f>
        <v>1324@hotmail.com</v>
      </c>
      <c r="B1631" s="19" t="str">
        <f>IFERROR(__xludf.DUMMYFUNCTION("IF(OR(regexmatch(A1631,"".*@simon.es$""),REGEXMATCH(A1631,"".*@simon.pt$""),REGEXMATCH(A1631,"".*@simonelectrica.com$""),REGEXMATCH(A1631,"".*@hiberus.com$""),REGEXMATCH(A1631,"".*@simonbrico.es$""),regexmatch(A1631,"".*@simonelectric.com$"")),""null"",A1"&amp;"631)"),"1324@hotmail.com")</f>
        <v>1324@hotmail.com</v>
      </c>
      <c r="C1631" s="5">
        <f>IF(B1631="null","null",Descargas!B1631)</f>
        <v>43950</v>
      </c>
      <c r="D1631" s="6" t="str">
        <f>Descargas!E1631</f>
        <v>https://resources.simonelectric.com/simon-ebook-vehiculo-electrico</v>
      </c>
      <c r="E1631" s="20" t="str">
        <f t="shared" si="1"/>
        <v>1324@hotmail.com</v>
      </c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</row>
    <row r="1632" ht="15.75" customHeight="1">
      <c r="A1632" s="18" t="str">
        <f>Descargas!A1632</f>
        <v>1325@gmail.com</v>
      </c>
      <c r="B1632" s="19" t="str">
        <f>IFERROR(__xludf.DUMMYFUNCTION("IF(OR(regexmatch(A1632,"".*@simon.es$""),REGEXMATCH(A1632,"".*@simon.pt$""),REGEXMATCH(A1632,"".*@simonelectrica.com$""),REGEXMATCH(A1632,"".*@hiberus.com$""),REGEXMATCH(A1632,"".*@simonbrico.es$""),regexmatch(A1632,"".*@simonelectric.com$"")),""null"",A1"&amp;"632)"),"1325@gmail.com")</f>
        <v>1325@gmail.com</v>
      </c>
      <c r="C1632" s="5">
        <f>IF(B1632="null","null",Descargas!B1632)</f>
        <v>43950</v>
      </c>
      <c r="D1632" s="6" t="str">
        <f>Descargas!E1632</f>
        <v>https://resources.simonelectric.com/simon-catalogo-vehiculo-electrico</v>
      </c>
      <c r="E1632" s="20" t="str">
        <f t="shared" si="1"/>
        <v>1325@gmail.com</v>
      </c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</row>
    <row r="1633" ht="15.75" customHeight="1">
      <c r="A1633" s="18" t="str">
        <f>Descargas!A1633</f>
        <v>1326@saltoki.es</v>
      </c>
      <c r="B1633" s="19" t="str">
        <f>IFERROR(__xludf.DUMMYFUNCTION("IF(OR(regexmatch(A1633,"".*@simon.es$""),REGEXMATCH(A1633,"".*@simon.pt$""),REGEXMATCH(A1633,"".*@simonelectrica.com$""),REGEXMATCH(A1633,"".*@hiberus.com$""),REGEXMATCH(A1633,"".*@simonbrico.es$""),regexmatch(A1633,"".*@simonelectric.com$"")),""null"",A1"&amp;"633)"),"1326@saltoki.es")</f>
        <v>1326@saltoki.es</v>
      </c>
      <c r="C1633" s="5">
        <f>IF(B1633="null","null",Descargas!B1633)</f>
        <v>43950</v>
      </c>
      <c r="D1633" s="6" t="str">
        <f>Descargas!E1633</f>
        <v>https://resources.simonelectric.com/simon-catalogo-vehiculo-electrico</v>
      </c>
      <c r="E1633" s="20" t="str">
        <f t="shared" si="1"/>
        <v>1326@saltoki.es</v>
      </c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</row>
    <row r="1634" ht="15.75" customHeight="1">
      <c r="A1634" s="18" t="str">
        <f>Descargas!A1634</f>
        <v>1327@tinet.org</v>
      </c>
      <c r="B1634" s="19" t="str">
        <f>IFERROR(__xludf.DUMMYFUNCTION("IF(OR(regexmatch(A1634,"".*@simon.es$""),REGEXMATCH(A1634,"".*@simon.pt$""),REGEXMATCH(A1634,"".*@simonelectrica.com$""),REGEXMATCH(A1634,"".*@hiberus.com$""),REGEXMATCH(A1634,"".*@simonbrico.es$""),regexmatch(A1634,"".*@simonelectric.com$"")),""null"",A1"&amp;"634)"),"1327@tinet.org")</f>
        <v>1327@tinet.org</v>
      </c>
      <c r="C1634" s="5">
        <f>IF(B1634="null","null",Descargas!B1634)</f>
        <v>43950</v>
      </c>
      <c r="D1634" s="6" t="str">
        <f>Descargas!E1634</f>
        <v>https://resources.simonelectric.com/simon-catalogo-vehiculo-electrico</v>
      </c>
      <c r="E1634" s="20" t="str">
        <f t="shared" si="1"/>
        <v>1327@tinet.org</v>
      </c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</row>
    <row r="1635" ht="15.75" customHeight="1">
      <c r="A1635" s="18" t="str">
        <f>Descargas!A1635</f>
        <v>1328@gmail.com</v>
      </c>
      <c r="B1635" s="19" t="str">
        <f>IFERROR(__xludf.DUMMYFUNCTION("IF(OR(regexmatch(A1635,"".*@simon.es$""),REGEXMATCH(A1635,"".*@simon.pt$""),REGEXMATCH(A1635,"".*@simonelectrica.com$""),REGEXMATCH(A1635,"".*@hiberus.com$""),REGEXMATCH(A1635,"".*@simonbrico.es$""),regexmatch(A1635,"".*@simonelectric.com$"")),""null"",A1"&amp;"635)"),"1328@gmail.com")</f>
        <v>1328@gmail.com</v>
      </c>
      <c r="C1635" s="5">
        <f>IF(B1635="null","null",Descargas!B1635)</f>
        <v>43950</v>
      </c>
      <c r="D1635" s="6" t="str">
        <f>Descargas!E1635</f>
        <v>https://resources.simonelectric.com/simon-catalogo-vehiculo-electrico</v>
      </c>
      <c r="E1635" s="20" t="str">
        <f t="shared" si="1"/>
        <v>1328@gmail.com</v>
      </c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</row>
    <row r="1636" ht="15.75" customHeight="1">
      <c r="A1636" s="18" t="str">
        <f>Descargas!A1636</f>
        <v>1329@gmail.com</v>
      </c>
      <c r="B1636" s="19" t="str">
        <f>IFERROR(__xludf.DUMMYFUNCTION("IF(OR(regexmatch(A1636,"".*@simon.es$""),REGEXMATCH(A1636,"".*@simon.pt$""),REGEXMATCH(A1636,"".*@simonelectrica.com$""),REGEXMATCH(A1636,"".*@hiberus.com$""),REGEXMATCH(A1636,"".*@simonbrico.es$""),regexmatch(A1636,"".*@simonelectric.com$"")),""null"",A1"&amp;"636)"),"1329@gmail.com")</f>
        <v>1329@gmail.com</v>
      </c>
      <c r="C1636" s="5">
        <f>IF(B1636="null","null",Descargas!B1636)</f>
        <v>43950</v>
      </c>
      <c r="D1636" s="6" t="str">
        <f>Descargas!E1636</f>
        <v>https://resources.simonelectric.com/simon-catalogo-vehiculo-electrico</v>
      </c>
      <c r="E1636" s="20" t="str">
        <f t="shared" si="1"/>
        <v>1329@gmail.com</v>
      </c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</row>
    <row r="1637" ht="15.75" customHeight="1">
      <c r="A1637" s="18" t="str">
        <f>Descargas!A1637</f>
        <v>1330@comb.cat</v>
      </c>
      <c r="B1637" s="19" t="str">
        <f>IFERROR(__xludf.DUMMYFUNCTION("IF(OR(regexmatch(A1637,"".*@simon.es$""),REGEXMATCH(A1637,"".*@simon.pt$""),REGEXMATCH(A1637,"".*@simonelectrica.com$""),REGEXMATCH(A1637,"".*@hiberus.com$""),REGEXMATCH(A1637,"".*@simonbrico.es$""),regexmatch(A1637,"".*@simonelectric.com$"")),""null"",A1"&amp;"637)"),"1330@comb.cat")</f>
        <v>1330@comb.cat</v>
      </c>
      <c r="C1637" s="5">
        <f>IF(B1637="null","null",Descargas!B1637)</f>
        <v>43950</v>
      </c>
      <c r="D1637" s="6" t="str">
        <f>Descargas!E1637</f>
        <v>https://resources.simonelectric.com/simon-catalogo-vehiculo-electrico</v>
      </c>
      <c r="E1637" s="20" t="str">
        <f t="shared" si="1"/>
        <v>1330@comb.cat</v>
      </c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</row>
    <row r="1638" ht="15.75" customHeight="1">
      <c r="A1638" s="18" t="str">
        <f>Descargas!A1638</f>
        <v>1331@gmail.com</v>
      </c>
      <c r="B1638" s="19" t="str">
        <f>IFERROR(__xludf.DUMMYFUNCTION("IF(OR(regexmatch(A1638,"".*@simon.es$""),REGEXMATCH(A1638,"".*@simon.pt$""),REGEXMATCH(A1638,"".*@simonelectrica.com$""),REGEXMATCH(A1638,"".*@hiberus.com$""),REGEXMATCH(A1638,"".*@simonbrico.es$""),regexmatch(A1638,"".*@simonelectric.com$"")),""null"",A1"&amp;"638)"),"1331@gmail.com")</f>
        <v>1331@gmail.com</v>
      </c>
      <c r="C1638" s="5">
        <f>IF(B1638="null","null",Descargas!B1638)</f>
        <v>43950</v>
      </c>
      <c r="D1638" s="6" t="str">
        <f>Descargas!E1638</f>
        <v>https://resources.simonelectric.com/simon-catalogo-vehiculo-electrico</v>
      </c>
      <c r="E1638" s="20" t="str">
        <f t="shared" si="1"/>
        <v>1331@gmail.com</v>
      </c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</row>
    <row r="1639" ht="15.75" customHeight="1">
      <c r="A1639" s="18" t="str">
        <f>Descargas!A1639</f>
        <v>1332@novarquia.es</v>
      </c>
      <c r="B1639" s="19" t="str">
        <f>IFERROR(__xludf.DUMMYFUNCTION("IF(OR(regexmatch(A1639,"".*@simon.es$""),REGEXMATCH(A1639,"".*@simon.pt$""),REGEXMATCH(A1639,"".*@simonelectrica.com$""),REGEXMATCH(A1639,"".*@hiberus.com$""),REGEXMATCH(A1639,"".*@simonbrico.es$""),regexmatch(A1639,"".*@simonelectric.com$"")),""null"",A1"&amp;"639)"),"1332@novarquia.es")</f>
        <v>1332@novarquia.es</v>
      </c>
      <c r="C1639" s="5">
        <f>IF(B1639="null","null",Descargas!B1639)</f>
        <v>43950</v>
      </c>
      <c r="D1639" s="6" t="str">
        <f>Descargas!E1639</f>
        <v>https://resources.simonelectric.com/simon-catalogo-vehiculo-electrico</v>
      </c>
      <c r="E1639" s="20" t="str">
        <f t="shared" si="1"/>
        <v>1332@novarquia.es</v>
      </c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</row>
    <row r="1640" ht="15.75" customHeight="1">
      <c r="A1640" s="18" t="str">
        <f>Descargas!A1640</f>
        <v>1333@lantec.es</v>
      </c>
      <c r="B1640" s="19" t="str">
        <f>IFERROR(__xludf.DUMMYFUNCTION("IF(OR(regexmatch(A1640,"".*@simon.es$""),REGEXMATCH(A1640,"".*@simon.pt$""),REGEXMATCH(A1640,"".*@simonelectrica.com$""),REGEXMATCH(A1640,"".*@hiberus.com$""),REGEXMATCH(A1640,"".*@simonbrico.es$""),regexmatch(A1640,"".*@simonelectric.com$"")),""null"",A1"&amp;"640)"),"1333@lantec.es")</f>
        <v>1333@lantec.es</v>
      </c>
      <c r="C1640" s="5">
        <f>IF(B1640="null","null",Descargas!B1640)</f>
        <v>43950</v>
      </c>
      <c r="D1640" s="6" t="str">
        <f>Descargas!E1640</f>
        <v>https://resources.simonelectric.com/simon-catalogo-vehiculo-electrico</v>
      </c>
      <c r="E1640" s="20" t="str">
        <f t="shared" si="1"/>
        <v>1333@lantec.es</v>
      </c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</row>
    <row r="1641" ht="15.75" customHeight="1">
      <c r="A1641" s="18" t="str">
        <f>Descargas!A1641</f>
        <v>1334@hotmail.es</v>
      </c>
      <c r="B1641" s="19" t="str">
        <f>IFERROR(__xludf.DUMMYFUNCTION("IF(OR(regexmatch(A1641,"".*@simon.es$""),REGEXMATCH(A1641,"".*@simon.pt$""),REGEXMATCH(A1641,"".*@simonelectrica.com$""),REGEXMATCH(A1641,"".*@hiberus.com$""),REGEXMATCH(A1641,"".*@simonbrico.es$""),regexmatch(A1641,"".*@simonelectric.com$"")),""null"",A1"&amp;"641)"),"1334@hotmail.es")</f>
        <v>1334@hotmail.es</v>
      </c>
      <c r="C1641" s="5">
        <f>IF(B1641="null","null",Descargas!B1641)</f>
        <v>43950</v>
      </c>
      <c r="D1641" s="6" t="str">
        <f>Descargas!E1641</f>
        <v>https://resources.simonelectric.com/simon-catalogo-vehiculo-electrico</v>
      </c>
      <c r="E1641" s="20" t="str">
        <f t="shared" si="1"/>
        <v>1334@hotmail.es</v>
      </c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</row>
    <row r="1642" ht="15.75" customHeight="1">
      <c r="A1642" s="18" t="str">
        <f>Descargas!A1642</f>
        <v>1335@santalucia.es</v>
      </c>
      <c r="B1642" s="19" t="str">
        <f>IFERROR(__xludf.DUMMYFUNCTION("IF(OR(regexmatch(A1642,"".*@simon.es$""),REGEXMATCH(A1642,"".*@simon.pt$""),REGEXMATCH(A1642,"".*@simonelectrica.com$""),REGEXMATCH(A1642,"".*@hiberus.com$""),REGEXMATCH(A1642,"".*@simonbrico.es$""),regexmatch(A1642,"".*@simonelectric.com$"")),""null"",A1"&amp;"642)"),"1335@santalucia.es")</f>
        <v>1335@santalucia.es</v>
      </c>
      <c r="C1642" s="5">
        <f>IF(B1642="null","null",Descargas!B1642)</f>
        <v>43950</v>
      </c>
      <c r="D1642" s="6" t="str">
        <f>Descargas!E1642</f>
        <v>https://resources.simonelectric.com/simon-catalogo-vehiculo-electrico</v>
      </c>
      <c r="E1642" s="20" t="str">
        <f t="shared" si="1"/>
        <v>1335@santalucia.es</v>
      </c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</row>
    <row r="1643" ht="15.75" customHeight="1">
      <c r="A1643" s="18" t="str">
        <f>Descargas!A1643</f>
        <v>1336@yahoo.es</v>
      </c>
      <c r="B1643" s="19" t="str">
        <f>IFERROR(__xludf.DUMMYFUNCTION("IF(OR(regexmatch(A1643,"".*@simon.es$""),REGEXMATCH(A1643,"".*@simon.pt$""),REGEXMATCH(A1643,"".*@simonelectrica.com$""),REGEXMATCH(A1643,"".*@hiberus.com$""),REGEXMATCH(A1643,"".*@simonbrico.es$""),regexmatch(A1643,"".*@simonelectric.com$"")),""null"",A1"&amp;"643)"),"1336@yahoo.es")</f>
        <v>1336@yahoo.es</v>
      </c>
      <c r="C1643" s="5">
        <f>IF(B1643="null","null",Descargas!B1643)</f>
        <v>43950</v>
      </c>
      <c r="D1643" s="6" t="str">
        <f>Descargas!E1643</f>
        <v>https://resources.simonelectric.com/simon-catalogo-vehiculo-electrico</v>
      </c>
      <c r="E1643" s="20" t="str">
        <f t="shared" si="1"/>
        <v>1336@yahoo.es</v>
      </c>
      <c r="F1643" s="21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</row>
    <row r="1644" ht="15.75" customHeight="1">
      <c r="A1644" s="18" t="str">
        <f>Descargas!A1644</f>
        <v>1337@grupoelectrostocks.com</v>
      </c>
      <c r="B1644" s="19" t="str">
        <f>IFERROR(__xludf.DUMMYFUNCTION("IF(OR(regexmatch(A1644,"".*@simon.es$""),REGEXMATCH(A1644,"".*@simon.pt$""),REGEXMATCH(A1644,"".*@simonelectrica.com$""),REGEXMATCH(A1644,"".*@hiberus.com$""),REGEXMATCH(A1644,"".*@simonbrico.es$""),regexmatch(A1644,"".*@simonelectric.com$"")),""null"",A1"&amp;"644)"),"1337@grupoelectrostocks.com")</f>
        <v>1337@grupoelectrostocks.com</v>
      </c>
      <c r="C1644" s="5">
        <f>IF(B1644="null","null",Descargas!B1644)</f>
        <v>43950</v>
      </c>
      <c r="D1644" s="6" t="str">
        <f>Descargas!E1644</f>
        <v>https://resources.simonelectric.com/simon-catalogo-vehiculo-electrico</v>
      </c>
      <c r="E1644" s="20" t="str">
        <f t="shared" si="1"/>
        <v>1337@grupoelectrostocks.com</v>
      </c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</row>
    <row r="1645" ht="15.75" customHeight="1">
      <c r="A1645" s="18" t="str">
        <f>Descargas!A1645</f>
        <v>1338@gmail.com</v>
      </c>
      <c r="B1645" s="19" t="str">
        <f>IFERROR(__xludf.DUMMYFUNCTION("IF(OR(regexmatch(A1645,"".*@simon.es$""),REGEXMATCH(A1645,"".*@simon.pt$""),REGEXMATCH(A1645,"".*@simonelectrica.com$""),REGEXMATCH(A1645,"".*@hiberus.com$""),REGEXMATCH(A1645,"".*@simonbrico.es$""),regexmatch(A1645,"".*@simonelectric.com$"")),""null"",A1"&amp;"645)"),"1338@gmail.com")</f>
        <v>1338@gmail.com</v>
      </c>
      <c r="C1645" s="5">
        <f>IF(B1645="null","null",Descargas!B1645)</f>
        <v>43950</v>
      </c>
      <c r="D1645" s="6" t="str">
        <f>Descargas!E1645</f>
        <v>https://resources.simonelectric.com/simon-catalogo-vehiculo-electrico</v>
      </c>
      <c r="E1645" s="20" t="str">
        <f t="shared" si="1"/>
        <v>1338@gmail.com</v>
      </c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</row>
    <row r="1646" ht="15.75" customHeight="1">
      <c r="A1646" s="18" t="str">
        <f>Descargas!A1646</f>
        <v>1339@electrogalmar.es</v>
      </c>
      <c r="B1646" s="19" t="str">
        <f>IFERROR(__xludf.DUMMYFUNCTION("IF(OR(regexmatch(A1646,"".*@simon.es$""),REGEXMATCH(A1646,"".*@simon.pt$""),REGEXMATCH(A1646,"".*@simonelectrica.com$""),REGEXMATCH(A1646,"".*@hiberus.com$""),REGEXMATCH(A1646,"".*@simonbrico.es$""),regexmatch(A1646,"".*@simonelectric.com$"")),""null"",A1"&amp;"646)"),"1339@electrogalmar.es")</f>
        <v>1339@electrogalmar.es</v>
      </c>
      <c r="C1646" s="5">
        <f>IF(B1646="null","null",Descargas!B1646)</f>
        <v>43950</v>
      </c>
      <c r="D1646" s="6" t="str">
        <f>Descargas!E1646</f>
        <v>https://resources.simonelectric.com/simon-catalogo-vehiculo-electrico</v>
      </c>
      <c r="E1646" s="20" t="str">
        <f t="shared" si="1"/>
        <v>1339@electrogalmar.es</v>
      </c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</row>
    <row r="1647" ht="15.75" customHeight="1">
      <c r="A1647" s="18" t="str">
        <f>Descargas!A1647</f>
        <v>1340@silezgrup.com</v>
      </c>
      <c r="B1647" s="19" t="str">
        <f>IFERROR(__xludf.DUMMYFUNCTION("IF(OR(regexmatch(A1647,"".*@simon.es$""),REGEXMATCH(A1647,"".*@simon.pt$""),REGEXMATCH(A1647,"".*@simonelectrica.com$""),REGEXMATCH(A1647,"".*@hiberus.com$""),REGEXMATCH(A1647,"".*@simonbrico.es$""),regexmatch(A1647,"".*@simonelectric.com$"")),""null"",A1"&amp;"647)"),"1340@silezgrup.com")</f>
        <v>1340@silezgrup.com</v>
      </c>
      <c r="C1647" s="5">
        <f>IF(B1647="null","null",Descargas!B1647)</f>
        <v>43950</v>
      </c>
      <c r="D1647" s="6" t="str">
        <f>Descargas!E1647</f>
        <v>https://resources.simonelectric.com/simon-catalogo-vehiculo-electrico</v>
      </c>
      <c r="E1647" s="20" t="str">
        <f t="shared" si="1"/>
        <v>1340@silezgrup.com</v>
      </c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</row>
    <row r="1648" ht="15.75" customHeight="1">
      <c r="A1648" s="18" t="str">
        <f>Descargas!A1648</f>
        <v>1341@electricidadinstalvi.com</v>
      </c>
      <c r="B1648" s="19" t="str">
        <f>IFERROR(__xludf.DUMMYFUNCTION("IF(OR(regexmatch(A1648,"".*@simon.es$""),REGEXMATCH(A1648,"".*@simon.pt$""),REGEXMATCH(A1648,"".*@simonelectrica.com$""),REGEXMATCH(A1648,"".*@hiberus.com$""),REGEXMATCH(A1648,"".*@simonbrico.es$""),regexmatch(A1648,"".*@simonelectric.com$"")),""null"",A1"&amp;"648)"),"1341@electricidadinstalvi.com")</f>
        <v>1341@electricidadinstalvi.com</v>
      </c>
      <c r="C1648" s="5">
        <f>IF(B1648="null","null",Descargas!B1648)</f>
        <v>43950</v>
      </c>
      <c r="D1648" s="6" t="str">
        <f>Descargas!E1648</f>
        <v>https://resources.simonelectric.com/simon-catalogo-vehiculo-electrico</v>
      </c>
      <c r="E1648" s="20" t="str">
        <f t="shared" si="1"/>
        <v>1341@electricidadinstalvi.com</v>
      </c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</row>
    <row r="1649" ht="15.75" customHeight="1">
      <c r="A1649" s="18" t="str">
        <f>Descargas!A1649</f>
        <v>1342@ic3sl.com</v>
      </c>
      <c r="B1649" s="19" t="str">
        <f>IFERROR(__xludf.DUMMYFUNCTION("IF(OR(regexmatch(A1649,"".*@simon.es$""),REGEXMATCH(A1649,"".*@simon.pt$""),REGEXMATCH(A1649,"".*@simonelectrica.com$""),REGEXMATCH(A1649,"".*@hiberus.com$""),REGEXMATCH(A1649,"".*@simonbrico.es$""),regexmatch(A1649,"".*@simonelectric.com$"")),""null"",A1"&amp;"649)"),"1342@ic3sl.com")</f>
        <v>1342@ic3sl.com</v>
      </c>
      <c r="C1649" s="5">
        <f>IF(B1649="null","null",Descargas!B1649)</f>
        <v>43950</v>
      </c>
      <c r="D1649" s="6" t="str">
        <f>Descargas!E1649</f>
        <v>https://resources.simonelectric.com/simon-catalogo-vehiculo-electrico</v>
      </c>
      <c r="E1649" s="20" t="str">
        <f t="shared" si="1"/>
        <v>1342@ic3sl.com</v>
      </c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</row>
    <row r="1650" ht="15.75" customHeight="1">
      <c r="A1650" s="18" t="str">
        <f>Descargas!A1650</f>
        <v>1343@hotmail.com</v>
      </c>
      <c r="B1650" s="19" t="str">
        <f>IFERROR(__xludf.DUMMYFUNCTION("IF(OR(regexmatch(A1650,"".*@simon.es$""),REGEXMATCH(A1650,"".*@simon.pt$""),REGEXMATCH(A1650,"".*@simonelectrica.com$""),REGEXMATCH(A1650,"".*@hiberus.com$""),REGEXMATCH(A1650,"".*@simonbrico.es$""),regexmatch(A1650,"".*@simonelectric.com$"")),""null"",A1"&amp;"650)"),"1343@hotmail.com")</f>
        <v>1343@hotmail.com</v>
      </c>
      <c r="C1650" s="5">
        <f>IF(B1650="null","null",Descargas!B1650)</f>
        <v>43950</v>
      </c>
      <c r="D1650" s="6" t="str">
        <f>Descargas!E1650</f>
        <v>https://resources.simonelectric.com/simon-catalogo-vehiculo-electrico</v>
      </c>
      <c r="E1650" s="20" t="str">
        <f t="shared" si="1"/>
        <v>1343@hotmail.com</v>
      </c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</row>
    <row r="1651" ht="15.75" customHeight="1">
      <c r="A1651" s="18" t="str">
        <f>Descargas!A1651</f>
        <v>1344@gmail.com</v>
      </c>
      <c r="B1651" s="19" t="str">
        <f>IFERROR(__xludf.DUMMYFUNCTION("IF(OR(regexmatch(A1651,"".*@simon.es$""),REGEXMATCH(A1651,"".*@simon.pt$""),REGEXMATCH(A1651,"".*@simonelectrica.com$""),REGEXMATCH(A1651,"".*@hiberus.com$""),REGEXMATCH(A1651,"".*@simonbrico.es$""),regexmatch(A1651,"".*@simonelectric.com$"")),""null"",A1"&amp;"651)"),"1344@gmail.com")</f>
        <v>1344@gmail.com</v>
      </c>
      <c r="C1651" s="5">
        <f>IF(B1651="null","null",Descargas!B1651)</f>
        <v>43950</v>
      </c>
      <c r="D1651" s="6" t="str">
        <f>Descargas!E1651</f>
        <v>https://resources.simonelectric.com/simon-catalogo-vehiculo-electrico</v>
      </c>
      <c r="E1651" s="20" t="str">
        <f t="shared" si="1"/>
        <v>1344@gmail.com</v>
      </c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</row>
    <row r="1652" ht="15.75" customHeight="1">
      <c r="A1652" s="18" t="str">
        <f>Descargas!A1652</f>
        <v>1345@telefonica.net</v>
      </c>
      <c r="B1652" s="19" t="str">
        <f>IFERROR(__xludf.DUMMYFUNCTION("IF(OR(regexmatch(A1652,"".*@simon.es$""),REGEXMATCH(A1652,"".*@simon.pt$""),REGEXMATCH(A1652,"".*@simonelectrica.com$""),REGEXMATCH(A1652,"".*@hiberus.com$""),REGEXMATCH(A1652,"".*@simonbrico.es$""),regexmatch(A1652,"".*@simonelectric.com$"")),""null"",A1"&amp;"652)"),"1345@telefonica.net")</f>
        <v>1345@telefonica.net</v>
      </c>
      <c r="C1652" s="5">
        <f>IF(B1652="null","null",Descargas!B1652)</f>
        <v>43950</v>
      </c>
      <c r="D1652" s="6" t="str">
        <f>Descargas!E1652</f>
        <v>https://resources.simonelectric.com/simon-catalogo-vehiculo-electrico</v>
      </c>
      <c r="E1652" s="20" t="str">
        <f t="shared" si="1"/>
        <v>1345@telefonica.net</v>
      </c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</row>
    <row r="1653" ht="15.75" customHeight="1">
      <c r="A1653" s="18" t="str">
        <f>Descargas!A1653</f>
        <v>1346@boslan.com</v>
      </c>
      <c r="B1653" s="19" t="str">
        <f>IFERROR(__xludf.DUMMYFUNCTION("IF(OR(regexmatch(A1653,"".*@simon.es$""),REGEXMATCH(A1653,"".*@simon.pt$""),REGEXMATCH(A1653,"".*@simonelectrica.com$""),REGEXMATCH(A1653,"".*@hiberus.com$""),REGEXMATCH(A1653,"".*@simonbrico.es$""),regexmatch(A1653,"".*@simonelectric.com$"")),""null"",A1"&amp;"653)"),"1346@boslan.com")</f>
        <v>1346@boslan.com</v>
      </c>
      <c r="C1653" s="5">
        <f>IF(B1653="null","null",Descargas!B1653)</f>
        <v>43950</v>
      </c>
      <c r="D1653" s="6" t="str">
        <f>Descargas!E1653</f>
        <v>https://resources.simonelectric.com/simon-catalogo-vehiculo-electrico</v>
      </c>
      <c r="E1653" s="20" t="str">
        <f t="shared" si="1"/>
        <v>1346@boslan.com</v>
      </c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</row>
    <row r="1654" ht="15.75" customHeight="1">
      <c r="A1654" s="18" t="str">
        <f>Descargas!A1654</f>
        <v>1347@ormazabal.com</v>
      </c>
      <c r="B1654" s="19" t="str">
        <f>IFERROR(__xludf.DUMMYFUNCTION("IF(OR(regexmatch(A1654,"".*@simon.es$""),REGEXMATCH(A1654,"".*@simon.pt$""),REGEXMATCH(A1654,"".*@simonelectrica.com$""),REGEXMATCH(A1654,"".*@hiberus.com$""),REGEXMATCH(A1654,"".*@simonbrico.es$""),regexmatch(A1654,"".*@simonelectric.com$"")),""null"",A1"&amp;"654)"),"1347@ormazabal.com")</f>
        <v>1347@ormazabal.com</v>
      </c>
      <c r="C1654" s="5">
        <f>IF(B1654="null","null",Descargas!B1654)</f>
        <v>43950</v>
      </c>
      <c r="D1654" s="6" t="str">
        <f>Descargas!E1654</f>
        <v>https://resources.simonelectric.com/simon-catalogo-vehiculo-electrico</v>
      </c>
      <c r="E1654" s="20" t="str">
        <f t="shared" si="1"/>
        <v>1347@ormazabal.com</v>
      </c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</row>
    <row r="1655" ht="15.75" customHeight="1">
      <c r="A1655" s="18" t="str">
        <f>Descargas!A1655</f>
        <v>1348@gmail.com</v>
      </c>
      <c r="B1655" s="19" t="str">
        <f>IFERROR(__xludf.DUMMYFUNCTION("IF(OR(regexmatch(A1655,"".*@simon.es$""),REGEXMATCH(A1655,"".*@simon.pt$""),REGEXMATCH(A1655,"".*@simonelectrica.com$""),REGEXMATCH(A1655,"".*@hiberus.com$""),REGEXMATCH(A1655,"".*@simonbrico.es$""),regexmatch(A1655,"".*@simonelectric.com$"")),""null"",A1"&amp;"655)"),"1348@gmail.com")</f>
        <v>1348@gmail.com</v>
      </c>
      <c r="C1655" s="5">
        <f>IF(B1655="null","null",Descargas!B1655)</f>
        <v>43950</v>
      </c>
      <c r="D1655" s="6" t="str">
        <f>Descargas!E1655</f>
        <v>https://resources.simonelectric.com/simon-catalogo-vehiculo-electrico</v>
      </c>
      <c r="E1655" s="20" t="str">
        <f t="shared" si="1"/>
        <v>1348@gmail.com</v>
      </c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</row>
    <row r="1656" ht="15.75" customHeight="1">
      <c r="A1656" s="18" t="str">
        <f>Descargas!A1656</f>
        <v>1349@gmail.com</v>
      </c>
      <c r="B1656" s="19" t="str">
        <f>IFERROR(__xludf.DUMMYFUNCTION("IF(OR(regexmatch(A1656,"".*@simon.es$""),REGEXMATCH(A1656,"".*@simon.pt$""),REGEXMATCH(A1656,"".*@simonelectrica.com$""),REGEXMATCH(A1656,"".*@hiberus.com$""),REGEXMATCH(A1656,"".*@simonbrico.es$""),regexmatch(A1656,"".*@simonelectric.com$"")),""null"",A1"&amp;"656)"),"1349@gmail.com")</f>
        <v>1349@gmail.com</v>
      </c>
      <c r="C1656" s="5">
        <f>IF(B1656="null","null",Descargas!B1656)</f>
        <v>43950</v>
      </c>
      <c r="D1656" s="6" t="str">
        <f>Descargas!E1656</f>
        <v>https://resources.simonelectric.com/simon-ebook-vehiculo-electrico-ppc</v>
      </c>
      <c r="E1656" s="20" t="str">
        <f t="shared" si="1"/>
        <v>1349@gmail.com</v>
      </c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</row>
    <row r="1657" ht="15.75" customHeight="1">
      <c r="A1657" s="18" t="str">
        <f>Descargas!A1657</f>
        <v>1350@gmail.com</v>
      </c>
      <c r="B1657" s="19" t="str">
        <f>IFERROR(__xludf.DUMMYFUNCTION("IF(OR(regexmatch(A1657,"".*@simon.es$""),REGEXMATCH(A1657,"".*@simon.pt$""),REGEXMATCH(A1657,"".*@simonelectrica.com$""),REGEXMATCH(A1657,"".*@hiberus.com$""),REGEXMATCH(A1657,"".*@simonbrico.es$""),regexmatch(A1657,"".*@simonelectric.com$"")),""null"",A1"&amp;"657)"),"1350@gmail.com")</f>
        <v>1350@gmail.com</v>
      </c>
      <c r="C1657" s="5">
        <f>IF(B1657="null","null",Descargas!B1657)</f>
        <v>43950</v>
      </c>
      <c r="D1657" s="6" t="str">
        <f>Descargas!E1657</f>
        <v>https://resources.simonelectric.com/simon-catalogo-vehiculo-electrico</v>
      </c>
      <c r="E1657" s="20" t="str">
        <f t="shared" si="1"/>
        <v>1350@gmail.com</v>
      </c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</row>
    <row r="1658" ht="15.75" customHeight="1">
      <c r="A1658" s="18" t="str">
        <f>Descargas!A1658</f>
        <v>1351@conselldemallorca.net</v>
      </c>
      <c r="B1658" s="19" t="str">
        <f>IFERROR(__xludf.DUMMYFUNCTION("IF(OR(regexmatch(A1658,"".*@simon.es$""),REGEXMATCH(A1658,"".*@simon.pt$""),REGEXMATCH(A1658,"".*@simonelectrica.com$""),REGEXMATCH(A1658,"".*@hiberus.com$""),REGEXMATCH(A1658,"".*@simonbrico.es$""),regexmatch(A1658,"".*@simonelectric.com$"")),""null"",A1"&amp;"658)"),"1351@conselldemallorca.net")</f>
        <v>1351@conselldemallorca.net</v>
      </c>
      <c r="C1658" s="5">
        <f>IF(B1658="null","null",Descargas!B1658)</f>
        <v>43950</v>
      </c>
      <c r="D1658" s="6" t="str">
        <f>Descargas!E1658</f>
        <v>https://resources.simonelectric.com/simon-catalogo-vehiculo-electrico</v>
      </c>
      <c r="E1658" s="20" t="str">
        <f t="shared" si="1"/>
        <v>1351@conselldemallorca.net</v>
      </c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</row>
    <row r="1659" ht="15.75" customHeight="1">
      <c r="A1659" s="18" t="str">
        <f>Descargas!A1659</f>
        <v>1352@autelec.net</v>
      </c>
      <c r="B1659" s="19" t="str">
        <f>IFERROR(__xludf.DUMMYFUNCTION("IF(OR(regexmatch(A1659,"".*@simon.es$""),REGEXMATCH(A1659,"".*@simon.pt$""),REGEXMATCH(A1659,"".*@simonelectrica.com$""),REGEXMATCH(A1659,"".*@hiberus.com$""),REGEXMATCH(A1659,"".*@simonbrico.es$""),regexmatch(A1659,"".*@simonelectric.com$"")),""null"",A1"&amp;"659)"),"1352@autelec.net")</f>
        <v>1352@autelec.net</v>
      </c>
      <c r="C1659" s="5">
        <f>IF(B1659="null","null",Descargas!B1659)</f>
        <v>43950</v>
      </c>
      <c r="D1659" s="6" t="str">
        <f>Descargas!E1659</f>
        <v>https://resources.simonelectric.com/simon-catalogo-vehiculo-electrico</v>
      </c>
      <c r="E1659" s="20" t="str">
        <f t="shared" si="1"/>
        <v>1352@autelec.net</v>
      </c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</row>
    <row r="1660" ht="15.75" customHeight="1">
      <c r="A1660" s="18" t="str">
        <f>Descargas!A1660</f>
        <v>1353@cairo.ad</v>
      </c>
      <c r="B1660" s="19" t="str">
        <f>IFERROR(__xludf.DUMMYFUNCTION("IF(OR(regexmatch(A1660,"".*@simon.es$""),REGEXMATCH(A1660,"".*@simon.pt$""),REGEXMATCH(A1660,"".*@simonelectrica.com$""),REGEXMATCH(A1660,"".*@hiberus.com$""),REGEXMATCH(A1660,"".*@simonbrico.es$""),regexmatch(A1660,"".*@simonelectric.com$"")),""null"",A1"&amp;"660)"),"1353@cairo.ad")</f>
        <v>1353@cairo.ad</v>
      </c>
      <c r="C1660" s="5">
        <f>IF(B1660="null","null",Descargas!B1660)</f>
        <v>43950</v>
      </c>
      <c r="D1660" s="6" t="str">
        <f>Descargas!E1660</f>
        <v>https://resources.simonelectric.com/simon-catalogo-vehiculo-electrico</v>
      </c>
      <c r="E1660" s="20" t="str">
        <f t="shared" si="1"/>
        <v>1353@cairo.ad</v>
      </c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</row>
    <row r="1661" ht="15.75" customHeight="1">
      <c r="A1661" s="18" t="str">
        <f>Descargas!A1661</f>
        <v>677@gmail.com</v>
      </c>
      <c r="B1661" s="19" t="str">
        <f>IFERROR(__xludf.DUMMYFUNCTION("IF(OR(regexmatch(A1661,"".*@simon.es$""),REGEXMATCH(A1661,"".*@simon.pt$""),REGEXMATCH(A1661,"".*@simonelectrica.com$""),REGEXMATCH(A1661,"".*@hiberus.com$""),REGEXMATCH(A1661,"".*@simonbrico.es$""),regexmatch(A1661,"".*@simonelectric.com$"")),""null"",A1"&amp;"661)"),"677@gmail.com")</f>
        <v>677@gmail.com</v>
      </c>
      <c r="C1661" s="5">
        <f>IF(B1661="null","null",Descargas!B1661)</f>
        <v>43950</v>
      </c>
      <c r="D1661" s="6" t="str">
        <f>Descargas!E1661</f>
        <v>https://resources.simonelectric.com/simon-catalogo-vehiculo-electrico</v>
      </c>
      <c r="E1661" s="20" t="str">
        <f t="shared" si="1"/>
        <v>677@gmail.com</v>
      </c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</row>
    <row r="1662" ht="15.75" customHeight="1">
      <c r="A1662" s="18" t="str">
        <f>Descargas!A1662</f>
        <v>1354@hotmail.com</v>
      </c>
      <c r="B1662" s="19" t="str">
        <f>IFERROR(__xludf.DUMMYFUNCTION("IF(OR(regexmatch(A1662,"".*@simon.es$""),REGEXMATCH(A1662,"".*@simon.pt$""),REGEXMATCH(A1662,"".*@simonelectrica.com$""),REGEXMATCH(A1662,"".*@hiberus.com$""),REGEXMATCH(A1662,"".*@simonbrico.es$""),regexmatch(A1662,"".*@simonelectric.com$"")),""null"",A1"&amp;"662)"),"1354@hotmail.com")</f>
        <v>1354@hotmail.com</v>
      </c>
      <c r="C1662" s="5">
        <f>IF(B1662="null","null",Descargas!B1662)</f>
        <v>43950</v>
      </c>
      <c r="D1662" s="6" t="str">
        <f>Descargas!E1662</f>
        <v>https://resources.simonelectric.com/simon-catalogo-vehiculo-electrico</v>
      </c>
      <c r="E1662" s="20" t="str">
        <f t="shared" si="1"/>
        <v>1354@hotmail.com</v>
      </c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</row>
    <row r="1663" ht="15.75" customHeight="1">
      <c r="A1663" s="18" t="str">
        <f>Descargas!A1663</f>
        <v>1355@gmail.com</v>
      </c>
      <c r="B1663" s="19" t="str">
        <f>IFERROR(__xludf.DUMMYFUNCTION("IF(OR(regexmatch(A1663,"".*@simon.es$""),REGEXMATCH(A1663,"".*@simon.pt$""),REGEXMATCH(A1663,"".*@simonelectrica.com$""),REGEXMATCH(A1663,"".*@hiberus.com$""),REGEXMATCH(A1663,"".*@simonbrico.es$""),regexmatch(A1663,"".*@simonelectric.com$"")),""null"",A1"&amp;"663)"),"1355@gmail.com")</f>
        <v>1355@gmail.com</v>
      </c>
      <c r="C1663" s="5">
        <f>IF(B1663="null","null",Descargas!B1663)</f>
        <v>43950</v>
      </c>
      <c r="D1663" s="6" t="str">
        <f>Descargas!E1663</f>
        <v>https://resources.simonelectric.com/simon-catalogo-vehiculo-electrico</v>
      </c>
      <c r="E1663" s="20" t="str">
        <f t="shared" si="1"/>
        <v>1355@gmail.com</v>
      </c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</row>
    <row r="1664" ht="15.75" customHeight="1">
      <c r="A1664" s="18" t="str">
        <f>Descargas!A1664</f>
        <v>586@hotmail.com</v>
      </c>
      <c r="B1664" s="19" t="str">
        <f>IFERROR(__xludf.DUMMYFUNCTION("IF(OR(regexmatch(A1664,"".*@simon.es$""),REGEXMATCH(A1664,"".*@simon.pt$""),REGEXMATCH(A1664,"".*@simonelectrica.com$""),REGEXMATCH(A1664,"".*@hiberus.com$""),REGEXMATCH(A1664,"".*@simonbrico.es$""),regexmatch(A1664,"".*@simonelectric.com$"")),""null"",A1"&amp;"664)"),"586@hotmail.com")</f>
        <v>586@hotmail.com</v>
      </c>
      <c r="C1664" s="5">
        <f>IF(B1664="null","null",Descargas!B1664)</f>
        <v>43950</v>
      </c>
      <c r="D1664" s="6" t="str">
        <f>Descargas!E1664</f>
        <v>https://resources.simonelectric.com/simon-catalogo-vehiculo-electrico</v>
      </c>
      <c r="E1664" s="20" t="str">
        <f t="shared" si="1"/>
        <v>586@hotmail.com</v>
      </c>
      <c r="F1664" s="21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</row>
    <row r="1665" ht="15.75" customHeight="1">
      <c r="A1665" s="18" t="str">
        <f>Descargas!A1665</f>
        <v>1356@hotmail.com</v>
      </c>
      <c r="B1665" s="19" t="str">
        <f>IFERROR(__xludf.DUMMYFUNCTION("IF(OR(regexmatch(A1665,"".*@simon.es$""),REGEXMATCH(A1665,"".*@simon.pt$""),REGEXMATCH(A1665,"".*@simonelectrica.com$""),REGEXMATCH(A1665,"".*@hiberus.com$""),REGEXMATCH(A1665,"".*@simonbrico.es$""),regexmatch(A1665,"".*@simonelectric.com$"")),""null"",A1"&amp;"665)"),"1356@hotmail.com")</f>
        <v>1356@hotmail.com</v>
      </c>
      <c r="C1665" s="5">
        <f>IF(B1665="null","null",Descargas!B1665)</f>
        <v>43950</v>
      </c>
      <c r="D1665" s="6" t="str">
        <f>Descargas!E1665</f>
        <v>https://resources.simonelectric.com/simon-catalogo-vehiculo-electrico</v>
      </c>
      <c r="E1665" s="20" t="str">
        <f t="shared" si="1"/>
        <v>1356@hotmail.com</v>
      </c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</row>
    <row r="1666" ht="15.75" customHeight="1">
      <c r="A1666" s="18" t="str">
        <f>Descargas!A1666</f>
        <v>1357@gmail.com</v>
      </c>
      <c r="B1666" s="19" t="str">
        <f>IFERROR(__xludf.DUMMYFUNCTION("IF(OR(regexmatch(A1666,"".*@simon.es$""),REGEXMATCH(A1666,"".*@simon.pt$""),REGEXMATCH(A1666,"".*@simonelectrica.com$""),REGEXMATCH(A1666,"".*@hiberus.com$""),REGEXMATCH(A1666,"".*@simonbrico.es$""),regexmatch(A1666,"".*@simonelectric.com$"")),""null"",A1"&amp;"666)"),"1357@gmail.com")</f>
        <v>1357@gmail.com</v>
      </c>
      <c r="C1666" s="5">
        <f>IF(B1666="null","null",Descargas!B1666)</f>
        <v>43950</v>
      </c>
      <c r="D1666" s="6" t="str">
        <f>Descargas!E1666</f>
        <v>https://resources.simonelectric.com/simon-catalogo-vehiculo-electrico</v>
      </c>
      <c r="E1666" s="20" t="str">
        <f t="shared" si="1"/>
        <v>1357@gmail.com</v>
      </c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</row>
    <row r="1667" ht="15.75" customHeight="1">
      <c r="A1667" s="18" t="str">
        <f>Descargas!A1667</f>
        <v>1358@gmail.com</v>
      </c>
      <c r="B1667" s="19" t="str">
        <f>IFERROR(__xludf.DUMMYFUNCTION("IF(OR(regexmatch(A1667,"".*@simon.es$""),REGEXMATCH(A1667,"".*@simon.pt$""),REGEXMATCH(A1667,"".*@simonelectrica.com$""),REGEXMATCH(A1667,"".*@hiberus.com$""),REGEXMATCH(A1667,"".*@simonbrico.es$""),regexmatch(A1667,"".*@simonelectric.com$"")),""null"",A1"&amp;"667)"),"1358@gmail.com")</f>
        <v>1358@gmail.com</v>
      </c>
      <c r="C1667" s="5">
        <f>IF(B1667="null","null",Descargas!B1667)</f>
        <v>43950</v>
      </c>
      <c r="D1667" s="6" t="str">
        <f>Descargas!E1667</f>
        <v>https://resources.simonelectric.com/simon-catalogo-vehiculo-electrico</v>
      </c>
      <c r="E1667" s="20" t="str">
        <f t="shared" si="1"/>
        <v>1358@gmail.com</v>
      </c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</row>
    <row r="1668" ht="15.75" customHeight="1">
      <c r="A1668" s="18" t="str">
        <f>Descargas!A1668</f>
        <v>1359@grupotandal.com</v>
      </c>
      <c r="B1668" s="19" t="str">
        <f>IFERROR(__xludf.DUMMYFUNCTION("IF(OR(regexmatch(A1668,"".*@simon.es$""),REGEXMATCH(A1668,"".*@simon.pt$""),REGEXMATCH(A1668,"".*@simonelectrica.com$""),REGEXMATCH(A1668,"".*@hiberus.com$""),REGEXMATCH(A1668,"".*@simonbrico.es$""),regexmatch(A1668,"".*@simonelectric.com$"")),""null"",A1"&amp;"668)"),"1359@grupotandal.com")</f>
        <v>1359@grupotandal.com</v>
      </c>
      <c r="C1668" s="5">
        <f>IF(B1668="null","null",Descargas!B1668)</f>
        <v>43950</v>
      </c>
      <c r="D1668" s="6" t="str">
        <f>Descargas!E1668</f>
        <v>https://resources.simonelectric.com/simon-catalogo-vehiculo-electrico</v>
      </c>
      <c r="E1668" s="20" t="str">
        <f t="shared" si="1"/>
        <v>1359@grupotandal.com</v>
      </c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</row>
    <row r="1669" ht="15.75" customHeight="1">
      <c r="A1669" s="18" t="str">
        <f>Descargas!A1669</f>
        <v>1360@hotmail.com</v>
      </c>
      <c r="B1669" s="19" t="str">
        <f>IFERROR(__xludf.DUMMYFUNCTION("IF(OR(regexmatch(A1669,"".*@simon.es$""),REGEXMATCH(A1669,"".*@simon.pt$""),REGEXMATCH(A1669,"".*@simonelectrica.com$""),REGEXMATCH(A1669,"".*@hiberus.com$""),REGEXMATCH(A1669,"".*@simonbrico.es$""),regexmatch(A1669,"".*@simonelectric.com$"")),""null"",A1"&amp;"669)"),"1360@hotmail.com")</f>
        <v>1360@hotmail.com</v>
      </c>
      <c r="C1669" s="5">
        <f>IF(B1669="null","null",Descargas!B1669)</f>
        <v>43950</v>
      </c>
      <c r="D1669" s="6" t="str">
        <f>Descargas!E1669</f>
        <v>https://resources.simonelectric.com/simon-catalogo-vehiculo-electrico</v>
      </c>
      <c r="E1669" s="20" t="str">
        <f t="shared" si="1"/>
        <v>1360@hotmail.com</v>
      </c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</row>
    <row r="1670" ht="15.75" customHeight="1">
      <c r="A1670" s="18" t="str">
        <f>Descargas!A1670</f>
        <v>1361@gmail.com</v>
      </c>
      <c r="B1670" s="19" t="str">
        <f>IFERROR(__xludf.DUMMYFUNCTION("IF(OR(regexmatch(A1670,"".*@simon.es$""),REGEXMATCH(A1670,"".*@simon.pt$""),REGEXMATCH(A1670,"".*@simonelectrica.com$""),REGEXMATCH(A1670,"".*@hiberus.com$""),REGEXMATCH(A1670,"".*@simonbrico.es$""),regexmatch(A1670,"".*@simonelectric.com$"")),""null"",A1"&amp;"670)"),"1361@gmail.com")</f>
        <v>1361@gmail.com</v>
      </c>
      <c r="C1670" s="5">
        <f>IF(B1670="null","null",Descargas!B1670)</f>
        <v>43950</v>
      </c>
      <c r="D1670" s="6" t="str">
        <f>Descargas!E1670</f>
        <v>https://resources.simonelectric.com/simon-catalogo-vehiculo-electrico</v>
      </c>
      <c r="E1670" s="20" t="str">
        <f t="shared" si="1"/>
        <v>1361@gmail.com</v>
      </c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</row>
    <row r="1671" ht="15.75" customHeight="1">
      <c r="A1671" s="18" t="str">
        <f>Descargas!A1671</f>
        <v>1362@gmail.com</v>
      </c>
      <c r="B1671" s="19" t="str">
        <f>IFERROR(__xludf.DUMMYFUNCTION("IF(OR(regexmatch(A1671,"".*@simon.es$""),REGEXMATCH(A1671,"".*@simon.pt$""),REGEXMATCH(A1671,"".*@simonelectrica.com$""),REGEXMATCH(A1671,"".*@hiberus.com$""),REGEXMATCH(A1671,"".*@simonbrico.es$""),regexmatch(A1671,"".*@simonelectric.com$"")),""null"",A1"&amp;"671)"),"1362@gmail.com")</f>
        <v>1362@gmail.com</v>
      </c>
      <c r="C1671" s="5">
        <f>IF(B1671="null","null",Descargas!B1671)</f>
        <v>43950</v>
      </c>
      <c r="D1671" s="6" t="str">
        <f>Descargas!E1671</f>
        <v>https://resources.simonelectric.com/simon-catalogo-vehiculo-electrico</v>
      </c>
      <c r="E1671" s="20" t="str">
        <f t="shared" si="1"/>
        <v>1362@gmail.com</v>
      </c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</row>
    <row r="1672" ht="15.75" customHeight="1">
      <c r="A1672" s="18" t="str">
        <f>Descargas!A1672</f>
        <v>1363@hotmail.com</v>
      </c>
      <c r="B1672" s="19" t="str">
        <f>IFERROR(__xludf.DUMMYFUNCTION("IF(OR(regexmatch(A1672,"".*@simon.es$""),REGEXMATCH(A1672,"".*@simon.pt$""),REGEXMATCH(A1672,"".*@simonelectrica.com$""),REGEXMATCH(A1672,"".*@hiberus.com$""),REGEXMATCH(A1672,"".*@simonbrico.es$""),regexmatch(A1672,"".*@simonelectric.com$"")),""null"",A1"&amp;"672)"),"1363@hotmail.com")</f>
        <v>1363@hotmail.com</v>
      </c>
      <c r="C1672" s="5">
        <f>IF(B1672="null","null",Descargas!B1672)</f>
        <v>43950</v>
      </c>
      <c r="D1672" s="6" t="str">
        <f>Descargas!E1672</f>
        <v>https://resources.simonelectric.com/simon-catalogo-vehiculo-electrico</v>
      </c>
      <c r="E1672" s="20" t="str">
        <f t="shared" si="1"/>
        <v>1363@hotmail.com</v>
      </c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</row>
    <row r="1673" ht="15.75" customHeight="1">
      <c r="A1673" s="18" t="str">
        <f>Descargas!A1673</f>
        <v>1364@eirazola.com</v>
      </c>
      <c r="B1673" s="19" t="str">
        <f>IFERROR(__xludf.DUMMYFUNCTION("IF(OR(regexmatch(A1673,"".*@simon.es$""),REGEXMATCH(A1673,"".*@simon.pt$""),REGEXMATCH(A1673,"".*@simonelectrica.com$""),REGEXMATCH(A1673,"".*@hiberus.com$""),REGEXMATCH(A1673,"".*@simonbrico.es$""),regexmatch(A1673,"".*@simonelectric.com$"")),""null"",A1"&amp;"673)"),"1364@eirazola.com")</f>
        <v>1364@eirazola.com</v>
      </c>
      <c r="C1673" s="5">
        <f>IF(B1673="null","null",Descargas!B1673)</f>
        <v>43950</v>
      </c>
      <c r="D1673" s="6" t="str">
        <f>Descargas!E1673</f>
        <v>https://resources.simonelectric.com/simon-catalogo-vehiculo-electrico</v>
      </c>
      <c r="E1673" s="20" t="str">
        <f t="shared" si="1"/>
        <v>1364@eirazola.com</v>
      </c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</row>
    <row r="1674" ht="15.75" customHeight="1">
      <c r="A1674" s="18" t="str">
        <f>Descargas!A1674</f>
        <v>1365@hotmail.com</v>
      </c>
      <c r="B1674" s="19" t="str">
        <f>IFERROR(__xludf.DUMMYFUNCTION("IF(OR(regexmatch(A1674,"".*@simon.es$""),REGEXMATCH(A1674,"".*@simon.pt$""),REGEXMATCH(A1674,"".*@simonelectrica.com$""),REGEXMATCH(A1674,"".*@hiberus.com$""),REGEXMATCH(A1674,"".*@simonbrico.es$""),regexmatch(A1674,"".*@simonelectric.com$"")),""null"",A1"&amp;"674)"),"1365@hotmail.com")</f>
        <v>1365@hotmail.com</v>
      </c>
      <c r="C1674" s="5">
        <f>IF(B1674="null","null",Descargas!B1674)</f>
        <v>43950</v>
      </c>
      <c r="D1674" s="6" t="str">
        <f>Descargas!E1674</f>
        <v>https://resources.simonelectric.com/simon-catalogo-vehiculo-electrico</v>
      </c>
      <c r="E1674" s="20" t="str">
        <f t="shared" si="1"/>
        <v>1365@hotmail.com</v>
      </c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</row>
    <row r="1675" ht="15.75" customHeight="1">
      <c r="A1675" s="18" t="str">
        <f>Descargas!A1675</f>
        <v>1366@electroalco.es</v>
      </c>
      <c r="B1675" s="19" t="str">
        <f>IFERROR(__xludf.DUMMYFUNCTION("IF(OR(regexmatch(A1675,"".*@simon.es$""),REGEXMATCH(A1675,"".*@simon.pt$""),REGEXMATCH(A1675,"".*@simonelectrica.com$""),REGEXMATCH(A1675,"".*@hiberus.com$""),REGEXMATCH(A1675,"".*@simonbrico.es$""),regexmatch(A1675,"".*@simonelectric.com$"")),""null"",A1"&amp;"675)"),"1366@electroalco.es")</f>
        <v>1366@electroalco.es</v>
      </c>
      <c r="C1675" s="5">
        <f>IF(B1675="null","null",Descargas!B1675)</f>
        <v>43950</v>
      </c>
      <c r="D1675" s="6" t="str">
        <f>Descargas!E1675</f>
        <v>https://resources.simonelectric.com/simon-catalogo-vehiculo-electrico</v>
      </c>
      <c r="E1675" s="20" t="str">
        <f t="shared" si="1"/>
        <v>1366@electroalco.es</v>
      </c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</row>
    <row r="1676" ht="15.75" customHeight="1">
      <c r="A1676" s="18" t="str">
        <f>Descargas!A1676</f>
        <v>1367@telecable.es</v>
      </c>
      <c r="B1676" s="19" t="str">
        <f>IFERROR(__xludf.DUMMYFUNCTION("IF(OR(regexmatch(A1676,"".*@simon.es$""),REGEXMATCH(A1676,"".*@simon.pt$""),REGEXMATCH(A1676,"".*@simonelectrica.com$""),REGEXMATCH(A1676,"".*@hiberus.com$""),REGEXMATCH(A1676,"".*@simonbrico.es$""),regexmatch(A1676,"".*@simonelectric.com$"")),""null"",A1"&amp;"676)"),"1367@telecable.es")</f>
        <v>1367@telecable.es</v>
      </c>
      <c r="C1676" s="5">
        <f>IF(B1676="null","null",Descargas!B1676)</f>
        <v>43950</v>
      </c>
      <c r="D1676" s="6" t="str">
        <f>Descargas!E1676</f>
        <v>https://resources.simonelectric.com/simon-catalogo-vehiculo-electrico</v>
      </c>
      <c r="E1676" s="20" t="str">
        <f t="shared" si="1"/>
        <v>1367@telecable.es</v>
      </c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</row>
    <row r="1677" ht="15.75" customHeight="1">
      <c r="A1677" s="18" t="str">
        <f>Descargas!A1677</f>
        <v>1368@baselec.es</v>
      </c>
      <c r="B1677" s="19" t="str">
        <f>IFERROR(__xludf.DUMMYFUNCTION("IF(OR(regexmatch(A1677,"".*@simon.es$""),REGEXMATCH(A1677,"".*@simon.pt$""),REGEXMATCH(A1677,"".*@simonelectrica.com$""),REGEXMATCH(A1677,"".*@hiberus.com$""),REGEXMATCH(A1677,"".*@simonbrico.es$""),regexmatch(A1677,"".*@simonelectric.com$"")),""null"",A1"&amp;"677)"),"1368@baselec.es")</f>
        <v>1368@baselec.es</v>
      </c>
      <c r="C1677" s="5">
        <f>IF(B1677="null","null",Descargas!B1677)</f>
        <v>43950</v>
      </c>
      <c r="D1677" s="6" t="str">
        <f>Descargas!E1677</f>
        <v>https://resources.simonelectric.com/simon-catalogo-vehiculo-electrico</v>
      </c>
      <c r="E1677" s="20" t="str">
        <f t="shared" si="1"/>
        <v>1368@baselec.es</v>
      </c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</row>
    <row r="1678" ht="15.75" customHeight="1">
      <c r="A1678" s="18" t="str">
        <f>Descargas!A1678</f>
        <v>1369@atribal.es</v>
      </c>
      <c r="B1678" s="19" t="str">
        <f>IFERROR(__xludf.DUMMYFUNCTION("IF(OR(regexmatch(A1678,"".*@simon.es$""),REGEXMATCH(A1678,"".*@simon.pt$""),REGEXMATCH(A1678,"".*@simonelectrica.com$""),REGEXMATCH(A1678,"".*@hiberus.com$""),REGEXMATCH(A1678,"".*@simonbrico.es$""),regexmatch(A1678,"".*@simonelectric.com$"")),""null"",A1"&amp;"678)"),"1369@atribal.es")</f>
        <v>1369@atribal.es</v>
      </c>
      <c r="C1678" s="5">
        <f>IF(B1678="null","null",Descargas!B1678)</f>
        <v>43950</v>
      </c>
      <c r="D1678" s="6" t="str">
        <f>Descargas!E1678</f>
        <v>https://resources.simonelectric.com/simon-catalogo-vehiculo-electrico</v>
      </c>
      <c r="E1678" s="20" t="str">
        <f t="shared" si="1"/>
        <v>1369@atribal.es</v>
      </c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</row>
    <row r="1679" ht="15.75" customHeight="1">
      <c r="A1679" s="18" t="str">
        <f>Descargas!A1679</f>
        <v>1370@hotmail.com</v>
      </c>
      <c r="B1679" s="19" t="str">
        <f>IFERROR(__xludf.DUMMYFUNCTION("IF(OR(regexmatch(A1679,"".*@simon.es$""),REGEXMATCH(A1679,"".*@simon.pt$""),REGEXMATCH(A1679,"".*@simonelectrica.com$""),REGEXMATCH(A1679,"".*@hiberus.com$""),REGEXMATCH(A1679,"".*@simonbrico.es$""),regexmatch(A1679,"".*@simonelectric.com$"")),""null"",A1"&amp;"679)"),"1370@hotmail.com")</f>
        <v>1370@hotmail.com</v>
      </c>
      <c r="C1679" s="5">
        <f>IF(B1679="null","null",Descargas!B1679)</f>
        <v>43950</v>
      </c>
      <c r="D1679" s="6" t="str">
        <f>Descargas!E1679</f>
        <v>https://resources.simonelectric.com/simon-catalogo-vehiculo-electrico</v>
      </c>
      <c r="E1679" s="20" t="str">
        <f t="shared" si="1"/>
        <v>1370@hotmail.com</v>
      </c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</row>
    <row r="1680" ht="15.75" customHeight="1">
      <c r="A1680" s="18" t="str">
        <f>Descargas!A1680</f>
        <v>1371@gmail.com</v>
      </c>
      <c r="B1680" s="19" t="str">
        <f>IFERROR(__xludf.DUMMYFUNCTION("IF(OR(regexmatch(A1680,"".*@simon.es$""),REGEXMATCH(A1680,"".*@simon.pt$""),REGEXMATCH(A1680,"".*@simonelectrica.com$""),REGEXMATCH(A1680,"".*@hiberus.com$""),REGEXMATCH(A1680,"".*@simonbrico.es$""),regexmatch(A1680,"".*@simonelectric.com$"")),""null"",A1"&amp;"680)"),"1371@gmail.com")</f>
        <v>1371@gmail.com</v>
      </c>
      <c r="C1680" s="5">
        <f>IF(B1680="null","null",Descargas!B1680)</f>
        <v>43950</v>
      </c>
      <c r="D1680" s="6" t="str">
        <f>Descargas!E1680</f>
        <v>https://resources.simonelectric.com/simon-catalogo-vehiculo-electrico</v>
      </c>
      <c r="E1680" s="20" t="str">
        <f t="shared" si="1"/>
        <v>1371@gmail.com</v>
      </c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</row>
    <row r="1681" ht="15.75" customHeight="1">
      <c r="A1681" s="18" t="str">
        <f>Descargas!A1681</f>
        <v>1372@telefonica.net</v>
      </c>
      <c r="B1681" s="19" t="str">
        <f>IFERROR(__xludf.DUMMYFUNCTION("IF(OR(regexmatch(A1681,"".*@simon.es$""),REGEXMATCH(A1681,"".*@simon.pt$""),REGEXMATCH(A1681,"".*@simonelectrica.com$""),REGEXMATCH(A1681,"".*@hiberus.com$""),REGEXMATCH(A1681,"".*@simonbrico.es$""),regexmatch(A1681,"".*@simonelectric.com$"")),""null"",A1"&amp;"681)"),"1372@telefonica.net")</f>
        <v>1372@telefonica.net</v>
      </c>
      <c r="C1681" s="5">
        <f>IF(B1681="null","null",Descargas!B1681)</f>
        <v>43950</v>
      </c>
      <c r="D1681" s="6" t="str">
        <f>Descargas!E1681</f>
        <v>https://resources.simonelectric.com/simon-catalogo-vehiculo-electrico</v>
      </c>
      <c r="E1681" s="20" t="str">
        <f t="shared" si="1"/>
        <v>1372@telefonica.net</v>
      </c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</row>
    <row r="1682" ht="15.75" customHeight="1">
      <c r="A1682" s="18" t="str">
        <f>Descargas!A1682</f>
        <v>1373@electrolucman.com</v>
      </c>
      <c r="B1682" s="19" t="str">
        <f>IFERROR(__xludf.DUMMYFUNCTION("IF(OR(regexmatch(A1682,"".*@simon.es$""),REGEXMATCH(A1682,"".*@simon.pt$""),REGEXMATCH(A1682,"".*@simonelectrica.com$""),REGEXMATCH(A1682,"".*@hiberus.com$""),REGEXMATCH(A1682,"".*@simonbrico.es$""),regexmatch(A1682,"".*@simonelectric.com$"")),""null"",A1"&amp;"682)"),"1373@electrolucman.com")</f>
        <v>1373@electrolucman.com</v>
      </c>
      <c r="C1682" s="5">
        <f>IF(B1682="null","null",Descargas!B1682)</f>
        <v>43950</v>
      </c>
      <c r="D1682" s="6" t="str">
        <f>Descargas!E1682</f>
        <v>https://resources.simonelectric.com/simon-catalogo-vehiculo-electrico</v>
      </c>
      <c r="E1682" s="20" t="str">
        <f t="shared" si="1"/>
        <v>1373@electrolucman.com</v>
      </c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</row>
    <row r="1683" ht="15.75" customHeight="1">
      <c r="A1683" s="18" t="str">
        <f>Descargas!A1683</f>
        <v>1374@autelec.net</v>
      </c>
      <c r="B1683" s="19" t="str">
        <f>IFERROR(__xludf.DUMMYFUNCTION("IF(OR(regexmatch(A1683,"".*@simon.es$""),REGEXMATCH(A1683,"".*@simon.pt$""),REGEXMATCH(A1683,"".*@simonelectrica.com$""),REGEXMATCH(A1683,"".*@hiberus.com$""),REGEXMATCH(A1683,"".*@simonbrico.es$""),regexmatch(A1683,"".*@simonelectric.com$"")),""null"",A1"&amp;"683)"),"1374@autelec.net")</f>
        <v>1374@autelec.net</v>
      </c>
      <c r="C1683" s="5">
        <f>IF(B1683="null","null",Descargas!B1683)</f>
        <v>43950</v>
      </c>
      <c r="D1683" s="6" t="str">
        <f>Descargas!E1683</f>
        <v>https://resources.simonelectric.com/simon-catalogo-vehiculo-electrico</v>
      </c>
      <c r="E1683" s="20" t="str">
        <f t="shared" si="1"/>
        <v>1374@autelec.net</v>
      </c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</row>
    <row r="1684" ht="15.75" customHeight="1">
      <c r="A1684" s="18" t="str">
        <f>Descargas!A1684</f>
        <v>1375@gmail.com</v>
      </c>
      <c r="B1684" s="19" t="str">
        <f>IFERROR(__xludf.DUMMYFUNCTION("IF(OR(regexmatch(A1684,"".*@simon.es$""),REGEXMATCH(A1684,"".*@simon.pt$""),REGEXMATCH(A1684,"".*@simonelectrica.com$""),REGEXMATCH(A1684,"".*@hiberus.com$""),REGEXMATCH(A1684,"".*@simonbrico.es$""),regexmatch(A1684,"".*@simonelectric.com$"")),""null"",A1"&amp;"684)"),"1375@gmail.com")</f>
        <v>1375@gmail.com</v>
      </c>
      <c r="C1684" s="5">
        <f>IF(B1684="null","null",Descargas!B1684)</f>
        <v>43950</v>
      </c>
      <c r="D1684" s="6" t="str">
        <f>Descargas!E1684</f>
        <v>https://resources.simonelectric.com/simon-catalogo-vehiculo-electrico</v>
      </c>
      <c r="E1684" s="20" t="str">
        <f t="shared" si="1"/>
        <v>1375@gmail.com</v>
      </c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</row>
    <row r="1685" ht="15.75" customHeight="1">
      <c r="A1685" s="18" t="str">
        <f>Descargas!A1685</f>
        <v>1376@telefonica.net</v>
      </c>
      <c r="B1685" s="19" t="str">
        <f>IFERROR(__xludf.DUMMYFUNCTION("IF(OR(regexmatch(A1685,"".*@simon.es$""),REGEXMATCH(A1685,"".*@simon.pt$""),REGEXMATCH(A1685,"".*@simonelectrica.com$""),REGEXMATCH(A1685,"".*@hiberus.com$""),REGEXMATCH(A1685,"".*@simonbrico.es$""),regexmatch(A1685,"".*@simonelectric.com$"")),""null"",A1"&amp;"685)"),"1376@telefonica.net")</f>
        <v>1376@telefonica.net</v>
      </c>
      <c r="C1685" s="5">
        <f>IF(B1685="null","null",Descargas!B1685)</f>
        <v>43950</v>
      </c>
      <c r="D1685" s="6" t="str">
        <f>Descargas!E1685</f>
        <v>https://resources.simonelectric.com/simon-catalogo-vehiculo-electrico</v>
      </c>
      <c r="E1685" s="20" t="str">
        <f t="shared" si="1"/>
        <v>1376@telefonica.net</v>
      </c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</row>
    <row r="1686" ht="15.75" customHeight="1">
      <c r="A1686" s="18" t="str">
        <f>Descargas!A1686</f>
        <v>1377@hotmail.com</v>
      </c>
      <c r="B1686" s="19" t="str">
        <f>IFERROR(__xludf.DUMMYFUNCTION("IF(OR(regexmatch(A1686,"".*@simon.es$""),REGEXMATCH(A1686,"".*@simon.pt$""),REGEXMATCH(A1686,"".*@simonelectrica.com$""),REGEXMATCH(A1686,"".*@hiberus.com$""),REGEXMATCH(A1686,"".*@simonbrico.es$""),regexmatch(A1686,"".*@simonelectric.com$"")),""null"",A1"&amp;"686)"),"1377@hotmail.com")</f>
        <v>1377@hotmail.com</v>
      </c>
      <c r="C1686" s="5">
        <f>IF(B1686="null","null",Descargas!B1686)</f>
        <v>43950</v>
      </c>
      <c r="D1686" s="6" t="str">
        <f>Descargas!E1686</f>
        <v>https://resources.simonelectric.com/simon-catalogo-vehiculo-electrico</v>
      </c>
      <c r="E1686" s="20" t="str">
        <f t="shared" si="1"/>
        <v>1377@hotmail.com</v>
      </c>
      <c r="F1686" s="21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</row>
    <row r="1687" ht="15.75" customHeight="1">
      <c r="A1687" s="18" t="str">
        <f>Descargas!A1687</f>
        <v>1073@grupolasser.com</v>
      </c>
      <c r="B1687" s="19" t="str">
        <f>IFERROR(__xludf.DUMMYFUNCTION("IF(OR(regexmatch(A1687,"".*@simon.es$""),REGEXMATCH(A1687,"".*@simon.pt$""),REGEXMATCH(A1687,"".*@simonelectrica.com$""),REGEXMATCH(A1687,"".*@hiberus.com$""),REGEXMATCH(A1687,"".*@simonbrico.es$""),regexmatch(A1687,"".*@simonelectric.com$"")),""null"",A1"&amp;"687)"),"1073@grupolasser.com")</f>
        <v>1073@grupolasser.com</v>
      </c>
      <c r="C1687" s="5">
        <f>IF(B1687="null","null",Descargas!B1687)</f>
        <v>43950</v>
      </c>
      <c r="D1687" s="6" t="str">
        <f>Descargas!E1687</f>
        <v>https://resources.simonelectric.com/simon-catalogo-vehiculo-electrico</v>
      </c>
      <c r="E1687" s="20" t="str">
        <f t="shared" si="1"/>
        <v>1073@grupolasser.com</v>
      </c>
      <c r="F1687" s="21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</row>
    <row r="1688" ht="15.75" customHeight="1">
      <c r="A1688" s="18" t="str">
        <f>Descargas!A1688</f>
        <v>1378@electromat.com</v>
      </c>
      <c r="B1688" s="19" t="str">
        <f>IFERROR(__xludf.DUMMYFUNCTION("IF(OR(regexmatch(A1688,"".*@simon.es$""),REGEXMATCH(A1688,"".*@simon.pt$""),REGEXMATCH(A1688,"".*@simonelectrica.com$""),REGEXMATCH(A1688,"".*@hiberus.com$""),REGEXMATCH(A1688,"".*@simonbrico.es$""),regexmatch(A1688,"".*@simonelectric.com$"")),""null"",A1"&amp;"688)"),"1378@electromat.com")</f>
        <v>1378@electromat.com</v>
      </c>
      <c r="C1688" s="5">
        <f>IF(B1688="null","null",Descargas!B1688)</f>
        <v>43950</v>
      </c>
      <c r="D1688" s="6" t="str">
        <f>Descargas!E1688</f>
        <v>https://resources.simonelectric.com/simon-catalogo-vehiculo-electrico</v>
      </c>
      <c r="E1688" s="20" t="str">
        <f t="shared" si="1"/>
        <v>1378@electromat.com</v>
      </c>
      <c r="F1688" s="21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</row>
    <row r="1689" ht="15.75" customHeight="1">
      <c r="A1689" s="18" t="str">
        <f>Descargas!A1689</f>
        <v>1379@hotmail.com</v>
      </c>
      <c r="B1689" s="19" t="str">
        <f>IFERROR(__xludf.DUMMYFUNCTION("IF(OR(regexmatch(A1689,"".*@simon.es$""),REGEXMATCH(A1689,"".*@simon.pt$""),REGEXMATCH(A1689,"".*@simonelectrica.com$""),REGEXMATCH(A1689,"".*@hiberus.com$""),REGEXMATCH(A1689,"".*@simonbrico.es$""),regexmatch(A1689,"".*@simonelectric.com$"")),""null"",A1"&amp;"689)"),"1379@hotmail.com")</f>
        <v>1379@hotmail.com</v>
      </c>
      <c r="C1689" s="5">
        <f>IF(B1689="null","null",Descargas!B1689)</f>
        <v>43950</v>
      </c>
      <c r="D1689" s="6" t="str">
        <f>Descargas!E1689</f>
        <v>https://resources.simonelectric.com/simon-catalogo-vehiculo-electrico</v>
      </c>
      <c r="E1689" s="20" t="str">
        <f t="shared" si="1"/>
        <v>1379@hotmail.com</v>
      </c>
      <c r="F1689" s="21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</row>
    <row r="1690" ht="15.75" customHeight="1">
      <c r="A1690" s="18" t="str">
        <f>Descargas!A1690</f>
        <v>1380@gmail.com</v>
      </c>
      <c r="B1690" s="19" t="str">
        <f>IFERROR(__xludf.DUMMYFUNCTION("IF(OR(regexmatch(A1690,"".*@simon.es$""),REGEXMATCH(A1690,"".*@simon.pt$""),REGEXMATCH(A1690,"".*@simonelectrica.com$""),REGEXMATCH(A1690,"".*@hiberus.com$""),REGEXMATCH(A1690,"".*@simonbrico.es$""),regexmatch(A1690,"".*@simonelectric.com$"")),""null"",A1"&amp;"690)"),"1380@gmail.com")</f>
        <v>1380@gmail.com</v>
      </c>
      <c r="C1690" s="5">
        <f>IF(B1690="null","null",Descargas!B1690)</f>
        <v>43950</v>
      </c>
      <c r="D1690" s="6" t="str">
        <f>Descargas!E1690</f>
        <v>https://resources.simonelectric.com/simon-catalogo-vehiculo-electrico</v>
      </c>
      <c r="E1690" s="20" t="str">
        <f t="shared" si="1"/>
        <v>1380@gmail.com</v>
      </c>
      <c r="F1690" s="21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</row>
    <row r="1691" ht="15.75" customHeight="1">
      <c r="A1691" s="18" t="str">
        <f>Descargas!A1691</f>
        <v>1381@msn.com</v>
      </c>
      <c r="B1691" s="19" t="str">
        <f>IFERROR(__xludf.DUMMYFUNCTION("IF(OR(regexmatch(A1691,"".*@simon.es$""),REGEXMATCH(A1691,"".*@simon.pt$""),REGEXMATCH(A1691,"".*@simonelectrica.com$""),REGEXMATCH(A1691,"".*@hiberus.com$""),REGEXMATCH(A1691,"".*@simonbrico.es$""),regexmatch(A1691,"".*@simonelectric.com$"")),""null"",A1"&amp;"691)"),"1381@msn.com")</f>
        <v>1381@msn.com</v>
      </c>
      <c r="C1691" s="5">
        <f>IF(B1691="null","null",Descargas!B1691)</f>
        <v>43950</v>
      </c>
      <c r="D1691" s="6" t="str">
        <f>Descargas!E1691</f>
        <v>https://resources.simonelectric.com/simon-catalogo-vehiculo-electrico</v>
      </c>
      <c r="E1691" s="20" t="str">
        <f t="shared" si="1"/>
        <v>1381@msn.com</v>
      </c>
      <c r="F1691" s="21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</row>
    <row r="1692" ht="15.75" customHeight="1">
      <c r="A1692" s="18" t="str">
        <f>Descargas!A1692</f>
        <v>1382@gmail.com</v>
      </c>
      <c r="B1692" s="19" t="str">
        <f>IFERROR(__xludf.DUMMYFUNCTION("IF(OR(regexmatch(A1692,"".*@simon.es$""),REGEXMATCH(A1692,"".*@simon.pt$""),REGEXMATCH(A1692,"".*@simonelectrica.com$""),REGEXMATCH(A1692,"".*@hiberus.com$""),REGEXMATCH(A1692,"".*@simonbrico.es$""),regexmatch(A1692,"".*@simonelectric.com$"")),""null"",A1"&amp;"692)"),"1382@gmail.com")</f>
        <v>1382@gmail.com</v>
      </c>
      <c r="C1692" s="5">
        <f>IF(B1692="null","null",Descargas!B1692)</f>
        <v>43950</v>
      </c>
      <c r="D1692" s="6" t="str">
        <f>Descargas!E1692</f>
        <v>https://resources.simonelectric.com/simon-catalogo-vehiculo-electrico</v>
      </c>
      <c r="E1692" s="20" t="str">
        <f t="shared" si="1"/>
        <v>1382@gmail.com</v>
      </c>
      <c r="F1692" s="21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</row>
    <row r="1693" ht="15.75" customHeight="1">
      <c r="A1693" s="18" t="str">
        <f>Descargas!A1693</f>
        <v>921@gmail.com</v>
      </c>
      <c r="B1693" s="19" t="str">
        <f>IFERROR(__xludf.DUMMYFUNCTION("IF(OR(regexmatch(A1693,"".*@simon.es$""),REGEXMATCH(A1693,"".*@simon.pt$""),REGEXMATCH(A1693,"".*@simonelectrica.com$""),REGEXMATCH(A1693,"".*@hiberus.com$""),REGEXMATCH(A1693,"".*@simonbrico.es$""),regexmatch(A1693,"".*@simonelectric.com$"")),""null"",A1"&amp;"693)"),"921@gmail.com")</f>
        <v>921@gmail.com</v>
      </c>
      <c r="C1693" s="5">
        <f>IF(B1693="null","null",Descargas!B1693)</f>
        <v>43950</v>
      </c>
      <c r="D1693" s="6" t="str">
        <f>Descargas!E1693</f>
        <v>https://resources.simonelectric.com/simon-catalogo-vehiculo-electrico</v>
      </c>
      <c r="E1693" s="20" t="str">
        <f t="shared" si="1"/>
        <v>921@gmail.com</v>
      </c>
      <c r="F1693" s="21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</row>
    <row r="1694" ht="15.75" customHeight="1">
      <c r="A1694" s="18" t="str">
        <f>Descargas!A1694</f>
        <v>1383@grupoazmont.com</v>
      </c>
      <c r="B1694" s="19" t="str">
        <f>IFERROR(__xludf.DUMMYFUNCTION("IF(OR(regexmatch(A1694,"".*@simon.es$""),REGEXMATCH(A1694,"".*@simon.pt$""),REGEXMATCH(A1694,"".*@simonelectrica.com$""),REGEXMATCH(A1694,"".*@hiberus.com$""),REGEXMATCH(A1694,"".*@simonbrico.es$""),regexmatch(A1694,"".*@simonelectric.com$"")),""null"",A1"&amp;"694)"),"1383@grupoazmont.com")</f>
        <v>1383@grupoazmont.com</v>
      </c>
      <c r="C1694" s="5">
        <f>IF(B1694="null","null",Descargas!B1694)</f>
        <v>43950</v>
      </c>
      <c r="D1694" s="6" t="str">
        <f>Descargas!E1694</f>
        <v>https://resources.simonelectric.com/simon-catalogo-vehiculo-electrico</v>
      </c>
      <c r="E1694" s="20" t="str">
        <f t="shared" si="1"/>
        <v>1383@grupoazmont.com</v>
      </c>
      <c r="F1694" s="21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</row>
    <row r="1695" ht="15.75" customHeight="1">
      <c r="A1695" s="18" t="str">
        <f>Descargas!A1695</f>
        <v>1384@eringenieria.com</v>
      </c>
      <c r="B1695" s="19" t="str">
        <f>IFERROR(__xludf.DUMMYFUNCTION("IF(OR(regexmatch(A1695,"".*@simon.es$""),REGEXMATCH(A1695,"".*@simon.pt$""),REGEXMATCH(A1695,"".*@simonelectrica.com$""),REGEXMATCH(A1695,"".*@hiberus.com$""),REGEXMATCH(A1695,"".*@simonbrico.es$""),regexmatch(A1695,"".*@simonelectric.com$"")),""null"",A1"&amp;"695)"),"1384@eringenieria.com")</f>
        <v>1384@eringenieria.com</v>
      </c>
      <c r="C1695" s="5">
        <f>IF(B1695="null","null",Descargas!B1695)</f>
        <v>43950</v>
      </c>
      <c r="D1695" s="6" t="str">
        <f>Descargas!E1695</f>
        <v>https://resources.simonelectric.com/simon-catalogo-vehiculo-electrico</v>
      </c>
      <c r="E1695" s="20" t="str">
        <f t="shared" si="1"/>
        <v>1384@eringenieria.com</v>
      </c>
      <c r="F1695" s="21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</row>
    <row r="1696" ht="15.75" customHeight="1">
      <c r="A1696" s="18" t="str">
        <f>Descargas!A1696</f>
        <v>1385@telefonica.net</v>
      </c>
      <c r="B1696" s="19" t="str">
        <f>IFERROR(__xludf.DUMMYFUNCTION("IF(OR(regexmatch(A1696,"".*@simon.es$""),REGEXMATCH(A1696,"".*@simon.pt$""),REGEXMATCH(A1696,"".*@simonelectrica.com$""),REGEXMATCH(A1696,"".*@hiberus.com$""),REGEXMATCH(A1696,"".*@simonbrico.es$""),regexmatch(A1696,"".*@simonelectric.com$"")),""null"",A1"&amp;"696)"),"1385@telefonica.net")</f>
        <v>1385@telefonica.net</v>
      </c>
      <c r="C1696" s="5">
        <f>IF(B1696="null","null",Descargas!B1696)</f>
        <v>43950</v>
      </c>
      <c r="D1696" s="6" t="str">
        <f>Descargas!E1696</f>
        <v>https://resources.simonelectric.com/simon-catalogo-vehiculo-electrico</v>
      </c>
      <c r="E1696" s="20" t="str">
        <f t="shared" si="1"/>
        <v>1385@telefonica.net</v>
      </c>
      <c r="F1696" s="21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</row>
    <row r="1697" ht="15.75" customHeight="1">
      <c r="A1697" s="18" t="str">
        <f>Descargas!A1697</f>
        <v>1386@grupoevc.es</v>
      </c>
      <c r="B1697" s="19" t="str">
        <f>IFERROR(__xludf.DUMMYFUNCTION("IF(OR(regexmatch(A1697,"".*@simon.es$""),REGEXMATCH(A1697,"".*@simon.pt$""),REGEXMATCH(A1697,"".*@simonelectrica.com$""),REGEXMATCH(A1697,"".*@hiberus.com$""),REGEXMATCH(A1697,"".*@simonbrico.es$""),regexmatch(A1697,"".*@simonelectric.com$"")),""null"",A1"&amp;"697)"),"1386@grupoevc.es")</f>
        <v>1386@grupoevc.es</v>
      </c>
      <c r="C1697" s="5">
        <f>IF(B1697="null","null",Descargas!B1697)</f>
        <v>43950</v>
      </c>
      <c r="D1697" s="6" t="str">
        <f>Descargas!E1697</f>
        <v>https://resources.simonelectric.com/simon-catalogo-vehiculo-electrico</v>
      </c>
      <c r="E1697" s="20" t="str">
        <f t="shared" si="1"/>
        <v>1386@grupoevc.es</v>
      </c>
      <c r="F1697" s="21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</row>
    <row r="1698" ht="15.75" customHeight="1">
      <c r="A1698" s="18" t="str">
        <f>Descargas!A1698</f>
        <v>963@gmail.com</v>
      </c>
      <c r="B1698" s="19" t="str">
        <f>IFERROR(__xludf.DUMMYFUNCTION("IF(OR(regexmatch(A1698,"".*@simon.es$""),REGEXMATCH(A1698,"".*@simon.pt$""),REGEXMATCH(A1698,"".*@simonelectrica.com$""),REGEXMATCH(A1698,"".*@hiberus.com$""),REGEXMATCH(A1698,"".*@simonbrico.es$""),regexmatch(A1698,"".*@simonelectric.com$"")),""null"",A1"&amp;"698)"),"963@gmail.com")</f>
        <v>963@gmail.com</v>
      </c>
      <c r="C1698" s="5">
        <f>IF(B1698="null","null",Descargas!B1698)</f>
        <v>43950</v>
      </c>
      <c r="D1698" s="6" t="str">
        <f>Descargas!E1698</f>
        <v>https://resources.simonelectric.com/simon-catalogo-vehiculo-electrico</v>
      </c>
      <c r="E1698" s="20" t="str">
        <f t="shared" si="1"/>
        <v>963@gmail.com</v>
      </c>
      <c r="F1698" s="21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</row>
    <row r="1699" ht="15.75" customHeight="1">
      <c r="A1699" s="18" t="str">
        <f>Descargas!A1699</f>
        <v>1387@yahoo.com.mx</v>
      </c>
      <c r="B1699" s="19" t="str">
        <f>IFERROR(__xludf.DUMMYFUNCTION("IF(OR(regexmatch(A1699,"".*@simon.es$""),REGEXMATCH(A1699,"".*@simon.pt$""),REGEXMATCH(A1699,"".*@simonelectrica.com$""),REGEXMATCH(A1699,"".*@hiberus.com$""),REGEXMATCH(A1699,"".*@simonbrico.es$""),regexmatch(A1699,"".*@simonelectric.com$"")),""null"",A1"&amp;"699)"),"1387@yahoo.com.mx")</f>
        <v>1387@yahoo.com.mx</v>
      </c>
      <c r="C1699" s="5">
        <f>IF(B1699="null","null",Descargas!B1699)</f>
        <v>43950</v>
      </c>
      <c r="D1699" s="6" t="str">
        <f>Descargas!E1699</f>
        <v>https://resources.simonelectric.com/simon-catalogo-vehiculo-electrico</v>
      </c>
      <c r="E1699" s="20" t="str">
        <f t="shared" si="1"/>
        <v>1387@yahoo.com.mx</v>
      </c>
      <c r="F1699" s="21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</row>
    <row r="1700" ht="15.75" customHeight="1">
      <c r="A1700" s="18" t="str">
        <f>Descargas!A1700</f>
        <v>1388@covama.es</v>
      </c>
      <c r="B1700" s="19" t="str">
        <f>IFERROR(__xludf.DUMMYFUNCTION("IF(OR(regexmatch(A1700,"".*@simon.es$""),REGEXMATCH(A1700,"".*@simon.pt$""),REGEXMATCH(A1700,"".*@simonelectrica.com$""),REGEXMATCH(A1700,"".*@hiberus.com$""),REGEXMATCH(A1700,"".*@simonbrico.es$""),regexmatch(A1700,"".*@simonelectric.com$"")),""null"",A1"&amp;"700)"),"1388@covama.es")</f>
        <v>1388@covama.es</v>
      </c>
      <c r="C1700" s="5">
        <f>IF(B1700="null","null",Descargas!B1700)</f>
        <v>43950</v>
      </c>
      <c r="D1700" s="6" t="str">
        <f>Descargas!E1700</f>
        <v>https://resources.simonelectric.com/simon-catalogo-vehiculo-electrico</v>
      </c>
      <c r="E1700" s="20" t="str">
        <f t="shared" si="1"/>
        <v>1388@covama.es</v>
      </c>
      <c r="F1700" s="21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</row>
    <row r="1701" ht="15.75" customHeight="1">
      <c r="A1701" s="18" t="str">
        <f>Descargas!A1701</f>
        <v>1389@hotmail.com</v>
      </c>
      <c r="B1701" s="19" t="str">
        <f>IFERROR(__xludf.DUMMYFUNCTION("IF(OR(regexmatch(A1701,"".*@simon.es$""),REGEXMATCH(A1701,"".*@simon.pt$""),REGEXMATCH(A1701,"".*@simonelectrica.com$""),REGEXMATCH(A1701,"".*@hiberus.com$""),REGEXMATCH(A1701,"".*@simonbrico.es$""),regexmatch(A1701,"".*@simonelectric.com$"")),""null"",A1"&amp;"701)"),"1389@hotmail.com")</f>
        <v>1389@hotmail.com</v>
      </c>
      <c r="C1701" s="5">
        <f>IF(B1701="null","null",Descargas!B1701)</f>
        <v>43950</v>
      </c>
      <c r="D1701" s="6" t="str">
        <f>Descargas!E1701</f>
        <v>https://resources.simonelectric.com/simon-catalogo-vehiculo-electrico</v>
      </c>
      <c r="E1701" s="20" t="str">
        <f t="shared" si="1"/>
        <v>1389@hotmail.com</v>
      </c>
      <c r="F1701" s="21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</row>
    <row r="1702" ht="15.75" customHeight="1">
      <c r="A1702" s="18" t="str">
        <f>Descargas!A1702</f>
        <v>1390@gmail.com</v>
      </c>
      <c r="B1702" s="19" t="str">
        <f>IFERROR(__xludf.DUMMYFUNCTION("IF(OR(regexmatch(A1702,"".*@simon.es$""),REGEXMATCH(A1702,"".*@simon.pt$""),REGEXMATCH(A1702,"".*@simonelectrica.com$""),REGEXMATCH(A1702,"".*@hiberus.com$""),REGEXMATCH(A1702,"".*@simonbrico.es$""),regexmatch(A1702,"".*@simonelectric.com$"")),""null"",A1"&amp;"702)"),"1390@gmail.com")</f>
        <v>1390@gmail.com</v>
      </c>
      <c r="C1702" s="5">
        <f>IF(B1702="null","null",Descargas!B1702)</f>
        <v>43950</v>
      </c>
      <c r="D1702" s="6" t="str">
        <f>Descargas!E1702</f>
        <v>https://resources.simonelectric.com/simon-catalogo-vehiculo-electrico</v>
      </c>
      <c r="E1702" s="20" t="str">
        <f t="shared" si="1"/>
        <v>1390@gmail.com</v>
      </c>
      <c r="F1702" s="21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</row>
    <row r="1703" ht="15.75" customHeight="1">
      <c r="A1703" s="18" t="str">
        <f>Descargas!A1703</f>
        <v>1391@grupojab.es</v>
      </c>
      <c r="B1703" s="19" t="str">
        <f>IFERROR(__xludf.DUMMYFUNCTION("IF(OR(regexmatch(A1703,"".*@simon.es$""),REGEXMATCH(A1703,"".*@simon.pt$""),REGEXMATCH(A1703,"".*@simonelectrica.com$""),REGEXMATCH(A1703,"".*@hiberus.com$""),REGEXMATCH(A1703,"".*@simonbrico.es$""),regexmatch(A1703,"".*@simonelectric.com$"")),""null"",A1"&amp;"703)"),"1391@grupojab.es")</f>
        <v>1391@grupojab.es</v>
      </c>
      <c r="C1703" s="5">
        <f>IF(B1703="null","null",Descargas!B1703)</f>
        <v>43950</v>
      </c>
      <c r="D1703" s="6" t="str">
        <f>Descargas!E1703</f>
        <v>https://resources.simonelectric.com/simon-catalogo-vehiculo-electrico</v>
      </c>
      <c r="E1703" s="20" t="str">
        <f t="shared" si="1"/>
        <v>1391@grupojab.es</v>
      </c>
      <c r="F1703" s="21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</row>
    <row r="1704" ht="15.75" customHeight="1">
      <c r="A1704" s="18" t="str">
        <f>Descargas!A1704</f>
        <v>1392@msn.com</v>
      </c>
      <c r="B1704" s="19" t="str">
        <f>IFERROR(__xludf.DUMMYFUNCTION("IF(OR(regexmatch(A1704,"".*@simon.es$""),REGEXMATCH(A1704,"".*@simon.pt$""),REGEXMATCH(A1704,"".*@simonelectrica.com$""),REGEXMATCH(A1704,"".*@hiberus.com$""),REGEXMATCH(A1704,"".*@simonbrico.es$""),regexmatch(A1704,"".*@simonelectric.com$"")),""null"",A1"&amp;"704)"),"1392@msn.com")</f>
        <v>1392@msn.com</v>
      </c>
      <c r="C1704" s="5">
        <f>IF(B1704="null","null",Descargas!B1704)</f>
        <v>43950</v>
      </c>
      <c r="D1704" s="6" t="str">
        <f>Descargas!E1704</f>
        <v>https://resources.simonelectric.com/simon-catalogo-vehiculo-electrico</v>
      </c>
      <c r="E1704" s="20" t="str">
        <f t="shared" si="1"/>
        <v>1392@msn.com</v>
      </c>
      <c r="F1704" s="21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</row>
    <row r="1705" ht="15.75" customHeight="1">
      <c r="A1705" s="18" t="str">
        <f>Descargas!A1705</f>
        <v>1393@electricidadguerra.com</v>
      </c>
      <c r="B1705" s="19" t="str">
        <f>IFERROR(__xludf.DUMMYFUNCTION("IF(OR(regexmatch(A1705,"".*@simon.es$""),REGEXMATCH(A1705,"".*@simon.pt$""),REGEXMATCH(A1705,"".*@simonelectrica.com$""),REGEXMATCH(A1705,"".*@hiberus.com$""),REGEXMATCH(A1705,"".*@simonbrico.es$""),regexmatch(A1705,"".*@simonelectric.com$"")),""null"",A1"&amp;"705)"),"1393@electricidadguerra.com")</f>
        <v>1393@electricidadguerra.com</v>
      </c>
      <c r="C1705" s="5">
        <f>IF(B1705="null","null",Descargas!B1705)</f>
        <v>43950</v>
      </c>
      <c r="D1705" s="6" t="str">
        <f>Descargas!E1705</f>
        <v>https://resources.simonelectric.com/simon-catalogo-vehiculo-electrico</v>
      </c>
      <c r="E1705" s="20" t="str">
        <f t="shared" si="1"/>
        <v>1393@electricidadguerra.com</v>
      </c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</row>
    <row r="1706" ht="15.75" customHeight="1">
      <c r="A1706" s="18" t="str">
        <f>Descargas!A1706</f>
        <v>1394@gmail.com</v>
      </c>
      <c r="B1706" s="19" t="str">
        <f>IFERROR(__xludf.DUMMYFUNCTION("IF(OR(regexmatch(A1706,"".*@simon.es$""),REGEXMATCH(A1706,"".*@simon.pt$""),REGEXMATCH(A1706,"".*@simonelectrica.com$""),REGEXMATCH(A1706,"".*@hiberus.com$""),REGEXMATCH(A1706,"".*@simonbrico.es$""),regexmatch(A1706,"".*@simonelectric.com$"")),""null"",A1"&amp;"706)"),"1394@gmail.com")</f>
        <v>1394@gmail.com</v>
      </c>
      <c r="C1706" s="5">
        <f>IF(B1706="null","null",Descargas!B1706)</f>
        <v>43950</v>
      </c>
      <c r="D1706" s="6" t="str">
        <f>Descargas!E1706</f>
        <v>https://resources.simonelectric.com/simon-catalogo-vehiculo-electrico</v>
      </c>
      <c r="E1706" s="20" t="str">
        <f t="shared" si="1"/>
        <v>1394@gmail.com</v>
      </c>
      <c r="F1706" s="21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</row>
    <row r="1707" ht="15.75" customHeight="1">
      <c r="A1707" s="18" t="str">
        <f>Descargas!A1707</f>
        <v>1395@cenorma.com</v>
      </c>
      <c r="B1707" s="19" t="str">
        <f>IFERROR(__xludf.DUMMYFUNCTION("IF(OR(regexmatch(A1707,"".*@simon.es$""),REGEXMATCH(A1707,"".*@simon.pt$""),REGEXMATCH(A1707,"".*@simonelectrica.com$""),REGEXMATCH(A1707,"".*@hiberus.com$""),REGEXMATCH(A1707,"".*@simonbrico.es$""),regexmatch(A1707,"".*@simonelectric.com$"")),""null"",A1"&amp;"707)"),"1395@cenorma.com")</f>
        <v>1395@cenorma.com</v>
      </c>
      <c r="C1707" s="5">
        <f>IF(B1707="null","null",Descargas!B1707)</f>
        <v>43950</v>
      </c>
      <c r="D1707" s="6" t="str">
        <f>Descargas!E1707</f>
        <v>https://resources.simonelectric.com/simon-catalogo-vehiculo-electrico</v>
      </c>
      <c r="E1707" s="20" t="str">
        <f t="shared" si="1"/>
        <v>1395@cenorma.com</v>
      </c>
      <c r="F1707" s="21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</row>
    <row r="1708" ht="15.75" customHeight="1">
      <c r="A1708" s="18" t="str">
        <f>Descargas!A1708</f>
        <v>1016@coitt.es</v>
      </c>
      <c r="B1708" s="19" t="str">
        <f>IFERROR(__xludf.DUMMYFUNCTION("IF(OR(regexmatch(A1708,"".*@simon.es$""),REGEXMATCH(A1708,"".*@simon.pt$""),REGEXMATCH(A1708,"".*@simonelectrica.com$""),REGEXMATCH(A1708,"".*@hiberus.com$""),REGEXMATCH(A1708,"".*@simonbrico.es$""),regexmatch(A1708,"".*@simonelectric.com$"")),""null"",A1"&amp;"708)"),"1016@coitt.es")</f>
        <v>1016@coitt.es</v>
      </c>
      <c r="C1708" s="5">
        <f>IF(B1708="null","null",Descargas!B1708)</f>
        <v>43950</v>
      </c>
      <c r="D1708" s="6" t="str">
        <f>Descargas!E1708</f>
        <v>https://resources.simonelectric.com/simon-catalogo-vehiculo-electrico</v>
      </c>
      <c r="E1708" s="20" t="str">
        <f t="shared" si="1"/>
        <v>1016@coitt.es</v>
      </c>
      <c r="F1708" s="21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</row>
    <row r="1709" ht="15.75" customHeight="1">
      <c r="A1709" s="18" t="str">
        <f>Descargas!A1709</f>
        <v>1396@telefonica.net</v>
      </c>
      <c r="B1709" s="19" t="str">
        <f>IFERROR(__xludf.DUMMYFUNCTION("IF(OR(regexmatch(A1709,"".*@simon.es$""),REGEXMATCH(A1709,"".*@simon.pt$""),REGEXMATCH(A1709,"".*@simonelectrica.com$""),REGEXMATCH(A1709,"".*@hiberus.com$""),REGEXMATCH(A1709,"".*@simonbrico.es$""),regexmatch(A1709,"".*@simonelectric.com$"")),""null"",A1"&amp;"709)"),"1396@telefonica.net")</f>
        <v>1396@telefonica.net</v>
      </c>
      <c r="C1709" s="5">
        <f>IF(B1709="null","null",Descargas!B1709)</f>
        <v>43950</v>
      </c>
      <c r="D1709" s="6" t="str">
        <f>Descargas!E1709</f>
        <v>https://resources.simonelectric.com/simon-catalogo-vehiculo-electrico</v>
      </c>
      <c r="E1709" s="20" t="str">
        <f t="shared" si="1"/>
        <v>1396@telefonica.net</v>
      </c>
      <c r="F1709" s="21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</row>
    <row r="1710" ht="15.75" customHeight="1">
      <c r="A1710" s="18" t="str">
        <f>Descargas!A1710</f>
        <v>1397@olibayas.net</v>
      </c>
      <c r="B1710" s="19" t="str">
        <f>IFERROR(__xludf.DUMMYFUNCTION("IF(OR(regexmatch(A1710,"".*@simon.es$""),REGEXMATCH(A1710,"".*@simon.pt$""),REGEXMATCH(A1710,"".*@simonelectrica.com$""),REGEXMATCH(A1710,"".*@hiberus.com$""),REGEXMATCH(A1710,"".*@simonbrico.es$""),regexmatch(A1710,"".*@simonelectric.com$"")),""null"",A1"&amp;"710)"),"1397@olibayas.net")</f>
        <v>1397@olibayas.net</v>
      </c>
      <c r="C1710" s="5">
        <f>IF(B1710="null","null",Descargas!B1710)</f>
        <v>43950</v>
      </c>
      <c r="D1710" s="6" t="str">
        <f>Descargas!E1710</f>
        <v>https://resources.simonelectric.com/simon-catalogo-vehiculo-electrico</v>
      </c>
      <c r="E1710" s="20" t="str">
        <f t="shared" si="1"/>
        <v>1397@olibayas.net</v>
      </c>
      <c r="F1710" s="21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</row>
    <row r="1711" ht="15.75" customHeight="1">
      <c r="A1711" s="18" t="str">
        <f>Descargas!A1711</f>
        <v>1398@teclisa.com</v>
      </c>
      <c r="B1711" s="19" t="str">
        <f>IFERROR(__xludf.DUMMYFUNCTION("IF(OR(regexmatch(A1711,"".*@simon.es$""),REGEXMATCH(A1711,"".*@simon.pt$""),REGEXMATCH(A1711,"".*@simonelectrica.com$""),REGEXMATCH(A1711,"".*@hiberus.com$""),REGEXMATCH(A1711,"".*@simonbrico.es$""),regexmatch(A1711,"".*@simonelectric.com$"")),""null"",A1"&amp;"711)"),"1398@teclisa.com")</f>
        <v>1398@teclisa.com</v>
      </c>
      <c r="C1711" s="5">
        <f>IF(B1711="null","null",Descargas!B1711)</f>
        <v>43950</v>
      </c>
      <c r="D1711" s="6" t="str">
        <f>Descargas!E1711</f>
        <v>https://resources.simonelectric.com/simon-catalogo-vehiculo-electrico</v>
      </c>
      <c r="E1711" s="20" t="str">
        <f t="shared" si="1"/>
        <v>1398@teclisa.com</v>
      </c>
      <c r="F1711" s="21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</row>
    <row r="1712" ht="15.75" customHeight="1">
      <c r="A1712" s="18" t="str">
        <f>Descargas!A1712</f>
        <v>1399@gmail.com</v>
      </c>
      <c r="B1712" s="19" t="str">
        <f>IFERROR(__xludf.DUMMYFUNCTION("IF(OR(regexmatch(A1712,"".*@simon.es$""),REGEXMATCH(A1712,"".*@simon.pt$""),REGEXMATCH(A1712,"".*@simonelectrica.com$""),REGEXMATCH(A1712,"".*@hiberus.com$""),REGEXMATCH(A1712,"".*@simonbrico.es$""),regexmatch(A1712,"".*@simonelectric.com$"")),""null"",A1"&amp;"712)"),"1399@gmail.com")</f>
        <v>1399@gmail.com</v>
      </c>
      <c r="C1712" s="5">
        <f>IF(B1712="null","null",Descargas!B1712)</f>
        <v>43950</v>
      </c>
      <c r="D1712" s="6" t="str">
        <f>Descargas!E1712</f>
        <v>https://resources.simonelectric.com/simon-catalogo-vehiculo-electrico</v>
      </c>
      <c r="E1712" s="20" t="str">
        <f t="shared" si="1"/>
        <v>1399@gmail.com</v>
      </c>
      <c r="F1712" s="21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</row>
    <row r="1713" ht="15.75" customHeight="1">
      <c r="A1713" s="18" t="str">
        <f>Descargas!A1713</f>
        <v>1400@apeh.org</v>
      </c>
      <c r="B1713" s="19" t="str">
        <f>IFERROR(__xludf.DUMMYFUNCTION("IF(OR(regexmatch(A1713,"".*@simon.es$""),REGEXMATCH(A1713,"".*@simon.pt$""),REGEXMATCH(A1713,"".*@simonelectrica.com$""),REGEXMATCH(A1713,"".*@hiberus.com$""),REGEXMATCH(A1713,"".*@simonbrico.es$""),regexmatch(A1713,"".*@simonelectric.com$"")),""null"",A1"&amp;"713)"),"1400@apeh.org")</f>
        <v>1400@apeh.org</v>
      </c>
      <c r="C1713" s="5">
        <f>IF(B1713="null","null",Descargas!B1713)</f>
        <v>43950</v>
      </c>
      <c r="D1713" s="6" t="str">
        <f>Descargas!E1713</f>
        <v>https://resources.simonelectric.com/simon-catalogo-vehiculo-electrico</v>
      </c>
      <c r="E1713" s="20" t="str">
        <f t="shared" si="1"/>
        <v>1400@apeh.org</v>
      </c>
      <c r="F1713" s="21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</row>
    <row r="1714" ht="15.75" customHeight="1">
      <c r="A1714" s="18" t="str">
        <f>Descargas!A1714</f>
        <v>1401@auditenergia.com</v>
      </c>
      <c r="B1714" s="19" t="str">
        <f>IFERROR(__xludf.DUMMYFUNCTION("IF(OR(regexmatch(A1714,"".*@simon.es$""),REGEXMATCH(A1714,"".*@simon.pt$""),REGEXMATCH(A1714,"".*@simonelectrica.com$""),REGEXMATCH(A1714,"".*@hiberus.com$""),REGEXMATCH(A1714,"".*@simonbrico.es$""),regexmatch(A1714,"".*@simonelectric.com$"")),""null"",A1"&amp;"714)"),"1401@auditenergia.com")</f>
        <v>1401@auditenergia.com</v>
      </c>
      <c r="C1714" s="5">
        <f>IF(B1714="null","null",Descargas!B1714)</f>
        <v>43950</v>
      </c>
      <c r="D1714" s="6" t="str">
        <f>Descargas!E1714</f>
        <v>https://resources.simonelectric.com/simon-catalogo-vehiculo-electrico</v>
      </c>
      <c r="E1714" s="20" t="str">
        <f t="shared" si="1"/>
        <v>1401@auditenergia.com</v>
      </c>
      <c r="F1714" s="21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</row>
    <row r="1715" ht="15.75" customHeight="1">
      <c r="A1715" s="18" t="str">
        <f>Descargas!A1715</f>
        <v>1402@gmail.com</v>
      </c>
      <c r="B1715" s="19" t="str">
        <f>IFERROR(__xludf.DUMMYFUNCTION("IF(OR(regexmatch(A1715,"".*@simon.es$""),REGEXMATCH(A1715,"".*@simon.pt$""),REGEXMATCH(A1715,"".*@simonelectrica.com$""),REGEXMATCH(A1715,"".*@hiberus.com$""),REGEXMATCH(A1715,"".*@simonbrico.es$""),regexmatch(A1715,"".*@simonelectric.com$"")),""null"",A1"&amp;"715)"),"1402@gmail.com")</f>
        <v>1402@gmail.com</v>
      </c>
      <c r="C1715" s="5">
        <f>IF(B1715="null","null",Descargas!B1715)</f>
        <v>43950</v>
      </c>
      <c r="D1715" s="6" t="str">
        <f>Descargas!E1715</f>
        <v>https://resources.simonelectric.com/simon-catalogo-vehiculo-electrico</v>
      </c>
      <c r="E1715" s="20" t="str">
        <f t="shared" si="1"/>
        <v>1402@gmail.com</v>
      </c>
      <c r="F1715" s="21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</row>
    <row r="1716" ht="15.75" customHeight="1">
      <c r="A1716" s="18" t="str">
        <f>Descargas!A1716</f>
        <v>1403@grupoelectrostocks.com</v>
      </c>
      <c r="B1716" s="19" t="str">
        <f>IFERROR(__xludf.DUMMYFUNCTION("IF(OR(regexmatch(A1716,"".*@simon.es$""),REGEXMATCH(A1716,"".*@simon.pt$""),REGEXMATCH(A1716,"".*@simonelectrica.com$""),REGEXMATCH(A1716,"".*@hiberus.com$""),REGEXMATCH(A1716,"".*@simonbrico.es$""),regexmatch(A1716,"".*@simonelectric.com$"")),""null"",A1"&amp;"716)"),"1403@grupoelectrostocks.com")</f>
        <v>1403@grupoelectrostocks.com</v>
      </c>
      <c r="C1716" s="5">
        <f>IF(B1716="null","null",Descargas!B1716)</f>
        <v>43950</v>
      </c>
      <c r="D1716" s="6" t="str">
        <f>Descargas!E1716</f>
        <v>https://resources.simonelectric.com/simon-catalogo-vehiculo-electrico</v>
      </c>
      <c r="E1716" s="20" t="str">
        <f t="shared" si="1"/>
        <v>1403@grupoelectrostocks.com</v>
      </c>
      <c r="F1716" s="21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</row>
    <row r="1717" ht="15.75" customHeight="1">
      <c r="A1717" s="18" t="str">
        <f>Descargas!A1717</f>
        <v>1404@eurocabos.es</v>
      </c>
      <c r="B1717" s="19" t="str">
        <f>IFERROR(__xludf.DUMMYFUNCTION("IF(OR(regexmatch(A1717,"".*@simon.es$""),REGEXMATCH(A1717,"".*@simon.pt$""),REGEXMATCH(A1717,"".*@simonelectrica.com$""),REGEXMATCH(A1717,"".*@hiberus.com$""),REGEXMATCH(A1717,"".*@simonbrico.es$""),regexmatch(A1717,"".*@simonelectric.com$"")),""null"",A1"&amp;"717)"),"1404@eurocabos.es")</f>
        <v>1404@eurocabos.es</v>
      </c>
      <c r="C1717" s="5">
        <f>IF(B1717="null","null",Descargas!B1717)</f>
        <v>43950</v>
      </c>
      <c r="D1717" s="6" t="str">
        <f>Descargas!E1717</f>
        <v>https://resources.simonelectric.com/simon-catalogo-vehiculo-electrico</v>
      </c>
      <c r="E1717" s="20" t="str">
        <f t="shared" si="1"/>
        <v>1404@eurocabos.es</v>
      </c>
      <c r="F1717" s="21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</row>
    <row r="1718" ht="15.75" customHeight="1">
      <c r="A1718" s="18" t="str">
        <f>Descargas!A1718</f>
        <v>1405@arreglosoluciones.com</v>
      </c>
      <c r="B1718" s="19" t="str">
        <f>IFERROR(__xludf.DUMMYFUNCTION("IF(OR(regexmatch(A1718,"".*@simon.es$""),REGEXMATCH(A1718,"".*@simon.pt$""),REGEXMATCH(A1718,"".*@simonelectrica.com$""),REGEXMATCH(A1718,"".*@hiberus.com$""),REGEXMATCH(A1718,"".*@simonbrico.es$""),regexmatch(A1718,"".*@simonelectric.com$"")),""null"",A1"&amp;"718)"),"1405@arreglosoluciones.com")</f>
        <v>1405@arreglosoluciones.com</v>
      </c>
      <c r="C1718" s="5">
        <f>IF(B1718="null","null",Descargas!B1718)</f>
        <v>43950</v>
      </c>
      <c r="D1718" s="6" t="str">
        <f>Descargas!E1718</f>
        <v>https://resources.simonelectric.com/simon-catalogo-vehiculo-electrico</v>
      </c>
      <c r="E1718" s="20" t="str">
        <f t="shared" si="1"/>
        <v>1405@arreglosoluciones.com</v>
      </c>
      <c r="F1718" s="21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</row>
    <row r="1719" ht="15.75" customHeight="1">
      <c r="A1719" s="18" t="str">
        <f>Descargas!A1719</f>
        <v>1406@gmail.com</v>
      </c>
      <c r="B1719" s="19" t="str">
        <f>IFERROR(__xludf.DUMMYFUNCTION("IF(OR(regexmatch(A1719,"".*@simon.es$""),REGEXMATCH(A1719,"".*@simon.pt$""),REGEXMATCH(A1719,"".*@simonelectrica.com$""),REGEXMATCH(A1719,"".*@hiberus.com$""),REGEXMATCH(A1719,"".*@simonbrico.es$""),regexmatch(A1719,"".*@simonelectric.com$"")),""null"",A1"&amp;"719)"),"1406@gmail.com")</f>
        <v>1406@gmail.com</v>
      </c>
      <c r="C1719" s="5">
        <f>IF(B1719="null","null",Descargas!B1719)</f>
        <v>43950</v>
      </c>
      <c r="D1719" s="6" t="str">
        <f>Descargas!E1719</f>
        <v>https://resources.simonelectric.com/simon-catalogo-vehiculo-electrico</v>
      </c>
      <c r="E1719" s="20" t="str">
        <f t="shared" si="1"/>
        <v>1406@gmail.com</v>
      </c>
      <c r="F1719" s="21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</row>
    <row r="1720" ht="15.75" customHeight="1">
      <c r="A1720" s="18" t="str">
        <f>Descargas!A1720</f>
        <v>1407@gmail.com</v>
      </c>
      <c r="B1720" s="19" t="str">
        <f>IFERROR(__xludf.DUMMYFUNCTION("IF(OR(regexmatch(A1720,"".*@simon.es$""),REGEXMATCH(A1720,"".*@simon.pt$""),REGEXMATCH(A1720,"".*@simonelectrica.com$""),REGEXMATCH(A1720,"".*@hiberus.com$""),REGEXMATCH(A1720,"".*@simonbrico.es$""),regexmatch(A1720,"".*@simonelectric.com$"")),""null"",A1"&amp;"720)"),"1407@gmail.com")</f>
        <v>1407@gmail.com</v>
      </c>
      <c r="C1720" s="5">
        <f>IF(B1720="null","null",Descargas!B1720)</f>
        <v>43950</v>
      </c>
      <c r="D1720" s="6" t="str">
        <f>Descargas!E1720</f>
        <v>https://resources.simonelectric.com/simon-catalogo-vehiculo-electrico</v>
      </c>
      <c r="E1720" s="20" t="str">
        <f t="shared" si="1"/>
        <v>1407@gmail.com</v>
      </c>
      <c r="F1720" s="21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</row>
    <row r="1721" ht="15.75" customHeight="1">
      <c r="A1721" s="18" t="str">
        <f>Descargas!A1721</f>
        <v>1408@cepsa.com</v>
      </c>
      <c r="B1721" s="19" t="str">
        <f>IFERROR(__xludf.DUMMYFUNCTION("IF(OR(regexmatch(A1721,"".*@simon.es$""),REGEXMATCH(A1721,"".*@simon.pt$""),REGEXMATCH(A1721,"".*@simonelectrica.com$""),REGEXMATCH(A1721,"".*@hiberus.com$""),REGEXMATCH(A1721,"".*@simonbrico.es$""),regexmatch(A1721,"".*@simonelectric.com$"")),""null"",A1"&amp;"721)"),"1408@cepsa.com")</f>
        <v>1408@cepsa.com</v>
      </c>
      <c r="C1721" s="5">
        <f>IF(B1721="null","null",Descargas!B1721)</f>
        <v>43950</v>
      </c>
      <c r="D1721" s="6" t="str">
        <f>Descargas!E1721</f>
        <v>https://resources.simonelectric.com/simon-catalogo-vehiculo-electrico</v>
      </c>
      <c r="E1721" s="20" t="str">
        <f t="shared" si="1"/>
        <v>1408@cepsa.com</v>
      </c>
      <c r="F1721" s="21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</row>
    <row r="1722" ht="15.75" customHeight="1">
      <c r="A1722" s="18" t="str">
        <f>Descargas!A1722</f>
        <v>1409@simon.es</v>
      </c>
      <c r="B1722" s="19" t="str">
        <f>IFERROR(__xludf.DUMMYFUNCTION("IF(OR(regexmatch(A1722,"".*@simon.es$""),REGEXMATCH(A1722,"".*@simon.pt$""),REGEXMATCH(A1722,"".*@simonelectrica.com$""),REGEXMATCH(A1722,"".*@hiberus.com$""),REGEXMATCH(A1722,"".*@simonbrico.es$""),regexmatch(A1722,"".*@simonelectric.com$"")),""null"",A1"&amp;"722)"),"null")</f>
        <v>null</v>
      </c>
      <c r="C1722" s="5" t="str">
        <f>IF(B1722="null","null",Descargas!B1722)</f>
        <v>null</v>
      </c>
      <c r="D1722" s="6" t="str">
        <f>Descargas!E1722</f>
        <v>https://resources.simonelectric.com/simon-catalogo-vehiculo-electrico</v>
      </c>
      <c r="E1722" s="24" t="str">
        <f t="shared" si="1"/>
        <v/>
      </c>
      <c r="F1722" s="21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</row>
    <row r="1723" ht="15.75" customHeight="1">
      <c r="A1723" s="18" t="str">
        <f>Descargas!A1723</f>
        <v>1410@elecnor.es</v>
      </c>
      <c r="B1723" s="19" t="str">
        <f>IFERROR(__xludf.DUMMYFUNCTION("IF(OR(regexmatch(A1723,"".*@simon.es$""),REGEXMATCH(A1723,"".*@simon.pt$""),REGEXMATCH(A1723,"".*@simonelectrica.com$""),REGEXMATCH(A1723,"".*@hiberus.com$""),REGEXMATCH(A1723,"".*@simonbrico.es$""),regexmatch(A1723,"".*@simonelectric.com$"")),""null"",A1"&amp;"723)"),"1410@elecnor.es")</f>
        <v>1410@elecnor.es</v>
      </c>
      <c r="C1723" s="5">
        <f>IF(B1723="null","null",Descargas!B1723)</f>
        <v>43950</v>
      </c>
      <c r="D1723" s="6" t="str">
        <f>Descargas!E1723</f>
        <v>https://resources.simonelectric.com/simon-catalogo-vehiculo-electrico</v>
      </c>
      <c r="E1723" s="20" t="str">
        <f t="shared" si="1"/>
        <v>1410@elecnor.es</v>
      </c>
      <c r="F1723" s="21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</row>
    <row r="1724" ht="15.75" customHeight="1">
      <c r="A1724" s="18" t="str">
        <f>Descargas!A1724</f>
        <v>1411@ujaen.es</v>
      </c>
      <c r="B1724" s="19" t="str">
        <f>IFERROR(__xludf.DUMMYFUNCTION("IF(OR(regexmatch(A1724,"".*@simon.es$""),REGEXMATCH(A1724,"".*@simon.pt$""),REGEXMATCH(A1724,"".*@simonelectrica.com$""),REGEXMATCH(A1724,"".*@hiberus.com$""),REGEXMATCH(A1724,"".*@simonbrico.es$""),regexmatch(A1724,"".*@simonelectric.com$"")),""null"",A1"&amp;"724)"),"1411@ujaen.es")</f>
        <v>1411@ujaen.es</v>
      </c>
      <c r="C1724" s="5">
        <f>IF(B1724="null","null",Descargas!B1724)</f>
        <v>43950</v>
      </c>
      <c r="D1724" s="6" t="str">
        <f>Descargas!E1724</f>
        <v>https://resources.simonelectric.com/simon-catalogo-vehiculo-electrico</v>
      </c>
      <c r="E1724" s="20" t="str">
        <f t="shared" si="1"/>
        <v>1411@ujaen.es</v>
      </c>
      <c r="F1724" s="21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</row>
    <row r="1725" ht="15.75" customHeight="1">
      <c r="A1725" s="18" t="str">
        <f>Descargas!A1725</f>
        <v>537@sonneingenieria.com</v>
      </c>
      <c r="B1725" s="19" t="str">
        <f>IFERROR(__xludf.DUMMYFUNCTION("IF(OR(regexmatch(A1725,"".*@simon.es$""),REGEXMATCH(A1725,"".*@simon.pt$""),REGEXMATCH(A1725,"".*@simonelectrica.com$""),REGEXMATCH(A1725,"".*@hiberus.com$""),REGEXMATCH(A1725,"".*@simonbrico.es$""),regexmatch(A1725,"".*@simonelectric.com$"")),""null"",A1"&amp;"725)"),"537@sonneingenieria.com")</f>
        <v>537@sonneingenieria.com</v>
      </c>
      <c r="C1725" s="5">
        <f>IF(B1725="null","null",Descargas!B1725)</f>
        <v>43950</v>
      </c>
      <c r="D1725" s="6" t="str">
        <f>Descargas!E1725</f>
        <v>https://resources.simonelectric.com/simon-catalogo-vehiculo-electrico</v>
      </c>
      <c r="E1725" s="20" t="str">
        <f t="shared" si="1"/>
        <v>537@sonneingenieria.com</v>
      </c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</row>
    <row r="1726" ht="15.75" customHeight="1">
      <c r="A1726" s="18" t="str">
        <f>Descargas!A1726</f>
        <v>1412@electryser.com</v>
      </c>
      <c r="B1726" s="19" t="str">
        <f>IFERROR(__xludf.DUMMYFUNCTION("IF(OR(regexmatch(A1726,"".*@simon.es$""),REGEXMATCH(A1726,"".*@simon.pt$""),REGEXMATCH(A1726,"".*@simonelectrica.com$""),REGEXMATCH(A1726,"".*@hiberus.com$""),REGEXMATCH(A1726,"".*@simonbrico.es$""),regexmatch(A1726,"".*@simonelectric.com$"")),""null"",A1"&amp;"726)"),"1412@electryser.com")</f>
        <v>1412@electryser.com</v>
      </c>
      <c r="C1726" s="5">
        <f>IF(B1726="null","null",Descargas!B1726)</f>
        <v>43950</v>
      </c>
      <c r="D1726" s="6" t="str">
        <f>Descargas!E1726</f>
        <v>https://resources.simonelectric.com/simon-catalogo-vehiculo-electrico</v>
      </c>
      <c r="E1726" s="20" t="str">
        <f t="shared" si="1"/>
        <v>1412@electryser.com</v>
      </c>
      <c r="F1726" s="21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</row>
    <row r="1727" ht="15.75" customHeight="1">
      <c r="A1727" s="18" t="str">
        <f>Descargas!A1727</f>
        <v>1413@gmail.com</v>
      </c>
      <c r="B1727" s="19" t="str">
        <f>IFERROR(__xludf.DUMMYFUNCTION("IF(OR(regexmatch(A1727,"".*@simon.es$""),REGEXMATCH(A1727,"".*@simon.pt$""),REGEXMATCH(A1727,"".*@simonelectrica.com$""),REGEXMATCH(A1727,"".*@hiberus.com$""),REGEXMATCH(A1727,"".*@simonbrico.es$""),regexmatch(A1727,"".*@simonelectric.com$"")),""null"",A1"&amp;"727)"),"1413@gmail.com")</f>
        <v>1413@gmail.com</v>
      </c>
      <c r="C1727" s="5">
        <f>IF(B1727="null","null",Descargas!B1727)</f>
        <v>43950</v>
      </c>
      <c r="D1727" s="6" t="str">
        <f>Descargas!E1727</f>
        <v>https://resources.simonelectric.com/simon-catalogo-vehiculo-electrico</v>
      </c>
      <c r="E1727" s="20" t="str">
        <f t="shared" si="1"/>
        <v>1413@gmail.com</v>
      </c>
      <c r="F1727" s="21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</row>
    <row r="1728" ht="15.75" customHeight="1">
      <c r="A1728" s="18" t="str">
        <f>Descargas!A1728</f>
        <v>590@hotmail.com</v>
      </c>
      <c r="B1728" s="19" t="str">
        <f>IFERROR(__xludf.DUMMYFUNCTION("IF(OR(regexmatch(A1728,"".*@simon.es$""),REGEXMATCH(A1728,"".*@simon.pt$""),REGEXMATCH(A1728,"".*@simonelectrica.com$""),REGEXMATCH(A1728,"".*@hiberus.com$""),REGEXMATCH(A1728,"".*@simonbrico.es$""),regexmatch(A1728,"".*@simonelectric.com$"")),""null"",A1"&amp;"728)"),"590@hotmail.com")</f>
        <v>590@hotmail.com</v>
      </c>
      <c r="C1728" s="5">
        <f>IF(B1728="null","null",Descargas!B1728)</f>
        <v>43950</v>
      </c>
      <c r="D1728" s="6" t="str">
        <f>Descargas!E1728</f>
        <v>https://resources.simonelectric.com/simon-catalogo-vehiculo-electrico</v>
      </c>
      <c r="E1728" s="20" t="str">
        <f t="shared" si="1"/>
        <v>590@hotmail.com</v>
      </c>
      <c r="F1728" s="21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</row>
    <row r="1729" ht="15.75" customHeight="1">
      <c r="A1729" s="18" t="str">
        <f>Descargas!A1729</f>
        <v>633@outlook.com</v>
      </c>
      <c r="B1729" s="19" t="str">
        <f>IFERROR(__xludf.DUMMYFUNCTION("IF(OR(regexmatch(A1729,"".*@simon.es$""),REGEXMATCH(A1729,"".*@simon.pt$""),REGEXMATCH(A1729,"".*@simonelectrica.com$""),REGEXMATCH(A1729,"".*@hiberus.com$""),REGEXMATCH(A1729,"".*@simonbrico.es$""),regexmatch(A1729,"".*@simonelectric.com$"")),""null"",A1"&amp;"729)"),"633@outlook.com")</f>
        <v>633@outlook.com</v>
      </c>
      <c r="C1729" s="5">
        <f>IF(B1729="null","null",Descargas!B1729)</f>
        <v>43950</v>
      </c>
      <c r="D1729" s="6" t="str">
        <f>Descargas!E1729</f>
        <v>https://resources.simonelectric.com/simon-catalogo-vehiculo-electrico</v>
      </c>
      <c r="E1729" s="20" t="str">
        <f t="shared" si="1"/>
        <v>633@outlook.com</v>
      </c>
      <c r="F1729" s="21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</row>
    <row r="1730" ht="15.75" customHeight="1">
      <c r="A1730" s="18" t="str">
        <f>Descargas!A1730</f>
        <v>1414@gmail.com</v>
      </c>
      <c r="B1730" s="19" t="str">
        <f>IFERROR(__xludf.DUMMYFUNCTION("IF(OR(regexmatch(A1730,"".*@simon.es$""),REGEXMATCH(A1730,"".*@simon.pt$""),REGEXMATCH(A1730,"".*@simonelectrica.com$""),REGEXMATCH(A1730,"".*@hiberus.com$""),REGEXMATCH(A1730,"".*@simonbrico.es$""),regexmatch(A1730,"".*@simonelectric.com$"")),""null"",A1"&amp;"730)"),"1414@gmail.com")</f>
        <v>1414@gmail.com</v>
      </c>
      <c r="C1730" s="5">
        <f>IF(B1730="null","null",Descargas!B1730)</f>
        <v>43950</v>
      </c>
      <c r="D1730" s="6" t="str">
        <f>Descargas!E1730</f>
        <v>https://resources.simonelectric.com/simon-catalogo-vehiculo-electrico</v>
      </c>
      <c r="E1730" s="20" t="str">
        <f t="shared" si="1"/>
        <v>1414@gmail.com</v>
      </c>
      <c r="F1730" s="21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</row>
    <row r="1731" ht="15.75" customHeight="1">
      <c r="A1731" s="18" t="str">
        <f>Descargas!A1731</f>
        <v>1415@coytesa.com</v>
      </c>
      <c r="B1731" s="19" t="str">
        <f>IFERROR(__xludf.DUMMYFUNCTION("IF(OR(regexmatch(A1731,"".*@simon.es$""),REGEXMATCH(A1731,"".*@simon.pt$""),REGEXMATCH(A1731,"".*@simonelectrica.com$""),REGEXMATCH(A1731,"".*@hiberus.com$""),REGEXMATCH(A1731,"".*@simonbrico.es$""),regexmatch(A1731,"".*@simonelectric.com$"")),""null"",A1"&amp;"731)"),"1415@coytesa.com")</f>
        <v>1415@coytesa.com</v>
      </c>
      <c r="C1731" s="5">
        <f>IF(B1731="null","null",Descargas!B1731)</f>
        <v>43950</v>
      </c>
      <c r="D1731" s="6" t="str">
        <f>Descargas!E1731</f>
        <v>https://resources.simonelectric.com/simon-catalogo-vehiculo-electrico</v>
      </c>
      <c r="E1731" s="20" t="str">
        <f t="shared" si="1"/>
        <v>1415@coytesa.com</v>
      </c>
      <c r="F1731" s="21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</row>
    <row r="1732" ht="15.75" customHeight="1">
      <c r="A1732" s="18" t="str">
        <f>Descargas!A1732</f>
        <v>1416@edifesa.com</v>
      </c>
      <c r="B1732" s="19" t="str">
        <f>IFERROR(__xludf.DUMMYFUNCTION("IF(OR(regexmatch(A1732,"".*@simon.es$""),REGEXMATCH(A1732,"".*@simon.pt$""),REGEXMATCH(A1732,"".*@simonelectrica.com$""),REGEXMATCH(A1732,"".*@hiberus.com$""),REGEXMATCH(A1732,"".*@simonbrico.es$""),regexmatch(A1732,"".*@simonelectric.com$"")),""null"",A1"&amp;"732)"),"1416@edifesa.com")</f>
        <v>1416@edifesa.com</v>
      </c>
      <c r="C1732" s="5">
        <f>IF(B1732="null","null",Descargas!B1732)</f>
        <v>43950</v>
      </c>
      <c r="D1732" s="6" t="str">
        <f>Descargas!E1732</f>
        <v>https://resources.simonelectric.com/simon-catalogo-vehiculo-electrico</v>
      </c>
      <c r="E1732" s="20" t="str">
        <f t="shared" si="1"/>
        <v>1416@edifesa.com</v>
      </c>
      <c r="F1732" s="21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</row>
    <row r="1733" ht="15.75" customHeight="1">
      <c r="A1733" s="18" t="str">
        <f>Descargas!A1733</f>
        <v>1417@gmail.com</v>
      </c>
      <c r="B1733" s="19" t="str">
        <f>IFERROR(__xludf.DUMMYFUNCTION("IF(OR(regexmatch(A1733,"".*@simon.es$""),REGEXMATCH(A1733,"".*@simon.pt$""),REGEXMATCH(A1733,"".*@simonelectrica.com$""),REGEXMATCH(A1733,"".*@hiberus.com$""),REGEXMATCH(A1733,"".*@simonbrico.es$""),regexmatch(A1733,"".*@simonelectric.com$"")),""null"",A1"&amp;"733)"),"1417@gmail.com")</f>
        <v>1417@gmail.com</v>
      </c>
      <c r="C1733" s="5">
        <f>IF(B1733="null","null",Descargas!B1733)</f>
        <v>43950</v>
      </c>
      <c r="D1733" s="6" t="str">
        <f>Descargas!E1733</f>
        <v>https://resources.simonelectric.com/simon-catalogo-vehiculo-electrico</v>
      </c>
      <c r="E1733" s="20" t="str">
        <f t="shared" si="1"/>
        <v>1417@gmail.com</v>
      </c>
      <c r="F1733" s="21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</row>
    <row r="1734" ht="15.75" customHeight="1">
      <c r="A1734" s="18" t="str">
        <f>Descargas!A1734</f>
        <v>1418@gmail.com</v>
      </c>
      <c r="B1734" s="19" t="str">
        <f>IFERROR(__xludf.DUMMYFUNCTION("IF(OR(regexmatch(A1734,"".*@simon.es$""),REGEXMATCH(A1734,"".*@simon.pt$""),REGEXMATCH(A1734,"".*@simonelectrica.com$""),REGEXMATCH(A1734,"".*@hiberus.com$""),REGEXMATCH(A1734,"".*@simonbrico.es$""),regexmatch(A1734,"".*@simonelectric.com$"")),""null"",A1"&amp;"734)"),"1418@gmail.com")</f>
        <v>1418@gmail.com</v>
      </c>
      <c r="C1734" s="5">
        <f>IF(B1734="null","null",Descargas!B1734)</f>
        <v>43950</v>
      </c>
      <c r="D1734" s="6" t="str">
        <f>Descargas!E1734</f>
        <v>https://resources.simonelectric.com/simon-catalogo-vehiculo-electrico</v>
      </c>
      <c r="E1734" s="20" t="str">
        <f t="shared" si="1"/>
        <v>1418@gmail.com</v>
      </c>
      <c r="F1734" s="21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</row>
    <row r="1735" ht="15.75" customHeight="1">
      <c r="A1735" s="18" t="str">
        <f>Descargas!A1735</f>
        <v>1419@gmail.com</v>
      </c>
      <c r="B1735" s="19" t="str">
        <f>IFERROR(__xludf.DUMMYFUNCTION("IF(OR(regexmatch(A1735,"".*@simon.es$""),REGEXMATCH(A1735,"".*@simon.pt$""),REGEXMATCH(A1735,"".*@simonelectrica.com$""),REGEXMATCH(A1735,"".*@hiberus.com$""),REGEXMATCH(A1735,"".*@simonbrico.es$""),regexmatch(A1735,"".*@simonelectric.com$"")),""null"",A1"&amp;"735)"),"1419@gmail.com")</f>
        <v>1419@gmail.com</v>
      </c>
      <c r="C1735" s="5">
        <f>IF(B1735="null","null",Descargas!B1735)</f>
        <v>43950</v>
      </c>
      <c r="D1735" s="6" t="str">
        <f>Descargas!E1735</f>
        <v>https://resources.simonelectric.com/simon-catalogo-vehiculo-electrico</v>
      </c>
      <c r="E1735" s="20" t="str">
        <f t="shared" si="1"/>
        <v>1419@gmail.com</v>
      </c>
      <c r="F1735" s="21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</row>
    <row r="1736" ht="15.75" customHeight="1">
      <c r="A1736" s="18" t="str">
        <f>Descargas!A1736</f>
        <v>1420@globalelectrica.com</v>
      </c>
      <c r="B1736" s="19" t="str">
        <f>IFERROR(__xludf.DUMMYFUNCTION("IF(OR(regexmatch(A1736,"".*@simon.es$""),REGEXMATCH(A1736,"".*@simon.pt$""),REGEXMATCH(A1736,"".*@simonelectrica.com$""),REGEXMATCH(A1736,"".*@hiberus.com$""),REGEXMATCH(A1736,"".*@simonbrico.es$""),regexmatch(A1736,"".*@simonelectric.com$"")),""null"",A1"&amp;"736)"),"1420@globalelectrica.com")</f>
        <v>1420@globalelectrica.com</v>
      </c>
      <c r="C1736" s="5">
        <f>IF(B1736="null","null",Descargas!B1736)</f>
        <v>43950</v>
      </c>
      <c r="D1736" s="6" t="str">
        <f>Descargas!E1736</f>
        <v>https://resources.simonelectric.com/simon-catalogo-vehiculo-electrico</v>
      </c>
      <c r="E1736" s="20" t="str">
        <f t="shared" si="1"/>
        <v>1420@globalelectrica.com</v>
      </c>
      <c r="F1736" s="21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</row>
    <row r="1737" ht="15.75" customHeight="1">
      <c r="A1737" s="18" t="str">
        <f>Descargas!A1737</f>
        <v>581@gmail.com</v>
      </c>
      <c r="B1737" s="19" t="str">
        <f>IFERROR(__xludf.DUMMYFUNCTION("IF(OR(regexmatch(A1737,"".*@simon.es$""),REGEXMATCH(A1737,"".*@simon.pt$""),REGEXMATCH(A1737,"".*@simonelectrica.com$""),REGEXMATCH(A1737,"".*@hiberus.com$""),REGEXMATCH(A1737,"".*@simonbrico.es$""),regexmatch(A1737,"".*@simonelectric.com$"")),""null"",A1"&amp;"737)"),"581@gmail.com")</f>
        <v>581@gmail.com</v>
      </c>
      <c r="C1737" s="5">
        <f>IF(B1737="null","null",Descargas!B1737)</f>
        <v>43950</v>
      </c>
      <c r="D1737" s="6" t="str">
        <f>Descargas!E1737</f>
        <v>https://resources.simonelectric.com/simon-catalogo-vehiculo-electrico</v>
      </c>
      <c r="E1737" s="20" t="str">
        <f t="shared" si="1"/>
        <v>581@gmail.com</v>
      </c>
      <c r="F1737" s="21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</row>
    <row r="1738" ht="15.75" customHeight="1">
      <c r="A1738" s="18" t="str">
        <f>Descargas!A1738</f>
        <v>1421@itesasl.com</v>
      </c>
      <c r="B1738" s="19" t="str">
        <f>IFERROR(__xludf.DUMMYFUNCTION("IF(OR(regexmatch(A1738,"".*@simon.es$""),REGEXMATCH(A1738,"".*@simon.pt$""),REGEXMATCH(A1738,"".*@simonelectrica.com$""),REGEXMATCH(A1738,"".*@hiberus.com$""),REGEXMATCH(A1738,"".*@simonbrico.es$""),regexmatch(A1738,"".*@simonelectric.com$"")),""null"",A1"&amp;"738)"),"1421@itesasl.com")</f>
        <v>1421@itesasl.com</v>
      </c>
      <c r="C1738" s="5">
        <f>IF(B1738="null","null",Descargas!B1738)</f>
        <v>43950</v>
      </c>
      <c r="D1738" s="6" t="str">
        <f>Descargas!E1738</f>
        <v>https://resources.simonelectric.com/simon-catalogo-vehiculo-electrico</v>
      </c>
      <c r="E1738" s="20" t="str">
        <f t="shared" si="1"/>
        <v>1421@itesasl.com</v>
      </c>
      <c r="F1738" s="21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</row>
    <row r="1739" ht="15.75" customHeight="1">
      <c r="A1739" s="18" t="str">
        <f>Descargas!A1739</f>
        <v>1422@gmail.com</v>
      </c>
      <c r="B1739" s="19" t="str">
        <f>IFERROR(__xludf.DUMMYFUNCTION("IF(OR(regexmatch(A1739,"".*@simon.es$""),REGEXMATCH(A1739,"".*@simon.pt$""),REGEXMATCH(A1739,"".*@simonelectrica.com$""),REGEXMATCH(A1739,"".*@hiberus.com$""),REGEXMATCH(A1739,"".*@simonbrico.es$""),regexmatch(A1739,"".*@simonelectric.com$"")),""null"",A1"&amp;"739)"),"1422@gmail.com")</f>
        <v>1422@gmail.com</v>
      </c>
      <c r="C1739" s="5">
        <f>IF(B1739="null","null",Descargas!B1739)</f>
        <v>43950</v>
      </c>
      <c r="D1739" s="6" t="str">
        <f>Descargas!E1739</f>
        <v>https://resources.simonelectric.com/simon-catalogo-vehiculo-electrico</v>
      </c>
      <c r="E1739" s="20" t="str">
        <f t="shared" si="1"/>
        <v>1422@gmail.com</v>
      </c>
      <c r="F1739" s="21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</row>
    <row r="1740" ht="15.75" customHeight="1">
      <c r="A1740" s="18" t="str">
        <f>Descargas!A1740</f>
        <v>690@dllgroup.com</v>
      </c>
      <c r="B1740" s="19" t="str">
        <f>IFERROR(__xludf.DUMMYFUNCTION("IF(OR(regexmatch(A1740,"".*@simon.es$""),REGEXMATCH(A1740,"".*@simon.pt$""),REGEXMATCH(A1740,"".*@simonelectrica.com$""),REGEXMATCH(A1740,"".*@hiberus.com$""),REGEXMATCH(A1740,"".*@simonbrico.es$""),regexmatch(A1740,"".*@simonelectric.com$"")),""null"",A1"&amp;"740)"),"690@dllgroup.com")</f>
        <v>690@dllgroup.com</v>
      </c>
      <c r="C1740" s="5">
        <f>IF(B1740="null","null",Descargas!B1740)</f>
        <v>43950</v>
      </c>
      <c r="D1740" s="6" t="str">
        <f>Descargas!E1740</f>
        <v>https://resources.simonelectric.com/simon-catalogo-vehiculo-electrico</v>
      </c>
      <c r="E1740" s="20" t="str">
        <f t="shared" si="1"/>
        <v>690@dllgroup.com</v>
      </c>
      <c r="F1740" s="21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</row>
    <row r="1741" ht="15.75" customHeight="1">
      <c r="A1741" s="18" t="str">
        <f>Descargas!A1741</f>
        <v>1423@telefonica.net</v>
      </c>
      <c r="B1741" s="19" t="str">
        <f>IFERROR(__xludf.DUMMYFUNCTION("IF(OR(regexmatch(A1741,"".*@simon.es$""),REGEXMATCH(A1741,"".*@simon.pt$""),REGEXMATCH(A1741,"".*@simonelectrica.com$""),REGEXMATCH(A1741,"".*@hiberus.com$""),REGEXMATCH(A1741,"".*@simonbrico.es$""),regexmatch(A1741,"".*@simonelectric.com$"")),""null"",A1"&amp;"741)"),"1423@telefonica.net")</f>
        <v>1423@telefonica.net</v>
      </c>
      <c r="C1741" s="5">
        <f>IF(B1741="null","null",Descargas!B1741)</f>
        <v>43950</v>
      </c>
      <c r="D1741" s="6" t="str">
        <f>Descargas!E1741</f>
        <v>https://resources.simonelectric.com/simon-catalogo-vehiculo-electrico</v>
      </c>
      <c r="E1741" s="20" t="str">
        <f t="shared" si="1"/>
        <v>1423@telefonica.net</v>
      </c>
      <c r="F1741" s="21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</row>
    <row r="1742" ht="15.75" customHeight="1">
      <c r="A1742" s="18" t="str">
        <f>Descargas!A1742</f>
        <v>1424@gmail.com</v>
      </c>
      <c r="B1742" s="19" t="str">
        <f>IFERROR(__xludf.DUMMYFUNCTION("IF(OR(regexmatch(A1742,"".*@simon.es$""),REGEXMATCH(A1742,"".*@simon.pt$""),REGEXMATCH(A1742,"".*@simonelectrica.com$""),REGEXMATCH(A1742,"".*@hiberus.com$""),REGEXMATCH(A1742,"".*@simonbrico.es$""),regexmatch(A1742,"".*@simonelectric.com$"")),""null"",A1"&amp;"742)"),"1424@gmail.com")</f>
        <v>1424@gmail.com</v>
      </c>
      <c r="C1742" s="5">
        <f>IF(B1742="null","null",Descargas!B1742)</f>
        <v>43950</v>
      </c>
      <c r="D1742" s="6" t="str">
        <f>Descargas!E1742</f>
        <v>https://resources.simonelectric.com/simon-catalogo-vehiculo-electrico</v>
      </c>
      <c r="E1742" s="20" t="str">
        <f t="shared" si="1"/>
        <v>1424@gmail.com</v>
      </c>
      <c r="F1742" s="21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</row>
    <row r="1743" ht="15.75" customHeight="1">
      <c r="A1743" s="18" t="str">
        <f>Descargas!A1743</f>
        <v>1425@elezvi.com</v>
      </c>
      <c r="B1743" s="19" t="str">
        <f>IFERROR(__xludf.DUMMYFUNCTION("IF(OR(regexmatch(A1743,"".*@simon.es$""),REGEXMATCH(A1743,"".*@simon.pt$""),REGEXMATCH(A1743,"".*@simonelectrica.com$""),REGEXMATCH(A1743,"".*@hiberus.com$""),REGEXMATCH(A1743,"".*@simonbrico.es$""),regexmatch(A1743,"".*@simonelectric.com$"")),""null"",A1"&amp;"743)"),"1425@elezvi.com")</f>
        <v>1425@elezvi.com</v>
      </c>
      <c r="C1743" s="5">
        <f>IF(B1743="null","null",Descargas!B1743)</f>
        <v>43950</v>
      </c>
      <c r="D1743" s="6" t="str">
        <f>Descargas!E1743</f>
        <v>https://resources.simonelectric.com/simon-catalogo-vehiculo-electrico</v>
      </c>
      <c r="E1743" s="20" t="str">
        <f t="shared" si="1"/>
        <v>1425@elezvi.com</v>
      </c>
      <c r="F1743" s="21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</row>
    <row r="1744" ht="15.75" customHeight="1">
      <c r="A1744" s="18" t="str">
        <f>Descargas!A1744</f>
        <v>644@ebconsultores.com</v>
      </c>
      <c r="B1744" s="19" t="str">
        <f>IFERROR(__xludf.DUMMYFUNCTION("IF(OR(regexmatch(A1744,"".*@simon.es$""),REGEXMATCH(A1744,"".*@simon.pt$""),REGEXMATCH(A1744,"".*@simonelectrica.com$""),REGEXMATCH(A1744,"".*@hiberus.com$""),REGEXMATCH(A1744,"".*@simonbrico.es$""),regexmatch(A1744,"".*@simonelectric.com$"")),""null"",A1"&amp;"744)"),"644@ebconsultores.com")</f>
        <v>644@ebconsultores.com</v>
      </c>
      <c r="C1744" s="5">
        <f>IF(B1744="null","null",Descargas!B1744)</f>
        <v>43950</v>
      </c>
      <c r="D1744" s="6" t="str">
        <f>Descargas!E1744</f>
        <v>https://resources.simonelectric.com/simon-catalogo-vehiculo-electrico</v>
      </c>
      <c r="E1744" s="20" t="str">
        <f t="shared" si="1"/>
        <v>644@ebconsultores.com</v>
      </c>
      <c r="F1744" s="21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</row>
    <row r="1745" ht="15.75" customHeight="1">
      <c r="A1745" s="18" t="str">
        <f>Descargas!A1745</f>
        <v>1426@gmail.com</v>
      </c>
      <c r="B1745" s="19" t="str">
        <f>IFERROR(__xludf.DUMMYFUNCTION("IF(OR(regexmatch(A1745,"".*@simon.es$""),REGEXMATCH(A1745,"".*@simon.pt$""),REGEXMATCH(A1745,"".*@simonelectrica.com$""),REGEXMATCH(A1745,"".*@hiberus.com$""),REGEXMATCH(A1745,"".*@simonbrico.es$""),regexmatch(A1745,"".*@simonelectric.com$"")),""null"",A1"&amp;"745)"),"1426@gmail.com")</f>
        <v>1426@gmail.com</v>
      </c>
      <c r="C1745" s="5">
        <f>IF(B1745="null","null",Descargas!B1745)</f>
        <v>43950</v>
      </c>
      <c r="D1745" s="6" t="str">
        <f>Descargas!E1745</f>
        <v>https://resources.simonelectric.com/simon-catalogo-vehiculo-electrico</v>
      </c>
      <c r="E1745" s="20" t="str">
        <f t="shared" si="1"/>
        <v>1426@gmail.com</v>
      </c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</row>
    <row r="1746" ht="15.75" customHeight="1">
      <c r="A1746" s="18" t="str">
        <f>Descargas!A1746</f>
        <v>1427@hotmail.es</v>
      </c>
      <c r="B1746" s="19" t="str">
        <f>IFERROR(__xludf.DUMMYFUNCTION("IF(OR(regexmatch(A1746,"".*@simon.es$""),REGEXMATCH(A1746,"".*@simon.pt$""),REGEXMATCH(A1746,"".*@simonelectrica.com$""),REGEXMATCH(A1746,"".*@hiberus.com$""),REGEXMATCH(A1746,"".*@simonbrico.es$""),regexmatch(A1746,"".*@simonelectric.com$"")),""null"",A1"&amp;"746)"),"1427@hotmail.es")</f>
        <v>1427@hotmail.es</v>
      </c>
      <c r="C1746" s="5">
        <f>IF(B1746="null","null",Descargas!B1746)</f>
        <v>43950</v>
      </c>
      <c r="D1746" s="6" t="str">
        <f>Descargas!E1746</f>
        <v>https://resources.simonelectric.com/simon-catalogo-vehiculo-electrico</v>
      </c>
      <c r="E1746" s="20" t="str">
        <f t="shared" si="1"/>
        <v>1427@hotmail.es</v>
      </c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</row>
    <row r="1747" ht="15.75" customHeight="1">
      <c r="A1747" s="18" t="str">
        <f>Descargas!A1747</f>
        <v>1428@gadeaingenieros.com</v>
      </c>
      <c r="B1747" s="19" t="str">
        <f>IFERROR(__xludf.DUMMYFUNCTION("IF(OR(regexmatch(A1747,"".*@simon.es$""),REGEXMATCH(A1747,"".*@simon.pt$""),REGEXMATCH(A1747,"".*@simonelectrica.com$""),REGEXMATCH(A1747,"".*@hiberus.com$""),REGEXMATCH(A1747,"".*@simonbrico.es$""),regexmatch(A1747,"".*@simonelectric.com$"")),""null"",A1"&amp;"747)"),"1428@gadeaingenieros.com")</f>
        <v>1428@gadeaingenieros.com</v>
      </c>
      <c r="C1747" s="5">
        <f>IF(B1747="null","null",Descargas!B1747)</f>
        <v>43950</v>
      </c>
      <c r="D1747" s="6" t="str">
        <f>Descargas!E1747</f>
        <v>https://resources.simonelectric.com/simon-catalogo-vehiculo-electrico</v>
      </c>
      <c r="E1747" s="20" t="str">
        <f t="shared" si="1"/>
        <v>1428@gadeaingenieros.com</v>
      </c>
      <c r="F1747" s="21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</row>
    <row r="1748" ht="15.75" customHeight="1">
      <c r="A1748" s="18" t="str">
        <f>Descargas!A1748</f>
        <v>1429@yahoo.es</v>
      </c>
      <c r="B1748" s="19" t="str">
        <f>IFERROR(__xludf.DUMMYFUNCTION("IF(OR(regexmatch(A1748,"".*@simon.es$""),REGEXMATCH(A1748,"".*@simon.pt$""),REGEXMATCH(A1748,"".*@simonelectrica.com$""),REGEXMATCH(A1748,"".*@hiberus.com$""),REGEXMATCH(A1748,"".*@simonbrico.es$""),regexmatch(A1748,"".*@simonelectric.com$"")),""null"",A1"&amp;"748)"),"1429@yahoo.es")</f>
        <v>1429@yahoo.es</v>
      </c>
      <c r="C1748" s="5">
        <f>IF(B1748="null","null",Descargas!B1748)</f>
        <v>43950</v>
      </c>
      <c r="D1748" s="6" t="str">
        <f>Descargas!E1748</f>
        <v>https://resources.simonelectric.com/simon-catalogo-vehiculo-electrico</v>
      </c>
      <c r="E1748" s="20" t="str">
        <f t="shared" si="1"/>
        <v>1429@yahoo.es</v>
      </c>
      <c r="F1748" s="21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</row>
    <row r="1749" ht="15.75" customHeight="1">
      <c r="A1749" s="18" t="str">
        <f>Descargas!A1749</f>
        <v>1430@outlook.es</v>
      </c>
      <c r="B1749" s="19" t="str">
        <f>IFERROR(__xludf.DUMMYFUNCTION("IF(OR(regexmatch(A1749,"".*@simon.es$""),REGEXMATCH(A1749,"".*@simon.pt$""),REGEXMATCH(A1749,"".*@simonelectrica.com$""),REGEXMATCH(A1749,"".*@hiberus.com$""),REGEXMATCH(A1749,"".*@simonbrico.es$""),regexmatch(A1749,"".*@simonelectric.com$"")),""null"",A1"&amp;"749)"),"1430@outlook.es")</f>
        <v>1430@outlook.es</v>
      </c>
      <c r="C1749" s="5">
        <f>IF(B1749="null","null",Descargas!B1749)</f>
        <v>43950</v>
      </c>
      <c r="D1749" s="6" t="str">
        <f>Descargas!E1749</f>
        <v>https://resources.simonelectric.com/simon-catalogo-vehiculo-electrico</v>
      </c>
      <c r="E1749" s="20" t="str">
        <f t="shared" si="1"/>
        <v>1430@outlook.es</v>
      </c>
      <c r="F1749" s="21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</row>
    <row r="1750" ht="15.75" customHeight="1">
      <c r="A1750" s="18" t="str">
        <f>Descargas!A1750</f>
        <v>1431@jgingenieros.es</v>
      </c>
      <c r="B1750" s="19" t="str">
        <f>IFERROR(__xludf.DUMMYFUNCTION("IF(OR(regexmatch(A1750,"".*@simon.es$""),REGEXMATCH(A1750,"".*@simon.pt$""),REGEXMATCH(A1750,"".*@simonelectrica.com$""),REGEXMATCH(A1750,"".*@hiberus.com$""),REGEXMATCH(A1750,"".*@simonbrico.es$""),regexmatch(A1750,"".*@simonelectric.com$"")),""null"",A1"&amp;"750)"),"1431@jgingenieros.es")</f>
        <v>1431@jgingenieros.es</v>
      </c>
      <c r="C1750" s="5">
        <f>IF(B1750="null","null",Descargas!B1750)</f>
        <v>43950</v>
      </c>
      <c r="D1750" s="6" t="str">
        <f>Descargas!E1750</f>
        <v>https://resources.simonelectric.com/simon-catalogo-vehiculo-electrico</v>
      </c>
      <c r="E1750" s="20" t="str">
        <f t="shared" si="1"/>
        <v>1431@jgingenieros.es</v>
      </c>
      <c r="F1750" s="21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</row>
    <row r="1751" ht="15.75" customHeight="1">
      <c r="A1751" s="18" t="str">
        <f>Descargas!A1751</f>
        <v>1432@gmail.com</v>
      </c>
      <c r="B1751" s="19" t="str">
        <f>IFERROR(__xludf.DUMMYFUNCTION("IF(OR(regexmatch(A1751,"".*@simon.es$""),REGEXMATCH(A1751,"".*@simon.pt$""),REGEXMATCH(A1751,"".*@simonelectrica.com$""),REGEXMATCH(A1751,"".*@hiberus.com$""),REGEXMATCH(A1751,"".*@simonbrico.es$""),regexmatch(A1751,"".*@simonelectric.com$"")),""null"",A1"&amp;"751)"),"1432@gmail.com")</f>
        <v>1432@gmail.com</v>
      </c>
      <c r="C1751" s="5">
        <f>IF(B1751="null","null",Descargas!B1751)</f>
        <v>43950</v>
      </c>
      <c r="D1751" s="6" t="str">
        <f>Descargas!E1751</f>
        <v>https://resources.simonelectric.com/simon-catalogo-vehiculo-electrico</v>
      </c>
      <c r="E1751" s="20" t="str">
        <f t="shared" si="1"/>
        <v>1432@gmail.com</v>
      </c>
      <c r="F1751" s="21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</row>
    <row r="1752" ht="15.75" customHeight="1">
      <c r="A1752" s="18" t="str">
        <f>Descargas!A1752</f>
        <v>1433@apeme.es</v>
      </c>
      <c r="B1752" s="19" t="str">
        <f>IFERROR(__xludf.DUMMYFUNCTION("IF(OR(regexmatch(A1752,"".*@simon.es$""),REGEXMATCH(A1752,"".*@simon.pt$""),REGEXMATCH(A1752,"".*@simonelectrica.com$""),REGEXMATCH(A1752,"".*@hiberus.com$""),REGEXMATCH(A1752,"".*@simonbrico.es$""),regexmatch(A1752,"".*@simonelectric.com$"")),""null"",A1"&amp;"752)"),"1433@apeme.es")</f>
        <v>1433@apeme.es</v>
      </c>
      <c r="C1752" s="5">
        <f>IF(B1752="null","null",Descargas!B1752)</f>
        <v>43950</v>
      </c>
      <c r="D1752" s="6" t="str">
        <f>Descargas!E1752</f>
        <v>https://resources.simonelectric.com/simon-catalogo-vehiculo-electrico</v>
      </c>
      <c r="E1752" s="20" t="str">
        <f t="shared" si="1"/>
        <v>1433@apeme.es</v>
      </c>
      <c r="F1752" s="21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</row>
    <row r="1753" ht="15.75" customHeight="1">
      <c r="A1753" s="18" t="str">
        <f>Descargas!A1753</f>
        <v>1434@planamar.com</v>
      </c>
      <c r="B1753" s="19" t="str">
        <f>IFERROR(__xludf.DUMMYFUNCTION("IF(OR(regexmatch(A1753,"".*@simon.es$""),REGEXMATCH(A1753,"".*@simon.pt$""),REGEXMATCH(A1753,"".*@simonelectrica.com$""),REGEXMATCH(A1753,"".*@hiberus.com$""),REGEXMATCH(A1753,"".*@simonbrico.es$""),regexmatch(A1753,"".*@simonelectric.com$"")),""null"",A1"&amp;"753)"),"1434@planamar.com")</f>
        <v>1434@planamar.com</v>
      </c>
      <c r="C1753" s="5">
        <f>IF(B1753="null","null",Descargas!B1753)</f>
        <v>43950</v>
      </c>
      <c r="D1753" s="6" t="str">
        <f>Descargas!E1753</f>
        <v>https://resources.simonelectric.com/simon-catalogo-vehiculo-electrico</v>
      </c>
      <c r="E1753" s="20" t="str">
        <f t="shared" si="1"/>
        <v>1434@planamar.com</v>
      </c>
      <c r="F1753" s="21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</row>
    <row r="1754" ht="15.75" customHeight="1">
      <c r="A1754" s="18" t="str">
        <f>Descargas!A1754</f>
        <v>1435@serindex.es</v>
      </c>
      <c r="B1754" s="19" t="str">
        <f>IFERROR(__xludf.DUMMYFUNCTION("IF(OR(regexmatch(A1754,"".*@simon.es$""),REGEXMATCH(A1754,"".*@simon.pt$""),REGEXMATCH(A1754,"".*@simonelectrica.com$""),REGEXMATCH(A1754,"".*@hiberus.com$""),REGEXMATCH(A1754,"".*@simonbrico.es$""),regexmatch(A1754,"".*@simonelectric.com$"")),""null"",A1"&amp;"754)"),"1435@serindex.es")</f>
        <v>1435@serindex.es</v>
      </c>
      <c r="C1754" s="5">
        <f>IF(B1754="null","null",Descargas!B1754)</f>
        <v>43950</v>
      </c>
      <c r="D1754" s="6" t="str">
        <f>Descargas!E1754</f>
        <v>https://resources.simonelectric.com/simon-catalogo-vehiculo-electrico</v>
      </c>
      <c r="E1754" s="20" t="str">
        <f t="shared" si="1"/>
        <v>1435@serindex.es</v>
      </c>
      <c r="F1754" s="21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</row>
    <row r="1755" ht="15.75" customHeight="1">
      <c r="A1755" s="18" t="str">
        <f>Descargas!A1755</f>
        <v>1436@deerns.com</v>
      </c>
      <c r="B1755" s="19" t="str">
        <f>IFERROR(__xludf.DUMMYFUNCTION("IF(OR(regexmatch(A1755,"".*@simon.es$""),REGEXMATCH(A1755,"".*@simon.pt$""),REGEXMATCH(A1755,"".*@simonelectrica.com$""),REGEXMATCH(A1755,"".*@hiberus.com$""),REGEXMATCH(A1755,"".*@simonbrico.es$""),regexmatch(A1755,"".*@simonelectric.com$"")),""null"",A1"&amp;"755)"),"1436@deerns.com")</f>
        <v>1436@deerns.com</v>
      </c>
      <c r="C1755" s="5">
        <f>IF(B1755="null","null",Descargas!B1755)</f>
        <v>43950</v>
      </c>
      <c r="D1755" s="6" t="str">
        <f>Descargas!E1755</f>
        <v>https://resources.simonelectric.com/simon-catalogo-vehiculo-electrico</v>
      </c>
      <c r="E1755" s="20" t="str">
        <f t="shared" si="1"/>
        <v>1436@deerns.com</v>
      </c>
      <c r="F1755" s="21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</row>
    <row r="1756" ht="15.75" customHeight="1">
      <c r="A1756" s="18" t="str">
        <f>Descargas!A1756</f>
        <v>1437@indal-tec.com</v>
      </c>
      <c r="B1756" s="19" t="str">
        <f>IFERROR(__xludf.DUMMYFUNCTION("IF(OR(regexmatch(A1756,"".*@simon.es$""),REGEXMATCH(A1756,"".*@simon.pt$""),REGEXMATCH(A1756,"".*@simonelectrica.com$""),REGEXMATCH(A1756,"".*@hiberus.com$""),REGEXMATCH(A1756,"".*@simonbrico.es$""),regexmatch(A1756,"".*@simonelectric.com$"")),""null"",A1"&amp;"756)"),"1437@indal-tec.com")</f>
        <v>1437@indal-tec.com</v>
      </c>
      <c r="C1756" s="5">
        <f>IF(B1756="null","null",Descargas!B1756)</f>
        <v>43950</v>
      </c>
      <c r="D1756" s="6" t="str">
        <f>Descargas!E1756</f>
        <v>https://resources.simonelectric.com/simon-catalogo-vehiculo-electrico</v>
      </c>
      <c r="E1756" s="20" t="str">
        <f t="shared" si="1"/>
        <v>1437@indal-tec.com</v>
      </c>
      <c r="F1756" s="21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</row>
    <row r="1757" ht="15.75" customHeight="1">
      <c r="A1757" s="18" t="str">
        <f>Descargas!A1757</f>
        <v>1438@hotmail.com</v>
      </c>
      <c r="B1757" s="19" t="str">
        <f>IFERROR(__xludf.DUMMYFUNCTION("IF(OR(regexmatch(A1757,"".*@simon.es$""),REGEXMATCH(A1757,"".*@simon.pt$""),REGEXMATCH(A1757,"".*@simonelectrica.com$""),REGEXMATCH(A1757,"".*@hiberus.com$""),REGEXMATCH(A1757,"".*@simonbrico.es$""),regexmatch(A1757,"".*@simonelectric.com$"")),""null"",A1"&amp;"757)"),"1438@hotmail.com")</f>
        <v>1438@hotmail.com</v>
      </c>
      <c r="C1757" s="5">
        <f>IF(B1757="null","null",Descargas!B1757)</f>
        <v>43950</v>
      </c>
      <c r="D1757" s="6" t="str">
        <f>Descargas!E1757</f>
        <v>https://resources.simonelectric.com/simon-catalogo-vehiculo-electrico</v>
      </c>
      <c r="E1757" s="20" t="str">
        <f t="shared" si="1"/>
        <v>1438@hotmail.com</v>
      </c>
      <c r="F1757" s="21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</row>
    <row r="1758" ht="15.75" customHeight="1">
      <c r="A1758" s="18" t="str">
        <f>Descargas!A1758</f>
        <v>1439@amingenieros.com</v>
      </c>
      <c r="B1758" s="19" t="str">
        <f>IFERROR(__xludf.DUMMYFUNCTION("IF(OR(regexmatch(A1758,"".*@simon.es$""),REGEXMATCH(A1758,"".*@simon.pt$""),REGEXMATCH(A1758,"".*@simonelectrica.com$""),REGEXMATCH(A1758,"".*@hiberus.com$""),REGEXMATCH(A1758,"".*@simonbrico.es$""),regexmatch(A1758,"".*@simonelectric.com$"")),""null"",A1"&amp;"758)"),"1439@amingenieros.com")</f>
        <v>1439@amingenieros.com</v>
      </c>
      <c r="C1758" s="5">
        <f>IF(B1758="null","null",Descargas!B1758)</f>
        <v>43950</v>
      </c>
      <c r="D1758" s="6" t="str">
        <f>Descargas!E1758</f>
        <v>https://resources.simonelectric.com/simon-catalogo-vehiculo-electrico</v>
      </c>
      <c r="E1758" s="20" t="str">
        <f t="shared" si="1"/>
        <v>1439@amingenieros.com</v>
      </c>
      <c r="F1758" s="21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</row>
    <row r="1759" ht="15.75" customHeight="1">
      <c r="A1759" s="18" t="str">
        <f>Descargas!A1759</f>
        <v>1440@hotmail.com</v>
      </c>
      <c r="B1759" s="19" t="str">
        <f>IFERROR(__xludf.DUMMYFUNCTION("IF(OR(regexmatch(A1759,"".*@simon.es$""),REGEXMATCH(A1759,"".*@simon.pt$""),REGEXMATCH(A1759,"".*@simonelectrica.com$""),REGEXMATCH(A1759,"".*@hiberus.com$""),REGEXMATCH(A1759,"".*@simonbrico.es$""),regexmatch(A1759,"".*@simonelectric.com$"")),""null"",A1"&amp;"759)"),"1440@hotmail.com")</f>
        <v>1440@hotmail.com</v>
      </c>
      <c r="C1759" s="5">
        <f>IF(B1759="null","null",Descargas!B1759)</f>
        <v>43950</v>
      </c>
      <c r="D1759" s="6" t="str">
        <f>Descargas!E1759</f>
        <v>https://resources.simonelectric.com/simon-catalogo-vehiculo-electrico</v>
      </c>
      <c r="E1759" s="20" t="str">
        <f t="shared" si="1"/>
        <v>1440@hotmail.com</v>
      </c>
      <c r="F1759" s="21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</row>
    <row r="1760" ht="15.75" customHeight="1">
      <c r="A1760" s="18" t="str">
        <f>Descargas!A1760</f>
        <v>187@castelyfernandez.es</v>
      </c>
      <c r="B1760" s="19" t="str">
        <f>IFERROR(__xludf.DUMMYFUNCTION("IF(OR(regexmatch(A1760,"".*@simon.es$""),REGEXMATCH(A1760,"".*@simon.pt$""),REGEXMATCH(A1760,"".*@simonelectrica.com$""),REGEXMATCH(A1760,"".*@hiberus.com$""),REGEXMATCH(A1760,"".*@simonbrico.es$""),regexmatch(A1760,"".*@simonelectric.com$"")),""null"",A1"&amp;"760)"),"187@castelyfernandez.es")</f>
        <v>187@castelyfernandez.es</v>
      </c>
      <c r="C1760" s="5">
        <f>IF(B1760="null","null",Descargas!B1760)</f>
        <v>43950</v>
      </c>
      <c r="D1760" s="6" t="str">
        <f>Descargas!E1760</f>
        <v>https://resources.simonelectric.com/simon-catalogo-vehiculo-electrico</v>
      </c>
      <c r="E1760" s="20" t="str">
        <f t="shared" si="1"/>
        <v>187@castelyfernandez.es</v>
      </c>
      <c r="F1760" s="21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</row>
    <row r="1761" ht="15.75" customHeight="1">
      <c r="A1761" s="18" t="str">
        <f>Descargas!A1761</f>
        <v>1441@gmail.com</v>
      </c>
      <c r="B1761" s="19" t="str">
        <f>IFERROR(__xludf.DUMMYFUNCTION("IF(OR(regexmatch(A1761,"".*@simon.es$""),REGEXMATCH(A1761,"".*@simon.pt$""),REGEXMATCH(A1761,"".*@simonelectrica.com$""),REGEXMATCH(A1761,"".*@hiberus.com$""),REGEXMATCH(A1761,"".*@simonbrico.es$""),regexmatch(A1761,"".*@simonelectric.com$"")),""null"",A1"&amp;"761)"),"1441@gmail.com")</f>
        <v>1441@gmail.com</v>
      </c>
      <c r="C1761" s="5">
        <f>IF(B1761="null","null",Descargas!B1761)</f>
        <v>43950</v>
      </c>
      <c r="D1761" s="6" t="str">
        <f>Descargas!E1761</f>
        <v>https://resources.simonelectric.com/simon-catalogo-vehiculo-electrico</v>
      </c>
      <c r="E1761" s="20" t="str">
        <f t="shared" si="1"/>
        <v>1441@gmail.com</v>
      </c>
      <c r="F1761" s="21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</row>
    <row r="1762" ht="15.75" customHeight="1">
      <c r="A1762" s="18" t="str">
        <f>Descargas!A1762</f>
        <v>1442@sonepar.es</v>
      </c>
      <c r="B1762" s="19" t="str">
        <f>IFERROR(__xludf.DUMMYFUNCTION("IF(OR(regexmatch(A1762,"".*@simon.es$""),REGEXMATCH(A1762,"".*@simon.pt$""),REGEXMATCH(A1762,"".*@simonelectrica.com$""),REGEXMATCH(A1762,"".*@hiberus.com$""),REGEXMATCH(A1762,"".*@simonbrico.es$""),regexmatch(A1762,"".*@simonelectric.com$"")),""null"",A1"&amp;"762)"),"1442@sonepar.es")</f>
        <v>1442@sonepar.es</v>
      </c>
      <c r="C1762" s="5">
        <f>IF(B1762="null","null",Descargas!B1762)</f>
        <v>43950</v>
      </c>
      <c r="D1762" s="6" t="str">
        <f>Descargas!E1762</f>
        <v>https://resources.simonelectric.com/simon-catalogo-vehiculo-electrico</v>
      </c>
      <c r="E1762" s="20" t="str">
        <f t="shared" si="1"/>
        <v>1442@sonepar.es</v>
      </c>
      <c r="F1762" s="21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</row>
    <row r="1763" ht="15.75" customHeight="1">
      <c r="A1763" s="18" t="str">
        <f>Descargas!A1763</f>
        <v>1443@hotmail.com</v>
      </c>
      <c r="B1763" s="19" t="str">
        <f>IFERROR(__xludf.DUMMYFUNCTION("IF(OR(regexmatch(A1763,"".*@simon.es$""),REGEXMATCH(A1763,"".*@simon.pt$""),REGEXMATCH(A1763,"".*@simonelectrica.com$""),REGEXMATCH(A1763,"".*@hiberus.com$""),REGEXMATCH(A1763,"".*@simonbrico.es$""),regexmatch(A1763,"".*@simonelectric.com$"")),""null"",A1"&amp;"763)"),"1443@hotmail.com")</f>
        <v>1443@hotmail.com</v>
      </c>
      <c r="C1763" s="5">
        <f>IF(B1763="null","null",Descargas!B1763)</f>
        <v>43950</v>
      </c>
      <c r="D1763" s="6" t="str">
        <f>Descargas!E1763</f>
        <v>https://resources.simonelectric.com/simon-catalogo-vehiculo-electrico</v>
      </c>
      <c r="E1763" s="20" t="str">
        <f t="shared" si="1"/>
        <v>1443@hotmail.com</v>
      </c>
      <c r="F1763" s="21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</row>
    <row r="1764" ht="15.75" customHeight="1">
      <c r="A1764" s="18" t="str">
        <f>Descargas!A1764</f>
        <v>1444@gmail.com</v>
      </c>
      <c r="B1764" s="19" t="str">
        <f>IFERROR(__xludf.DUMMYFUNCTION("IF(OR(regexmatch(A1764,"".*@simon.es$""),REGEXMATCH(A1764,"".*@simon.pt$""),REGEXMATCH(A1764,"".*@simonelectrica.com$""),REGEXMATCH(A1764,"".*@hiberus.com$""),REGEXMATCH(A1764,"".*@simonbrico.es$""),regexmatch(A1764,"".*@simonelectric.com$"")),""null"",A1"&amp;"764)"),"1444@gmail.com")</f>
        <v>1444@gmail.com</v>
      </c>
      <c r="C1764" s="5">
        <f>IF(B1764="null","null",Descargas!B1764)</f>
        <v>43950</v>
      </c>
      <c r="D1764" s="6" t="str">
        <f>Descargas!E1764</f>
        <v>https://resources.simonelectric.com/simon-catalogo-vehiculo-electrico</v>
      </c>
      <c r="E1764" s="20" t="str">
        <f t="shared" si="1"/>
        <v>1444@gmail.com</v>
      </c>
      <c r="F1764" s="21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</row>
    <row r="1765" ht="15.75" customHeight="1">
      <c r="A1765" s="18" t="str">
        <f>Descargas!A1765</f>
        <v>1445@gmail.com</v>
      </c>
      <c r="B1765" s="19" t="str">
        <f>IFERROR(__xludf.DUMMYFUNCTION("IF(OR(regexmatch(A1765,"".*@simon.es$""),REGEXMATCH(A1765,"".*@simon.pt$""),REGEXMATCH(A1765,"".*@simonelectrica.com$""),REGEXMATCH(A1765,"".*@hiberus.com$""),REGEXMATCH(A1765,"".*@simonbrico.es$""),regexmatch(A1765,"".*@simonelectric.com$"")),""null"",A1"&amp;"765)"),"1445@gmail.com")</f>
        <v>1445@gmail.com</v>
      </c>
      <c r="C1765" s="5">
        <f>IF(B1765="null","null",Descargas!B1765)</f>
        <v>43950</v>
      </c>
      <c r="D1765" s="6" t="str">
        <f>Descargas!E1765</f>
        <v>https://resources.simonelectric.com/simon-catalogo-vehiculo-electrico</v>
      </c>
      <c r="E1765" s="20" t="str">
        <f t="shared" si="1"/>
        <v>1445@gmail.com</v>
      </c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</row>
    <row r="1766" ht="15.75" customHeight="1">
      <c r="A1766" s="18" t="str">
        <f>Descargas!A1766</f>
        <v>1446@gmail.com</v>
      </c>
      <c r="B1766" s="19" t="str">
        <f>IFERROR(__xludf.DUMMYFUNCTION("IF(OR(regexmatch(A1766,"".*@simon.es$""),REGEXMATCH(A1766,"".*@simon.pt$""),REGEXMATCH(A1766,"".*@simonelectrica.com$""),REGEXMATCH(A1766,"".*@hiberus.com$""),REGEXMATCH(A1766,"".*@simonbrico.es$""),regexmatch(A1766,"".*@simonelectric.com$"")),""null"",A1"&amp;"766)"),"1446@gmail.com")</f>
        <v>1446@gmail.com</v>
      </c>
      <c r="C1766" s="5">
        <f>IF(B1766="null","null",Descargas!B1766)</f>
        <v>43950</v>
      </c>
      <c r="D1766" s="6" t="str">
        <f>Descargas!E1766</f>
        <v>https://resources.simonelectric.com/simon-catalogo-vehiculo-electrico</v>
      </c>
      <c r="E1766" s="20" t="str">
        <f t="shared" si="1"/>
        <v>1446@gmail.com</v>
      </c>
      <c r="F1766" s="21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</row>
    <row r="1767" ht="15.75" customHeight="1">
      <c r="A1767" s="18" t="str">
        <f>Descargas!A1767</f>
        <v>1447@galektra.es</v>
      </c>
      <c r="B1767" s="19" t="str">
        <f>IFERROR(__xludf.DUMMYFUNCTION("IF(OR(regexmatch(A1767,"".*@simon.es$""),REGEXMATCH(A1767,"".*@simon.pt$""),REGEXMATCH(A1767,"".*@simonelectrica.com$""),REGEXMATCH(A1767,"".*@hiberus.com$""),REGEXMATCH(A1767,"".*@simonbrico.es$""),regexmatch(A1767,"".*@simonelectric.com$"")),""null"",A1"&amp;"767)"),"1447@galektra.es")</f>
        <v>1447@galektra.es</v>
      </c>
      <c r="C1767" s="5">
        <f>IF(B1767="null","null",Descargas!B1767)</f>
        <v>43950</v>
      </c>
      <c r="D1767" s="6" t="str">
        <f>Descargas!E1767</f>
        <v>https://resources.simonelectric.com/simon-catalogo-vehiculo-electrico</v>
      </c>
      <c r="E1767" s="20" t="str">
        <f t="shared" si="1"/>
        <v>1447@galektra.es</v>
      </c>
      <c r="F1767" s="21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</row>
    <row r="1768" ht="15.75" customHeight="1">
      <c r="A1768" s="18" t="str">
        <f>Descargas!A1768</f>
        <v>1448@renowattandorra.com</v>
      </c>
      <c r="B1768" s="19" t="str">
        <f>IFERROR(__xludf.DUMMYFUNCTION("IF(OR(regexmatch(A1768,"".*@simon.es$""),REGEXMATCH(A1768,"".*@simon.pt$""),REGEXMATCH(A1768,"".*@simonelectrica.com$""),REGEXMATCH(A1768,"".*@hiberus.com$""),REGEXMATCH(A1768,"".*@simonbrico.es$""),regexmatch(A1768,"".*@simonelectric.com$"")),""null"",A1"&amp;"768)"),"1448@renowattandorra.com")</f>
        <v>1448@renowattandorra.com</v>
      </c>
      <c r="C1768" s="5">
        <f>IF(B1768="null","null",Descargas!B1768)</f>
        <v>43950</v>
      </c>
      <c r="D1768" s="6" t="str">
        <f>Descargas!E1768</f>
        <v>https://resources.simonelectric.com/simon-catalogo-vehiculo-electrico</v>
      </c>
      <c r="E1768" s="20" t="str">
        <f t="shared" si="1"/>
        <v>1448@renowattandorra.com</v>
      </c>
      <c r="F1768" s="21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</row>
    <row r="1769" ht="15.75" customHeight="1">
      <c r="A1769" s="18" t="str">
        <f>Descargas!A1769</f>
        <v>1449@aseisa.es</v>
      </c>
      <c r="B1769" s="19" t="str">
        <f>IFERROR(__xludf.DUMMYFUNCTION("IF(OR(regexmatch(A1769,"".*@simon.es$""),REGEXMATCH(A1769,"".*@simon.pt$""),REGEXMATCH(A1769,"".*@simonelectrica.com$""),REGEXMATCH(A1769,"".*@hiberus.com$""),REGEXMATCH(A1769,"".*@simonbrico.es$""),regexmatch(A1769,"".*@simonelectric.com$"")),""null"",A1"&amp;"769)"),"1449@aseisa.es")</f>
        <v>1449@aseisa.es</v>
      </c>
      <c r="C1769" s="5">
        <f>IF(B1769="null","null",Descargas!B1769)</f>
        <v>43950</v>
      </c>
      <c r="D1769" s="6" t="str">
        <f>Descargas!E1769</f>
        <v>https://resources.simonelectric.com/simon-catalogo-vehiculo-electrico</v>
      </c>
      <c r="E1769" s="20" t="str">
        <f t="shared" si="1"/>
        <v>1449@aseisa.es</v>
      </c>
      <c r="F1769" s="21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</row>
    <row r="1770" ht="15.75" customHeight="1">
      <c r="A1770" s="18" t="str">
        <f>Descargas!A1770</f>
        <v>1450@hotmail.com</v>
      </c>
      <c r="B1770" s="19" t="str">
        <f>IFERROR(__xludf.DUMMYFUNCTION("IF(OR(regexmatch(A1770,"".*@simon.es$""),REGEXMATCH(A1770,"".*@simon.pt$""),REGEXMATCH(A1770,"".*@simonelectrica.com$""),REGEXMATCH(A1770,"".*@hiberus.com$""),REGEXMATCH(A1770,"".*@simonbrico.es$""),regexmatch(A1770,"".*@simonelectric.com$"")),""null"",A1"&amp;"770)"),"1450@hotmail.com")</f>
        <v>1450@hotmail.com</v>
      </c>
      <c r="C1770" s="5">
        <f>IF(B1770="null","null",Descargas!B1770)</f>
        <v>43950</v>
      </c>
      <c r="D1770" s="6" t="str">
        <f>Descargas!E1770</f>
        <v>https://resources.simonelectric.com/simon-catalogo-vehiculo-electrico</v>
      </c>
      <c r="E1770" s="20" t="str">
        <f t="shared" si="1"/>
        <v>1450@hotmail.com</v>
      </c>
      <c r="F1770" s="21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</row>
    <row r="1771" ht="15.75" customHeight="1">
      <c r="A1771" s="18" t="str">
        <f>Descargas!A1771</f>
        <v>1451@electrocuebar.com</v>
      </c>
      <c r="B1771" s="19" t="str">
        <f>IFERROR(__xludf.DUMMYFUNCTION("IF(OR(regexmatch(A1771,"".*@simon.es$""),REGEXMATCH(A1771,"".*@simon.pt$""),REGEXMATCH(A1771,"".*@simonelectrica.com$""),REGEXMATCH(A1771,"".*@hiberus.com$""),REGEXMATCH(A1771,"".*@simonbrico.es$""),regexmatch(A1771,"".*@simonelectric.com$"")),""null"",A1"&amp;"771)"),"1451@electrocuebar.com")</f>
        <v>1451@electrocuebar.com</v>
      </c>
      <c r="C1771" s="5">
        <f>IF(B1771="null","null",Descargas!B1771)</f>
        <v>43950</v>
      </c>
      <c r="D1771" s="6" t="str">
        <f>Descargas!E1771</f>
        <v>https://resources.simonelectric.com/simon-catalogo-vehiculo-electrico</v>
      </c>
      <c r="E1771" s="20" t="str">
        <f t="shared" si="1"/>
        <v>1451@electrocuebar.com</v>
      </c>
      <c r="F1771" s="21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</row>
    <row r="1772" ht="15.75" customHeight="1">
      <c r="A1772" s="18" t="str">
        <f>Descargas!A1772</f>
        <v>1452@ricarsat.com</v>
      </c>
      <c r="B1772" s="19" t="str">
        <f>IFERROR(__xludf.DUMMYFUNCTION("IF(OR(regexmatch(A1772,"".*@simon.es$""),REGEXMATCH(A1772,"".*@simon.pt$""),REGEXMATCH(A1772,"".*@simonelectrica.com$""),REGEXMATCH(A1772,"".*@hiberus.com$""),REGEXMATCH(A1772,"".*@simonbrico.es$""),regexmatch(A1772,"".*@simonelectric.com$"")),""null"",A1"&amp;"772)"),"1452@ricarsat.com")</f>
        <v>1452@ricarsat.com</v>
      </c>
      <c r="C1772" s="5">
        <f>IF(B1772="null","null",Descargas!B1772)</f>
        <v>43950</v>
      </c>
      <c r="D1772" s="6" t="str">
        <f>Descargas!E1772</f>
        <v>https://resources.simonelectric.com/simon-catalogo-vehiculo-electrico</v>
      </c>
      <c r="E1772" s="20" t="str">
        <f t="shared" si="1"/>
        <v>1452@ricarsat.com</v>
      </c>
      <c r="F1772" s="21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</row>
    <row r="1773" ht="15.75" customHeight="1">
      <c r="A1773" s="18" t="str">
        <f>Descargas!A1773</f>
        <v>1453@ingenierosdecadiz.es</v>
      </c>
      <c r="B1773" s="19" t="str">
        <f>IFERROR(__xludf.DUMMYFUNCTION("IF(OR(regexmatch(A1773,"".*@simon.es$""),REGEXMATCH(A1773,"".*@simon.pt$""),REGEXMATCH(A1773,"".*@simonelectrica.com$""),REGEXMATCH(A1773,"".*@hiberus.com$""),REGEXMATCH(A1773,"".*@simonbrico.es$""),regexmatch(A1773,"".*@simonelectric.com$"")),""null"",A1"&amp;"773)"),"1453@ingenierosdecadiz.es")</f>
        <v>1453@ingenierosdecadiz.es</v>
      </c>
      <c r="C1773" s="5">
        <f>IF(B1773="null","null",Descargas!B1773)</f>
        <v>43950</v>
      </c>
      <c r="D1773" s="6" t="str">
        <f>Descargas!E1773</f>
        <v>https://resources.simonelectric.com/simon-catalogo-vehiculo-electrico</v>
      </c>
      <c r="E1773" s="20" t="str">
        <f t="shared" si="1"/>
        <v>1453@ingenierosdecadiz.es</v>
      </c>
      <c r="F1773" s="21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</row>
    <row r="1774" ht="15.75" customHeight="1">
      <c r="A1774" s="18" t="str">
        <f>Descargas!A1774</f>
        <v>217@esypro.net</v>
      </c>
      <c r="B1774" s="19" t="str">
        <f>IFERROR(__xludf.DUMMYFUNCTION("IF(OR(regexmatch(A1774,"".*@simon.es$""),REGEXMATCH(A1774,"".*@simon.pt$""),REGEXMATCH(A1774,"".*@simonelectrica.com$""),REGEXMATCH(A1774,"".*@hiberus.com$""),REGEXMATCH(A1774,"".*@simonbrico.es$""),regexmatch(A1774,"".*@simonelectric.com$"")),""null"",A1"&amp;"774)"),"217@esypro.net")</f>
        <v>217@esypro.net</v>
      </c>
      <c r="C1774" s="5">
        <f>IF(B1774="null","null",Descargas!B1774)</f>
        <v>43950</v>
      </c>
      <c r="D1774" s="6" t="str">
        <f>Descargas!E1774</f>
        <v>https://resources.simonelectric.com/simon-catalogo-vehiculo-electrico</v>
      </c>
      <c r="E1774" s="20" t="str">
        <f t="shared" si="1"/>
        <v>217@esypro.net</v>
      </c>
      <c r="F1774" s="21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</row>
    <row r="1775" ht="15.75" customHeight="1">
      <c r="A1775" s="18" t="str">
        <f>Descargas!A1775</f>
        <v>1454@yahoo.es</v>
      </c>
      <c r="B1775" s="19" t="str">
        <f>IFERROR(__xludf.DUMMYFUNCTION("IF(OR(regexmatch(A1775,"".*@simon.es$""),REGEXMATCH(A1775,"".*@simon.pt$""),REGEXMATCH(A1775,"".*@simonelectrica.com$""),REGEXMATCH(A1775,"".*@hiberus.com$""),REGEXMATCH(A1775,"".*@simonbrico.es$""),regexmatch(A1775,"".*@simonelectric.com$"")),""null"",A1"&amp;"775)"),"1454@yahoo.es")</f>
        <v>1454@yahoo.es</v>
      </c>
      <c r="C1775" s="5">
        <f>IF(B1775="null","null",Descargas!B1775)</f>
        <v>43950</v>
      </c>
      <c r="D1775" s="6" t="str">
        <f>Descargas!E1775</f>
        <v>https://resources.simonelectric.com/simon-catalogo-vehiculo-electrico</v>
      </c>
      <c r="E1775" s="20" t="str">
        <f t="shared" si="1"/>
        <v>1454@yahoo.es</v>
      </c>
      <c r="F1775" s="21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</row>
    <row r="1776" ht="15.75" customHeight="1">
      <c r="A1776" s="18" t="str">
        <f>Descargas!A1776</f>
        <v>1455@gmail.com</v>
      </c>
      <c r="B1776" s="19" t="str">
        <f>IFERROR(__xludf.DUMMYFUNCTION("IF(OR(regexmatch(A1776,"".*@simon.es$""),REGEXMATCH(A1776,"".*@simon.pt$""),REGEXMATCH(A1776,"".*@simonelectrica.com$""),REGEXMATCH(A1776,"".*@hiberus.com$""),REGEXMATCH(A1776,"".*@simonbrico.es$""),regexmatch(A1776,"".*@simonelectric.com$"")),""null"",A1"&amp;"776)"),"1455@gmail.com")</f>
        <v>1455@gmail.com</v>
      </c>
      <c r="C1776" s="5">
        <f>IF(B1776="null","null",Descargas!B1776)</f>
        <v>43950</v>
      </c>
      <c r="D1776" s="6" t="str">
        <f>Descargas!E1776</f>
        <v>https://resources.simonelectric.com/simon-catalogo-vehiculo-electrico</v>
      </c>
      <c r="E1776" s="20" t="str">
        <f t="shared" si="1"/>
        <v>1455@gmail.com</v>
      </c>
      <c r="F1776" s="21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</row>
    <row r="1777" ht="15.75" customHeight="1">
      <c r="A1777" s="18" t="str">
        <f>Descargas!A1777</f>
        <v>1456@telefonica.net</v>
      </c>
      <c r="B1777" s="19" t="str">
        <f>IFERROR(__xludf.DUMMYFUNCTION("IF(OR(regexmatch(A1777,"".*@simon.es$""),REGEXMATCH(A1777,"".*@simon.pt$""),REGEXMATCH(A1777,"".*@simonelectrica.com$""),REGEXMATCH(A1777,"".*@hiberus.com$""),REGEXMATCH(A1777,"".*@simonbrico.es$""),regexmatch(A1777,"".*@simonelectric.com$"")),""null"",A1"&amp;"777)"),"1456@telefonica.net")</f>
        <v>1456@telefonica.net</v>
      </c>
      <c r="C1777" s="5">
        <f>IF(B1777="null","null",Descargas!B1777)</f>
        <v>43950</v>
      </c>
      <c r="D1777" s="6" t="str">
        <f>Descargas!E1777</f>
        <v>https://resources.simonelectric.com/simon-catalogo-vehiculo-electrico</v>
      </c>
      <c r="E1777" s="20" t="str">
        <f t="shared" si="1"/>
        <v>1456@telefonica.net</v>
      </c>
      <c r="F1777" s="21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</row>
    <row r="1778" ht="15.75" customHeight="1">
      <c r="A1778" s="18" t="str">
        <f>Descargas!A1778</f>
        <v>1457@covama.es</v>
      </c>
      <c r="B1778" s="19" t="str">
        <f>IFERROR(__xludf.DUMMYFUNCTION("IF(OR(regexmatch(A1778,"".*@simon.es$""),REGEXMATCH(A1778,"".*@simon.pt$""),REGEXMATCH(A1778,"".*@simonelectrica.com$""),REGEXMATCH(A1778,"".*@hiberus.com$""),REGEXMATCH(A1778,"".*@simonbrico.es$""),regexmatch(A1778,"".*@simonelectric.com$"")),""null"",A1"&amp;"778)"),"1457@covama.es")</f>
        <v>1457@covama.es</v>
      </c>
      <c r="C1778" s="5">
        <f>IF(B1778="null","null",Descargas!B1778)</f>
        <v>43950</v>
      </c>
      <c r="D1778" s="6" t="str">
        <f>Descargas!E1778</f>
        <v>https://resources.simonelectric.com/simon-catalogo-vehiculo-electrico</v>
      </c>
      <c r="E1778" s="20" t="str">
        <f t="shared" si="1"/>
        <v>1457@covama.es</v>
      </c>
      <c r="F1778" s="21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</row>
    <row r="1779" ht="15.75" customHeight="1">
      <c r="A1779" s="18" t="str">
        <f>Descargas!A1779</f>
        <v>1458@gmail.com</v>
      </c>
      <c r="B1779" s="19" t="str">
        <f>IFERROR(__xludf.DUMMYFUNCTION("IF(OR(regexmatch(A1779,"".*@simon.es$""),REGEXMATCH(A1779,"".*@simon.pt$""),REGEXMATCH(A1779,"".*@simonelectrica.com$""),REGEXMATCH(A1779,"".*@hiberus.com$""),REGEXMATCH(A1779,"".*@simonbrico.es$""),regexmatch(A1779,"".*@simonelectric.com$"")),""null"",A1"&amp;"779)"),"1458@gmail.com")</f>
        <v>1458@gmail.com</v>
      </c>
      <c r="C1779" s="5">
        <f>IF(B1779="null","null",Descargas!B1779)</f>
        <v>43950</v>
      </c>
      <c r="D1779" s="6" t="str">
        <f>Descargas!E1779</f>
        <v>https://resources.simonelectric.com/simon-catalogo-vehiculo-electrico</v>
      </c>
      <c r="E1779" s="20" t="str">
        <f t="shared" si="1"/>
        <v>1458@gmail.com</v>
      </c>
      <c r="F1779" s="21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</row>
    <row r="1780" ht="15.75" customHeight="1">
      <c r="A1780" s="18" t="str">
        <f>Descargas!A1780</f>
        <v>1459@mican.es</v>
      </c>
      <c r="B1780" s="19" t="str">
        <f>IFERROR(__xludf.DUMMYFUNCTION("IF(OR(regexmatch(A1780,"".*@simon.es$""),REGEXMATCH(A1780,"".*@simon.pt$""),REGEXMATCH(A1780,"".*@simonelectrica.com$""),REGEXMATCH(A1780,"".*@hiberus.com$""),REGEXMATCH(A1780,"".*@simonbrico.es$""),regexmatch(A1780,"".*@simonelectric.com$"")),""null"",A1"&amp;"780)"),"1459@mican.es")</f>
        <v>1459@mican.es</v>
      </c>
      <c r="C1780" s="5">
        <f>IF(B1780="null","null",Descargas!B1780)</f>
        <v>43950</v>
      </c>
      <c r="D1780" s="6" t="str">
        <f>Descargas!E1780</f>
        <v>https://resources.simonelectric.com/simon-catalogo-vehiculo-electrico</v>
      </c>
      <c r="E1780" s="20" t="str">
        <f t="shared" si="1"/>
        <v>1459@mican.es</v>
      </c>
      <c r="F1780" s="21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</row>
    <row r="1781" ht="15.75" customHeight="1">
      <c r="A1781" s="18" t="str">
        <f>Descargas!A1781</f>
        <v>1460@gmail.com</v>
      </c>
      <c r="B1781" s="19" t="str">
        <f>IFERROR(__xludf.DUMMYFUNCTION("IF(OR(regexmatch(A1781,"".*@simon.es$""),REGEXMATCH(A1781,"".*@simon.pt$""),REGEXMATCH(A1781,"".*@simonelectrica.com$""),REGEXMATCH(A1781,"".*@hiberus.com$""),REGEXMATCH(A1781,"".*@simonbrico.es$""),regexmatch(A1781,"".*@simonelectric.com$"")),""null"",A1"&amp;"781)"),"1460@gmail.com")</f>
        <v>1460@gmail.com</v>
      </c>
      <c r="C1781" s="5">
        <f>IF(B1781="null","null",Descargas!B1781)</f>
        <v>43950</v>
      </c>
      <c r="D1781" s="6" t="str">
        <f>Descargas!E1781</f>
        <v>https://resources.simonelectric.com/simon-catalogo-vehiculo-electrico</v>
      </c>
      <c r="E1781" s="20" t="str">
        <f t="shared" si="1"/>
        <v>1460@gmail.com</v>
      </c>
      <c r="F1781" s="21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</row>
    <row r="1782" ht="15.75" customHeight="1">
      <c r="A1782" s="18" t="str">
        <f>Descargas!A1782</f>
        <v>1461@gmail.com</v>
      </c>
      <c r="B1782" s="19" t="str">
        <f>IFERROR(__xludf.DUMMYFUNCTION("IF(OR(regexmatch(A1782,"".*@simon.es$""),REGEXMATCH(A1782,"".*@simon.pt$""),REGEXMATCH(A1782,"".*@simonelectrica.com$""),REGEXMATCH(A1782,"".*@hiberus.com$""),REGEXMATCH(A1782,"".*@simonbrico.es$""),regexmatch(A1782,"".*@simonelectric.com$"")),""null"",A1"&amp;"782)"),"1461@gmail.com")</f>
        <v>1461@gmail.com</v>
      </c>
      <c r="C1782" s="5">
        <f>IF(B1782="null","null",Descargas!B1782)</f>
        <v>43950</v>
      </c>
      <c r="D1782" s="6" t="str">
        <f>Descargas!E1782</f>
        <v>https://resources.simonelectric.com/simon-catalogo-vehiculo-electrico</v>
      </c>
      <c r="E1782" s="20" t="str">
        <f t="shared" si="1"/>
        <v>1461@gmail.com</v>
      </c>
      <c r="F1782" s="21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</row>
    <row r="1783" ht="15.75" customHeight="1">
      <c r="A1783" s="18" t="str">
        <f>Descargas!A1783</f>
        <v>1462@cadlan.com</v>
      </c>
      <c r="B1783" s="19" t="str">
        <f>IFERROR(__xludf.DUMMYFUNCTION("IF(OR(regexmatch(A1783,"".*@simon.es$""),REGEXMATCH(A1783,"".*@simon.pt$""),REGEXMATCH(A1783,"".*@simonelectrica.com$""),REGEXMATCH(A1783,"".*@hiberus.com$""),REGEXMATCH(A1783,"".*@simonbrico.es$""),regexmatch(A1783,"".*@simonelectric.com$"")),""null"",A1"&amp;"783)"),"1462@cadlan.com")</f>
        <v>1462@cadlan.com</v>
      </c>
      <c r="C1783" s="5">
        <f>IF(B1783="null","null",Descargas!B1783)</f>
        <v>43950</v>
      </c>
      <c r="D1783" s="6" t="str">
        <f>Descargas!E1783</f>
        <v>https://resources.simonelectric.com/simon-catalogo-vehiculo-electrico</v>
      </c>
      <c r="E1783" s="20" t="str">
        <f t="shared" si="1"/>
        <v>1462@cadlan.com</v>
      </c>
      <c r="F1783" s="21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</row>
    <row r="1784" ht="15.75" customHeight="1">
      <c r="A1784" s="18" t="str">
        <f>Descargas!A1784</f>
        <v>1463@sicarsl.es</v>
      </c>
      <c r="B1784" s="19" t="str">
        <f>IFERROR(__xludf.DUMMYFUNCTION("IF(OR(regexmatch(A1784,"".*@simon.es$""),REGEXMATCH(A1784,"".*@simon.pt$""),REGEXMATCH(A1784,"".*@simonelectrica.com$""),REGEXMATCH(A1784,"".*@hiberus.com$""),REGEXMATCH(A1784,"".*@simonbrico.es$""),regexmatch(A1784,"".*@simonelectric.com$"")),""null"",A1"&amp;"784)"),"1463@sicarsl.es")</f>
        <v>1463@sicarsl.es</v>
      </c>
      <c r="C1784" s="5">
        <f>IF(B1784="null","null",Descargas!B1784)</f>
        <v>43950</v>
      </c>
      <c r="D1784" s="6" t="str">
        <f>Descargas!E1784</f>
        <v>https://resources.simonelectric.com/simon-catalogo-vehiculo-electrico</v>
      </c>
      <c r="E1784" s="20" t="str">
        <f t="shared" si="1"/>
        <v>1463@sicarsl.es</v>
      </c>
      <c r="F1784" s="21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</row>
    <row r="1785" ht="15.75" customHeight="1">
      <c r="A1785" s="18" t="str">
        <f>Descargas!A1785</f>
        <v>1464@gmail.com</v>
      </c>
      <c r="B1785" s="19" t="str">
        <f>IFERROR(__xludf.DUMMYFUNCTION("IF(OR(regexmatch(A1785,"".*@simon.es$""),REGEXMATCH(A1785,"".*@simon.pt$""),REGEXMATCH(A1785,"".*@simonelectrica.com$""),REGEXMATCH(A1785,"".*@hiberus.com$""),REGEXMATCH(A1785,"".*@simonbrico.es$""),regexmatch(A1785,"".*@simonelectric.com$"")),""null"",A1"&amp;"785)"),"1464@gmail.com")</f>
        <v>1464@gmail.com</v>
      </c>
      <c r="C1785" s="5">
        <f>IF(B1785="null","null",Descargas!B1785)</f>
        <v>43950</v>
      </c>
      <c r="D1785" s="6" t="str">
        <f>Descargas!E1785</f>
        <v>https://resources.simonelectric.com/simon-catalogo-vehiculo-electrico</v>
      </c>
      <c r="E1785" s="20" t="str">
        <f t="shared" si="1"/>
        <v>1464@gmail.com</v>
      </c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</row>
    <row r="1786" ht="15.75" customHeight="1">
      <c r="A1786" s="18" t="str">
        <f>Descargas!A1786</f>
        <v>1465@guielec.es</v>
      </c>
      <c r="B1786" s="19" t="str">
        <f>IFERROR(__xludf.DUMMYFUNCTION("IF(OR(regexmatch(A1786,"".*@simon.es$""),REGEXMATCH(A1786,"".*@simon.pt$""),REGEXMATCH(A1786,"".*@simonelectrica.com$""),REGEXMATCH(A1786,"".*@hiberus.com$""),REGEXMATCH(A1786,"".*@simonbrico.es$""),regexmatch(A1786,"".*@simonelectric.com$"")),""null"",A1"&amp;"786)"),"1465@guielec.es")</f>
        <v>1465@guielec.es</v>
      </c>
      <c r="C1786" s="5">
        <f>IF(B1786="null","null",Descargas!B1786)</f>
        <v>43950</v>
      </c>
      <c r="D1786" s="6" t="str">
        <f>Descargas!E1786</f>
        <v>https://resources.simonelectric.com/simon-catalogo-vehiculo-electrico</v>
      </c>
      <c r="E1786" s="20" t="str">
        <f t="shared" si="1"/>
        <v>1465@guielec.es</v>
      </c>
      <c r="F1786" s="21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</row>
    <row r="1787" ht="15.75" customHeight="1">
      <c r="A1787" s="18" t="str">
        <f>Descargas!A1787</f>
        <v>1466@telegrado.es</v>
      </c>
      <c r="B1787" s="19" t="str">
        <f>IFERROR(__xludf.DUMMYFUNCTION("IF(OR(regexmatch(A1787,"".*@simon.es$""),REGEXMATCH(A1787,"".*@simon.pt$""),REGEXMATCH(A1787,"".*@simonelectrica.com$""),REGEXMATCH(A1787,"".*@hiberus.com$""),REGEXMATCH(A1787,"".*@simonbrico.es$""),regexmatch(A1787,"".*@simonelectric.com$"")),""null"",A1"&amp;"787)"),"1466@telegrado.es")</f>
        <v>1466@telegrado.es</v>
      </c>
      <c r="C1787" s="5">
        <f>IF(B1787="null","null",Descargas!B1787)</f>
        <v>43950</v>
      </c>
      <c r="D1787" s="6" t="str">
        <f>Descargas!E1787</f>
        <v>https://resources.simonelectric.com/simon-catalogo-vehiculo-electrico</v>
      </c>
      <c r="E1787" s="20" t="str">
        <f t="shared" si="1"/>
        <v>1466@telegrado.es</v>
      </c>
      <c r="F1787" s="21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</row>
    <row r="1788" ht="15.75" customHeight="1">
      <c r="A1788" s="18" t="str">
        <f>Descargas!A1788</f>
        <v>1467@agave-broadcast.es</v>
      </c>
      <c r="B1788" s="19" t="str">
        <f>IFERROR(__xludf.DUMMYFUNCTION("IF(OR(regexmatch(A1788,"".*@simon.es$""),REGEXMATCH(A1788,"".*@simon.pt$""),REGEXMATCH(A1788,"".*@simonelectrica.com$""),REGEXMATCH(A1788,"".*@hiberus.com$""),REGEXMATCH(A1788,"".*@simonbrico.es$""),regexmatch(A1788,"".*@simonelectric.com$"")),""null"",A1"&amp;"788)"),"1467@agave-broadcast.es")</f>
        <v>1467@agave-broadcast.es</v>
      </c>
      <c r="C1788" s="5">
        <f>IF(B1788="null","null",Descargas!B1788)</f>
        <v>43950</v>
      </c>
      <c r="D1788" s="6" t="str">
        <f>Descargas!E1788</f>
        <v>https://resources.simonelectric.com/simon-catalogo-vehiculo-electrico</v>
      </c>
      <c r="E1788" s="20" t="str">
        <f t="shared" si="1"/>
        <v>1467@agave-broadcast.es</v>
      </c>
      <c r="F1788" s="21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</row>
    <row r="1789" ht="15.75" customHeight="1">
      <c r="A1789" s="18" t="str">
        <f>Descargas!A1789</f>
        <v>1468@gmail.com</v>
      </c>
      <c r="B1789" s="19" t="str">
        <f>IFERROR(__xludf.DUMMYFUNCTION("IF(OR(regexmatch(A1789,"".*@simon.es$""),REGEXMATCH(A1789,"".*@simon.pt$""),REGEXMATCH(A1789,"".*@simonelectrica.com$""),REGEXMATCH(A1789,"".*@hiberus.com$""),REGEXMATCH(A1789,"".*@simonbrico.es$""),regexmatch(A1789,"".*@simonelectric.com$"")),""null"",A1"&amp;"789)"),"1468@gmail.com")</f>
        <v>1468@gmail.com</v>
      </c>
      <c r="C1789" s="5">
        <f>IF(B1789="null","null",Descargas!B1789)</f>
        <v>43950</v>
      </c>
      <c r="D1789" s="6" t="str">
        <f>Descargas!E1789</f>
        <v>https://resources.simonelectric.com/simon-catalogo-vehiculo-electrico</v>
      </c>
      <c r="E1789" s="20" t="str">
        <f t="shared" si="1"/>
        <v>1468@gmail.com</v>
      </c>
      <c r="F1789" s="21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</row>
    <row r="1790" ht="15.75" customHeight="1">
      <c r="A1790" s="18" t="str">
        <f>Descargas!A1790</f>
        <v>995@telefonica.net</v>
      </c>
      <c r="B1790" s="19" t="str">
        <f>IFERROR(__xludf.DUMMYFUNCTION("IF(OR(regexmatch(A1790,"".*@simon.es$""),REGEXMATCH(A1790,"".*@simon.pt$""),REGEXMATCH(A1790,"".*@simonelectrica.com$""),REGEXMATCH(A1790,"".*@hiberus.com$""),REGEXMATCH(A1790,"".*@simonbrico.es$""),regexmatch(A1790,"".*@simonelectric.com$"")),""null"",A1"&amp;"790)"),"995@telefonica.net")</f>
        <v>995@telefonica.net</v>
      </c>
      <c r="C1790" s="5">
        <f>IF(B1790="null","null",Descargas!B1790)</f>
        <v>43950</v>
      </c>
      <c r="D1790" s="6" t="str">
        <f>Descargas!E1790</f>
        <v>https://resources.simonelectric.com/simon-catalogo-vehiculo-electrico</v>
      </c>
      <c r="E1790" s="20" t="str">
        <f t="shared" si="1"/>
        <v>995@telefonica.net</v>
      </c>
      <c r="F1790" s="21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</row>
    <row r="1791" ht="15.75" customHeight="1">
      <c r="A1791" s="18" t="str">
        <f>Descargas!A1791</f>
        <v>1469@hotmail.com</v>
      </c>
      <c r="B1791" s="19" t="str">
        <f>IFERROR(__xludf.DUMMYFUNCTION("IF(OR(regexmatch(A1791,"".*@simon.es$""),REGEXMATCH(A1791,"".*@simon.pt$""),REGEXMATCH(A1791,"".*@simonelectrica.com$""),REGEXMATCH(A1791,"".*@hiberus.com$""),REGEXMATCH(A1791,"".*@simonbrico.es$""),regexmatch(A1791,"".*@simonelectric.com$"")),""null"",A1"&amp;"791)"),"1469@hotmail.com")</f>
        <v>1469@hotmail.com</v>
      </c>
      <c r="C1791" s="5">
        <f>IF(B1791="null","null",Descargas!B1791)</f>
        <v>43950</v>
      </c>
      <c r="D1791" s="6" t="str">
        <f>Descargas!E1791</f>
        <v>https://resources.simonelectric.com/simon-catalogo-vehiculo-electrico</v>
      </c>
      <c r="E1791" s="20" t="str">
        <f t="shared" si="1"/>
        <v>1469@hotmail.com</v>
      </c>
      <c r="F1791" s="21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</row>
    <row r="1792" ht="15.75" customHeight="1">
      <c r="A1792" s="18" t="str">
        <f>Descargas!A1792</f>
        <v>1470@gmail.com</v>
      </c>
      <c r="B1792" s="19" t="str">
        <f>IFERROR(__xludf.DUMMYFUNCTION("IF(OR(regexmatch(A1792,"".*@simon.es$""),REGEXMATCH(A1792,"".*@simon.pt$""),REGEXMATCH(A1792,"".*@simonelectrica.com$""),REGEXMATCH(A1792,"".*@hiberus.com$""),REGEXMATCH(A1792,"".*@simonbrico.es$""),regexmatch(A1792,"".*@simonelectric.com$"")),""null"",A1"&amp;"792)"),"1470@gmail.com")</f>
        <v>1470@gmail.com</v>
      </c>
      <c r="C1792" s="5">
        <f>IF(B1792="null","null",Descargas!B1792)</f>
        <v>43950</v>
      </c>
      <c r="D1792" s="6" t="str">
        <f>Descargas!E1792</f>
        <v>https://resources.simonelectric.com/simon-catalogo-vehiculo-electrico</v>
      </c>
      <c r="E1792" s="20" t="str">
        <f t="shared" si="1"/>
        <v>1470@gmail.com</v>
      </c>
      <c r="F1792" s="21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</row>
    <row r="1793" ht="15.75" customHeight="1">
      <c r="A1793" s="18" t="str">
        <f>Descargas!A1793</f>
        <v>1471@tcasertec.com</v>
      </c>
      <c r="B1793" s="19" t="str">
        <f>IFERROR(__xludf.DUMMYFUNCTION("IF(OR(regexmatch(A1793,"".*@simon.es$""),REGEXMATCH(A1793,"".*@simon.pt$""),REGEXMATCH(A1793,"".*@simonelectrica.com$""),REGEXMATCH(A1793,"".*@hiberus.com$""),REGEXMATCH(A1793,"".*@simonbrico.es$""),regexmatch(A1793,"".*@simonelectric.com$"")),""null"",A1"&amp;"793)"),"1471@tcasertec.com")</f>
        <v>1471@tcasertec.com</v>
      </c>
      <c r="C1793" s="5">
        <f>IF(B1793="null","null",Descargas!B1793)</f>
        <v>43950</v>
      </c>
      <c r="D1793" s="6" t="str">
        <f>Descargas!E1793</f>
        <v>https://resources.simonelectric.com/simon-catalogo-vehiculo-electrico</v>
      </c>
      <c r="E1793" s="20" t="str">
        <f t="shared" si="1"/>
        <v>1471@tcasertec.com</v>
      </c>
      <c r="F1793" s="21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</row>
    <row r="1794" ht="15.75" customHeight="1">
      <c r="A1794" s="18" t="str">
        <f>Descargas!A1794</f>
        <v>1472@yahoo.es</v>
      </c>
      <c r="B1794" s="19" t="str">
        <f>IFERROR(__xludf.DUMMYFUNCTION("IF(OR(regexmatch(A1794,"".*@simon.es$""),REGEXMATCH(A1794,"".*@simon.pt$""),REGEXMATCH(A1794,"".*@simonelectrica.com$""),REGEXMATCH(A1794,"".*@hiberus.com$""),REGEXMATCH(A1794,"".*@simonbrico.es$""),regexmatch(A1794,"".*@simonelectric.com$"")),""null"",A1"&amp;"794)"),"1472@yahoo.es")</f>
        <v>1472@yahoo.es</v>
      </c>
      <c r="C1794" s="5">
        <f>IF(B1794="null","null",Descargas!B1794)</f>
        <v>43950</v>
      </c>
      <c r="D1794" s="6" t="str">
        <f>Descargas!E1794</f>
        <v>https://resources.simonelectric.com/simon-catalogo-vehiculo-electrico</v>
      </c>
      <c r="E1794" s="20" t="str">
        <f t="shared" si="1"/>
        <v>1472@yahoo.es</v>
      </c>
      <c r="F1794" s="21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</row>
    <row r="1795" ht="15.75" customHeight="1">
      <c r="A1795" s="18" t="str">
        <f>Descargas!A1795</f>
        <v>1473@hotmail.com</v>
      </c>
      <c r="B1795" s="19" t="str">
        <f>IFERROR(__xludf.DUMMYFUNCTION("IF(OR(regexmatch(A1795,"".*@simon.es$""),REGEXMATCH(A1795,"".*@simon.pt$""),REGEXMATCH(A1795,"".*@simonelectrica.com$""),REGEXMATCH(A1795,"".*@hiberus.com$""),REGEXMATCH(A1795,"".*@simonbrico.es$""),regexmatch(A1795,"".*@simonelectric.com$"")),""null"",A1"&amp;"795)"),"1473@hotmail.com")</f>
        <v>1473@hotmail.com</v>
      </c>
      <c r="C1795" s="5">
        <f>IF(B1795="null","null",Descargas!B1795)</f>
        <v>43950</v>
      </c>
      <c r="D1795" s="6" t="str">
        <f>Descargas!E1795</f>
        <v>https://resources.simonelectric.com/simon-catalogo-vehiculo-electrico</v>
      </c>
      <c r="E1795" s="20" t="str">
        <f t="shared" si="1"/>
        <v>1473@hotmail.com</v>
      </c>
      <c r="F1795" s="21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</row>
    <row r="1796" ht="15.75" customHeight="1">
      <c r="A1796" s="18" t="str">
        <f>Descargas!A1796</f>
        <v>1474@urgon.es</v>
      </c>
      <c r="B1796" s="19" t="str">
        <f>IFERROR(__xludf.DUMMYFUNCTION("IF(OR(regexmatch(A1796,"".*@simon.es$""),REGEXMATCH(A1796,"".*@simon.pt$""),REGEXMATCH(A1796,"".*@simonelectrica.com$""),REGEXMATCH(A1796,"".*@hiberus.com$""),REGEXMATCH(A1796,"".*@simonbrico.es$""),regexmatch(A1796,"".*@simonelectric.com$"")),""null"",A1"&amp;"796)"),"1474@urgon.es")</f>
        <v>1474@urgon.es</v>
      </c>
      <c r="C1796" s="5">
        <f>IF(B1796="null","null",Descargas!B1796)</f>
        <v>43950</v>
      </c>
      <c r="D1796" s="6" t="str">
        <f>Descargas!E1796</f>
        <v>https://resources.simonelectric.com/simon-catalogo-vehiculo-electrico</v>
      </c>
      <c r="E1796" s="20" t="str">
        <f t="shared" si="1"/>
        <v>1474@urgon.es</v>
      </c>
      <c r="F1796" s="21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</row>
    <row r="1797" ht="15.75" customHeight="1">
      <c r="A1797" s="18" t="str">
        <f>Descargas!A1797</f>
        <v>1475@electricidadreset.es</v>
      </c>
      <c r="B1797" s="19" t="str">
        <f>IFERROR(__xludf.DUMMYFUNCTION("IF(OR(regexmatch(A1797,"".*@simon.es$""),REGEXMATCH(A1797,"".*@simon.pt$""),REGEXMATCH(A1797,"".*@simonelectrica.com$""),REGEXMATCH(A1797,"".*@hiberus.com$""),REGEXMATCH(A1797,"".*@simonbrico.es$""),regexmatch(A1797,"".*@simonelectric.com$"")),""null"",A1"&amp;"797)"),"1475@electricidadreset.es")</f>
        <v>1475@electricidadreset.es</v>
      </c>
      <c r="C1797" s="5">
        <f>IF(B1797="null","null",Descargas!B1797)</f>
        <v>43950</v>
      </c>
      <c r="D1797" s="6" t="str">
        <f>Descargas!E1797</f>
        <v>https://resources.simonelectric.com/simon-catalogo-vehiculo-electrico</v>
      </c>
      <c r="E1797" s="20" t="str">
        <f t="shared" si="1"/>
        <v>1475@electricidadreset.es</v>
      </c>
      <c r="F1797" s="21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</row>
    <row r="1798" ht="15.75" customHeight="1">
      <c r="A1798" s="18" t="str">
        <f>Descargas!A1798</f>
        <v>951@tenerasa.es</v>
      </c>
      <c r="B1798" s="19" t="str">
        <f>IFERROR(__xludf.DUMMYFUNCTION("IF(OR(regexmatch(A1798,"".*@simon.es$""),REGEXMATCH(A1798,"".*@simon.pt$""),REGEXMATCH(A1798,"".*@simonelectrica.com$""),REGEXMATCH(A1798,"".*@hiberus.com$""),REGEXMATCH(A1798,"".*@simonbrico.es$""),regexmatch(A1798,"".*@simonelectric.com$"")),""null"",A1"&amp;"798)"),"951@tenerasa.es")</f>
        <v>951@tenerasa.es</v>
      </c>
      <c r="C1798" s="5">
        <f>IF(B1798="null","null",Descargas!B1798)</f>
        <v>43950</v>
      </c>
      <c r="D1798" s="6" t="str">
        <f>Descargas!E1798</f>
        <v>https://resources.simonelectric.com/simon-material-formativo-vehiculo-electrico</v>
      </c>
      <c r="E1798" s="20" t="str">
        <f t="shared" si="1"/>
        <v>951@tenerasa.es</v>
      </c>
      <c r="F1798" s="21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</row>
    <row r="1799" ht="15.75" customHeight="1">
      <c r="A1799" s="18" t="str">
        <f>Descargas!A1799</f>
        <v>1476@sonepar.es</v>
      </c>
      <c r="B1799" s="19" t="str">
        <f>IFERROR(__xludf.DUMMYFUNCTION("IF(OR(regexmatch(A1799,"".*@simon.es$""),REGEXMATCH(A1799,"".*@simon.pt$""),REGEXMATCH(A1799,"".*@simonelectrica.com$""),REGEXMATCH(A1799,"".*@hiberus.com$""),REGEXMATCH(A1799,"".*@simonbrico.es$""),regexmatch(A1799,"".*@simonelectric.com$"")),""null"",A1"&amp;"799)"),"1476@sonepar.es")</f>
        <v>1476@sonepar.es</v>
      </c>
      <c r="C1799" s="5">
        <f>IF(B1799="null","null",Descargas!B1799)</f>
        <v>43950</v>
      </c>
      <c r="D1799" s="6" t="str">
        <f>Descargas!E1799</f>
        <v>https://resources.simonelectric.com/simon-catalogo-vehiculo-electrico</v>
      </c>
      <c r="E1799" s="20" t="str">
        <f t="shared" si="1"/>
        <v>1476@sonepar.es</v>
      </c>
      <c r="F1799" s="21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</row>
    <row r="1800" ht="15.75" customHeight="1">
      <c r="A1800" s="18" t="str">
        <f>Descargas!A1800</f>
        <v>1477@sonepar.es</v>
      </c>
      <c r="B1800" s="19" t="str">
        <f>IFERROR(__xludf.DUMMYFUNCTION("IF(OR(regexmatch(A1800,"".*@simon.es$""),REGEXMATCH(A1800,"".*@simon.pt$""),REGEXMATCH(A1800,"".*@simonelectrica.com$""),REGEXMATCH(A1800,"".*@hiberus.com$""),REGEXMATCH(A1800,"".*@simonbrico.es$""),regexmatch(A1800,"".*@simonelectric.com$"")),""null"",A1"&amp;"800)"),"1477@sonepar.es")</f>
        <v>1477@sonepar.es</v>
      </c>
      <c r="C1800" s="5">
        <f>IF(B1800="null","null",Descargas!B1800)</f>
        <v>43950</v>
      </c>
      <c r="D1800" s="6" t="str">
        <f>Descargas!E1800</f>
        <v>https://resources.simonelectric.com/simon-catalogo-vehiculo-electrico</v>
      </c>
      <c r="E1800" s="20" t="str">
        <f t="shared" si="1"/>
        <v>1477@sonepar.es</v>
      </c>
      <c r="F1800" s="21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</row>
    <row r="1801" ht="15.75" customHeight="1">
      <c r="A1801" s="18" t="str">
        <f>Descargas!A1801</f>
        <v>593@sorigue.com</v>
      </c>
      <c r="B1801" s="19" t="str">
        <f>IFERROR(__xludf.DUMMYFUNCTION("IF(OR(regexmatch(A1801,"".*@simon.es$""),REGEXMATCH(A1801,"".*@simon.pt$""),REGEXMATCH(A1801,"".*@simonelectrica.com$""),REGEXMATCH(A1801,"".*@hiberus.com$""),REGEXMATCH(A1801,"".*@simonbrico.es$""),regexmatch(A1801,"".*@simonelectric.com$"")),""null"",A1"&amp;"801)"),"593@sorigue.com")</f>
        <v>593@sorigue.com</v>
      </c>
      <c r="C1801" s="5">
        <f>IF(B1801="null","null",Descargas!B1801)</f>
        <v>43950</v>
      </c>
      <c r="D1801" s="6" t="str">
        <f>Descargas!E1801</f>
        <v>https://resources.simonelectric.com/simon-catalogo-vehiculo-electrico</v>
      </c>
      <c r="E1801" s="20" t="str">
        <f t="shared" si="1"/>
        <v>593@sorigue.com</v>
      </c>
      <c r="F1801" s="21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</row>
    <row r="1802" ht="15.75" customHeight="1">
      <c r="A1802" s="18" t="str">
        <f>Descargas!A1802</f>
        <v>1478@gmail.com</v>
      </c>
      <c r="B1802" s="19" t="str">
        <f>IFERROR(__xludf.DUMMYFUNCTION("IF(OR(regexmatch(A1802,"".*@simon.es$""),REGEXMATCH(A1802,"".*@simon.pt$""),REGEXMATCH(A1802,"".*@simonelectrica.com$""),REGEXMATCH(A1802,"".*@hiberus.com$""),REGEXMATCH(A1802,"".*@simonbrico.es$""),regexmatch(A1802,"".*@simonelectric.com$"")),""null"",A1"&amp;"802)"),"1478@gmail.com")</f>
        <v>1478@gmail.com</v>
      </c>
      <c r="C1802" s="5">
        <f>IF(B1802="null","null",Descargas!B1802)</f>
        <v>43950</v>
      </c>
      <c r="D1802" s="6" t="str">
        <f>Descargas!E1802</f>
        <v>https://resources.simonelectric.com/simon-catalogo-vehiculo-electrico</v>
      </c>
      <c r="E1802" s="20" t="str">
        <f t="shared" si="1"/>
        <v>1478@gmail.com</v>
      </c>
      <c r="F1802" s="21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</row>
    <row r="1803" ht="15.75" customHeight="1">
      <c r="A1803" s="18" t="str">
        <f>Descargas!A1803</f>
        <v>1479@iespunyes.com</v>
      </c>
      <c r="B1803" s="19" t="str">
        <f>IFERROR(__xludf.DUMMYFUNCTION("IF(OR(regexmatch(A1803,"".*@simon.es$""),REGEXMATCH(A1803,"".*@simon.pt$""),REGEXMATCH(A1803,"".*@simonelectrica.com$""),REGEXMATCH(A1803,"".*@hiberus.com$""),REGEXMATCH(A1803,"".*@simonbrico.es$""),regexmatch(A1803,"".*@simonelectric.com$"")),""null"",A1"&amp;"803)"),"1479@iespunyes.com")</f>
        <v>1479@iespunyes.com</v>
      </c>
      <c r="C1803" s="5">
        <f>IF(B1803="null","null",Descargas!B1803)</f>
        <v>43950</v>
      </c>
      <c r="D1803" s="6" t="str">
        <f>Descargas!E1803</f>
        <v>https://resources.simonelectric.com/simon-catalogo-vehiculo-electrico</v>
      </c>
      <c r="E1803" s="20" t="str">
        <f t="shared" si="1"/>
        <v>1479@iespunyes.com</v>
      </c>
      <c r="F1803" s="21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</row>
    <row r="1804" ht="15.75" customHeight="1">
      <c r="A1804" s="18" t="str">
        <f>Descargas!A1804</f>
        <v>679@hotmail.com</v>
      </c>
      <c r="B1804" s="19" t="str">
        <f>IFERROR(__xludf.DUMMYFUNCTION("IF(OR(regexmatch(A1804,"".*@simon.es$""),REGEXMATCH(A1804,"".*@simon.pt$""),REGEXMATCH(A1804,"".*@simonelectrica.com$""),REGEXMATCH(A1804,"".*@hiberus.com$""),REGEXMATCH(A1804,"".*@simonbrico.es$""),regexmatch(A1804,"".*@simonelectric.com$"")),""null"",A1"&amp;"804)"),"679@hotmail.com")</f>
        <v>679@hotmail.com</v>
      </c>
      <c r="C1804" s="5">
        <f>IF(B1804="null","null",Descargas!B1804)</f>
        <v>43950</v>
      </c>
      <c r="D1804" s="6" t="str">
        <f>Descargas!E1804</f>
        <v>https://resources.simonelectric.com/simon-catalogo-vehiculo-electrico</v>
      </c>
      <c r="E1804" s="20" t="str">
        <f t="shared" si="1"/>
        <v>679@hotmail.com</v>
      </c>
      <c r="F1804" s="21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</row>
    <row r="1805" ht="15.75" customHeight="1">
      <c r="A1805" s="18" t="str">
        <f>Descargas!A1805</f>
        <v>1480@coiim.es</v>
      </c>
      <c r="B1805" s="19" t="str">
        <f>IFERROR(__xludf.DUMMYFUNCTION("IF(OR(regexmatch(A1805,"".*@simon.es$""),REGEXMATCH(A1805,"".*@simon.pt$""),REGEXMATCH(A1805,"".*@simonelectrica.com$""),REGEXMATCH(A1805,"".*@hiberus.com$""),REGEXMATCH(A1805,"".*@simonbrico.es$""),regexmatch(A1805,"".*@simonelectric.com$"")),""null"",A1"&amp;"805)"),"1480@coiim.es")</f>
        <v>1480@coiim.es</v>
      </c>
      <c r="C1805" s="5">
        <f>IF(B1805="null","null",Descargas!B1805)</f>
        <v>43950</v>
      </c>
      <c r="D1805" s="6" t="str">
        <f>Descargas!E1805</f>
        <v>https://resources.simonelectric.com/simon-catalogo-vehiculo-electrico</v>
      </c>
      <c r="E1805" s="20" t="str">
        <f t="shared" si="1"/>
        <v>1480@coiim.es</v>
      </c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</row>
    <row r="1806" ht="15.75" customHeight="1">
      <c r="A1806" s="18" t="str">
        <f>Descargas!A1806</f>
        <v>391@gmail.com</v>
      </c>
      <c r="B1806" s="19" t="str">
        <f>IFERROR(__xludf.DUMMYFUNCTION("IF(OR(regexmatch(A1806,"".*@simon.es$""),REGEXMATCH(A1806,"".*@simon.pt$""),REGEXMATCH(A1806,"".*@simonelectrica.com$""),REGEXMATCH(A1806,"".*@hiberus.com$""),REGEXMATCH(A1806,"".*@simonbrico.es$""),regexmatch(A1806,"".*@simonelectric.com$"")),""null"",A1"&amp;"806)"),"391@gmail.com")</f>
        <v>391@gmail.com</v>
      </c>
      <c r="C1806" s="5">
        <f>IF(B1806="null","null",Descargas!B1806)</f>
        <v>43950</v>
      </c>
      <c r="D1806" s="6" t="str">
        <f>Descargas!E1806</f>
        <v>https://resources.simonelectric.com/simon-catalogo-vehiculo-electrico</v>
      </c>
      <c r="E1806" s="20" t="str">
        <f t="shared" si="1"/>
        <v>391@gmail.com</v>
      </c>
      <c r="F1806" s="21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</row>
    <row r="1807" ht="15.75" customHeight="1">
      <c r="A1807" s="18" t="str">
        <f>Descargas!A1807</f>
        <v>1481@iesmercurio.es</v>
      </c>
      <c r="B1807" s="19" t="str">
        <f>IFERROR(__xludf.DUMMYFUNCTION("IF(OR(regexmatch(A1807,"".*@simon.es$""),REGEXMATCH(A1807,"".*@simon.pt$""),REGEXMATCH(A1807,"".*@simonelectrica.com$""),REGEXMATCH(A1807,"".*@hiberus.com$""),REGEXMATCH(A1807,"".*@simonbrico.es$""),regexmatch(A1807,"".*@simonelectric.com$"")),""null"",A1"&amp;"807)"),"1481@iesmercurio.es")</f>
        <v>1481@iesmercurio.es</v>
      </c>
      <c r="C1807" s="5">
        <f>IF(B1807="null","null",Descargas!B1807)</f>
        <v>43950</v>
      </c>
      <c r="D1807" s="6" t="str">
        <f>Descargas!E1807</f>
        <v>https://resources.simonelectric.com/simon-catalogo-vehiculo-electrico</v>
      </c>
      <c r="E1807" s="20" t="str">
        <f t="shared" si="1"/>
        <v>1481@iesmercurio.es</v>
      </c>
      <c r="F1807" s="21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</row>
    <row r="1808" ht="15.75" customHeight="1">
      <c r="A1808" s="18" t="str">
        <f>Descargas!A1808</f>
        <v>1482@gmail.com</v>
      </c>
      <c r="B1808" s="19" t="str">
        <f>IFERROR(__xludf.DUMMYFUNCTION("IF(OR(regexmatch(A1808,"".*@simon.es$""),REGEXMATCH(A1808,"".*@simon.pt$""),REGEXMATCH(A1808,"".*@simonelectrica.com$""),REGEXMATCH(A1808,"".*@hiberus.com$""),REGEXMATCH(A1808,"".*@simonbrico.es$""),regexmatch(A1808,"".*@simonelectric.com$"")),""null"",A1"&amp;"808)"),"1482@gmail.com")</f>
        <v>1482@gmail.com</v>
      </c>
      <c r="C1808" s="5">
        <f>IF(B1808="null","null",Descargas!B1808)</f>
        <v>43950</v>
      </c>
      <c r="D1808" s="6" t="str">
        <f>Descargas!E1808</f>
        <v>https://resources.simonelectric.com/simon-catalogo-vehiculo-electrico</v>
      </c>
      <c r="E1808" s="20" t="str">
        <f t="shared" si="1"/>
        <v>1482@gmail.com</v>
      </c>
      <c r="F1808" s="21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</row>
    <row r="1809" ht="15.75" customHeight="1">
      <c r="A1809" s="18" t="str">
        <f>Descargas!A1809</f>
        <v>1483@gruponovelec.com</v>
      </c>
      <c r="B1809" s="19" t="str">
        <f>IFERROR(__xludf.DUMMYFUNCTION("IF(OR(regexmatch(A1809,"".*@simon.es$""),REGEXMATCH(A1809,"".*@simon.pt$""),REGEXMATCH(A1809,"".*@simonelectrica.com$""),REGEXMATCH(A1809,"".*@hiberus.com$""),REGEXMATCH(A1809,"".*@simonbrico.es$""),regexmatch(A1809,"".*@simonelectric.com$"")),""null"",A1"&amp;"809)"),"1483@gruponovelec.com")</f>
        <v>1483@gruponovelec.com</v>
      </c>
      <c r="C1809" s="5">
        <f>IF(B1809="null","null",Descargas!B1809)</f>
        <v>43950</v>
      </c>
      <c r="D1809" s="6" t="str">
        <f>Descargas!E1809</f>
        <v>https://resources.simonelectric.com/simon-catalogo-vehiculo-electrico</v>
      </c>
      <c r="E1809" s="20" t="str">
        <f t="shared" si="1"/>
        <v>1483@gruponovelec.com</v>
      </c>
      <c r="F1809" s="21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</row>
    <row r="1810" ht="15.75" customHeight="1">
      <c r="A1810" s="18" t="str">
        <f>Descargas!A1810</f>
        <v>1484@r3recymed.com</v>
      </c>
      <c r="B1810" s="19" t="str">
        <f>IFERROR(__xludf.DUMMYFUNCTION("IF(OR(regexmatch(A1810,"".*@simon.es$""),REGEXMATCH(A1810,"".*@simon.pt$""),REGEXMATCH(A1810,"".*@simonelectrica.com$""),REGEXMATCH(A1810,"".*@hiberus.com$""),REGEXMATCH(A1810,"".*@simonbrico.es$""),regexmatch(A1810,"".*@simonelectric.com$"")),""null"",A1"&amp;"810)"),"1484@r3recymed.com")</f>
        <v>1484@r3recymed.com</v>
      </c>
      <c r="C1810" s="5">
        <f>IF(B1810="null","null",Descargas!B1810)</f>
        <v>43950</v>
      </c>
      <c r="D1810" s="6" t="str">
        <f>Descargas!E1810</f>
        <v>https://resources.simonelectric.com/simon-catalogo-vehiculo-electrico</v>
      </c>
      <c r="E1810" s="20" t="str">
        <f t="shared" si="1"/>
        <v>1484@r3recymed.com</v>
      </c>
      <c r="F1810" s="21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</row>
    <row r="1811" ht="15.75" customHeight="1">
      <c r="A1811" s="18" t="str">
        <f>Descargas!A1811</f>
        <v>1485@simon.es</v>
      </c>
      <c r="B1811" s="19" t="str">
        <f>IFERROR(__xludf.DUMMYFUNCTION("IF(OR(regexmatch(A1811,"".*@simon.es$""),REGEXMATCH(A1811,"".*@simon.pt$""),REGEXMATCH(A1811,"".*@simonelectrica.com$""),REGEXMATCH(A1811,"".*@hiberus.com$""),REGEXMATCH(A1811,"".*@simonbrico.es$""),regexmatch(A1811,"".*@simonelectric.com$"")),""null"",A1"&amp;"811)"),"null")</f>
        <v>null</v>
      </c>
      <c r="C1811" s="5" t="str">
        <f>IF(B1811="null","null",Descargas!B1811)</f>
        <v>null</v>
      </c>
      <c r="D1811" s="6" t="str">
        <f>Descargas!E1811</f>
        <v>https://resources.simonelectric.com/simon-catalogo-vehiculo-electrico</v>
      </c>
      <c r="E1811" s="24" t="str">
        <f t="shared" si="1"/>
        <v/>
      </c>
      <c r="F1811" s="21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</row>
    <row r="1812" ht="15.75" customHeight="1">
      <c r="A1812" s="18" t="str">
        <f>Descargas!A1812</f>
        <v>1019@ingeralbaida.es</v>
      </c>
      <c r="B1812" s="19" t="str">
        <f>IFERROR(__xludf.DUMMYFUNCTION("IF(OR(regexmatch(A1812,"".*@simon.es$""),REGEXMATCH(A1812,"".*@simon.pt$""),REGEXMATCH(A1812,"".*@simonelectrica.com$""),REGEXMATCH(A1812,"".*@hiberus.com$""),REGEXMATCH(A1812,"".*@simonbrico.es$""),regexmatch(A1812,"".*@simonelectric.com$"")),""null"",A1"&amp;"812)"),"1019@ingeralbaida.es")</f>
        <v>1019@ingeralbaida.es</v>
      </c>
      <c r="C1812" s="5">
        <f>IF(B1812="null","null",Descargas!B1812)</f>
        <v>43950</v>
      </c>
      <c r="D1812" s="6" t="str">
        <f>Descargas!E1812</f>
        <v>https://resources.simonelectric.com/simon-catalogo-vehiculo-electrico</v>
      </c>
      <c r="E1812" s="20" t="str">
        <f t="shared" si="1"/>
        <v>1019@ingeralbaida.es</v>
      </c>
      <c r="F1812" s="21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</row>
    <row r="1813" ht="15.75" customHeight="1">
      <c r="A1813" s="18" t="str">
        <f>Descargas!A1813</f>
        <v>1486@gmail.com</v>
      </c>
      <c r="B1813" s="19" t="str">
        <f>IFERROR(__xludf.DUMMYFUNCTION("IF(OR(regexmatch(A1813,"".*@simon.es$""),REGEXMATCH(A1813,"".*@simon.pt$""),REGEXMATCH(A1813,"".*@simonelectrica.com$""),REGEXMATCH(A1813,"".*@hiberus.com$""),REGEXMATCH(A1813,"".*@simonbrico.es$""),regexmatch(A1813,"".*@simonelectric.com$"")),""null"",A1"&amp;"813)"),"1486@gmail.com")</f>
        <v>1486@gmail.com</v>
      </c>
      <c r="C1813" s="5">
        <f>IF(B1813="null","null",Descargas!B1813)</f>
        <v>43950</v>
      </c>
      <c r="D1813" s="6" t="str">
        <f>Descargas!E1813</f>
        <v>https://resources.simonelectric.com/simon-catalogo-vehiculo-electrico</v>
      </c>
      <c r="E1813" s="20" t="str">
        <f t="shared" si="1"/>
        <v>1486@gmail.com</v>
      </c>
      <c r="F1813" s="21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</row>
    <row r="1814" ht="15.75" customHeight="1">
      <c r="A1814" s="18" t="str">
        <f>Descargas!A1814</f>
        <v>1487@gmail.com</v>
      </c>
      <c r="B1814" s="19" t="str">
        <f>IFERROR(__xludf.DUMMYFUNCTION("IF(OR(regexmatch(A1814,"".*@simon.es$""),REGEXMATCH(A1814,"".*@simon.pt$""),REGEXMATCH(A1814,"".*@simonelectrica.com$""),REGEXMATCH(A1814,"".*@hiberus.com$""),REGEXMATCH(A1814,"".*@simonbrico.es$""),regexmatch(A1814,"".*@simonelectric.com$"")),""null"",A1"&amp;"814)"),"1487@gmail.com")</f>
        <v>1487@gmail.com</v>
      </c>
      <c r="C1814" s="5">
        <f>IF(B1814="null","null",Descargas!B1814)</f>
        <v>43950</v>
      </c>
      <c r="D1814" s="6" t="str">
        <f>Descargas!E1814</f>
        <v>https://resources.simonelectric.com/simon-catalogo-vehiculo-electrico</v>
      </c>
      <c r="E1814" s="20" t="str">
        <f t="shared" si="1"/>
        <v>1487@gmail.com</v>
      </c>
      <c r="F1814" s="21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</row>
    <row r="1815" ht="15.75" customHeight="1">
      <c r="A1815" s="18" t="str">
        <f>Descargas!A1815</f>
        <v>1488@telefonica.net</v>
      </c>
      <c r="B1815" s="19" t="str">
        <f>IFERROR(__xludf.DUMMYFUNCTION("IF(OR(regexmatch(A1815,"".*@simon.es$""),REGEXMATCH(A1815,"".*@simon.pt$""),REGEXMATCH(A1815,"".*@simonelectrica.com$""),REGEXMATCH(A1815,"".*@hiberus.com$""),REGEXMATCH(A1815,"".*@simonbrico.es$""),regexmatch(A1815,"".*@simonelectric.com$"")),""null"",A1"&amp;"815)"),"1488@telefonica.net")</f>
        <v>1488@telefonica.net</v>
      </c>
      <c r="C1815" s="5">
        <f>IF(B1815="null","null",Descargas!B1815)</f>
        <v>43950</v>
      </c>
      <c r="D1815" s="6" t="str">
        <f>Descargas!E1815</f>
        <v>https://resources.simonelectric.com/simon-catalogo-vehiculo-electrico</v>
      </c>
      <c r="E1815" s="20" t="str">
        <f t="shared" si="1"/>
        <v>1488@telefonica.net</v>
      </c>
      <c r="F1815" s="21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</row>
    <row r="1816" ht="15.75" customHeight="1">
      <c r="A1816" s="18" t="str">
        <f>Descargas!A1816</f>
        <v>1489@gmail.com</v>
      </c>
      <c r="B1816" s="19" t="str">
        <f>IFERROR(__xludf.DUMMYFUNCTION("IF(OR(regexmatch(A1816,"".*@simon.es$""),REGEXMATCH(A1816,"".*@simon.pt$""),REGEXMATCH(A1816,"".*@simonelectrica.com$""),REGEXMATCH(A1816,"".*@hiberus.com$""),REGEXMATCH(A1816,"".*@simonbrico.es$""),regexmatch(A1816,"".*@simonelectric.com$"")),""null"",A1"&amp;"816)"),"1489@gmail.com")</f>
        <v>1489@gmail.com</v>
      </c>
      <c r="C1816" s="5">
        <f>IF(B1816="null","null",Descargas!B1816)</f>
        <v>43950</v>
      </c>
      <c r="D1816" s="6" t="str">
        <f>Descargas!E1816</f>
        <v>https://resources.simonelectric.com/simon-catalogo-vehiculo-electrico</v>
      </c>
      <c r="E1816" s="20" t="str">
        <f t="shared" si="1"/>
        <v>1489@gmail.com</v>
      </c>
      <c r="F1816" s="21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</row>
    <row r="1817" ht="15.75" customHeight="1">
      <c r="A1817" s="18" t="str">
        <f>Descargas!A1817</f>
        <v>1490@hotmail.com</v>
      </c>
      <c r="B1817" s="19" t="str">
        <f>IFERROR(__xludf.DUMMYFUNCTION("IF(OR(regexmatch(A1817,"".*@simon.es$""),REGEXMATCH(A1817,"".*@simon.pt$""),REGEXMATCH(A1817,"".*@simonelectrica.com$""),REGEXMATCH(A1817,"".*@hiberus.com$""),REGEXMATCH(A1817,"".*@simonbrico.es$""),regexmatch(A1817,"".*@simonelectric.com$"")),""null"",A1"&amp;"817)"),"1490@hotmail.com")</f>
        <v>1490@hotmail.com</v>
      </c>
      <c r="C1817" s="5">
        <f>IF(B1817="null","null",Descargas!B1817)</f>
        <v>43950</v>
      </c>
      <c r="D1817" s="6" t="str">
        <f>Descargas!E1817</f>
        <v>https://resources.simonelectric.com/simon-catalogo-vehiculo-electrico</v>
      </c>
      <c r="E1817" s="20" t="str">
        <f t="shared" si="1"/>
        <v>1490@hotmail.com</v>
      </c>
      <c r="F1817" s="21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</row>
    <row r="1818" ht="15.75" customHeight="1">
      <c r="A1818" s="18" t="str">
        <f>Descargas!A1818</f>
        <v>1491@donbany.com</v>
      </c>
      <c r="B1818" s="19" t="str">
        <f>IFERROR(__xludf.DUMMYFUNCTION("IF(OR(regexmatch(A1818,"".*@simon.es$""),REGEXMATCH(A1818,"".*@simon.pt$""),REGEXMATCH(A1818,"".*@simonelectrica.com$""),REGEXMATCH(A1818,"".*@hiberus.com$""),REGEXMATCH(A1818,"".*@simonbrico.es$""),regexmatch(A1818,"".*@simonelectric.com$"")),""null"",A1"&amp;"818)"),"1491@donbany.com")</f>
        <v>1491@donbany.com</v>
      </c>
      <c r="C1818" s="5">
        <f>IF(B1818="null","null",Descargas!B1818)</f>
        <v>43950</v>
      </c>
      <c r="D1818" s="6" t="str">
        <f>Descargas!E1818</f>
        <v>https://resources.simonelectric.com/simon-catalogo-vehiculo-electrico</v>
      </c>
      <c r="E1818" s="20" t="str">
        <f t="shared" si="1"/>
        <v>1491@donbany.com</v>
      </c>
      <c r="F1818" s="21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</row>
    <row r="1819" ht="15.75" customHeight="1">
      <c r="A1819" s="18" t="str">
        <f>Descargas!A1819</f>
        <v>1492@aurialux.com</v>
      </c>
      <c r="B1819" s="19" t="str">
        <f>IFERROR(__xludf.DUMMYFUNCTION("IF(OR(regexmatch(A1819,"".*@simon.es$""),REGEXMATCH(A1819,"".*@simon.pt$""),REGEXMATCH(A1819,"".*@simonelectrica.com$""),REGEXMATCH(A1819,"".*@hiberus.com$""),REGEXMATCH(A1819,"".*@simonbrico.es$""),regexmatch(A1819,"".*@simonelectric.com$"")),""null"",A1"&amp;"819)"),"1492@aurialux.com")</f>
        <v>1492@aurialux.com</v>
      </c>
      <c r="C1819" s="5">
        <f>IF(B1819="null","null",Descargas!B1819)</f>
        <v>43950</v>
      </c>
      <c r="D1819" s="6" t="str">
        <f>Descargas!E1819</f>
        <v>https://resources.simonelectric.com/simon-catalogo-vehiculo-electrico</v>
      </c>
      <c r="E1819" s="20" t="str">
        <f t="shared" si="1"/>
        <v>1492@aurialux.com</v>
      </c>
      <c r="F1819" s="21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</row>
    <row r="1820" ht="15.75" customHeight="1">
      <c r="A1820" s="18" t="str">
        <f>Descargas!A1820</f>
        <v>1493@hotmail.com</v>
      </c>
      <c r="B1820" s="19" t="str">
        <f>IFERROR(__xludf.DUMMYFUNCTION("IF(OR(regexmatch(A1820,"".*@simon.es$""),REGEXMATCH(A1820,"".*@simon.pt$""),REGEXMATCH(A1820,"".*@simonelectrica.com$""),REGEXMATCH(A1820,"".*@hiberus.com$""),REGEXMATCH(A1820,"".*@simonbrico.es$""),regexmatch(A1820,"".*@simonelectric.com$"")),""null"",A1"&amp;"820)"),"1493@hotmail.com")</f>
        <v>1493@hotmail.com</v>
      </c>
      <c r="C1820" s="5">
        <f>IF(B1820="null","null",Descargas!B1820)</f>
        <v>43950</v>
      </c>
      <c r="D1820" s="6" t="str">
        <f>Descargas!E1820</f>
        <v>https://resources.simonelectric.com/simon-catalogo-vehiculo-electrico</v>
      </c>
      <c r="E1820" s="20" t="str">
        <f t="shared" si="1"/>
        <v>1493@hotmail.com</v>
      </c>
      <c r="F1820" s="21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</row>
    <row r="1821" ht="15.75" customHeight="1">
      <c r="A1821" s="18" t="str">
        <f>Descargas!A1821</f>
        <v>973@live.com</v>
      </c>
      <c r="B1821" s="19" t="str">
        <f>IFERROR(__xludf.DUMMYFUNCTION("IF(OR(regexmatch(A1821,"".*@simon.es$""),REGEXMATCH(A1821,"".*@simon.pt$""),REGEXMATCH(A1821,"".*@simonelectrica.com$""),REGEXMATCH(A1821,"".*@hiberus.com$""),REGEXMATCH(A1821,"".*@simonbrico.es$""),regexmatch(A1821,"".*@simonelectric.com$"")),""null"",A1"&amp;"821)"),"973@live.com")</f>
        <v>973@live.com</v>
      </c>
      <c r="C1821" s="5">
        <f>IF(B1821="null","null",Descargas!B1821)</f>
        <v>43950</v>
      </c>
      <c r="D1821" s="6" t="str">
        <f>Descargas!E1821</f>
        <v>https://resources.simonelectric.com/simon-catalogo-vehiculo-electrico</v>
      </c>
      <c r="E1821" s="20" t="str">
        <f t="shared" si="1"/>
        <v>973@live.com</v>
      </c>
      <c r="F1821" s="21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</row>
    <row r="1822" ht="15.75" customHeight="1">
      <c r="A1822" s="18" t="str">
        <f>Descargas!A1822</f>
        <v>1494@gmail.com</v>
      </c>
      <c r="B1822" s="19" t="str">
        <f>IFERROR(__xludf.DUMMYFUNCTION("IF(OR(regexmatch(A1822,"".*@simon.es$""),REGEXMATCH(A1822,"".*@simon.pt$""),REGEXMATCH(A1822,"".*@simonelectrica.com$""),REGEXMATCH(A1822,"".*@hiberus.com$""),REGEXMATCH(A1822,"".*@simonbrico.es$""),regexmatch(A1822,"".*@simonelectric.com$"")),""null"",A1"&amp;"822)"),"1494@gmail.com")</f>
        <v>1494@gmail.com</v>
      </c>
      <c r="C1822" s="5">
        <f>IF(B1822="null","null",Descargas!B1822)</f>
        <v>43950</v>
      </c>
      <c r="D1822" s="6" t="str">
        <f>Descargas!E1822</f>
        <v>https://resources.simonelectric.com/simon-catalogo-vehiculo-electrico</v>
      </c>
      <c r="E1822" s="20" t="str">
        <f t="shared" si="1"/>
        <v>1494@gmail.com</v>
      </c>
      <c r="F1822" s="21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</row>
    <row r="1823" ht="15.75" customHeight="1">
      <c r="A1823" s="18" t="str">
        <f>Descargas!A1823</f>
        <v>1495@grupcluster.com</v>
      </c>
      <c r="B1823" s="19" t="str">
        <f>IFERROR(__xludf.DUMMYFUNCTION("IF(OR(regexmatch(A1823,"".*@simon.es$""),REGEXMATCH(A1823,"".*@simon.pt$""),REGEXMATCH(A1823,"".*@simonelectrica.com$""),REGEXMATCH(A1823,"".*@hiberus.com$""),REGEXMATCH(A1823,"".*@simonbrico.es$""),regexmatch(A1823,"".*@simonelectric.com$"")),""null"",A1"&amp;"823)"),"1495@grupcluster.com")</f>
        <v>1495@grupcluster.com</v>
      </c>
      <c r="C1823" s="5">
        <f>IF(B1823="null","null",Descargas!B1823)</f>
        <v>43950</v>
      </c>
      <c r="D1823" s="6" t="str">
        <f>Descargas!E1823</f>
        <v>https://resources.simonelectric.com/simon-catalogo-vehiculo-electrico</v>
      </c>
      <c r="E1823" s="20" t="str">
        <f t="shared" si="1"/>
        <v>1495@grupcluster.com</v>
      </c>
      <c r="F1823" s="21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</row>
    <row r="1824" ht="15.75" customHeight="1">
      <c r="A1824" s="18" t="str">
        <f>Descargas!A1824</f>
        <v>1496@coitt.es</v>
      </c>
      <c r="B1824" s="19" t="str">
        <f>IFERROR(__xludf.DUMMYFUNCTION("IF(OR(regexmatch(A1824,"".*@simon.es$""),REGEXMATCH(A1824,"".*@simon.pt$""),REGEXMATCH(A1824,"".*@simonelectrica.com$""),REGEXMATCH(A1824,"".*@hiberus.com$""),REGEXMATCH(A1824,"".*@simonbrico.es$""),regexmatch(A1824,"".*@simonelectric.com$"")),""null"",A1"&amp;"824)"),"1496@coitt.es")</f>
        <v>1496@coitt.es</v>
      </c>
      <c r="C1824" s="5">
        <f>IF(B1824="null","null",Descargas!B1824)</f>
        <v>43950</v>
      </c>
      <c r="D1824" s="6" t="str">
        <f>Descargas!E1824</f>
        <v>https://resources.simonelectric.com/simon-catalogo-vehiculo-electrico</v>
      </c>
      <c r="E1824" s="20" t="str">
        <f t="shared" si="1"/>
        <v>1496@coitt.es</v>
      </c>
      <c r="F1824" s="21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</row>
    <row r="1825" ht="15.75" customHeight="1">
      <c r="A1825" s="18" t="str">
        <f>Descargas!A1825</f>
        <v>563@salesianospamplona.net</v>
      </c>
      <c r="B1825" s="19" t="str">
        <f>IFERROR(__xludf.DUMMYFUNCTION("IF(OR(regexmatch(A1825,"".*@simon.es$""),REGEXMATCH(A1825,"".*@simon.pt$""),REGEXMATCH(A1825,"".*@simonelectrica.com$""),REGEXMATCH(A1825,"".*@hiberus.com$""),REGEXMATCH(A1825,"".*@simonbrico.es$""),regexmatch(A1825,"".*@simonelectric.com$"")),""null"",A1"&amp;"825)"),"563@salesianospamplona.net")</f>
        <v>563@salesianospamplona.net</v>
      </c>
      <c r="C1825" s="5">
        <f>IF(B1825="null","null",Descargas!B1825)</f>
        <v>43950</v>
      </c>
      <c r="D1825" s="6" t="str">
        <f>Descargas!E1825</f>
        <v>https://resources.simonelectric.com/simon-catalogo-vehiculo-electrico</v>
      </c>
      <c r="E1825" s="20" t="str">
        <f t="shared" si="1"/>
        <v>563@salesianospamplona.net</v>
      </c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</row>
    <row r="1826" ht="15.75" customHeight="1">
      <c r="A1826" s="18" t="str">
        <f>Descargas!A1826</f>
        <v>1497@covama.es</v>
      </c>
      <c r="B1826" s="19" t="str">
        <f>IFERROR(__xludf.DUMMYFUNCTION("IF(OR(regexmatch(A1826,"".*@simon.es$""),REGEXMATCH(A1826,"".*@simon.pt$""),REGEXMATCH(A1826,"".*@simonelectrica.com$""),REGEXMATCH(A1826,"".*@hiberus.com$""),REGEXMATCH(A1826,"".*@simonbrico.es$""),regexmatch(A1826,"".*@simonelectric.com$"")),""null"",A1"&amp;"826)"),"1497@covama.es")</f>
        <v>1497@covama.es</v>
      </c>
      <c r="C1826" s="5">
        <f>IF(B1826="null","null",Descargas!B1826)</f>
        <v>43950</v>
      </c>
      <c r="D1826" s="6" t="str">
        <f>Descargas!E1826</f>
        <v>https://resources.simonelectric.com/simon-catalogo-vehiculo-electrico</v>
      </c>
      <c r="E1826" s="20" t="str">
        <f t="shared" si="1"/>
        <v>1497@covama.es</v>
      </c>
      <c r="F1826" s="21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</row>
    <row r="1827" ht="15.75" customHeight="1">
      <c r="A1827" s="18" t="str">
        <f>Descargas!A1827</f>
        <v>1498@gmail.com</v>
      </c>
      <c r="B1827" s="19" t="str">
        <f>IFERROR(__xludf.DUMMYFUNCTION("IF(OR(regexmatch(A1827,"".*@simon.es$""),REGEXMATCH(A1827,"".*@simon.pt$""),REGEXMATCH(A1827,"".*@simonelectrica.com$""),REGEXMATCH(A1827,"".*@hiberus.com$""),REGEXMATCH(A1827,"".*@simonbrico.es$""),regexmatch(A1827,"".*@simonelectric.com$"")),""null"",A1"&amp;"827)"),"1498@gmail.com")</f>
        <v>1498@gmail.com</v>
      </c>
      <c r="C1827" s="5">
        <f>IF(B1827="null","null",Descargas!B1827)</f>
        <v>43950</v>
      </c>
      <c r="D1827" s="6" t="str">
        <f>Descargas!E1827</f>
        <v>https://resources.simonelectric.com/simon-catalogo-vehiculo-electrico</v>
      </c>
      <c r="E1827" s="20" t="str">
        <f t="shared" si="1"/>
        <v>1498@gmail.com</v>
      </c>
      <c r="F1827" s="21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</row>
    <row r="1828" ht="15.75" customHeight="1">
      <c r="A1828" s="18" t="str">
        <f>Descargas!A1828</f>
        <v>1499@sonepar.es</v>
      </c>
      <c r="B1828" s="19" t="str">
        <f>IFERROR(__xludf.DUMMYFUNCTION("IF(OR(regexmatch(A1828,"".*@simon.es$""),REGEXMATCH(A1828,"".*@simon.pt$""),REGEXMATCH(A1828,"".*@simonelectrica.com$""),REGEXMATCH(A1828,"".*@hiberus.com$""),REGEXMATCH(A1828,"".*@simonbrico.es$""),regexmatch(A1828,"".*@simonelectric.com$"")),""null"",A1"&amp;"828)"),"1499@sonepar.es")</f>
        <v>1499@sonepar.es</v>
      </c>
      <c r="C1828" s="5">
        <f>IF(B1828="null","null",Descargas!B1828)</f>
        <v>43950</v>
      </c>
      <c r="D1828" s="6" t="str">
        <f>Descargas!E1828</f>
        <v>https://resources.simonelectric.com/simon-catalogo-vehiculo-electrico</v>
      </c>
      <c r="E1828" s="20" t="str">
        <f t="shared" si="1"/>
        <v>1499@sonepar.es</v>
      </c>
      <c r="F1828" s="21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</row>
    <row r="1829" ht="15.75" customHeight="1">
      <c r="A1829" s="18" t="str">
        <f>Descargas!A1829</f>
        <v>1500@covama.es</v>
      </c>
      <c r="B1829" s="19" t="str">
        <f>IFERROR(__xludf.DUMMYFUNCTION("IF(OR(regexmatch(A1829,"".*@simon.es$""),REGEXMATCH(A1829,"".*@simon.pt$""),REGEXMATCH(A1829,"".*@simonelectrica.com$""),REGEXMATCH(A1829,"".*@hiberus.com$""),REGEXMATCH(A1829,"".*@simonbrico.es$""),regexmatch(A1829,"".*@simonelectric.com$"")),""null"",A1"&amp;"829)"),"1500@covama.es")</f>
        <v>1500@covama.es</v>
      </c>
      <c r="C1829" s="5">
        <f>IF(B1829="null","null",Descargas!B1829)</f>
        <v>43950</v>
      </c>
      <c r="D1829" s="6" t="str">
        <f>Descargas!E1829</f>
        <v>https://resources.simonelectric.com/simon-catalogo-vehiculo-electrico</v>
      </c>
      <c r="E1829" s="20" t="str">
        <f t="shared" si="1"/>
        <v>1500@covama.es</v>
      </c>
      <c r="F1829" s="21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</row>
    <row r="1830" ht="15.75" customHeight="1">
      <c r="A1830" s="18" t="str">
        <f>Descargas!A1830</f>
        <v>1501@clientes.euskaltel.es</v>
      </c>
      <c r="B1830" s="19" t="str">
        <f>IFERROR(__xludf.DUMMYFUNCTION("IF(OR(regexmatch(A1830,"".*@simon.es$""),REGEXMATCH(A1830,"".*@simon.pt$""),REGEXMATCH(A1830,"".*@simonelectrica.com$""),REGEXMATCH(A1830,"".*@hiberus.com$""),REGEXMATCH(A1830,"".*@simonbrico.es$""),regexmatch(A1830,"".*@simonelectric.com$"")),""null"",A1"&amp;"830)"),"1501@clientes.euskaltel.es")</f>
        <v>1501@clientes.euskaltel.es</v>
      </c>
      <c r="C1830" s="5">
        <f>IF(B1830="null","null",Descargas!B1830)</f>
        <v>43950</v>
      </c>
      <c r="D1830" s="6" t="str">
        <f>Descargas!E1830</f>
        <v>https://resources.simonelectric.com/simon-catalogo-vehiculo-electrico</v>
      </c>
      <c r="E1830" s="20" t="str">
        <f t="shared" si="1"/>
        <v>1501@clientes.euskaltel.es</v>
      </c>
      <c r="F1830" s="21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</row>
    <row r="1831" ht="15.75" customHeight="1">
      <c r="A1831" s="18" t="str">
        <f>Descargas!A1831</f>
        <v>1502@educastur.org</v>
      </c>
      <c r="B1831" s="19" t="str">
        <f>IFERROR(__xludf.DUMMYFUNCTION("IF(OR(regexmatch(A1831,"".*@simon.es$""),REGEXMATCH(A1831,"".*@simon.pt$""),REGEXMATCH(A1831,"".*@simonelectrica.com$""),REGEXMATCH(A1831,"".*@hiberus.com$""),REGEXMATCH(A1831,"".*@simonbrico.es$""),regexmatch(A1831,"".*@simonelectric.com$"")),""null"",A1"&amp;"831)"),"1502@educastur.org")</f>
        <v>1502@educastur.org</v>
      </c>
      <c r="C1831" s="5">
        <f>IF(B1831="null","null",Descargas!B1831)</f>
        <v>43950</v>
      </c>
      <c r="D1831" s="6" t="str">
        <f>Descargas!E1831</f>
        <v>https://resources.simonelectric.com/simon-catalogo-vehiculo-electrico</v>
      </c>
      <c r="E1831" s="20" t="str">
        <f t="shared" si="1"/>
        <v>1502@educastur.org</v>
      </c>
      <c r="F1831" s="21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</row>
    <row r="1832" ht="15.75" customHeight="1">
      <c r="A1832" s="18" t="str">
        <f>Descargas!A1832</f>
        <v>1503@simon.es</v>
      </c>
      <c r="B1832" s="19" t="str">
        <f>IFERROR(__xludf.DUMMYFUNCTION("IF(OR(regexmatch(A1832,"".*@simon.es$""),REGEXMATCH(A1832,"".*@simon.pt$""),REGEXMATCH(A1832,"".*@simonelectrica.com$""),REGEXMATCH(A1832,"".*@hiberus.com$""),REGEXMATCH(A1832,"".*@simonbrico.es$""),regexmatch(A1832,"".*@simonelectric.com$"")),""null"",A1"&amp;"832)"),"null")</f>
        <v>null</v>
      </c>
      <c r="C1832" s="5" t="str">
        <f>IF(B1832="null","null",Descargas!B1832)</f>
        <v>null</v>
      </c>
      <c r="D1832" s="6" t="str">
        <f>Descargas!E1832</f>
        <v>https://resources.simonelectric.com/simon-catalogo-vehiculo-electrico</v>
      </c>
      <c r="E1832" s="24" t="str">
        <f t="shared" si="1"/>
        <v/>
      </c>
      <c r="F1832" s="21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</row>
    <row r="1833" ht="15.75" customHeight="1">
      <c r="A1833" s="18" t="str">
        <f>Descargas!A1833</f>
        <v>1504@gmail.com</v>
      </c>
      <c r="B1833" s="19" t="str">
        <f>IFERROR(__xludf.DUMMYFUNCTION("IF(OR(regexmatch(A1833,"".*@simon.es$""),REGEXMATCH(A1833,"".*@simon.pt$""),REGEXMATCH(A1833,"".*@simonelectrica.com$""),REGEXMATCH(A1833,"".*@hiberus.com$""),REGEXMATCH(A1833,"".*@simonbrico.es$""),regexmatch(A1833,"".*@simonelectric.com$"")),""null"",A1"&amp;"833)"),"1504@gmail.com")</f>
        <v>1504@gmail.com</v>
      </c>
      <c r="C1833" s="5">
        <f>IF(B1833="null","null",Descargas!B1833)</f>
        <v>43950</v>
      </c>
      <c r="D1833" s="6" t="str">
        <f>Descargas!E1833</f>
        <v>https://resources.simonelectric.com/simon-catalogo-vehiculo-electrico</v>
      </c>
      <c r="E1833" s="20" t="str">
        <f t="shared" si="1"/>
        <v>1504@gmail.com</v>
      </c>
      <c r="F1833" s="21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</row>
    <row r="1834" ht="15.75" customHeight="1">
      <c r="A1834" s="18" t="str">
        <f>Descargas!A1834</f>
        <v>297@hotmail.com</v>
      </c>
      <c r="B1834" s="19" t="str">
        <f>IFERROR(__xludf.DUMMYFUNCTION("IF(OR(regexmatch(A1834,"".*@simon.es$""),REGEXMATCH(A1834,"".*@simon.pt$""),REGEXMATCH(A1834,"".*@simonelectrica.com$""),REGEXMATCH(A1834,"".*@hiberus.com$""),REGEXMATCH(A1834,"".*@simonbrico.es$""),regexmatch(A1834,"".*@simonelectric.com$"")),""null"",A1"&amp;"834)"),"297@hotmail.com")</f>
        <v>297@hotmail.com</v>
      </c>
      <c r="C1834" s="5">
        <f>IF(B1834="null","null",Descargas!B1834)</f>
        <v>43950</v>
      </c>
      <c r="D1834" s="6" t="str">
        <f>Descargas!E1834</f>
        <v>https://resources.simonelectric.com/simon-catalogo-vehiculo-electrico</v>
      </c>
      <c r="E1834" s="20" t="str">
        <f t="shared" si="1"/>
        <v>297@hotmail.com</v>
      </c>
      <c r="F1834" s="21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</row>
    <row r="1835" ht="15.75" customHeight="1">
      <c r="A1835" s="18" t="str">
        <f>Descargas!A1835</f>
        <v>1112@covama.es</v>
      </c>
      <c r="B1835" s="19" t="str">
        <f>IFERROR(__xludf.DUMMYFUNCTION("IF(OR(regexmatch(A1835,"".*@simon.es$""),REGEXMATCH(A1835,"".*@simon.pt$""),REGEXMATCH(A1835,"".*@simonelectrica.com$""),REGEXMATCH(A1835,"".*@hiberus.com$""),REGEXMATCH(A1835,"".*@simonbrico.es$""),regexmatch(A1835,"".*@simonelectric.com$"")),""null"",A1"&amp;"835)"),"1112@covama.es")</f>
        <v>1112@covama.es</v>
      </c>
      <c r="C1835" s="5">
        <f>IF(B1835="null","null",Descargas!B1835)</f>
        <v>43950</v>
      </c>
      <c r="D1835" s="6" t="str">
        <f>Descargas!E1835</f>
        <v>https://resources.simonelectric.com/simon-catalogo-vehiculo-electrico</v>
      </c>
      <c r="E1835" s="20" t="str">
        <f t="shared" si="1"/>
        <v>1112@covama.es</v>
      </c>
      <c r="F1835" s="21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</row>
    <row r="1836" ht="15.75" customHeight="1">
      <c r="A1836" s="18" t="str">
        <f>Descargas!A1836</f>
        <v>1500@covama.es</v>
      </c>
      <c r="B1836" s="19" t="str">
        <f>IFERROR(__xludf.DUMMYFUNCTION("IF(OR(regexmatch(A1836,"".*@simon.es$""),REGEXMATCH(A1836,"".*@simon.pt$""),REGEXMATCH(A1836,"".*@simonelectrica.com$""),REGEXMATCH(A1836,"".*@hiberus.com$""),REGEXMATCH(A1836,"".*@simonbrico.es$""),regexmatch(A1836,"".*@simonelectric.com$"")),""null"",A1"&amp;"836)"),"1500@covama.es")</f>
        <v>1500@covama.es</v>
      </c>
      <c r="C1836" s="5">
        <f>IF(B1836="null","null",Descargas!B1836)</f>
        <v>43950</v>
      </c>
      <c r="D1836" s="6" t="str">
        <f>Descargas!E1836</f>
        <v>https://resources.simonelectric.com/simon-catalogo-vehiculo-electrico</v>
      </c>
      <c r="E1836" s="20" t="str">
        <f t="shared" si="1"/>
        <v>1500@covama.es</v>
      </c>
      <c r="F1836" s="21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</row>
    <row r="1837" ht="15.75" customHeight="1">
      <c r="A1837" s="18" t="str">
        <f>Descargas!A1837</f>
        <v>1505@gmail.com</v>
      </c>
      <c r="B1837" s="19" t="str">
        <f>IFERROR(__xludf.DUMMYFUNCTION("IF(OR(regexmatch(A1837,"".*@simon.es$""),REGEXMATCH(A1837,"".*@simon.pt$""),REGEXMATCH(A1837,"".*@simonelectrica.com$""),REGEXMATCH(A1837,"".*@hiberus.com$""),REGEXMATCH(A1837,"".*@simonbrico.es$""),regexmatch(A1837,"".*@simonelectric.com$"")),""null"",A1"&amp;"837)"),"1505@gmail.com")</f>
        <v>1505@gmail.com</v>
      </c>
      <c r="C1837" s="5">
        <f>IF(B1837="null","null",Descargas!B1837)</f>
        <v>43950</v>
      </c>
      <c r="D1837" s="6" t="str">
        <f>Descargas!E1837</f>
        <v>https://resources.simonelectric.com/simon-catalogo-vehiculo-electrico</v>
      </c>
      <c r="E1837" s="20" t="str">
        <f t="shared" si="1"/>
        <v>1505@gmail.com</v>
      </c>
      <c r="F1837" s="21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</row>
    <row r="1838" ht="15.75" customHeight="1">
      <c r="A1838" s="18" t="str">
        <f>Descargas!A1838</f>
        <v>1506@dhorma.com</v>
      </c>
      <c r="B1838" s="19" t="str">
        <f>IFERROR(__xludf.DUMMYFUNCTION("IF(OR(regexmatch(A1838,"".*@simon.es$""),REGEXMATCH(A1838,"".*@simon.pt$""),REGEXMATCH(A1838,"".*@simonelectrica.com$""),REGEXMATCH(A1838,"".*@hiberus.com$""),REGEXMATCH(A1838,"".*@simonbrico.es$""),regexmatch(A1838,"".*@simonelectric.com$"")),""null"",A1"&amp;"838)"),"1506@dhorma.com")</f>
        <v>1506@dhorma.com</v>
      </c>
      <c r="C1838" s="5">
        <f>IF(B1838="null","null",Descargas!B1838)</f>
        <v>43950</v>
      </c>
      <c r="D1838" s="6" t="str">
        <f>Descargas!E1838</f>
        <v>https://resources.simonelectric.com/simon-catalogo-vehiculo-electrico</v>
      </c>
      <c r="E1838" s="20" t="str">
        <f t="shared" si="1"/>
        <v>1506@dhorma.com</v>
      </c>
      <c r="F1838" s="21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</row>
    <row r="1839" ht="15.75" customHeight="1">
      <c r="A1839" s="18" t="str">
        <f>Descargas!A1839</f>
        <v>1507@hotmail.com</v>
      </c>
      <c r="B1839" s="19" t="str">
        <f>IFERROR(__xludf.DUMMYFUNCTION("IF(OR(regexmatch(A1839,"".*@simon.es$""),REGEXMATCH(A1839,"".*@simon.pt$""),REGEXMATCH(A1839,"".*@simonelectrica.com$""),REGEXMATCH(A1839,"".*@hiberus.com$""),REGEXMATCH(A1839,"".*@simonbrico.es$""),regexmatch(A1839,"".*@simonelectric.com$"")),""null"",A1"&amp;"839)"),"1507@hotmail.com")</f>
        <v>1507@hotmail.com</v>
      </c>
      <c r="C1839" s="5">
        <f>IF(B1839="null","null",Descargas!B1839)</f>
        <v>43950</v>
      </c>
      <c r="D1839" s="6" t="str">
        <f>Descargas!E1839</f>
        <v>https://resources.simonelectric.com/simon-catalogo-vehiculo-electrico</v>
      </c>
      <c r="E1839" s="20" t="str">
        <f t="shared" si="1"/>
        <v>1507@hotmail.com</v>
      </c>
      <c r="F1839" s="21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</row>
    <row r="1840" ht="15.75" customHeight="1">
      <c r="A1840" s="18" t="str">
        <f>Descargas!A1840</f>
        <v>1508@gmail.com</v>
      </c>
      <c r="B1840" s="19" t="str">
        <f>IFERROR(__xludf.DUMMYFUNCTION("IF(OR(regexmatch(A1840,"".*@simon.es$""),REGEXMATCH(A1840,"".*@simon.pt$""),REGEXMATCH(A1840,"".*@simonelectrica.com$""),REGEXMATCH(A1840,"".*@hiberus.com$""),REGEXMATCH(A1840,"".*@simonbrico.es$""),regexmatch(A1840,"".*@simonelectric.com$"")),""null"",A1"&amp;"840)"),"1508@gmail.com")</f>
        <v>1508@gmail.com</v>
      </c>
      <c r="C1840" s="5">
        <f>IF(B1840="null","null",Descargas!B1840)</f>
        <v>43950</v>
      </c>
      <c r="D1840" s="6" t="str">
        <f>Descargas!E1840</f>
        <v>https://resources.simonelectric.com/simon-catalogo-vehiculo-electrico</v>
      </c>
      <c r="E1840" s="20" t="str">
        <f t="shared" si="1"/>
        <v>1508@gmail.com</v>
      </c>
      <c r="F1840" s="21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</row>
    <row r="1841" ht="15.75" customHeight="1">
      <c r="A1841" s="18" t="str">
        <f>Descargas!A1841</f>
        <v>1509@xonxa.com</v>
      </c>
      <c r="B1841" s="19" t="str">
        <f>IFERROR(__xludf.DUMMYFUNCTION("IF(OR(regexmatch(A1841,"".*@simon.es$""),REGEXMATCH(A1841,"".*@simon.pt$""),REGEXMATCH(A1841,"".*@simonelectrica.com$""),REGEXMATCH(A1841,"".*@hiberus.com$""),REGEXMATCH(A1841,"".*@simonbrico.es$""),regexmatch(A1841,"".*@simonelectric.com$"")),""null"",A1"&amp;"841)"),"1509@xonxa.com")</f>
        <v>1509@xonxa.com</v>
      </c>
      <c r="C1841" s="5">
        <f>IF(B1841="null","null",Descargas!B1841)</f>
        <v>43950</v>
      </c>
      <c r="D1841" s="6" t="str">
        <f>Descargas!E1841</f>
        <v>https://resources.simonelectric.com/simon-catalogo-vehiculo-electrico</v>
      </c>
      <c r="E1841" s="20" t="str">
        <f t="shared" si="1"/>
        <v>1509@xonxa.com</v>
      </c>
      <c r="F1841" s="21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</row>
    <row r="1842" ht="15.75" customHeight="1">
      <c r="A1842" s="18" t="str">
        <f>Descargas!A1842</f>
        <v>1510@adelanteenergia.es</v>
      </c>
      <c r="B1842" s="19" t="str">
        <f>IFERROR(__xludf.DUMMYFUNCTION("IF(OR(regexmatch(A1842,"".*@simon.es$""),REGEXMATCH(A1842,"".*@simon.pt$""),REGEXMATCH(A1842,"".*@simonelectrica.com$""),REGEXMATCH(A1842,"".*@hiberus.com$""),REGEXMATCH(A1842,"".*@simonbrico.es$""),regexmatch(A1842,"".*@simonelectric.com$"")),""null"",A1"&amp;"842)"),"1510@adelanteenergia.es")</f>
        <v>1510@adelanteenergia.es</v>
      </c>
      <c r="C1842" s="5">
        <f>IF(B1842="null","null",Descargas!B1842)</f>
        <v>43950</v>
      </c>
      <c r="D1842" s="6" t="str">
        <f>Descargas!E1842</f>
        <v>https://resources.simonelectric.com/simon-catalogo-vehiculo-electrico</v>
      </c>
      <c r="E1842" s="20" t="str">
        <f t="shared" si="1"/>
        <v>1510@adelanteenergia.es</v>
      </c>
      <c r="F1842" s="21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</row>
    <row r="1843" ht="15.75" customHeight="1">
      <c r="A1843" s="18" t="str">
        <f>Descargas!A1843</f>
        <v>1511@hotmail.com</v>
      </c>
      <c r="B1843" s="19" t="str">
        <f>IFERROR(__xludf.DUMMYFUNCTION("IF(OR(regexmatch(A1843,"".*@simon.es$""),REGEXMATCH(A1843,"".*@simon.pt$""),REGEXMATCH(A1843,"".*@simonelectrica.com$""),REGEXMATCH(A1843,"".*@hiberus.com$""),REGEXMATCH(A1843,"".*@simonbrico.es$""),regexmatch(A1843,"".*@simonelectric.com$"")),""null"",A1"&amp;"843)"),"1511@hotmail.com")</f>
        <v>1511@hotmail.com</v>
      </c>
      <c r="C1843" s="5">
        <f>IF(B1843="null","null",Descargas!B1843)</f>
        <v>43950</v>
      </c>
      <c r="D1843" s="6" t="str">
        <f>Descargas!E1843</f>
        <v>https://resources.simonelectric.com/simon-catalogo-vehiculo-electrico</v>
      </c>
      <c r="E1843" s="20" t="str">
        <f t="shared" si="1"/>
        <v>1511@hotmail.com</v>
      </c>
      <c r="F1843" s="21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</row>
    <row r="1844" ht="15.75" customHeight="1">
      <c r="A1844" s="18" t="str">
        <f>Descargas!A1844</f>
        <v>1512@elecox.es</v>
      </c>
      <c r="B1844" s="19" t="str">
        <f>IFERROR(__xludf.DUMMYFUNCTION("IF(OR(regexmatch(A1844,"".*@simon.es$""),REGEXMATCH(A1844,"".*@simon.pt$""),REGEXMATCH(A1844,"".*@simonelectrica.com$""),REGEXMATCH(A1844,"".*@hiberus.com$""),REGEXMATCH(A1844,"".*@simonbrico.es$""),regexmatch(A1844,"".*@simonelectric.com$"")),""null"",A1"&amp;"844)"),"1512@elecox.es")</f>
        <v>1512@elecox.es</v>
      </c>
      <c r="C1844" s="5">
        <f>IF(B1844="null","null",Descargas!B1844)</f>
        <v>43950</v>
      </c>
      <c r="D1844" s="6" t="str">
        <f>Descargas!E1844</f>
        <v>https://resources.simonelectric.com/simon-catalogo-vehiculo-electrico</v>
      </c>
      <c r="E1844" s="20" t="str">
        <f t="shared" si="1"/>
        <v>1512@elecox.es</v>
      </c>
      <c r="F1844" s="21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</row>
    <row r="1845" ht="15.75" customHeight="1">
      <c r="A1845" s="18" t="str">
        <f>Descargas!A1845</f>
        <v>947@clysema.com</v>
      </c>
      <c r="B1845" s="19" t="str">
        <f>IFERROR(__xludf.DUMMYFUNCTION("IF(OR(regexmatch(A1845,"".*@simon.es$""),REGEXMATCH(A1845,"".*@simon.pt$""),REGEXMATCH(A1845,"".*@simonelectrica.com$""),REGEXMATCH(A1845,"".*@hiberus.com$""),REGEXMATCH(A1845,"".*@simonbrico.es$""),regexmatch(A1845,"".*@simonelectric.com$"")),""null"",A1"&amp;"845)"),"947@clysema.com")</f>
        <v>947@clysema.com</v>
      </c>
      <c r="C1845" s="5">
        <f>IF(B1845="null","null",Descargas!B1845)</f>
        <v>43950</v>
      </c>
      <c r="D1845" s="6" t="str">
        <f>Descargas!E1845</f>
        <v>https://resources.simonelectric.com/simon-catalogo-vehiculo-electrico</v>
      </c>
      <c r="E1845" s="20" t="str">
        <f t="shared" si="1"/>
        <v>947@clysema.com</v>
      </c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</row>
    <row r="1846" ht="15.75" customHeight="1">
      <c r="A1846" s="18" t="str">
        <f>Descargas!A1846</f>
        <v>374@copitima.com</v>
      </c>
      <c r="B1846" s="19" t="str">
        <f>IFERROR(__xludf.DUMMYFUNCTION("IF(OR(regexmatch(A1846,"".*@simon.es$""),REGEXMATCH(A1846,"".*@simon.pt$""),REGEXMATCH(A1846,"".*@simonelectrica.com$""),REGEXMATCH(A1846,"".*@hiberus.com$""),REGEXMATCH(A1846,"".*@simonbrico.es$""),regexmatch(A1846,"".*@simonelectric.com$"")),""null"",A1"&amp;"846)"),"374@copitima.com")</f>
        <v>374@copitima.com</v>
      </c>
      <c r="C1846" s="5">
        <f>IF(B1846="null","null",Descargas!B1846)</f>
        <v>43950</v>
      </c>
      <c r="D1846" s="6" t="str">
        <f>Descargas!E1846</f>
        <v>https://resources.simonelectric.com/simon-catalogo-vehiculo-electrico</v>
      </c>
      <c r="E1846" s="20" t="str">
        <f t="shared" si="1"/>
        <v>374@copitima.com</v>
      </c>
      <c r="F1846" s="21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</row>
    <row r="1847" ht="15.75" customHeight="1">
      <c r="A1847" s="18" t="str">
        <f>Descargas!A1847</f>
        <v>1513@simon.es</v>
      </c>
      <c r="B1847" s="19" t="str">
        <f>IFERROR(__xludf.DUMMYFUNCTION("IF(OR(regexmatch(A1847,"".*@simon.es$""),REGEXMATCH(A1847,"".*@simon.pt$""),REGEXMATCH(A1847,"".*@simonelectrica.com$""),REGEXMATCH(A1847,"".*@hiberus.com$""),REGEXMATCH(A1847,"".*@simonbrico.es$""),regexmatch(A1847,"".*@simonelectric.com$"")),""null"",A1"&amp;"847)"),"null")</f>
        <v>null</v>
      </c>
      <c r="C1847" s="5" t="str">
        <f>IF(B1847="null","null",Descargas!B1847)</f>
        <v>null</v>
      </c>
      <c r="D1847" s="6" t="str">
        <f>Descargas!E1847</f>
        <v>https://resources.simonelectric.com/simon-catalogo-vehiculo-electrico</v>
      </c>
      <c r="E1847" s="24" t="str">
        <f t="shared" si="1"/>
        <v/>
      </c>
      <c r="F1847" s="21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</row>
    <row r="1848" ht="15.75" customHeight="1">
      <c r="A1848" s="18" t="str">
        <f>Descargas!A1848</f>
        <v>1514@hotmail.com</v>
      </c>
      <c r="B1848" s="19" t="str">
        <f>IFERROR(__xludf.DUMMYFUNCTION("IF(OR(regexmatch(A1848,"".*@simon.es$""),REGEXMATCH(A1848,"".*@simon.pt$""),REGEXMATCH(A1848,"".*@simonelectrica.com$""),REGEXMATCH(A1848,"".*@hiberus.com$""),REGEXMATCH(A1848,"".*@simonbrico.es$""),regexmatch(A1848,"".*@simonelectric.com$"")),""null"",A1"&amp;"848)"),"1514@hotmail.com")</f>
        <v>1514@hotmail.com</v>
      </c>
      <c r="C1848" s="5">
        <f>IF(B1848="null","null",Descargas!B1848)</f>
        <v>43950</v>
      </c>
      <c r="D1848" s="6" t="str">
        <f>Descargas!E1848</f>
        <v>https://resources.simonelectric.com/simon-catalogo-vehiculo-electrico</v>
      </c>
      <c r="E1848" s="20" t="str">
        <f t="shared" si="1"/>
        <v>1514@hotmail.com</v>
      </c>
      <c r="F1848" s="21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</row>
    <row r="1849" ht="15.75" customHeight="1">
      <c r="A1849" s="18" t="str">
        <f>Descargas!A1849</f>
        <v>1515@expertline.es</v>
      </c>
      <c r="B1849" s="19" t="str">
        <f>IFERROR(__xludf.DUMMYFUNCTION("IF(OR(regexmatch(A1849,"".*@simon.es$""),REGEXMATCH(A1849,"".*@simon.pt$""),REGEXMATCH(A1849,"".*@simonelectrica.com$""),REGEXMATCH(A1849,"".*@hiberus.com$""),REGEXMATCH(A1849,"".*@simonbrico.es$""),regexmatch(A1849,"".*@simonelectric.com$"")),""null"",A1"&amp;"849)"),"1515@expertline.es")</f>
        <v>1515@expertline.es</v>
      </c>
      <c r="C1849" s="5">
        <f>IF(B1849="null","null",Descargas!B1849)</f>
        <v>43950</v>
      </c>
      <c r="D1849" s="6" t="str">
        <f>Descargas!E1849</f>
        <v>https://resources.simonelectric.com/simon-catalogo-vehiculo-electrico</v>
      </c>
      <c r="E1849" s="20" t="str">
        <f t="shared" si="1"/>
        <v>1515@expertline.es</v>
      </c>
      <c r="F1849" s="21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</row>
    <row r="1850" ht="15.75" customHeight="1">
      <c r="A1850" s="18" t="str">
        <f>Descargas!A1850</f>
        <v>1516@gmail.com</v>
      </c>
      <c r="B1850" s="19" t="str">
        <f>IFERROR(__xludf.DUMMYFUNCTION("IF(OR(regexmatch(A1850,"".*@simon.es$""),REGEXMATCH(A1850,"".*@simon.pt$""),REGEXMATCH(A1850,"".*@simonelectrica.com$""),REGEXMATCH(A1850,"".*@hiberus.com$""),REGEXMATCH(A1850,"".*@simonbrico.es$""),regexmatch(A1850,"".*@simonelectric.com$"")),""null"",A1"&amp;"850)"),"1516@gmail.com")</f>
        <v>1516@gmail.com</v>
      </c>
      <c r="C1850" s="5">
        <f>IF(B1850="null","null",Descargas!B1850)</f>
        <v>43950</v>
      </c>
      <c r="D1850" s="6" t="str">
        <f>Descargas!E1850</f>
        <v>https://resources.simonelectric.com/simon-catalogo-vehiculo-electrico</v>
      </c>
      <c r="E1850" s="20" t="str">
        <f t="shared" si="1"/>
        <v>1516@gmail.com</v>
      </c>
      <c r="F1850" s="21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</row>
    <row r="1851" ht="15.75" customHeight="1">
      <c r="A1851" s="18" t="str">
        <f>Descargas!A1851</f>
        <v>1517@hotmail.com</v>
      </c>
      <c r="B1851" s="19" t="str">
        <f>IFERROR(__xludf.DUMMYFUNCTION("IF(OR(regexmatch(A1851,"".*@simon.es$""),REGEXMATCH(A1851,"".*@simon.pt$""),REGEXMATCH(A1851,"".*@simonelectrica.com$""),REGEXMATCH(A1851,"".*@hiberus.com$""),REGEXMATCH(A1851,"".*@simonbrico.es$""),regexmatch(A1851,"".*@simonelectric.com$"")),""null"",A1"&amp;"851)"),"1517@hotmail.com")</f>
        <v>1517@hotmail.com</v>
      </c>
      <c r="C1851" s="5">
        <f>IF(B1851="null","null",Descargas!B1851)</f>
        <v>43950</v>
      </c>
      <c r="D1851" s="6" t="str">
        <f>Descargas!E1851</f>
        <v>https://resources.simonelectric.com/simon-catalogo-vehiculo-electrico</v>
      </c>
      <c r="E1851" s="20" t="str">
        <f t="shared" si="1"/>
        <v>1517@hotmail.com</v>
      </c>
      <c r="F1851" s="21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</row>
    <row r="1852" ht="15.75" customHeight="1">
      <c r="A1852" s="18" t="str">
        <f>Descargas!A1852</f>
        <v>1518@gmail.com</v>
      </c>
      <c r="B1852" s="19" t="str">
        <f>IFERROR(__xludf.DUMMYFUNCTION("IF(OR(regexmatch(A1852,"".*@simon.es$""),REGEXMATCH(A1852,"".*@simon.pt$""),REGEXMATCH(A1852,"".*@simonelectrica.com$""),REGEXMATCH(A1852,"".*@hiberus.com$""),REGEXMATCH(A1852,"".*@simonbrico.es$""),regexmatch(A1852,"".*@simonelectric.com$"")),""null"",A1"&amp;"852)"),"1518@gmail.com")</f>
        <v>1518@gmail.com</v>
      </c>
      <c r="C1852" s="5">
        <f>IF(B1852="null","null",Descargas!B1852)</f>
        <v>43950</v>
      </c>
      <c r="D1852" s="6" t="str">
        <f>Descargas!E1852</f>
        <v>https://resources.simonelectric.com/simon-catalogo-vehiculo-electrico</v>
      </c>
      <c r="E1852" s="20" t="str">
        <f t="shared" si="1"/>
        <v>1518@gmail.com</v>
      </c>
      <c r="F1852" s="21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</row>
    <row r="1853" ht="15.75" customHeight="1">
      <c r="A1853" s="18" t="str">
        <f>Descargas!A1853</f>
        <v>1028@ingenierosvalladolid.es</v>
      </c>
      <c r="B1853" s="19" t="str">
        <f>IFERROR(__xludf.DUMMYFUNCTION("IF(OR(regexmatch(A1853,"".*@simon.es$""),REGEXMATCH(A1853,"".*@simon.pt$""),REGEXMATCH(A1853,"".*@simonelectrica.com$""),REGEXMATCH(A1853,"".*@hiberus.com$""),REGEXMATCH(A1853,"".*@simonbrico.es$""),regexmatch(A1853,"".*@simonelectric.com$"")),""null"",A1"&amp;"853)"),"1028@ingenierosvalladolid.es")</f>
        <v>1028@ingenierosvalladolid.es</v>
      </c>
      <c r="C1853" s="5">
        <f>IF(B1853="null","null",Descargas!B1853)</f>
        <v>43950</v>
      </c>
      <c r="D1853" s="6" t="str">
        <f>Descargas!E1853</f>
        <v>https://resources.simonelectric.com/simon-catalogo-vehiculo-electrico</v>
      </c>
      <c r="E1853" s="20" t="str">
        <f t="shared" si="1"/>
        <v>1028@ingenierosvalladolid.es</v>
      </c>
      <c r="F1853" s="21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</row>
    <row r="1854" ht="15.75" customHeight="1">
      <c r="A1854" s="18" t="str">
        <f>Descargas!A1854</f>
        <v>1519@tadelec.com</v>
      </c>
      <c r="B1854" s="19" t="str">
        <f>IFERROR(__xludf.DUMMYFUNCTION("IF(OR(regexmatch(A1854,"".*@simon.es$""),REGEXMATCH(A1854,"".*@simon.pt$""),REGEXMATCH(A1854,"".*@simonelectrica.com$""),REGEXMATCH(A1854,"".*@hiberus.com$""),REGEXMATCH(A1854,"".*@simonbrico.es$""),regexmatch(A1854,"".*@simonelectric.com$"")),""null"",A1"&amp;"854)"),"1519@tadelec.com")</f>
        <v>1519@tadelec.com</v>
      </c>
      <c r="C1854" s="5">
        <f>IF(B1854="null","null",Descargas!B1854)</f>
        <v>43950</v>
      </c>
      <c r="D1854" s="6" t="str">
        <f>Descargas!E1854</f>
        <v>https://resources.simonelectric.com/simon-catalogo-vehiculo-electrico</v>
      </c>
      <c r="E1854" s="20" t="str">
        <f t="shared" si="1"/>
        <v>1519@tadelec.com</v>
      </c>
      <c r="F1854" s="21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</row>
    <row r="1855" ht="15.75" customHeight="1">
      <c r="A1855" s="18" t="str">
        <f>Descargas!A1855</f>
        <v>873@eutikes.com</v>
      </c>
      <c r="B1855" s="19" t="str">
        <f>IFERROR(__xludf.DUMMYFUNCTION("IF(OR(regexmatch(A1855,"".*@simon.es$""),REGEXMATCH(A1855,"".*@simon.pt$""),REGEXMATCH(A1855,"".*@simonelectrica.com$""),REGEXMATCH(A1855,"".*@hiberus.com$""),REGEXMATCH(A1855,"".*@simonbrico.es$""),regexmatch(A1855,"".*@simonelectric.com$"")),""null"",A1"&amp;"855)"),"873@eutikes.com")</f>
        <v>873@eutikes.com</v>
      </c>
      <c r="C1855" s="5">
        <f>IF(B1855="null","null",Descargas!B1855)</f>
        <v>43950</v>
      </c>
      <c r="D1855" s="6" t="str">
        <f>Descargas!E1855</f>
        <v>https://resources.simonelectric.com/simon-catalogo-vehiculo-electrico</v>
      </c>
      <c r="E1855" s="20" t="str">
        <f t="shared" si="1"/>
        <v>873@eutikes.com</v>
      </c>
      <c r="F1855" s="21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</row>
    <row r="1856" ht="15.75" customHeight="1">
      <c r="A1856" s="18" t="str">
        <f>Descargas!A1856</f>
        <v>1520@cebrinsa.es</v>
      </c>
      <c r="B1856" s="19" t="str">
        <f>IFERROR(__xludf.DUMMYFUNCTION("IF(OR(regexmatch(A1856,"".*@simon.es$""),REGEXMATCH(A1856,"".*@simon.pt$""),REGEXMATCH(A1856,"".*@simonelectrica.com$""),REGEXMATCH(A1856,"".*@hiberus.com$""),REGEXMATCH(A1856,"".*@simonbrico.es$""),regexmatch(A1856,"".*@simonelectric.com$"")),""null"",A1"&amp;"856)"),"1520@cebrinsa.es")</f>
        <v>1520@cebrinsa.es</v>
      </c>
      <c r="C1856" s="5">
        <f>IF(B1856="null","null",Descargas!B1856)</f>
        <v>43950</v>
      </c>
      <c r="D1856" s="6" t="str">
        <f>Descargas!E1856</f>
        <v>https://resources.simonelectric.com/simon-catalogo-vehiculo-electrico</v>
      </c>
      <c r="E1856" s="20" t="str">
        <f t="shared" si="1"/>
        <v>1520@cebrinsa.es</v>
      </c>
      <c r="F1856" s="21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</row>
    <row r="1857" ht="15.75" customHeight="1">
      <c r="A1857" s="18" t="str">
        <f>Descargas!A1857</f>
        <v>1521@hotmail.com</v>
      </c>
      <c r="B1857" s="19" t="str">
        <f>IFERROR(__xludf.DUMMYFUNCTION("IF(OR(regexmatch(A1857,"".*@simon.es$""),REGEXMATCH(A1857,"".*@simon.pt$""),REGEXMATCH(A1857,"".*@simonelectrica.com$""),REGEXMATCH(A1857,"".*@hiberus.com$""),REGEXMATCH(A1857,"".*@simonbrico.es$""),regexmatch(A1857,"".*@simonelectric.com$"")),""null"",A1"&amp;"857)"),"1521@hotmail.com")</f>
        <v>1521@hotmail.com</v>
      </c>
      <c r="C1857" s="5">
        <f>IF(B1857="null","null",Descargas!B1857)</f>
        <v>43950</v>
      </c>
      <c r="D1857" s="6" t="str">
        <f>Descargas!E1857</f>
        <v>https://resources.simonelectric.com/simon-catalogo-vehiculo-electrico</v>
      </c>
      <c r="E1857" s="20" t="str">
        <f t="shared" si="1"/>
        <v>1521@hotmail.com</v>
      </c>
      <c r="F1857" s="21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</row>
    <row r="1858" ht="15.75" customHeight="1">
      <c r="A1858" s="18" t="str">
        <f>Descargas!A1858</f>
        <v>1522@agad.cat</v>
      </c>
      <c r="B1858" s="19" t="str">
        <f>IFERROR(__xludf.DUMMYFUNCTION("IF(OR(regexmatch(A1858,"".*@simon.es$""),REGEXMATCH(A1858,"".*@simon.pt$""),REGEXMATCH(A1858,"".*@simonelectrica.com$""),REGEXMATCH(A1858,"".*@hiberus.com$""),REGEXMATCH(A1858,"".*@simonbrico.es$""),regexmatch(A1858,"".*@simonelectric.com$"")),""null"",A1"&amp;"858)"),"1522@agad.cat")</f>
        <v>1522@agad.cat</v>
      </c>
      <c r="C1858" s="5">
        <f>IF(B1858="null","null",Descargas!B1858)</f>
        <v>43950</v>
      </c>
      <c r="D1858" s="6" t="str">
        <f>Descargas!E1858</f>
        <v>https://resources.simonelectric.com/simon-catalogo-vehiculo-electrico</v>
      </c>
      <c r="E1858" s="20" t="str">
        <f t="shared" si="1"/>
        <v>1522@agad.cat</v>
      </c>
      <c r="F1858" s="21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</row>
    <row r="1859" ht="15.75" customHeight="1">
      <c r="A1859" s="18" t="str">
        <f>Descargas!A1859</f>
        <v>796@gmail.com</v>
      </c>
      <c r="B1859" s="19" t="str">
        <f>IFERROR(__xludf.DUMMYFUNCTION("IF(OR(regexmatch(A1859,"".*@simon.es$""),REGEXMATCH(A1859,"".*@simon.pt$""),REGEXMATCH(A1859,"".*@simonelectrica.com$""),REGEXMATCH(A1859,"".*@hiberus.com$""),REGEXMATCH(A1859,"".*@simonbrico.es$""),regexmatch(A1859,"".*@simonelectric.com$"")),""null"",A1"&amp;"859)"),"796@gmail.com")</f>
        <v>796@gmail.com</v>
      </c>
      <c r="C1859" s="5">
        <f>IF(B1859="null","null",Descargas!B1859)</f>
        <v>43950</v>
      </c>
      <c r="D1859" s="6" t="str">
        <f>Descargas!E1859</f>
        <v>https://resources.simonelectric.com/simon-catalogo-vehiculo-electrico</v>
      </c>
      <c r="E1859" s="20" t="str">
        <f t="shared" si="1"/>
        <v>796@gmail.com</v>
      </c>
      <c r="F1859" s="21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</row>
    <row r="1860" ht="15.75" customHeight="1">
      <c r="A1860" s="18" t="str">
        <f>Descargas!A1860</f>
        <v>1523@ofitep.com</v>
      </c>
      <c r="B1860" s="19" t="str">
        <f>IFERROR(__xludf.DUMMYFUNCTION("IF(OR(regexmatch(A1860,"".*@simon.es$""),REGEXMATCH(A1860,"".*@simon.pt$""),REGEXMATCH(A1860,"".*@simonelectrica.com$""),REGEXMATCH(A1860,"".*@hiberus.com$""),REGEXMATCH(A1860,"".*@simonbrico.es$""),regexmatch(A1860,"".*@simonelectric.com$"")),""null"",A1"&amp;"860)"),"1523@ofitep.com")</f>
        <v>1523@ofitep.com</v>
      </c>
      <c r="C1860" s="5">
        <f>IF(B1860="null","null",Descargas!B1860)</f>
        <v>43950</v>
      </c>
      <c r="D1860" s="6" t="str">
        <f>Descargas!E1860</f>
        <v>https://resources.simonelectric.com/simon-catalogo-vehiculo-electrico</v>
      </c>
      <c r="E1860" s="20" t="str">
        <f t="shared" si="1"/>
        <v>1523@ofitep.com</v>
      </c>
      <c r="F1860" s="21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</row>
    <row r="1861" ht="15.75" customHeight="1">
      <c r="A1861" s="18" t="str">
        <f>Descargas!A1861</f>
        <v>1524@suministrosserpis.es</v>
      </c>
      <c r="B1861" s="19" t="str">
        <f>IFERROR(__xludf.DUMMYFUNCTION("IF(OR(regexmatch(A1861,"".*@simon.es$""),REGEXMATCH(A1861,"".*@simon.pt$""),REGEXMATCH(A1861,"".*@simonelectrica.com$""),REGEXMATCH(A1861,"".*@hiberus.com$""),REGEXMATCH(A1861,"".*@simonbrico.es$""),regexmatch(A1861,"".*@simonelectric.com$"")),""null"",A1"&amp;"861)"),"1524@suministrosserpis.es")</f>
        <v>1524@suministrosserpis.es</v>
      </c>
      <c r="C1861" s="5">
        <f>IF(B1861="null","null",Descargas!B1861)</f>
        <v>43950</v>
      </c>
      <c r="D1861" s="6" t="str">
        <f>Descargas!E1861</f>
        <v>https://resources.simonelectric.com/simon-catalogo-vehiculo-electrico</v>
      </c>
      <c r="E1861" s="20" t="str">
        <f t="shared" si="1"/>
        <v>1524@suministrosserpis.es</v>
      </c>
      <c r="F1861" s="21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</row>
    <row r="1862" ht="15.75" customHeight="1">
      <c r="A1862" s="18" t="str">
        <f>Descargas!A1862</f>
        <v>1525@abcgrup.com</v>
      </c>
      <c r="B1862" s="19" t="str">
        <f>IFERROR(__xludf.DUMMYFUNCTION("IF(OR(regexmatch(A1862,"".*@simon.es$""),REGEXMATCH(A1862,"".*@simon.pt$""),REGEXMATCH(A1862,"".*@simonelectrica.com$""),REGEXMATCH(A1862,"".*@hiberus.com$""),REGEXMATCH(A1862,"".*@simonbrico.es$""),regexmatch(A1862,"".*@simonelectric.com$"")),""null"",A1"&amp;"862)"),"1525@abcgrup.com")</f>
        <v>1525@abcgrup.com</v>
      </c>
      <c r="C1862" s="5">
        <f>IF(B1862="null","null",Descargas!B1862)</f>
        <v>43950</v>
      </c>
      <c r="D1862" s="6" t="str">
        <f>Descargas!E1862</f>
        <v>https://resources.simonelectric.com/simon-catalogo-vehiculo-electrico</v>
      </c>
      <c r="E1862" s="20" t="str">
        <f t="shared" si="1"/>
        <v>1525@abcgrup.com</v>
      </c>
      <c r="F1862" s="21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</row>
    <row r="1863" ht="15.75" customHeight="1">
      <c r="A1863" s="18" t="str">
        <f>Descargas!A1863</f>
        <v>1526@gmail.com</v>
      </c>
      <c r="B1863" s="19" t="str">
        <f>IFERROR(__xludf.DUMMYFUNCTION("IF(OR(regexmatch(A1863,"".*@simon.es$""),REGEXMATCH(A1863,"".*@simon.pt$""),REGEXMATCH(A1863,"".*@simonelectrica.com$""),REGEXMATCH(A1863,"".*@hiberus.com$""),REGEXMATCH(A1863,"".*@simonbrico.es$""),regexmatch(A1863,"".*@simonelectric.com$"")),""null"",A1"&amp;"863)"),"1526@gmail.com")</f>
        <v>1526@gmail.com</v>
      </c>
      <c r="C1863" s="5">
        <f>IF(B1863="null","null",Descargas!B1863)</f>
        <v>43950</v>
      </c>
      <c r="D1863" s="6" t="str">
        <f>Descargas!E1863</f>
        <v>https://resources.simonelectric.com/simon-catalogo-vehiculo-electrico</v>
      </c>
      <c r="E1863" s="20" t="str">
        <f t="shared" si="1"/>
        <v>1526@gmail.com</v>
      </c>
      <c r="F1863" s="21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</row>
    <row r="1864" ht="15.75" customHeight="1">
      <c r="A1864" s="18" t="str">
        <f>Descargas!A1864</f>
        <v>1527@prodelec.es</v>
      </c>
      <c r="B1864" s="19" t="str">
        <f>IFERROR(__xludf.DUMMYFUNCTION("IF(OR(regexmatch(A1864,"".*@simon.es$""),REGEXMATCH(A1864,"".*@simon.pt$""),REGEXMATCH(A1864,"".*@simonelectrica.com$""),REGEXMATCH(A1864,"".*@hiberus.com$""),REGEXMATCH(A1864,"".*@simonbrico.es$""),regexmatch(A1864,"".*@simonelectric.com$"")),""null"",A1"&amp;"864)"),"1527@prodelec.es")</f>
        <v>1527@prodelec.es</v>
      </c>
      <c r="C1864" s="5">
        <f>IF(B1864="null","null",Descargas!B1864)</f>
        <v>43950</v>
      </c>
      <c r="D1864" s="6" t="str">
        <f>Descargas!E1864</f>
        <v>https://resources.simonelectric.com/simon-catalogo-vehiculo-electrico</v>
      </c>
      <c r="E1864" s="20" t="str">
        <f t="shared" si="1"/>
        <v>1527@prodelec.es</v>
      </c>
      <c r="F1864" s="21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</row>
    <row r="1865" ht="15.75" customHeight="1">
      <c r="A1865" s="18" t="str">
        <f>Descargas!A1865</f>
        <v>1528@sitiaingenieria.com</v>
      </c>
      <c r="B1865" s="19" t="str">
        <f>IFERROR(__xludf.DUMMYFUNCTION("IF(OR(regexmatch(A1865,"".*@simon.es$""),REGEXMATCH(A1865,"".*@simon.pt$""),REGEXMATCH(A1865,"".*@simonelectrica.com$""),REGEXMATCH(A1865,"".*@hiberus.com$""),REGEXMATCH(A1865,"".*@simonbrico.es$""),regexmatch(A1865,"".*@simonelectric.com$"")),""null"",A1"&amp;"865)"),"1528@sitiaingenieria.com")</f>
        <v>1528@sitiaingenieria.com</v>
      </c>
      <c r="C1865" s="5">
        <f>IF(B1865="null","null",Descargas!B1865)</f>
        <v>43950</v>
      </c>
      <c r="D1865" s="6" t="str">
        <f>Descargas!E1865</f>
        <v>https://resources.simonelectric.com/simon-catalogo-vehiculo-electrico</v>
      </c>
      <c r="E1865" s="20" t="str">
        <f t="shared" si="1"/>
        <v>1528@sitiaingenieria.com</v>
      </c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</row>
    <row r="1866" ht="15.75" customHeight="1">
      <c r="A1866" s="18" t="str">
        <f>Descargas!A1866</f>
        <v>1529@simon.es</v>
      </c>
      <c r="B1866" s="19" t="str">
        <f>IFERROR(__xludf.DUMMYFUNCTION("IF(OR(regexmatch(A1866,"".*@simon.es$""),REGEXMATCH(A1866,"".*@simon.pt$""),REGEXMATCH(A1866,"".*@simonelectrica.com$""),REGEXMATCH(A1866,"".*@hiberus.com$""),REGEXMATCH(A1866,"".*@simonbrico.es$""),regexmatch(A1866,"".*@simonelectric.com$"")),""null"",A1"&amp;"866)"),"null")</f>
        <v>null</v>
      </c>
      <c r="C1866" s="5" t="str">
        <f>IF(B1866="null","null",Descargas!B1866)</f>
        <v>null</v>
      </c>
      <c r="D1866" s="6" t="str">
        <f>Descargas!E1866</f>
        <v>https://resources.simonelectric.com/simon-catalogo-vehiculo-electrico</v>
      </c>
      <c r="E1866" s="24" t="str">
        <f t="shared" si="1"/>
        <v/>
      </c>
      <c r="F1866" s="21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</row>
    <row r="1867" ht="15.75" customHeight="1">
      <c r="A1867" s="18" t="str">
        <f>Descargas!A1867</f>
        <v>1530@aller.es</v>
      </c>
      <c r="B1867" s="19" t="str">
        <f>IFERROR(__xludf.DUMMYFUNCTION("IF(OR(regexmatch(A1867,"".*@simon.es$""),REGEXMATCH(A1867,"".*@simon.pt$""),REGEXMATCH(A1867,"".*@simonelectrica.com$""),REGEXMATCH(A1867,"".*@hiberus.com$""),REGEXMATCH(A1867,"".*@simonbrico.es$""),regexmatch(A1867,"".*@simonelectric.com$"")),""null"",A1"&amp;"867)"),"1530@aller.es")</f>
        <v>1530@aller.es</v>
      </c>
      <c r="C1867" s="5">
        <f>IF(B1867="null","null",Descargas!B1867)</f>
        <v>43950</v>
      </c>
      <c r="D1867" s="6" t="str">
        <f>Descargas!E1867</f>
        <v>https://resources.simonelectric.com/simon-catalogo-vehiculo-electrico</v>
      </c>
      <c r="E1867" s="20" t="str">
        <f t="shared" si="1"/>
        <v>1530@aller.es</v>
      </c>
      <c r="F1867" s="21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</row>
    <row r="1868" ht="15.75" customHeight="1">
      <c r="A1868" s="18" t="str">
        <f>Descargas!A1868</f>
        <v>1531@telefonica.net</v>
      </c>
      <c r="B1868" s="19" t="str">
        <f>IFERROR(__xludf.DUMMYFUNCTION("IF(OR(regexmatch(A1868,"".*@simon.es$""),REGEXMATCH(A1868,"".*@simon.pt$""),REGEXMATCH(A1868,"".*@simonelectrica.com$""),REGEXMATCH(A1868,"".*@hiberus.com$""),REGEXMATCH(A1868,"".*@simonbrico.es$""),regexmatch(A1868,"".*@simonelectric.com$"")),""null"",A1"&amp;"868)"),"1531@telefonica.net")</f>
        <v>1531@telefonica.net</v>
      </c>
      <c r="C1868" s="5">
        <f>IF(B1868="null","null",Descargas!B1868)</f>
        <v>43950</v>
      </c>
      <c r="D1868" s="6" t="str">
        <f>Descargas!E1868</f>
        <v>https://resources.simonelectric.com/simon-catalogo-vehiculo-electrico</v>
      </c>
      <c r="E1868" s="20" t="str">
        <f t="shared" si="1"/>
        <v>1531@telefonica.net</v>
      </c>
      <c r="F1868" s="21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</row>
    <row r="1869" ht="15.75" customHeight="1">
      <c r="A1869" s="18" t="str">
        <f>Descargas!A1869</f>
        <v>1532@telefonica.net</v>
      </c>
      <c r="B1869" s="19" t="str">
        <f>IFERROR(__xludf.DUMMYFUNCTION("IF(OR(regexmatch(A1869,"".*@simon.es$""),REGEXMATCH(A1869,"".*@simon.pt$""),REGEXMATCH(A1869,"".*@simonelectrica.com$""),REGEXMATCH(A1869,"".*@hiberus.com$""),REGEXMATCH(A1869,"".*@simonbrico.es$""),regexmatch(A1869,"".*@simonelectric.com$"")),""null"",A1"&amp;"869)"),"1532@telefonica.net")</f>
        <v>1532@telefonica.net</v>
      </c>
      <c r="C1869" s="5">
        <f>IF(B1869="null","null",Descargas!B1869)</f>
        <v>43950</v>
      </c>
      <c r="D1869" s="6" t="str">
        <f>Descargas!E1869</f>
        <v>https://resources.simonelectric.com/simon-catalogo-vehiculo-electrico</v>
      </c>
      <c r="E1869" s="20" t="str">
        <f t="shared" si="1"/>
        <v>1532@telefonica.net</v>
      </c>
      <c r="F1869" s="21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</row>
    <row r="1870" ht="15.75" customHeight="1">
      <c r="A1870" s="18" t="str">
        <f>Descargas!A1870</f>
        <v>1533@gmail.com</v>
      </c>
      <c r="B1870" s="19" t="str">
        <f>IFERROR(__xludf.DUMMYFUNCTION("IF(OR(regexmatch(A1870,"".*@simon.es$""),REGEXMATCH(A1870,"".*@simon.pt$""),REGEXMATCH(A1870,"".*@simonelectrica.com$""),REGEXMATCH(A1870,"".*@hiberus.com$""),REGEXMATCH(A1870,"".*@simonbrico.es$""),regexmatch(A1870,"".*@simonelectric.com$"")),""null"",A1"&amp;"870)"),"1533@gmail.com")</f>
        <v>1533@gmail.com</v>
      </c>
      <c r="C1870" s="5">
        <f>IF(B1870="null","null",Descargas!B1870)</f>
        <v>43950</v>
      </c>
      <c r="D1870" s="6" t="str">
        <f>Descargas!E1870</f>
        <v>https://resources.simonelectric.com/simon-catalogo-vehiculo-electrico</v>
      </c>
      <c r="E1870" s="20" t="str">
        <f t="shared" si="1"/>
        <v>1533@gmail.com</v>
      </c>
      <c r="F1870" s="21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</row>
    <row r="1871" ht="15.75" customHeight="1">
      <c r="A1871" s="18" t="str">
        <f>Descargas!A1871</f>
        <v>1534@gmail.com</v>
      </c>
      <c r="B1871" s="19" t="str">
        <f>IFERROR(__xludf.DUMMYFUNCTION("IF(OR(regexmatch(A1871,"".*@simon.es$""),REGEXMATCH(A1871,"".*@simon.pt$""),REGEXMATCH(A1871,"".*@simonelectrica.com$""),REGEXMATCH(A1871,"".*@hiberus.com$""),REGEXMATCH(A1871,"".*@simonbrico.es$""),regexmatch(A1871,"".*@simonelectric.com$"")),""null"",A1"&amp;"871)"),"1534@gmail.com")</f>
        <v>1534@gmail.com</v>
      </c>
      <c r="C1871" s="5">
        <f>IF(B1871="null","null",Descargas!B1871)</f>
        <v>43950</v>
      </c>
      <c r="D1871" s="6" t="str">
        <f>Descargas!E1871</f>
        <v>https://resources.simonelectric.com/simon-catalogo-vehiculo-electrico</v>
      </c>
      <c r="E1871" s="20" t="str">
        <f t="shared" si="1"/>
        <v>1534@gmail.com</v>
      </c>
      <c r="F1871" s="21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</row>
    <row r="1872" ht="15.75" customHeight="1">
      <c r="A1872" s="18" t="str">
        <f>Descargas!A1872</f>
        <v>1022@uhu.es</v>
      </c>
      <c r="B1872" s="19" t="str">
        <f>IFERROR(__xludf.DUMMYFUNCTION("IF(OR(regexmatch(A1872,"".*@simon.es$""),REGEXMATCH(A1872,"".*@simon.pt$""),REGEXMATCH(A1872,"".*@simonelectrica.com$""),REGEXMATCH(A1872,"".*@hiberus.com$""),REGEXMATCH(A1872,"".*@simonbrico.es$""),regexmatch(A1872,"".*@simonelectric.com$"")),""null"",A1"&amp;"872)"),"1022@uhu.es")</f>
        <v>1022@uhu.es</v>
      </c>
      <c r="C1872" s="5">
        <f>IF(B1872="null","null",Descargas!B1872)</f>
        <v>43950</v>
      </c>
      <c r="D1872" s="6" t="str">
        <f>Descargas!E1872</f>
        <v>https://resources.simonelectric.com/simon-catalogo-vehiculo-electrico</v>
      </c>
      <c r="E1872" s="20" t="str">
        <f t="shared" si="1"/>
        <v>1022@uhu.es</v>
      </c>
      <c r="F1872" s="21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</row>
    <row r="1873" ht="15.75" customHeight="1">
      <c r="A1873" s="18" t="str">
        <f>Descargas!A1873</f>
        <v>1535@hotmail.com</v>
      </c>
      <c r="B1873" s="19" t="str">
        <f>IFERROR(__xludf.DUMMYFUNCTION("IF(OR(regexmatch(A1873,"".*@simon.es$""),REGEXMATCH(A1873,"".*@simon.pt$""),REGEXMATCH(A1873,"".*@simonelectrica.com$""),REGEXMATCH(A1873,"".*@hiberus.com$""),REGEXMATCH(A1873,"".*@simonbrico.es$""),regexmatch(A1873,"".*@simonelectric.com$"")),""null"",A1"&amp;"873)"),"1535@hotmail.com")</f>
        <v>1535@hotmail.com</v>
      </c>
      <c r="C1873" s="5">
        <f>IF(B1873="null","null",Descargas!B1873)</f>
        <v>43950</v>
      </c>
      <c r="D1873" s="6" t="str">
        <f>Descargas!E1873</f>
        <v>https://resources.simonelectric.com/simon-catalogo-vehiculo-electrico</v>
      </c>
      <c r="E1873" s="20" t="str">
        <f t="shared" si="1"/>
        <v>1535@hotmail.com</v>
      </c>
      <c r="F1873" s="21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</row>
    <row r="1874" ht="15.75" customHeight="1">
      <c r="A1874" s="18" t="str">
        <f>Descargas!A1874</f>
        <v>1536@estudiosyproyectos.com</v>
      </c>
      <c r="B1874" s="19" t="str">
        <f>IFERROR(__xludf.DUMMYFUNCTION("IF(OR(regexmatch(A1874,"".*@simon.es$""),REGEXMATCH(A1874,"".*@simon.pt$""),REGEXMATCH(A1874,"".*@simonelectrica.com$""),REGEXMATCH(A1874,"".*@hiberus.com$""),REGEXMATCH(A1874,"".*@simonbrico.es$""),regexmatch(A1874,"".*@simonelectric.com$"")),""null"",A1"&amp;"874)"),"1536@estudiosyproyectos.com")</f>
        <v>1536@estudiosyproyectos.com</v>
      </c>
      <c r="C1874" s="5">
        <f>IF(B1874="null","null",Descargas!B1874)</f>
        <v>43950</v>
      </c>
      <c r="D1874" s="6" t="str">
        <f>Descargas!E1874</f>
        <v>https://resources.simonelectric.com/simon-catalogo-vehiculo-electrico</v>
      </c>
      <c r="E1874" s="20" t="str">
        <f t="shared" si="1"/>
        <v>1536@estudiosyproyectos.com</v>
      </c>
      <c r="F1874" s="21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</row>
    <row r="1875" ht="15.75" customHeight="1">
      <c r="A1875" s="18" t="str">
        <f>Descargas!A1875</f>
        <v>1537@prysmiangroup.com</v>
      </c>
      <c r="B1875" s="19" t="str">
        <f>IFERROR(__xludf.DUMMYFUNCTION("IF(OR(regexmatch(A1875,"".*@simon.es$""),REGEXMATCH(A1875,"".*@simon.pt$""),REGEXMATCH(A1875,"".*@simonelectrica.com$""),REGEXMATCH(A1875,"".*@hiberus.com$""),REGEXMATCH(A1875,"".*@simonbrico.es$""),regexmatch(A1875,"".*@simonelectric.com$"")),""null"",A1"&amp;"875)"),"1537@prysmiangroup.com")</f>
        <v>1537@prysmiangroup.com</v>
      </c>
      <c r="C1875" s="5">
        <f>IF(B1875="null","null",Descargas!B1875)</f>
        <v>43950</v>
      </c>
      <c r="D1875" s="6" t="str">
        <f>Descargas!E1875</f>
        <v>https://resources.simonelectric.com/simon-catalogo-vehiculo-electrico</v>
      </c>
      <c r="E1875" s="20" t="str">
        <f t="shared" si="1"/>
        <v>1537@prysmiangroup.com</v>
      </c>
      <c r="F1875" s="21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</row>
    <row r="1876" ht="15.75" customHeight="1">
      <c r="A1876" s="18" t="str">
        <f>Descargas!A1876</f>
        <v>1538@auditenergia.com</v>
      </c>
      <c r="B1876" s="19" t="str">
        <f>IFERROR(__xludf.DUMMYFUNCTION("IF(OR(regexmatch(A1876,"".*@simon.es$""),REGEXMATCH(A1876,"".*@simon.pt$""),REGEXMATCH(A1876,"".*@simonelectrica.com$""),REGEXMATCH(A1876,"".*@hiberus.com$""),REGEXMATCH(A1876,"".*@simonbrico.es$""),regexmatch(A1876,"".*@simonelectric.com$"")),""null"",A1"&amp;"876)"),"1538@auditenergia.com")</f>
        <v>1538@auditenergia.com</v>
      </c>
      <c r="C1876" s="5">
        <f>IF(B1876="null","null",Descargas!B1876)</f>
        <v>43950</v>
      </c>
      <c r="D1876" s="6" t="str">
        <f>Descargas!E1876</f>
        <v>https://resources.simonelectric.com/simon-catalogo-vehiculo-electrico</v>
      </c>
      <c r="E1876" s="20" t="str">
        <f t="shared" si="1"/>
        <v>1538@auditenergia.com</v>
      </c>
      <c r="F1876" s="21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</row>
    <row r="1877" ht="15.75" customHeight="1">
      <c r="A1877" s="18" t="str">
        <f>Descargas!A1877</f>
        <v>1536@estudiosyproyectos.com</v>
      </c>
      <c r="B1877" s="19" t="str">
        <f>IFERROR(__xludf.DUMMYFUNCTION("IF(OR(regexmatch(A1877,"".*@simon.es$""),REGEXMATCH(A1877,"".*@simon.pt$""),REGEXMATCH(A1877,"".*@simonelectrica.com$""),REGEXMATCH(A1877,"".*@hiberus.com$""),REGEXMATCH(A1877,"".*@simonbrico.es$""),regexmatch(A1877,"".*@simonelectric.com$"")),""null"",A1"&amp;"877)"),"1536@estudiosyproyectos.com")</f>
        <v>1536@estudiosyproyectos.com</v>
      </c>
      <c r="C1877" s="5">
        <f>IF(B1877="null","null",Descargas!B1877)</f>
        <v>43950</v>
      </c>
      <c r="D1877" s="6" t="str">
        <f>Descargas!E1877</f>
        <v>https://resources.simonelectric.com/simon-catalogo-vehiculo-electrico</v>
      </c>
      <c r="E1877" s="20" t="str">
        <f t="shared" si="1"/>
        <v>1536@estudiosyproyectos.com</v>
      </c>
      <c r="F1877" s="21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</row>
    <row r="1878" ht="15.75" customHeight="1">
      <c r="A1878" s="18" t="str">
        <f>Descargas!A1878</f>
        <v>1539@hotmail.com</v>
      </c>
      <c r="B1878" s="19" t="str">
        <f>IFERROR(__xludf.DUMMYFUNCTION("IF(OR(regexmatch(A1878,"".*@simon.es$""),REGEXMATCH(A1878,"".*@simon.pt$""),REGEXMATCH(A1878,"".*@simonelectrica.com$""),REGEXMATCH(A1878,"".*@hiberus.com$""),REGEXMATCH(A1878,"".*@simonbrico.es$""),regexmatch(A1878,"".*@simonelectric.com$"")),""null"",A1"&amp;"878)"),"1539@hotmail.com")</f>
        <v>1539@hotmail.com</v>
      </c>
      <c r="C1878" s="5">
        <f>IF(B1878="null","null",Descargas!B1878)</f>
        <v>43950</v>
      </c>
      <c r="D1878" s="6" t="str">
        <f>Descargas!E1878</f>
        <v>https://resources.simonelectric.com/simon-catalogo-vehiculo-electrico</v>
      </c>
      <c r="E1878" s="20" t="str">
        <f t="shared" si="1"/>
        <v>1539@hotmail.com</v>
      </c>
      <c r="F1878" s="21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</row>
    <row r="1879" ht="15.75" customHeight="1">
      <c r="A1879" s="18" t="str">
        <f>Descargas!A1879</f>
        <v>606@gmail.com</v>
      </c>
      <c r="B1879" s="19" t="str">
        <f>IFERROR(__xludf.DUMMYFUNCTION("IF(OR(regexmatch(A1879,"".*@simon.es$""),REGEXMATCH(A1879,"".*@simon.pt$""),REGEXMATCH(A1879,"".*@simonelectrica.com$""),REGEXMATCH(A1879,"".*@hiberus.com$""),REGEXMATCH(A1879,"".*@simonbrico.es$""),regexmatch(A1879,"".*@simonelectric.com$"")),""null"",A1"&amp;"879)"),"606@gmail.com")</f>
        <v>606@gmail.com</v>
      </c>
      <c r="C1879" s="5">
        <f>IF(B1879="null","null",Descargas!B1879)</f>
        <v>43950</v>
      </c>
      <c r="D1879" s="6" t="str">
        <f>Descargas!E1879</f>
        <v>https://resources.simonelectric.com/simon-catalogo-vehiculo-electrico</v>
      </c>
      <c r="E1879" s="20" t="str">
        <f t="shared" si="1"/>
        <v>606@gmail.com</v>
      </c>
      <c r="F1879" s="21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</row>
    <row r="1880" ht="15.75" customHeight="1">
      <c r="A1880" s="18" t="str">
        <f>Descargas!A1880</f>
        <v>1540@heliopol.es</v>
      </c>
      <c r="B1880" s="19" t="str">
        <f>IFERROR(__xludf.DUMMYFUNCTION("IF(OR(regexmatch(A1880,"".*@simon.es$""),REGEXMATCH(A1880,"".*@simon.pt$""),REGEXMATCH(A1880,"".*@simonelectrica.com$""),REGEXMATCH(A1880,"".*@hiberus.com$""),REGEXMATCH(A1880,"".*@simonbrico.es$""),regexmatch(A1880,"".*@simonelectric.com$"")),""null"",A1"&amp;"880)"),"1540@heliopol.es")</f>
        <v>1540@heliopol.es</v>
      </c>
      <c r="C1880" s="5">
        <f>IF(B1880="null","null",Descargas!B1880)</f>
        <v>43950</v>
      </c>
      <c r="D1880" s="6" t="str">
        <f>Descargas!E1880</f>
        <v>https://resources.simonelectric.com/simon-catalogo-vehiculo-electrico</v>
      </c>
      <c r="E1880" s="20" t="str">
        <f t="shared" si="1"/>
        <v>1540@heliopol.es</v>
      </c>
      <c r="F1880" s="21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</row>
    <row r="1881" ht="15.75" customHeight="1">
      <c r="A1881" s="18" t="str">
        <f>Descargas!A1881</f>
        <v>1541@acp-level.es</v>
      </c>
      <c r="B1881" s="19" t="str">
        <f>IFERROR(__xludf.DUMMYFUNCTION("IF(OR(regexmatch(A1881,"".*@simon.es$""),REGEXMATCH(A1881,"".*@simon.pt$""),REGEXMATCH(A1881,"".*@simonelectrica.com$""),REGEXMATCH(A1881,"".*@hiberus.com$""),REGEXMATCH(A1881,"".*@simonbrico.es$""),regexmatch(A1881,"".*@simonelectric.com$"")),""null"",A1"&amp;"881)"),"1541@acp-level.es")</f>
        <v>1541@acp-level.es</v>
      </c>
      <c r="C1881" s="5">
        <f>IF(B1881="null","null",Descargas!B1881)</f>
        <v>43950</v>
      </c>
      <c r="D1881" s="6" t="str">
        <f>Descargas!E1881</f>
        <v>https://resources.simonelectric.com/simon-catalogo-vehiculo-electrico</v>
      </c>
      <c r="E1881" s="20" t="str">
        <f t="shared" si="1"/>
        <v>1541@acp-level.es</v>
      </c>
      <c r="F1881" s="21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</row>
    <row r="1882" ht="15.75" customHeight="1">
      <c r="A1882" s="18" t="str">
        <f>Descargas!A1882</f>
        <v>1542@meomsl.com</v>
      </c>
      <c r="B1882" s="19" t="str">
        <f>IFERROR(__xludf.DUMMYFUNCTION("IF(OR(regexmatch(A1882,"".*@simon.es$""),REGEXMATCH(A1882,"".*@simon.pt$""),REGEXMATCH(A1882,"".*@simonelectrica.com$""),REGEXMATCH(A1882,"".*@hiberus.com$""),REGEXMATCH(A1882,"".*@simonbrico.es$""),regexmatch(A1882,"".*@simonelectric.com$"")),""null"",A1"&amp;"882)"),"1542@meomsl.com")</f>
        <v>1542@meomsl.com</v>
      </c>
      <c r="C1882" s="5">
        <f>IF(B1882="null","null",Descargas!B1882)</f>
        <v>43950</v>
      </c>
      <c r="D1882" s="6" t="str">
        <f>Descargas!E1882</f>
        <v>https://resources.simonelectric.com/simon-catalogo-vehiculo-electrico</v>
      </c>
      <c r="E1882" s="20" t="str">
        <f t="shared" si="1"/>
        <v>1542@meomsl.com</v>
      </c>
      <c r="F1882" s="21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</row>
    <row r="1883" ht="15.75" customHeight="1">
      <c r="A1883" s="18" t="str">
        <f>Descargas!A1883</f>
        <v>1543@cotpa.com</v>
      </c>
      <c r="B1883" s="19" t="str">
        <f>IFERROR(__xludf.DUMMYFUNCTION("IF(OR(regexmatch(A1883,"".*@simon.es$""),REGEXMATCH(A1883,"".*@simon.pt$""),REGEXMATCH(A1883,"".*@simonelectrica.com$""),REGEXMATCH(A1883,"".*@hiberus.com$""),REGEXMATCH(A1883,"".*@simonbrico.es$""),regexmatch(A1883,"".*@simonelectric.com$"")),""null"",A1"&amp;"883)"),"1543@cotpa.com")</f>
        <v>1543@cotpa.com</v>
      </c>
      <c r="C1883" s="5">
        <f>IF(B1883="null","null",Descargas!B1883)</f>
        <v>43950</v>
      </c>
      <c r="D1883" s="6" t="str">
        <f>Descargas!E1883</f>
        <v>https://resources.simonelectric.com/simon-catalogo-vehiculo-electrico</v>
      </c>
      <c r="E1883" s="20" t="str">
        <f t="shared" si="1"/>
        <v>1543@cotpa.com</v>
      </c>
      <c r="F1883" s="21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</row>
    <row r="1884" ht="15.75" customHeight="1">
      <c r="A1884" s="18" t="str">
        <f>Descargas!A1884</f>
        <v>1544@hotmail.com</v>
      </c>
      <c r="B1884" s="19" t="str">
        <f>IFERROR(__xludf.DUMMYFUNCTION("IF(OR(regexmatch(A1884,"".*@simon.es$""),REGEXMATCH(A1884,"".*@simon.pt$""),REGEXMATCH(A1884,"".*@simonelectrica.com$""),REGEXMATCH(A1884,"".*@hiberus.com$""),REGEXMATCH(A1884,"".*@simonbrico.es$""),regexmatch(A1884,"".*@simonelectric.com$"")),""null"",A1"&amp;"884)"),"1544@hotmail.com")</f>
        <v>1544@hotmail.com</v>
      </c>
      <c r="C1884" s="5">
        <f>IF(B1884="null","null",Descargas!B1884)</f>
        <v>43950</v>
      </c>
      <c r="D1884" s="6" t="str">
        <f>Descargas!E1884</f>
        <v>https://resources.simonelectric.com/simon-catalogo-vehiculo-electrico</v>
      </c>
      <c r="E1884" s="20" t="str">
        <f t="shared" si="1"/>
        <v>1544@hotmail.com</v>
      </c>
      <c r="F1884" s="21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</row>
    <row r="1885" ht="15.75" customHeight="1">
      <c r="A1885" s="18" t="str">
        <f>Descargas!A1885</f>
        <v>1545@hotmail.com</v>
      </c>
      <c r="B1885" s="19" t="str">
        <f>IFERROR(__xludf.DUMMYFUNCTION("IF(OR(regexmatch(A1885,"".*@simon.es$""),REGEXMATCH(A1885,"".*@simon.pt$""),REGEXMATCH(A1885,"".*@simonelectrica.com$""),REGEXMATCH(A1885,"".*@hiberus.com$""),REGEXMATCH(A1885,"".*@simonbrico.es$""),regexmatch(A1885,"".*@simonelectric.com$"")),""null"",A1"&amp;"885)"),"1545@hotmail.com")</f>
        <v>1545@hotmail.com</v>
      </c>
      <c r="C1885" s="5">
        <f>IF(B1885="null","null",Descargas!B1885)</f>
        <v>43950</v>
      </c>
      <c r="D1885" s="6" t="str">
        <f>Descargas!E1885</f>
        <v>https://resources.simonelectric.com/simon-catalogo-vehiculo-electrico</v>
      </c>
      <c r="E1885" s="20" t="str">
        <f t="shared" si="1"/>
        <v>1545@hotmail.com</v>
      </c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</row>
    <row r="1886" ht="15.75" customHeight="1">
      <c r="A1886" s="18" t="str">
        <f>Descargas!A1886</f>
        <v>1546@gmail.com</v>
      </c>
      <c r="B1886" s="19" t="str">
        <f>IFERROR(__xludf.DUMMYFUNCTION("IF(OR(regexmatch(A1886,"".*@simon.es$""),REGEXMATCH(A1886,"".*@simon.pt$""),REGEXMATCH(A1886,"".*@simonelectrica.com$""),REGEXMATCH(A1886,"".*@hiberus.com$""),REGEXMATCH(A1886,"".*@simonbrico.es$""),regexmatch(A1886,"".*@simonelectric.com$"")),""null"",A1"&amp;"886)"),"1546@gmail.com")</f>
        <v>1546@gmail.com</v>
      </c>
      <c r="C1886" s="5">
        <f>IF(B1886="null","null",Descargas!B1886)</f>
        <v>43950</v>
      </c>
      <c r="D1886" s="6" t="str">
        <f>Descargas!E1886</f>
        <v>https://resources.simonelectric.com/simon-catalogo-vehiculo-electrico</v>
      </c>
      <c r="E1886" s="20" t="str">
        <f t="shared" si="1"/>
        <v>1546@gmail.com</v>
      </c>
      <c r="F1886" s="21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</row>
    <row r="1887" ht="15.75" customHeight="1">
      <c r="A1887" s="18" t="str">
        <f>Descargas!A1887</f>
        <v>1547@gmail.com</v>
      </c>
      <c r="B1887" s="19" t="str">
        <f>IFERROR(__xludf.DUMMYFUNCTION("IF(OR(regexmatch(A1887,"".*@simon.es$""),REGEXMATCH(A1887,"".*@simon.pt$""),REGEXMATCH(A1887,"".*@simonelectrica.com$""),REGEXMATCH(A1887,"".*@hiberus.com$""),REGEXMATCH(A1887,"".*@simonbrico.es$""),regexmatch(A1887,"".*@simonelectric.com$"")),""null"",A1"&amp;"887)"),"1547@gmail.com")</f>
        <v>1547@gmail.com</v>
      </c>
      <c r="C1887" s="5">
        <f>IF(B1887="null","null",Descargas!B1887)</f>
        <v>43950</v>
      </c>
      <c r="D1887" s="6" t="str">
        <f>Descargas!E1887</f>
        <v>https://resources.simonelectric.com/simon-catalogo-vehiculo-electrico</v>
      </c>
      <c r="E1887" s="20" t="str">
        <f t="shared" si="1"/>
        <v>1547@gmail.com</v>
      </c>
      <c r="F1887" s="21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</row>
    <row r="1888" ht="15.75" customHeight="1">
      <c r="A1888" s="18" t="str">
        <f>Descargas!A1888</f>
        <v>877@gmail.com</v>
      </c>
      <c r="B1888" s="19" t="str">
        <f>IFERROR(__xludf.DUMMYFUNCTION("IF(OR(regexmatch(A1888,"".*@simon.es$""),REGEXMATCH(A1888,"".*@simon.pt$""),REGEXMATCH(A1888,"".*@simonelectrica.com$""),REGEXMATCH(A1888,"".*@hiberus.com$""),REGEXMATCH(A1888,"".*@simonbrico.es$""),regexmatch(A1888,"".*@simonelectric.com$"")),""null"",A1"&amp;"888)"),"877@gmail.com")</f>
        <v>877@gmail.com</v>
      </c>
      <c r="C1888" s="5">
        <f>IF(B1888="null","null",Descargas!B1888)</f>
        <v>43950</v>
      </c>
      <c r="D1888" s="6" t="str">
        <f>Descargas!E1888</f>
        <v>https://resources.simonelectric.com/simon-catalogo-vehiculo-electrico</v>
      </c>
      <c r="E1888" s="20" t="str">
        <f t="shared" si="1"/>
        <v>877@gmail.com</v>
      </c>
      <c r="F1888" s="21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</row>
    <row r="1889" ht="15.75" customHeight="1">
      <c r="A1889" s="18" t="str">
        <f>Descargas!A1889</f>
        <v>1548@gva.es</v>
      </c>
      <c r="B1889" s="19" t="str">
        <f>IFERROR(__xludf.DUMMYFUNCTION("IF(OR(regexmatch(A1889,"".*@simon.es$""),REGEXMATCH(A1889,"".*@simon.pt$""),REGEXMATCH(A1889,"".*@simonelectrica.com$""),REGEXMATCH(A1889,"".*@hiberus.com$""),REGEXMATCH(A1889,"".*@simonbrico.es$""),regexmatch(A1889,"".*@simonelectric.com$"")),""null"",A1"&amp;"889)"),"1548@gva.es")</f>
        <v>1548@gva.es</v>
      </c>
      <c r="C1889" s="5">
        <f>IF(B1889="null","null",Descargas!B1889)</f>
        <v>43950</v>
      </c>
      <c r="D1889" s="6" t="str">
        <f>Descargas!E1889</f>
        <v>https://resources.simonelectric.com/simon-catalogo-vehiculo-electrico</v>
      </c>
      <c r="E1889" s="20" t="str">
        <f t="shared" si="1"/>
        <v>1548@gva.es</v>
      </c>
      <c r="F1889" s="21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</row>
    <row r="1890" ht="15.75" customHeight="1">
      <c r="A1890" s="18" t="str">
        <f>Descargas!A1890</f>
        <v>1549@urgon.es</v>
      </c>
      <c r="B1890" s="19" t="str">
        <f>IFERROR(__xludf.DUMMYFUNCTION("IF(OR(regexmatch(A1890,"".*@simon.es$""),REGEXMATCH(A1890,"".*@simon.pt$""),REGEXMATCH(A1890,"".*@simonelectrica.com$""),REGEXMATCH(A1890,"".*@hiberus.com$""),REGEXMATCH(A1890,"".*@simonbrico.es$""),regexmatch(A1890,"".*@simonelectric.com$"")),""null"",A1"&amp;"890)"),"1549@urgon.es")</f>
        <v>1549@urgon.es</v>
      </c>
      <c r="C1890" s="5">
        <f>IF(B1890="null","null",Descargas!B1890)</f>
        <v>43950</v>
      </c>
      <c r="D1890" s="6" t="str">
        <f>Descargas!E1890</f>
        <v>https://resources.simonelectric.com/simon-catalogo-vehiculo-electrico</v>
      </c>
      <c r="E1890" s="20" t="str">
        <f t="shared" si="1"/>
        <v>1549@urgon.es</v>
      </c>
      <c r="F1890" s="21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</row>
    <row r="1891" ht="15.75" customHeight="1">
      <c r="A1891" s="18" t="str">
        <f>Descargas!A1891</f>
        <v>1550@die.upv.es</v>
      </c>
      <c r="B1891" s="19" t="str">
        <f>IFERROR(__xludf.DUMMYFUNCTION("IF(OR(regexmatch(A1891,"".*@simon.es$""),REGEXMATCH(A1891,"".*@simon.pt$""),REGEXMATCH(A1891,"".*@simonelectrica.com$""),REGEXMATCH(A1891,"".*@hiberus.com$""),REGEXMATCH(A1891,"".*@simonbrico.es$""),regexmatch(A1891,"".*@simonelectric.com$"")),""null"",A1"&amp;"891)"),"1550@die.upv.es")</f>
        <v>1550@die.upv.es</v>
      </c>
      <c r="C1891" s="5">
        <f>IF(B1891="null","null",Descargas!B1891)</f>
        <v>43950</v>
      </c>
      <c r="D1891" s="6" t="str">
        <f>Descargas!E1891</f>
        <v>https://resources.simonelectric.com/simon-catalogo-vehiculo-electrico</v>
      </c>
      <c r="E1891" s="20" t="str">
        <f t="shared" si="1"/>
        <v>1550@die.upv.es</v>
      </c>
      <c r="F1891" s="21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</row>
    <row r="1892" ht="15.75" customHeight="1">
      <c r="A1892" s="18" t="str">
        <f>Descargas!A1892</f>
        <v>234@pgiengineering.com</v>
      </c>
      <c r="B1892" s="19" t="str">
        <f>IFERROR(__xludf.DUMMYFUNCTION("IF(OR(regexmatch(A1892,"".*@simon.es$""),REGEXMATCH(A1892,"".*@simon.pt$""),REGEXMATCH(A1892,"".*@simonelectrica.com$""),REGEXMATCH(A1892,"".*@hiberus.com$""),REGEXMATCH(A1892,"".*@simonbrico.es$""),regexmatch(A1892,"".*@simonelectric.com$"")),""null"",A1"&amp;"892)"),"234@pgiengineering.com")</f>
        <v>234@pgiengineering.com</v>
      </c>
      <c r="C1892" s="5">
        <f>IF(B1892="null","null",Descargas!B1892)</f>
        <v>43950</v>
      </c>
      <c r="D1892" s="6" t="str">
        <f>Descargas!E1892</f>
        <v>https://resources.simonelectric.com/simon-catalogo-vehiculo-electrico</v>
      </c>
      <c r="E1892" s="20" t="str">
        <f t="shared" si="1"/>
        <v>234@pgiengineering.com</v>
      </c>
      <c r="F1892" s="21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</row>
    <row r="1893" ht="15.75" customHeight="1">
      <c r="A1893" s="18" t="str">
        <f>Descargas!A1893</f>
        <v>1551@avatry.es</v>
      </c>
      <c r="B1893" s="19" t="str">
        <f>IFERROR(__xludf.DUMMYFUNCTION("IF(OR(regexmatch(A1893,"".*@simon.es$""),REGEXMATCH(A1893,"".*@simon.pt$""),REGEXMATCH(A1893,"".*@simonelectrica.com$""),REGEXMATCH(A1893,"".*@hiberus.com$""),REGEXMATCH(A1893,"".*@simonbrico.es$""),regexmatch(A1893,"".*@simonelectric.com$"")),""null"",A1"&amp;"893)"),"1551@avatry.es")</f>
        <v>1551@avatry.es</v>
      </c>
      <c r="C1893" s="5">
        <f>IF(B1893="null","null",Descargas!B1893)</f>
        <v>43950</v>
      </c>
      <c r="D1893" s="6" t="str">
        <f>Descargas!E1893</f>
        <v>https://resources.simonelectric.com/simon-catalogo-vehiculo-electrico</v>
      </c>
      <c r="E1893" s="20" t="str">
        <f t="shared" si="1"/>
        <v>1551@avatry.es</v>
      </c>
      <c r="F1893" s="21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</row>
    <row r="1894" ht="15.75" customHeight="1">
      <c r="A1894" s="18" t="str">
        <f>Descargas!A1894</f>
        <v>1552@yahoo.es</v>
      </c>
      <c r="B1894" s="19" t="str">
        <f>IFERROR(__xludf.DUMMYFUNCTION("IF(OR(regexmatch(A1894,"".*@simon.es$""),REGEXMATCH(A1894,"".*@simon.pt$""),REGEXMATCH(A1894,"".*@simonelectrica.com$""),REGEXMATCH(A1894,"".*@hiberus.com$""),REGEXMATCH(A1894,"".*@simonbrico.es$""),regexmatch(A1894,"".*@simonelectric.com$"")),""null"",A1"&amp;"894)"),"1552@yahoo.es")</f>
        <v>1552@yahoo.es</v>
      </c>
      <c r="C1894" s="5">
        <f>IF(B1894="null","null",Descargas!B1894)</f>
        <v>43950</v>
      </c>
      <c r="D1894" s="6" t="str">
        <f>Descargas!E1894</f>
        <v>https://resources.simonelectric.com/simon-catalogo-vehiculo-electrico</v>
      </c>
      <c r="E1894" s="20" t="str">
        <f t="shared" si="1"/>
        <v>1552@yahoo.es</v>
      </c>
      <c r="F1894" s="21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</row>
    <row r="1895" ht="15.75" customHeight="1">
      <c r="A1895" s="18" t="str">
        <f>Descargas!A1895</f>
        <v>1553@arfecons.es</v>
      </c>
      <c r="B1895" s="19" t="str">
        <f>IFERROR(__xludf.DUMMYFUNCTION("IF(OR(regexmatch(A1895,"".*@simon.es$""),REGEXMATCH(A1895,"".*@simon.pt$""),REGEXMATCH(A1895,"".*@simonelectrica.com$""),REGEXMATCH(A1895,"".*@hiberus.com$""),REGEXMATCH(A1895,"".*@simonbrico.es$""),regexmatch(A1895,"".*@simonelectric.com$"")),""null"",A1"&amp;"895)"),"1553@arfecons.es")</f>
        <v>1553@arfecons.es</v>
      </c>
      <c r="C1895" s="5">
        <f>IF(B1895="null","null",Descargas!B1895)</f>
        <v>43950</v>
      </c>
      <c r="D1895" s="6" t="str">
        <f>Descargas!E1895</f>
        <v>https://resources.simonelectric.com/simon-catalogo-vehiculo-electrico</v>
      </c>
      <c r="E1895" s="20" t="str">
        <f t="shared" si="1"/>
        <v>1553@arfecons.es</v>
      </c>
      <c r="F1895" s="21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</row>
    <row r="1896" ht="15.75" customHeight="1">
      <c r="A1896" s="18" t="str">
        <f>Descargas!A1896</f>
        <v>1554@simon.es</v>
      </c>
      <c r="B1896" s="19" t="str">
        <f>IFERROR(__xludf.DUMMYFUNCTION("IF(OR(regexmatch(A1896,"".*@simon.es$""),REGEXMATCH(A1896,"".*@simon.pt$""),REGEXMATCH(A1896,"".*@simonelectrica.com$""),REGEXMATCH(A1896,"".*@hiberus.com$""),REGEXMATCH(A1896,"".*@simonbrico.es$""),regexmatch(A1896,"".*@simonelectric.com$"")),""null"",A1"&amp;"896)"),"null")</f>
        <v>null</v>
      </c>
      <c r="C1896" s="5" t="str">
        <f>IF(B1896="null","null",Descargas!B1896)</f>
        <v>null</v>
      </c>
      <c r="D1896" s="6" t="str">
        <f>Descargas!E1896</f>
        <v>https://resources.simonelectric.com/simon-catalogo-vehiculo-electrico</v>
      </c>
      <c r="E1896" s="24" t="str">
        <f t="shared" si="1"/>
        <v/>
      </c>
      <c r="F1896" s="21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</row>
    <row r="1897" ht="15.75" customHeight="1">
      <c r="A1897" s="18" t="str">
        <f>Descargas!A1897</f>
        <v>1555@marinstal.com</v>
      </c>
      <c r="B1897" s="19" t="str">
        <f>IFERROR(__xludf.DUMMYFUNCTION("IF(OR(regexmatch(A1897,"".*@simon.es$""),REGEXMATCH(A1897,"".*@simon.pt$""),REGEXMATCH(A1897,"".*@simonelectrica.com$""),REGEXMATCH(A1897,"".*@hiberus.com$""),REGEXMATCH(A1897,"".*@simonbrico.es$""),regexmatch(A1897,"".*@simonelectric.com$"")),""null"",A1"&amp;"897)"),"1555@marinstal.com")</f>
        <v>1555@marinstal.com</v>
      </c>
      <c r="C1897" s="5">
        <f>IF(B1897="null","null",Descargas!B1897)</f>
        <v>43950</v>
      </c>
      <c r="D1897" s="6" t="str">
        <f>Descargas!E1897</f>
        <v>https://resources.simonelectric.com/simon-catalogo-vehiculo-electrico</v>
      </c>
      <c r="E1897" s="20" t="str">
        <f t="shared" si="1"/>
        <v>1555@marinstal.com</v>
      </c>
      <c r="F1897" s="21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</row>
    <row r="1898" ht="15.75" customHeight="1">
      <c r="A1898" s="18" t="str">
        <f>Descargas!A1898</f>
        <v>1556@electricidadguerra.com</v>
      </c>
      <c r="B1898" s="19" t="str">
        <f>IFERROR(__xludf.DUMMYFUNCTION("IF(OR(regexmatch(A1898,"".*@simon.es$""),REGEXMATCH(A1898,"".*@simon.pt$""),REGEXMATCH(A1898,"".*@simonelectrica.com$""),REGEXMATCH(A1898,"".*@hiberus.com$""),REGEXMATCH(A1898,"".*@simonbrico.es$""),regexmatch(A1898,"".*@simonelectric.com$"")),""null"",A1"&amp;"898)"),"1556@electricidadguerra.com")</f>
        <v>1556@electricidadguerra.com</v>
      </c>
      <c r="C1898" s="5">
        <f>IF(B1898="null","null",Descargas!B1898)</f>
        <v>43950</v>
      </c>
      <c r="D1898" s="6" t="str">
        <f>Descargas!E1898</f>
        <v>https://resources.simonelectric.com/simon-catalogo-vehiculo-electrico</v>
      </c>
      <c r="E1898" s="20" t="str">
        <f t="shared" si="1"/>
        <v>1556@electricidadguerra.com</v>
      </c>
      <c r="F1898" s="21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</row>
    <row r="1899" ht="15.75" customHeight="1">
      <c r="A1899" s="18" t="str">
        <f>Descargas!A1899</f>
        <v>1557@gmail.com</v>
      </c>
      <c r="B1899" s="19" t="str">
        <f>IFERROR(__xludf.DUMMYFUNCTION("IF(OR(regexmatch(A1899,"".*@simon.es$""),REGEXMATCH(A1899,"".*@simon.pt$""),REGEXMATCH(A1899,"".*@simonelectrica.com$""),REGEXMATCH(A1899,"".*@hiberus.com$""),REGEXMATCH(A1899,"".*@simonbrico.es$""),regexmatch(A1899,"".*@simonelectric.com$"")),""null"",A1"&amp;"899)"),"1557@gmail.com")</f>
        <v>1557@gmail.com</v>
      </c>
      <c r="C1899" s="5">
        <f>IF(B1899="null","null",Descargas!B1899)</f>
        <v>43950</v>
      </c>
      <c r="D1899" s="6" t="str">
        <f>Descargas!E1899</f>
        <v>https://resources.simonelectric.com/simon-catalogo-vehiculo-electrico</v>
      </c>
      <c r="E1899" s="20" t="str">
        <f t="shared" si="1"/>
        <v>1557@gmail.com</v>
      </c>
      <c r="F1899" s="21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</row>
    <row r="1900" ht="15.75" customHeight="1">
      <c r="A1900" s="18" t="str">
        <f>Descargas!A1900</f>
        <v>1558@gmail.com</v>
      </c>
      <c r="B1900" s="19" t="str">
        <f>IFERROR(__xludf.DUMMYFUNCTION("IF(OR(regexmatch(A1900,"".*@simon.es$""),REGEXMATCH(A1900,"".*@simon.pt$""),REGEXMATCH(A1900,"".*@simonelectrica.com$""),REGEXMATCH(A1900,"".*@hiberus.com$""),REGEXMATCH(A1900,"".*@simonbrico.es$""),regexmatch(A1900,"".*@simonelectric.com$"")),""null"",A1"&amp;"900)"),"1558@gmail.com")</f>
        <v>1558@gmail.com</v>
      </c>
      <c r="C1900" s="5">
        <f>IF(B1900="null","null",Descargas!B1900)</f>
        <v>43950</v>
      </c>
      <c r="D1900" s="6" t="str">
        <f>Descargas!E1900</f>
        <v>https://resources.simonelectric.com/simon-catalogo-vehiculo-electrico</v>
      </c>
      <c r="E1900" s="20" t="str">
        <f t="shared" si="1"/>
        <v>1558@gmail.com</v>
      </c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</row>
    <row r="1901" ht="15.75" customHeight="1">
      <c r="A1901" s="18" t="str">
        <f>Descargas!A1901</f>
        <v>1559@strong.es</v>
      </c>
      <c r="B1901" s="19" t="str">
        <f>IFERROR(__xludf.DUMMYFUNCTION("IF(OR(regexmatch(A1901,"".*@simon.es$""),REGEXMATCH(A1901,"".*@simon.pt$""),REGEXMATCH(A1901,"".*@simonelectrica.com$""),REGEXMATCH(A1901,"".*@hiberus.com$""),REGEXMATCH(A1901,"".*@simonbrico.es$""),regexmatch(A1901,"".*@simonelectric.com$"")),""null"",A1"&amp;"901)"),"1559@strong.es")</f>
        <v>1559@strong.es</v>
      </c>
      <c r="C1901" s="5">
        <f>IF(B1901="null","null",Descargas!B1901)</f>
        <v>43950</v>
      </c>
      <c r="D1901" s="6" t="str">
        <f>Descargas!E1901</f>
        <v>https://resources.simonelectric.com/simon-catalogo-vehiculo-electrico</v>
      </c>
      <c r="E1901" s="20" t="str">
        <f t="shared" si="1"/>
        <v>1559@strong.es</v>
      </c>
      <c r="F1901" s="21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</row>
    <row r="1902" ht="15.75" customHeight="1">
      <c r="A1902" s="18" t="str">
        <f>Descargas!A1902</f>
        <v>643@gmail.com</v>
      </c>
      <c r="B1902" s="19" t="str">
        <f>IFERROR(__xludf.DUMMYFUNCTION("IF(OR(regexmatch(A1902,"".*@simon.es$""),REGEXMATCH(A1902,"".*@simon.pt$""),REGEXMATCH(A1902,"".*@simonelectrica.com$""),REGEXMATCH(A1902,"".*@hiberus.com$""),REGEXMATCH(A1902,"".*@simonbrico.es$""),regexmatch(A1902,"".*@simonelectric.com$"")),""null"",A1"&amp;"902)"),"643@gmail.com")</f>
        <v>643@gmail.com</v>
      </c>
      <c r="C1902" s="5">
        <f>IF(B1902="null","null",Descargas!B1902)</f>
        <v>43950</v>
      </c>
      <c r="D1902" s="6" t="str">
        <f>Descargas!E1902</f>
        <v>https://resources.simonelectric.com/simon-catalogo-vehiculo-electrico</v>
      </c>
      <c r="E1902" s="20" t="str">
        <f t="shared" si="1"/>
        <v>643@gmail.com</v>
      </c>
      <c r="F1902" s="21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</row>
    <row r="1903" ht="15.75" customHeight="1">
      <c r="A1903" s="18" t="str">
        <f>Descargas!A1903</f>
        <v>686@electro-h.es</v>
      </c>
      <c r="B1903" s="19" t="str">
        <f>IFERROR(__xludf.DUMMYFUNCTION("IF(OR(regexmatch(A1903,"".*@simon.es$""),REGEXMATCH(A1903,"".*@simon.pt$""),REGEXMATCH(A1903,"".*@simonelectrica.com$""),REGEXMATCH(A1903,"".*@hiberus.com$""),REGEXMATCH(A1903,"".*@simonbrico.es$""),regexmatch(A1903,"".*@simonelectric.com$"")),""null"",A1"&amp;"903)"),"686@electro-h.es")</f>
        <v>686@electro-h.es</v>
      </c>
      <c r="C1903" s="5">
        <f>IF(B1903="null","null",Descargas!B1903)</f>
        <v>43950</v>
      </c>
      <c r="D1903" s="6" t="str">
        <f>Descargas!E1903</f>
        <v>https://resources.simonelectric.com/simon-catalogo-vehiculo-electrico</v>
      </c>
      <c r="E1903" s="20" t="str">
        <f t="shared" si="1"/>
        <v>686@electro-h.es</v>
      </c>
      <c r="F1903" s="21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</row>
    <row r="1904" ht="15.75" customHeight="1">
      <c r="A1904" s="18" t="str">
        <f>Descargas!A1904</f>
        <v>1560@copitival.es</v>
      </c>
      <c r="B1904" s="19" t="str">
        <f>IFERROR(__xludf.DUMMYFUNCTION("IF(OR(regexmatch(A1904,"".*@simon.es$""),REGEXMATCH(A1904,"".*@simon.pt$""),REGEXMATCH(A1904,"".*@simonelectrica.com$""),REGEXMATCH(A1904,"".*@hiberus.com$""),REGEXMATCH(A1904,"".*@simonbrico.es$""),regexmatch(A1904,"".*@simonelectric.com$"")),""null"",A1"&amp;"904)"),"1560@copitival.es")</f>
        <v>1560@copitival.es</v>
      </c>
      <c r="C1904" s="5">
        <f>IF(B1904="null","null",Descargas!B1904)</f>
        <v>43950</v>
      </c>
      <c r="D1904" s="6" t="str">
        <f>Descargas!E1904</f>
        <v>https://resources.simonelectric.com/simon-catalogo-vehiculo-electrico</v>
      </c>
      <c r="E1904" s="20" t="str">
        <f t="shared" si="1"/>
        <v>1560@copitival.es</v>
      </c>
      <c r="F1904" s="21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</row>
    <row r="1905" ht="15.75" customHeight="1">
      <c r="A1905" s="18" t="str">
        <f>Descargas!A1905</f>
        <v>1561@elecvic.com</v>
      </c>
      <c r="B1905" s="19" t="str">
        <f>IFERROR(__xludf.DUMMYFUNCTION("IF(OR(regexmatch(A1905,"".*@simon.es$""),REGEXMATCH(A1905,"".*@simon.pt$""),REGEXMATCH(A1905,"".*@simonelectrica.com$""),REGEXMATCH(A1905,"".*@hiberus.com$""),REGEXMATCH(A1905,"".*@simonbrico.es$""),regexmatch(A1905,"".*@simonelectric.com$"")),""null"",A1"&amp;"905)"),"1561@elecvic.com")</f>
        <v>1561@elecvic.com</v>
      </c>
      <c r="C1905" s="5">
        <f>IF(B1905="null","null",Descargas!B1905)</f>
        <v>43950</v>
      </c>
      <c r="D1905" s="6" t="str">
        <f>Descargas!E1905</f>
        <v>https://resources.simonelectric.com/simon-catalogo-vehiculo-electrico</v>
      </c>
      <c r="E1905" s="20" t="str">
        <f t="shared" si="1"/>
        <v>1561@elecvic.com</v>
      </c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</row>
    <row r="1906" ht="15.75" customHeight="1">
      <c r="A1906" s="18" t="str">
        <f>Descargas!A1906</f>
        <v>1562@gmail.com</v>
      </c>
      <c r="B1906" s="19" t="str">
        <f>IFERROR(__xludf.DUMMYFUNCTION("IF(OR(regexmatch(A1906,"".*@simon.es$""),REGEXMATCH(A1906,"".*@simon.pt$""),REGEXMATCH(A1906,"".*@simonelectrica.com$""),REGEXMATCH(A1906,"".*@hiberus.com$""),REGEXMATCH(A1906,"".*@simonbrico.es$""),regexmatch(A1906,"".*@simonelectric.com$"")),""null"",A1"&amp;"906)"),"1562@gmail.com")</f>
        <v>1562@gmail.com</v>
      </c>
      <c r="C1906" s="5">
        <f>IF(B1906="null","null",Descargas!B1906)</f>
        <v>43950</v>
      </c>
      <c r="D1906" s="6" t="str">
        <f>Descargas!E1906</f>
        <v>https://resources.simonelectric.com/simon-catalogo-vehiculo-electrico</v>
      </c>
      <c r="E1906" s="20" t="str">
        <f t="shared" si="1"/>
        <v>1562@gmail.com</v>
      </c>
      <c r="F1906" s="21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</row>
    <row r="1907" ht="15.75" customHeight="1">
      <c r="A1907" s="18" t="str">
        <f>Descargas!A1907</f>
        <v>1563@emtvalencia.es</v>
      </c>
      <c r="B1907" s="19" t="str">
        <f>IFERROR(__xludf.DUMMYFUNCTION("IF(OR(regexmatch(A1907,"".*@simon.es$""),REGEXMATCH(A1907,"".*@simon.pt$""),REGEXMATCH(A1907,"".*@simonelectrica.com$""),REGEXMATCH(A1907,"".*@hiberus.com$""),REGEXMATCH(A1907,"".*@simonbrico.es$""),regexmatch(A1907,"".*@simonelectric.com$"")),""null"",A1"&amp;"907)"),"1563@emtvalencia.es")</f>
        <v>1563@emtvalencia.es</v>
      </c>
      <c r="C1907" s="5">
        <f>IF(B1907="null","null",Descargas!B1907)</f>
        <v>43950</v>
      </c>
      <c r="D1907" s="6" t="str">
        <f>Descargas!E1907</f>
        <v>https://resources.simonelectric.com/simon-catalogo-vehiculo-electrico</v>
      </c>
      <c r="E1907" s="20" t="str">
        <f t="shared" si="1"/>
        <v>1563@emtvalencia.es</v>
      </c>
      <c r="F1907" s="21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</row>
    <row r="1908" ht="15.75" customHeight="1">
      <c r="A1908" s="18" t="str">
        <f>Descargas!A1908</f>
        <v>1564@dimelsa.es</v>
      </c>
      <c r="B1908" s="19" t="str">
        <f>IFERROR(__xludf.DUMMYFUNCTION("IF(OR(regexmatch(A1908,"".*@simon.es$""),REGEXMATCH(A1908,"".*@simon.pt$""),REGEXMATCH(A1908,"".*@simonelectrica.com$""),REGEXMATCH(A1908,"".*@hiberus.com$""),REGEXMATCH(A1908,"".*@simonbrico.es$""),regexmatch(A1908,"".*@simonelectric.com$"")),""null"",A1"&amp;"908)"),"1564@dimelsa.es")</f>
        <v>1564@dimelsa.es</v>
      </c>
      <c r="C1908" s="5">
        <f>IF(B1908="null","null",Descargas!B1908)</f>
        <v>43950</v>
      </c>
      <c r="D1908" s="6" t="str">
        <f>Descargas!E1908</f>
        <v>https://resources.simonelectric.com/simon-catalogo-vehiculo-electrico</v>
      </c>
      <c r="E1908" s="20" t="str">
        <f t="shared" si="1"/>
        <v>1564@dimelsa.es</v>
      </c>
      <c r="F1908" s="21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</row>
    <row r="1909" ht="15.75" customHeight="1">
      <c r="A1909" s="18" t="str">
        <f>Descargas!A1909</f>
        <v>1565@simon.es</v>
      </c>
      <c r="B1909" s="19" t="str">
        <f>IFERROR(__xludf.DUMMYFUNCTION("IF(OR(regexmatch(A1909,"".*@simon.es$""),REGEXMATCH(A1909,"".*@simon.pt$""),REGEXMATCH(A1909,"".*@simonelectrica.com$""),REGEXMATCH(A1909,"".*@hiberus.com$""),REGEXMATCH(A1909,"".*@simonbrico.es$""),regexmatch(A1909,"".*@simonelectric.com$"")),""null"",A1"&amp;"909)"),"null")</f>
        <v>null</v>
      </c>
      <c r="C1909" s="5" t="str">
        <f>IF(B1909="null","null",Descargas!B1909)</f>
        <v>null</v>
      </c>
      <c r="D1909" s="6" t="str">
        <f>Descargas!E1909</f>
        <v>https://resources.simonelectric.com/simon-catalogo-vehiculo-electrico</v>
      </c>
      <c r="E1909" s="24" t="str">
        <f t="shared" si="1"/>
        <v/>
      </c>
      <c r="F1909" s="21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</row>
    <row r="1910" ht="15.75" customHeight="1">
      <c r="A1910" s="18" t="str">
        <f>Descargas!A1910</f>
        <v>1566@elecparamos.com</v>
      </c>
      <c r="B1910" s="19" t="str">
        <f>IFERROR(__xludf.DUMMYFUNCTION("IF(OR(regexmatch(A1910,"".*@simon.es$""),REGEXMATCH(A1910,"".*@simon.pt$""),REGEXMATCH(A1910,"".*@simonelectrica.com$""),REGEXMATCH(A1910,"".*@hiberus.com$""),REGEXMATCH(A1910,"".*@simonbrico.es$""),regexmatch(A1910,"".*@simonelectric.com$"")),""null"",A1"&amp;"910)"),"1566@elecparamos.com")</f>
        <v>1566@elecparamos.com</v>
      </c>
      <c r="C1910" s="5">
        <f>IF(B1910="null","null",Descargas!B1910)</f>
        <v>43950</v>
      </c>
      <c r="D1910" s="6" t="str">
        <f>Descargas!E1910</f>
        <v>https://resources.simonelectric.com/simon-catalogo-vehiculo-electrico</v>
      </c>
      <c r="E1910" s="20" t="str">
        <f t="shared" si="1"/>
        <v>1566@elecparamos.com</v>
      </c>
      <c r="F1910" s="21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</row>
    <row r="1911" ht="15.75" customHeight="1">
      <c r="A1911" s="18" t="str">
        <f>Descargas!A1911</f>
        <v>1567@egarriga.com</v>
      </c>
      <c r="B1911" s="19" t="str">
        <f>IFERROR(__xludf.DUMMYFUNCTION("IF(OR(regexmatch(A1911,"".*@simon.es$""),REGEXMATCH(A1911,"".*@simon.pt$""),REGEXMATCH(A1911,"".*@simonelectrica.com$""),REGEXMATCH(A1911,"".*@hiberus.com$""),REGEXMATCH(A1911,"".*@simonbrico.es$""),regexmatch(A1911,"".*@simonelectric.com$"")),""null"",A1"&amp;"911)"),"1567@egarriga.com")</f>
        <v>1567@egarriga.com</v>
      </c>
      <c r="C1911" s="5">
        <f>IF(B1911="null","null",Descargas!B1911)</f>
        <v>43950</v>
      </c>
      <c r="D1911" s="6" t="str">
        <f>Descargas!E1911</f>
        <v>https://resources.simonelectric.com/simon-catalogo-vehiculo-electrico</v>
      </c>
      <c r="E1911" s="20" t="str">
        <f t="shared" si="1"/>
        <v>1567@egarriga.com</v>
      </c>
      <c r="F1911" s="21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</row>
    <row r="1912" ht="15.75" customHeight="1">
      <c r="A1912" s="18" t="str">
        <f>Descargas!A1912</f>
        <v>1568@gmail.com</v>
      </c>
      <c r="B1912" s="19" t="str">
        <f>IFERROR(__xludf.DUMMYFUNCTION("IF(OR(regexmatch(A1912,"".*@simon.es$""),REGEXMATCH(A1912,"".*@simon.pt$""),REGEXMATCH(A1912,"".*@simonelectrica.com$""),REGEXMATCH(A1912,"".*@hiberus.com$""),REGEXMATCH(A1912,"".*@simonbrico.es$""),regexmatch(A1912,"".*@simonelectric.com$"")),""null"",A1"&amp;"912)"),"1568@gmail.com")</f>
        <v>1568@gmail.com</v>
      </c>
      <c r="C1912" s="5">
        <f>IF(B1912="null","null",Descargas!B1912)</f>
        <v>43950</v>
      </c>
      <c r="D1912" s="6" t="str">
        <f>Descargas!E1912</f>
        <v>https://resources.simonelectric.com/simon-catalogo-vehiculo-electrico</v>
      </c>
      <c r="E1912" s="20" t="str">
        <f t="shared" si="1"/>
        <v>1568@gmail.com</v>
      </c>
      <c r="F1912" s="21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</row>
    <row r="1913" ht="15.75" customHeight="1">
      <c r="A1913" s="18" t="str">
        <f>Descargas!A1913</f>
        <v>1569@ecag.es</v>
      </c>
      <c r="B1913" s="19" t="str">
        <f>IFERROR(__xludf.DUMMYFUNCTION("IF(OR(regexmatch(A1913,"".*@simon.es$""),REGEXMATCH(A1913,"".*@simon.pt$""),REGEXMATCH(A1913,"".*@simonelectrica.com$""),REGEXMATCH(A1913,"".*@hiberus.com$""),REGEXMATCH(A1913,"".*@simonbrico.es$""),regexmatch(A1913,"".*@simonelectric.com$"")),""null"",A1"&amp;"913)"),"1569@ecag.es")</f>
        <v>1569@ecag.es</v>
      </c>
      <c r="C1913" s="5">
        <f>IF(B1913="null","null",Descargas!B1913)</f>
        <v>43950</v>
      </c>
      <c r="D1913" s="6" t="str">
        <f>Descargas!E1913</f>
        <v>https://resources.simonelectric.com/simon-catalogo-vehiculo-electrico</v>
      </c>
      <c r="E1913" s="20" t="str">
        <f t="shared" si="1"/>
        <v>1569@ecag.es</v>
      </c>
      <c r="F1913" s="21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</row>
    <row r="1914" ht="15.75" customHeight="1">
      <c r="A1914" s="18" t="str">
        <f>Descargas!A1914</f>
        <v>1570@yahoo.es</v>
      </c>
      <c r="B1914" s="19" t="str">
        <f>IFERROR(__xludf.DUMMYFUNCTION("IF(OR(regexmatch(A1914,"".*@simon.es$""),REGEXMATCH(A1914,"".*@simon.pt$""),REGEXMATCH(A1914,"".*@simonelectrica.com$""),REGEXMATCH(A1914,"".*@hiberus.com$""),REGEXMATCH(A1914,"".*@simonbrico.es$""),regexmatch(A1914,"".*@simonelectric.com$"")),""null"",A1"&amp;"914)"),"1570@yahoo.es")</f>
        <v>1570@yahoo.es</v>
      </c>
      <c r="C1914" s="5">
        <f>IF(B1914="null","null",Descargas!B1914)</f>
        <v>43950</v>
      </c>
      <c r="D1914" s="6" t="str">
        <f>Descargas!E1914</f>
        <v>https://resources.simonelectric.com/simon-catalogo-vehiculo-electrico</v>
      </c>
      <c r="E1914" s="20" t="str">
        <f t="shared" si="1"/>
        <v>1570@yahoo.es</v>
      </c>
      <c r="F1914" s="21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</row>
    <row r="1915" ht="15.75" customHeight="1">
      <c r="A1915" s="18" t="str">
        <f>Descargas!A1915</f>
        <v>1571@electrolid.es</v>
      </c>
      <c r="B1915" s="19" t="str">
        <f>IFERROR(__xludf.DUMMYFUNCTION("IF(OR(regexmatch(A1915,"".*@simon.es$""),REGEXMATCH(A1915,"".*@simon.pt$""),REGEXMATCH(A1915,"".*@simonelectrica.com$""),REGEXMATCH(A1915,"".*@hiberus.com$""),REGEXMATCH(A1915,"".*@simonbrico.es$""),regexmatch(A1915,"".*@simonelectric.com$"")),""null"",A1"&amp;"915)"),"1571@electrolid.es")</f>
        <v>1571@electrolid.es</v>
      </c>
      <c r="C1915" s="5">
        <f>IF(B1915="null","null",Descargas!B1915)</f>
        <v>43950</v>
      </c>
      <c r="D1915" s="6" t="str">
        <f>Descargas!E1915</f>
        <v>https://resources.simonelectric.com/simon-catalogo-vehiculo-electrico</v>
      </c>
      <c r="E1915" s="20" t="str">
        <f t="shared" si="1"/>
        <v>1571@electrolid.es</v>
      </c>
      <c r="F1915" s="21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</row>
    <row r="1916" ht="15.75" customHeight="1">
      <c r="A1916" s="18" t="str">
        <f>Descargas!A1916</f>
        <v>1572@flotatsyasociados.com</v>
      </c>
      <c r="B1916" s="19" t="str">
        <f>IFERROR(__xludf.DUMMYFUNCTION("IF(OR(regexmatch(A1916,"".*@simon.es$""),REGEXMATCH(A1916,"".*@simon.pt$""),REGEXMATCH(A1916,"".*@simonelectrica.com$""),REGEXMATCH(A1916,"".*@hiberus.com$""),REGEXMATCH(A1916,"".*@simonbrico.es$""),regexmatch(A1916,"".*@simonelectric.com$"")),""null"",A1"&amp;"916)"),"1572@flotatsyasociados.com")</f>
        <v>1572@flotatsyasociados.com</v>
      </c>
      <c r="C1916" s="5">
        <f>IF(B1916="null","null",Descargas!B1916)</f>
        <v>43950</v>
      </c>
      <c r="D1916" s="6" t="str">
        <f>Descargas!E1916</f>
        <v>https://resources.simonelectric.com/simon-catalogo-vehiculo-electrico</v>
      </c>
      <c r="E1916" s="20" t="str">
        <f t="shared" si="1"/>
        <v>1572@flotatsyasociados.com</v>
      </c>
      <c r="F1916" s="21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</row>
    <row r="1917" ht="15.75" customHeight="1">
      <c r="A1917" s="18" t="str">
        <f>Descargas!A1917</f>
        <v>1573@hotmail.com</v>
      </c>
      <c r="B1917" s="19" t="str">
        <f>IFERROR(__xludf.DUMMYFUNCTION("IF(OR(regexmatch(A1917,"".*@simon.es$""),REGEXMATCH(A1917,"".*@simon.pt$""),REGEXMATCH(A1917,"".*@simonelectrica.com$""),REGEXMATCH(A1917,"".*@hiberus.com$""),REGEXMATCH(A1917,"".*@simonbrico.es$""),regexmatch(A1917,"".*@simonelectric.com$"")),""null"",A1"&amp;"917)"),"1573@hotmail.com")</f>
        <v>1573@hotmail.com</v>
      </c>
      <c r="C1917" s="5">
        <f>IF(B1917="null","null",Descargas!B1917)</f>
        <v>43950</v>
      </c>
      <c r="D1917" s="6" t="str">
        <f>Descargas!E1917</f>
        <v>https://resources.simonelectric.com/simon-catalogo-vehiculo-electrico</v>
      </c>
      <c r="E1917" s="20" t="str">
        <f t="shared" si="1"/>
        <v>1573@hotmail.com</v>
      </c>
      <c r="F1917" s="21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</row>
    <row r="1918" ht="15.75" customHeight="1">
      <c r="A1918" s="18" t="str">
        <f>Descargas!A1918</f>
        <v>1574@gmail.com</v>
      </c>
      <c r="B1918" s="19" t="str">
        <f>IFERROR(__xludf.DUMMYFUNCTION("IF(OR(regexmatch(A1918,"".*@simon.es$""),REGEXMATCH(A1918,"".*@simon.pt$""),REGEXMATCH(A1918,"".*@simonelectrica.com$""),REGEXMATCH(A1918,"".*@hiberus.com$""),REGEXMATCH(A1918,"".*@simonbrico.es$""),regexmatch(A1918,"".*@simonelectric.com$"")),""null"",A1"&amp;"918)"),"1574@gmail.com")</f>
        <v>1574@gmail.com</v>
      </c>
      <c r="C1918" s="5">
        <f>IF(B1918="null","null",Descargas!B1918)</f>
        <v>43950</v>
      </c>
      <c r="D1918" s="6" t="str">
        <f>Descargas!E1918</f>
        <v>https://resources.simonelectric.com/simon-catalogo-vehiculo-electrico</v>
      </c>
      <c r="E1918" s="20" t="str">
        <f t="shared" si="1"/>
        <v>1574@gmail.com</v>
      </c>
      <c r="F1918" s="21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</row>
    <row r="1919" ht="15.75" customHeight="1">
      <c r="A1919" s="18" t="str">
        <f>Descargas!A1919</f>
        <v>1575@gmail.com</v>
      </c>
      <c r="B1919" s="19" t="str">
        <f>IFERROR(__xludf.DUMMYFUNCTION("IF(OR(regexmatch(A1919,"".*@simon.es$""),REGEXMATCH(A1919,"".*@simon.pt$""),REGEXMATCH(A1919,"".*@simonelectrica.com$""),REGEXMATCH(A1919,"".*@hiberus.com$""),REGEXMATCH(A1919,"".*@simonbrico.es$""),regexmatch(A1919,"".*@simonelectric.com$"")),""null"",A1"&amp;"919)"),"1575@gmail.com")</f>
        <v>1575@gmail.com</v>
      </c>
      <c r="C1919" s="5">
        <f>IF(B1919="null","null",Descargas!B1919)</f>
        <v>43950</v>
      </c>
      <c r="D1919" s="6" t="str">
        <f>Descargas!E1919</f>
        <v>https://resources.simonelectric.com/simon-catalogo-vehiculo-electrico</v>
      </c>
      <c r="E1919" s="20" t="str">
        <f t="shared" si="1"/>
        <v>1575@gmail.com</v>
      </c>
      <c r="F1919" s="21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</row>
    <row r="1920" ht="15.75" customHeight="1">
      <c r="A1920" s="18" t="str">
        <f>Descargas!A1920</f>
        <v>1576@conrad.cat</v>
      </c>
      <c r="B1920" s="19" t="str">
        <f>IFERROR(__xludf.DUMMYFUNCTION("IF(OR(regexmatch(A1920,"".*@simon.es$""),REGEXMATCH(A1920,"".*@simon.pt$""),REGEXMATCH(A1920,"".*@simonelectrica.com$""),REGEXMATCH(A1920,"".*@hiberus.com$""),REGEXMATCH(A1920,"".*@simonbrico.es$""),regexmatch(A1920,"".*@simonelectric.com$"")),""null"",A1"&amp;"920)"),"1576@conrad.cat")</f>
        <v>1576@conrad.cat</v>
      </c>
      <c r="C1920" s="5">
        <f>IF(B1920="null","null",Descargas!B1920)</f>
        <v>43950</v>
      </c>
      <c r="D1920" s="6" t="str">
        <f>Descargas!E1920</f>
        <v>https://resources.simonelectric.com/simon-catalogo-vehiculo-electrico</v>
      </c>
      <c r="E1920" s="20" t="str">
        <f t="shared" si="1"/>
        <v>1576@conrad.cat</v>
      </c>
      <c r="F1920" s="21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</row>
    <row r="1921" ht="15.75" customHeight="1">
      <c r="A1921" s="18" t="str">
        <f>Descargas!A1921</f>
        <v>1577@cimelsa.com</v>
      </c>
      <c r="B1921" s="19" t="str">
        <f>IFERROR(__xludf.DUMMYFUNCTION("IF(OR(regexmatch(A1921,"".*@simon.es$""),REGEXMATCH(A1921,"".*@simon.pt$""),REGEXMATCH(A1921,"".*@simonelectrica.com$""),REGEXMATCH(A1921,"".*@hiberus.com$""),REGEXMATCH(A1921,"".*@simonbrico.es$""),regexmatch(A1921,"".*@simonelectric.com$"")),""null"",A1"&amp;"921)"),"1577@cimelsa.com")</f>
        <v>1577@cimelsa.com</v>
      </c>
      <c r="C1921" s="5">
        <f>IF(B1921="null","null",Descargas!B1921)</f>
        <v>43950</v>
      </c>
      <c r="D1921" s="6" t="str">
        <f>Descargas!E1921</f>
        <v>https://resources.simonelectric.com/simon-catalogo-vehiculo-electrico</v>
      </c>
      <c r="E1921" s="20" t="str">
        <f t="shared" si="1"/>
        <v>1577@cimelsa.com</v>
      </c>
      <c r="F1921" s="21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</row>
    <row r="1922" ht="15.75" customHeight="1">
      <c r="A1922" s="18" t="str">
        <f>Descargas!A1922</f>
        <v>1571@electrolid.es</v>
      </c>
      <c r="B1922" s="19" t="str">
        <f>IFERROR(__xludf.DUMMYFUNCTION("IF(OR(regexmatch(A1922,"".*@simon.es$""),REGEXMATCH(A1922,"".*@simon.pt$""),REGEXMATCH(A1922,"".*@simonelectrica.com$""),REGEXMATCH(A1922,"".*@hiberus.com$""),REGEXMATCH(A1922,"".*@simonbrico.es$""),regexmatch(A1922,"".*@simonelectric.com$"")),""null"",A1"&amp;"922)"),"1571@electrolid.es")</f>
        <v>1571@electrolid.es</v>
      </c>
      <c r="C1922" s="5">
        <f>IF(B1922="null","null",Descargas!B1922)</f>
        <v>43950</v>
      </c>
      <c r="D1922" s="6" t="str">
        <f>Descargas!E1922</f>
        <v>https://resources.simonelectric.com/simon-catalogo-vehiculo-electrico</v>
      </c>
      <c r="E1922" s="20" t="str">
        <f t="shared" si="1"/>
        <v>1571@electrolid.es</v>
      </c>
      <c r="F1922" s="21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</row>
    <row r="1923" ht="15.75" customHeight="1">
      <c r="A1923" s="18" t="str">
        <f>Descargas!A1923</f>
        <v>1578@covama.es</v>
      </c>
      <c r="B1923" s="19" t="str">
        <f>IFERROR(__xludf.DUMMYFUNCTION("IF(OR(regexmatch(A1923,"".*@simon.es$""),REGEXMATCH(A1923,"".*@simon.pt$""),REGEXMATCH(A1923,"".*@simonelectrica.com$""),REGEXMATCH(A1923,"".*@hiberus.com$""),REGEXMATCH(A1923,"".*@simonbrico.es$""),regexmatch(A1923,"".*@simonelectric.com$"")),""null"",A1"&amp;"923)"),"1578@covama.es")</f>
        <v>1578@covama.es</v>
      </c>
      <c r="C1923" s="5">
        <f>IF(B1923="null","null",Descargas!B1923)</f>
        <v>43950</v>
      </c>
      <c r="D1923" s="6" t="str">
        <f>Descargas!E1923</f>
        <v>https://resources.simonelectric.com/simon-catalogo-vehiculo-electrico</v>
      </c>
      <c r="E1923" s="20" t="str">
        <f t="shared" si="1"/>
        <v>1578@covama.es</v>
      </c>
      <c r="F1923" s="21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</row>
    <row r="1924" ht="15.75" customHeight="1">
      <c r="A1924" s="18" t="str">
        <f>Descargas!A1924</f>
        <v>1579@inblau.es</v>
      </c>
      <c r="B1924" s="19" t="str">
        <f>IFERROR(__xludf.DUMMYFUNCTION("IF(OR(regexmatch(A1924,"".*@simon.es$""),REGEXMATCH(A1924,"".*@simon.pt$""),REGEXMATCH(A1924,"".*@simonelectrica.com$""),REGEXMATCH(A1924,"".*@hiberus.com$""),REGEXMATCH(A1924,"".*@simonbrico.es$""),regexmatch(A1924,"".*@simonelectric.com$"")),""null"",A1"&amp;"924)"),"1579@inblau.es")</f>
        <v>1579@inblau.es</v>
      </c>
      <c r="C1924" s="5">
        <f>IF(B1924="null","null",Descargas!B1924)</f>
        <v>43950</v>
      </c>
      <c r="D1924" s="6" t="str">
        <f>Descargas!E1924</f>
        <v>https://resources.simonelectric.com/simon-catalogo-vehiculo-electrico</v>
      </c>
      <c r="E1924" s="20" t="str">
        <f t="shared" si="1"/>
        <v>1579@inblau.es</v>
      </c>
      <c r="F1924" s="21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</row>
    <row r="1925" ht="15.75" customHeight="1">
      <c r="A1925" s="18" t="str">
        <f>Descargas!A1925</f>
        <v>1580@grupotesein.com</v>
      </c>
      <c r="B1925" s="19" t="str">
        <f>IFERROR(__xludf.DUMMYFUNCTION("IF(OR(regexmatch(A1925,"".*@simon.es$""),REGEXMATCH(A1925,"".*@simon.pt$""),REGEXMATCH(A1925,"".*@simonelectrica.com$""),REGEXMATCH(A1925,"".*@hiberus.com$""),REGEXMATCH(A1925,"".*@simonbrico.es$""),regexmatch(A1925,"".*@simonelectric.com$"")),""null"",A1"&amp;"925)"),"1580@grupotesein.com")</f>
        <v>1580@grupotesein.com</v>
      </c>
      <c r="C1925" s="5">
        <f>IF(B1925="null","null",Descargas!B1925)</f>
        <v>43950</v>
      </c>
      <c r="D1925" s="6" t="str">
        <f>Descargas!E1925</f>
        <v>https://resources.simonelectric.com/simon-catalogo-vehiculo-electrico</v>
      </c>
      <c r="E1925" s="20" t="str">
        <f t="shared" si="1"/>
        <v>1580@grupotesein.com</v>
      </c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</row>
    <row r="1926" ht="15.75" customHeight="1">
      <c r="A1926" s="18" t="str">
        <f>Descargas!A1926</f>
        <v>329@covama.es</v>
      </c>
      <c r="B1926" s="19" t="str">
        <f>IFERROR(__xludf.DUMMYFUNCTION("IF(OR(regexmatch(A1926,"".*@simon.es$""),REGEXMATCH(A1926,"".*@simon.pt$""),REGEXMATCH(A1926,"".*@simonelectrica.com$""),REGEXMATCH(A1926,"".*@hiberus.com$""),REGEXMATCH(A1926,"".*@simonbrico.es$""),regexmatch(A1926,"".*@simonelectric.com$"")),""null"",A1"&amp;"926)"),"329@covama.es")</f>
        <v>329@covama.es</v>
      </c>
      <c r="C1926" s="5">
        <f>IF(B1926="null","null",Descargas!B1926)</f>
        <v>43950</v>
      </c>
      <c r="D1926" s="6" t="str">
        <f>Descargas!E1926</f>
        <v>https://resources.simonelectric.com/simon-catalogo-vehiculo-electrico</v>
      </c>
      <c r="E1926" s="20" t="str">
        <f t="shared" si="1"/>
        <v>329@covama.es</v>
      </c>
      <c r="F1926" s="21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</row>
    <row r="1927" ht="15.75" customHeight="1">
      <c r="A1927" s="18" t="str">
        <f>Descargas!A1927</f>
        <v>623@gmail.com</v>
      </c>
      <c r="B1927" s="19" t="str">
        <f>IFERROR(__xludf.DUMMYFUNCTION("IF(OR(regexmatch(A1927,"".*@simon.es$""),REGEXMATCH(A1927,"".*@simon.pt$""),REGEXMATCH(A1927,"".*@simonelectrica.com$""),REGEXMATCH(A1927,"".*@hiberus.com$""),REGEXMATCH(A1927,"".*@simonbrico.es$""),regexmatch(A1927,"".*@simonelectric.com$"")),""null"",A1"&amp;"927)"),"623@gmail.com")</f>
        <v>623@gmail.com</v>
      </c>
      <c r="C1927" s="5">
        <f>IF(B1927="null","null",Descargas!B1927)</f>
        <v>43950</v>
      </c>
      <c r="D1927" s="6" t="str">
        <f>Descargas!E1927</f>
        <v>https://resources.simonelectric.com/simon-catalogo-vehiculo-electrico</v>
      </c>
      <c r="E1927" s="20" t="str">
        <f t="shared" si="1"/>
        <v>623@gmail.com</v>
      </c>
      <c r="F1927" s="21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</row>
    <row r="1928" ht="15.75" customHeight="1">
      <c r="A1928" s="18" t="str">
        <f>Descargas!A1928</f>
        <v>1581@arpeestudio.com</v>
      </c>
      <c r="B1928" s="19" t="str">
        <f>IFERROR(__xludf.DUMMYFUNCTION("IF(OR(regexmatch(A1928,"".*@simon.es$""),REGEXMATCH(A1928,"".*@simon.pt$""),REGEXMATCH(A1928,"".*@simonelectrica.com$""),REGEXMATCH(A1928,"".*@hiberus.com$""),REGEXMATCH(A1928,"".*@simonbrico.es$""),regexmatch(A1928,"".*@simonelectric.com$"")),""null"",A1"&amp;"928)"),"1581@arpeestudio.com")</f>
        <v>1581@arpeestudio.com</v>
      </c>
      <c r="C1928" s="5">
        <f>IF(B1928="null","null",Descargas!B1928)</f>
        <v>43950</v>
      </c>
      <c r="D1928" s="6" t="str">
        <f>Descargas!E1928</f>
        <v>https://resources.simonelectric.com/simon-catalogo-vehiculo-electrico</v>
      </c>
      <c r="E1928" s="20" t="str">
        <f t="shared" si="1"/>
        <v>1581@arpeestudio.com</v>
      </c>
      <c r="F1928" s="21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</row>
    <row r="1929" ht="15.75" customHeight="1">
      <c r="A1929" s="18" t="str">
        <f>Descargas!A1929</f>
        <v>1582@edu.xunta.es</v>
      </c>
      <c r="B1929" s="19" t="str">
        <f>IFERROR(__xludf.DUMMYFUNCTION("IF(OR(regexmatch(A1929,"".*@simon.es$""),REGEXMATCH(A1929,"".*@simon.pt$""),REGEXMATCH(A1929,"".*@simonelectrica.com$""),REGEXMATCH(A1929,"".*@hiberus.com$""),REGEXMATCH(A1929,"".*@simonbrico.es$""),regexmatch(A1929,"".*@simonelectric.com$"")),""null"",A1"&amp;"929)"),"1582@edu.xunta.es")</f>
        <v>1582@edu.xunta.es</v>
      </c>
      <c r="C1929" s="5">
        <f>IF(B1929="null","null",Descargas!B1929)</f>
        <v>43950</v>
      </c>
      <c r="D1929" s="6" t="str">
        <f>Descargas!E1929</f>
        <v>https://resources.simonelectric.com/simon-catalogo-vehiculo-electrico</v>
      </c>
      <c r="E1929" s="20" t="str">
        <f t="shared" si="1"/>
        <v>1582@edu.xunta.es</v>
      </c>
      <c r="F1929" s="21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</row>
    <row r="1930" ht="15.75" customHeight="1">
      <c r="A1930" s="18" t="str">
        <f>Descargas!A1930</f>
        <v>1583@hotmail.com</v>
      </c>
      <c r="B1930" s="19" t="str">
        <f>IFERROR(__xludf.DUMMYFUNCTION("IF(OR(regexmatch(A1930,"".*@simon.es$""),REGEXMATCH(A1930,"".*@simon.pt$""),REGEXMATCH(A1930,"".*@simonelectrica.com$""),REGEXMATCH(A1930,"".*@hiberus.com$""),REGEXMATCH(A1930,"".*@simonbrico.es$""),regexmatch(A1930,"".*@simonelectric.com$"")),""null"",A1"&amp;"930)"),"1583@hotmail.com")</f>
        <v>1583@hotmail.com</v>
      </c>
      <c r="C1930" s="5">
        <f>IF(B1930="null","null",Descargas!B1930)</f>
        <v>43950</v>
      </c>
      <c r="D1930" s="6" t="str">
        <f>Descargas!E1930</f>
        <v>https://resources.simonelectric.com/simon-catalogo-vehiculo-electrico</v>
      </c>
      <c r="E1930" s="20" t="str">
        <f t="shared" si="1"/>
        <v>1583@hotmail.com</v>
      </c>
      <c r="F1930" s="21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</row>
    <row r="1931" ht="15.75" customHeight="1">
      <c r="A1931" s="18" t="str">
        <f>Descargas!A1931</f>
        <v>1584@gmail.com</v>
      </c>
      <c r="B1931" s="19" t="str">
        <f>IFERROR(__xludf.DUMMYFUNCTION("IF(OR(regexmatch(A1931,"".*@simon.es$""),REGEXMATCH(A1931,"".*@simon.pt$""),REGEXMATCH(A1931,"".*@simonelectrica.com$""),REGEXMATCH(A1931,"".*@hiberus.com$""),REGEXMATCH(A1931,"".*@simonbrico.es$""),regexmatch(A1931,"".*@simonelectric.com$"")),""null"",A1"&amp;"931)"),"1584@gmail.com")</f>
        <v>1584@gmail.com</v>
      </c>
      <c r="C1931" s="5">
        <f>IF(B1931="null","null",Descargas!B1931)</f>
        <v>43950</v>
      </c>
      <c r="D1931" s="6" t="str">
        <f>Descargas!E1931</f>
        <v>https://resources.simonelectric.com/simon-catalogo-vehiculo-electrico</v>
      </c>
      <c r="E1931" s="20" t="str">
        <f t="shared" si="1"/>
        <v>1584@gmail.com</v>
      </c>
      <c r="F1931" s="21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</row>
    <row r="1932" ht="15.75" customHeight="1">
      <c r="A1932" s="18" t="str">
        <f>Descargas!A1932</f>
        <v>1585@vialuz.es</v>
      </c>
      <c r="B1932" s="19" t="str">
        <f>IFERROR(__xludf.DUMMYFUNCTION("IF(OR(regexmatch(A1932,"".*@simon.es$""),REGEXMATCH(A1932,"".*@simon.pt$""),REGEXMATCH(A1932,"".*@simonelectrica.com$""),REGEXMATCH(A1932,"".*@hiberus.com$""),REGEXMATCH(A1932,"".*@simonbrico.es$""),regexmatch(A1932,"".*@simonelectric.com$"")),""null"",A1"&amp;"932)"),"1585@vialuz.es")</f>
        <v>1585@vialuz.es</v>
      </c>
      <c r="C1932" s="5">
        <f>IF(B1932="null","null",Descargas!B1932)</f>
        <v>43950</v>
      </c>
      <c r="D1932" s="6" t="str">
        <f>Descargas!E1932</f>
        <v>https://resources.simonelectric.com/simon-catalogo-vehiculo-electrico</v>
      </c>
      <c r="E1932" s="20" t="str">
        <f t="shared" si="1"/>
        <v>1585@vialuz.es</v>
      </c>
      <c r="F1932" s="21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</row>
    <row r="1933" ht="15.75" customHeight="1">
      <c r="A1933" s="18" t="str">
        <f>Descargas!A1933</f>
        <v>1586@genserma.es</v>
      </c>
      <c r="B1933" s="19" t="str">
        <f>IFERROR(__xludf.DUMMYFUNCTION("IF(OR(regexmatch(A1933,"".*@simon.es$""),REGEXMATCH(A1933,"".*@simon.pt$""),REGEXMATCH(A1933,"".*@simonelectrica.com$""),REGEXMATCH(A1933,"".*@hiberus.com$""),REGEXMATCH(A1933,"".*@simonbrico.es$""),regexmatch(A1933,"".*@simonelectric.com$"")),""null"",A1"&amp;"933)"),"1586@genserma.es")</f>
        <v>1586@genserma.es</v>
      </c>
      <c r="C1933" s="5">
        <f>IF(B1933="null","null",Descargas!B1933)</f>
        <v>43950</v>
      </c>
      <c r="D1933" s="6" t="str">
        <f>Descargas!E1933</f>
        <v>https://resources.simonelectric.com/simon-catalogo-vehiculo-electrico</v>
      </c>
      <c r="E1933" s="20" t="str">
        <f t="shared" si="1"/>
        <v>1586@genserma.es</v>
      </c>
      <c r="F1933" s="21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</row>
    <row r="1934" ht="15.75" customHeight="1">
      <c r="A1934" s="18" t="str">
        <f>Descargas!A1934</f>
        <v>1011@gmail.com</v>
      </c>
      <c r="B1934" s="19" t="str">
        <f>IFERROR(__xludf.DUMMYFUNCTION("IF(OR(regexmatch(A1934,"".*@simon.es$""),REGEXMATCH(A1934,"".*@simon.pt$""),REGEXMATCH(A1934,"".*@simonelectrica.com$""),REGEXMATCH(A1934,"".*@hiberus.com$""),REGEXMATCH(A1934,"".*@simonbrico.es$""),regexmatch(A1934,"".*@simonelectric.com$"")),""null"",A1"&amp;"934)"),"1011@gmail.com")</f>
        <v>1011@gmail.com</v>
      </c>
      <c r="C1934" s="5">
        <f>IF(B1934="null","null",Descargas!B1934)</f>
        <v>43950</v>
      </c>
      <c r="D1934" s="6" t="str">
        <f>Descargas!E1934</f>
        <v>https://resources.simonelectric.com/simon-catalogo-vehiculo-electrico</v>
      </c>
      <c r="E1934" s="20" t="str">
        <f t="shared" si="1"/>
        <v>1011@gmail.com</v>
      </c>
      <c r="F1934" s="21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</row>
    <row r="1935" ht="15.75" customHeight="1">
      <c r="A1935" s="18" t="str">
        <f>Descargas!A1935</f>
        <v>1587@naturgy.com</v>
      </c>
      <c r="B1935" s="19" t="str">
        <f>IFERROR(__xludf.DUMMYFUNCTION("IF(OR(regexmatch(A1935,"".*@simon.es$""),REGEXMATCH(A1935,"".*@simon.pt$""),REGEXMATCH(A1935,"".*@simonelectrica.com$""),REGEXMATCH(A1935,"".*@hiberus.com$""),REGEXMATCH(A1935,"".*@simonbrico.es$""),regexmatch(A1935,"".*@simonelectric.com$"")),""null"",A1"&amp;"935)"),"1587@naturgy.com")</f>
        <v>1587@naturgy.com</v>
      </c>
      <c r="C1935" s="5">
        <f>IF(B1935="null","null",Descargas!B1935)</f>
        <v>43950</v>
      </c>
      <c r="D1935" s="6" t="str">
        <f>Descargas!E1935</f>
        <v>https://resources.simonelectric.com/simon-catalogo-vehiculo-electrico</v>
      </c>
      <c r="E1935" s="20" t="str">
        <f t="shared" si="1"/>
        <v>1587@naturgy.com</v>
      </c>
      <c r="F1935" s="21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</row>
    <row r="1936" ht="15.75" customHeight="1">
      <c r="A1936" s="18" t="str">
        <f>Descargas!A1936</f>
        <v>1588@jgingenieros.es</v>
      </c>
      <c r="B1936" s="19" t="str">
        <f>IFERROR(__xludf.DUMMYFUNCTION("IF(OR(regexmatch(A1936,"".*@simon.es$""),REGEXMATCH(A1936,"".*@simon.pt$""),REGEXMATCH(A1936,"".*@simonelectrica.com$""),REGEXMATCH(A1936,"".*@hiberus.com$""),REGEXMATCH(A1936,"".*@simonbrico.es$""),regexmatch(A1936,"".*@simonelectric.com$"")),""null"",A1"&amp;"936)"),"1588@jgingenieros.es")</f>
        <v>1588@jgingenieros.es</v>
      </c>
      <c r="C1936" s="5">
        <f>IF(B1936="null","null",Descargas!B1936)</f>
        <v>43950</v>
      </c>
      <c r="D1936" s="6" t="str">
        <f>Descargas!E1936</f>
        <v>https://resources.simonelectric.com/simon-catalogo-vehiculo-electrico</v>
      </c>
      <c r="E1936" s="20" t="str">
        <f t="shared" si="1"/>
        <v>1588@jgingenieros.es</v>
      </c>
      <c r="F1936" s="21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</row>
    <row r="1937" ht="15.75" customHeight="1">
      <c r="A1937" s="18" t="str">
        <f>Descargas!A1937</f>
        <v>1589@gmail.com</v>
      </c>
      <c r="B1937" s="19" t="str">
        <f>IFERROR(__xludf.DUMMYFUNCTION("IF(OR(regexmatch(A1937,"".*@simon.es$""),REGEXMATCH(A1937,"".*@simon.pt$""),REGEXMATCH(A1937,"".*@simonelectrica.com$""),REGEXMATCH(A1937,"".*@hiberus.com$""),REGEXMATCH(A1937,"".*@simonbrico.es$""),regexmatch(A1937,"".*@simonelectric.com$"")),""null"",A1"&amp;"937)"),"1589@gmail.com")</f>
        <v>1589@gmail.com</v>
      </c>
      <c r="C1937" s="5">
        <f>IF(B1937="null","null",Descargas!B1937)</f>
        <v>43950</v>
      </c>
      <c r="D1937" s="6" t="str">
        <f>Descargas!E1937</f>
        <v>https://resources.simonelectric.com/simon-catalogo-vehiculo-electrico</v>
      </c>
      <c r="E1937" s="20" t="str">
        <f t="shared" si="1"/>
        <v>1589@gmail.com</v>
      </c>
      <c r="F1937" s="21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</row>
    <row r="1938" ht="15.75" customHeight="1">
      <c r="A1938" s="18" t="str">
        <f>Descargas!A1938</f>
        <v>1590@efik.cat</v>
      </c>
      <c r="B1938" s="19" t="str">
        <f>IFERROR(__xludf.DUMMYFUNCTION("IF(OR(regexmatch(A1938,"".*@simon.es$""),REGEXMATCH(A1938,"".*@simon.pt$""),REGEXMATCH(A1938,"".*@simonelectrica.com$""),REGEXMATCH(A1938,"".*@hiberus.com$""),REGEXMATCH(A1938,"".*@simonbrico.es$""),regexmatch(A1938,"".*@simonelectric.com$"")),""null"",A1"&amp;"938)"),"1590@efik.cat")</f>
        <v>1590@efik.cat</v>
      </c>
      <c r="C1938" s="5">
        <f>IF(B1938="null","null",Descargas!B1938)</f>
        <v>43950</v>
      </c>
      <c r="D1938" s="6" t="str">
        <f>Descargas!E1938</f>
        <v>https://resources.simonelectric.com/simon-catalogo-vehiculo-electrico</v>
      </c>
      <c r="E1938" s="20" t="str">
        <f t="shared" si="1"/>
        <v>1590@efik.cat</v>
      </c>
      <c r="F1938" s="21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</row>
    <row r="1939" ht="15.75" customHeight="1">
      <c r="A1939" s="18" t="str">
        <f>Descargas!A1939</f>
        <v>1591@gmail.com</v>
      </c>
      <c r="B1939" s="19" t="str">
        <f>IFERROR(__xludf.DUMMYFUNCTION("IF(OR(regexmatch(A1939,"".*@simon.es$""),REGEXMATCH(A1939,"".*@simon.pt$""),REGEXMATCH(A1939,"".*@simonelectrica.com$""),REGEXMATCH(A1939,"".*@hiberus.com$""),REGEXMATCH(A1939,"".*@simonbrico.es$""),regexmatch(A1939,"".*@simonelectric.com$"")),""null"",A1"&amp;"939)"),"1591@gmail.com")</f>
        <v>1591@gmail.com</v>
      </c>
      <c r="C1939" s="5">
        <f>IF(B1939="null","null",Descargas!B1939)</f>
        <v>43950</v>
      </c>
      <c r="D1939" s="6" t="str">
        <f>Descargas!E1939</f>
        <v>https://resources.simonelectric.com/simon-catalogo-vehiculo-electrico</v>
      </c>
      <c r="E1939" s="20" t="str">
        <f t="shared" si="1"/>
        <v>1591@gmail.com</v>
      </c>
      <c r="F1939" s="21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</row>
    <row r="1940" ht="15.75" customHeight="1">
      <c r="A1940" s="18" t="str">
        <f>Descargas!A1940</f>
        <v>1592@mesenergia.cat</v>
      </c>
      <c r="B1940" s="19" t="str">
        <f>IFERROR(__xludf.DUMMYFUNCTION("IF(OR(regexmatch(A1940,"".*@simon.es$""),REGEXMATCH(A1940,"".*@simon.pt$""),REGEXMATCH(A1940,"".*@simonelectrica.com$""),REGEXMATCH(A1940,"".*@hiberus.com$""),REGEXMATCH(A1940,"".*@simonbrico.es$""),regexmatch(A1940,"".*@simonelectric.com$"")),""null"",A1"&amp;"940)"),"1592@mesenergia.cat")</f>
        <v>1592@mesenergia.cat</v>
      </c>
      <c r="C1940" s="5">
        <f>IF(B1940="null","null",Descargas!B1940)</f>
        <v>43950</v>
      </c>
      <c r="D1940" s="6" t="str">
        <f>Descargas!E1940</f>
        <v>https://resources.simonelectric.com/simon-catalogo-vehiculo-electrico</v>
      </c>
      <c r="E1940" s="20" t="str">
        <f t="shared" si="1"/>
        <v>1592@mesenergia.cat</v>
      </c>
      <c r="F1940" s="21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</row>
    <row r="1941" ht="15.75" customHeight="1">
      <c r="A1941" s="18" t="str">
        <f>Descargas!A1941</f>
        <v>1593@gmail.com</v>
      </c>
      <c r="B1941" s="19" t="str">
        <f>IFERROR(__xludf.DUMMYFUNCTION("IF(OR(regexmatch(A1941,"".*@simon.es$""),REGEXMATCH(A1941,"".*@simon.pt$""),REGEXMATCH(A1941,"".*@simonelectrica.com$""),REGEXMATCH(A1941,"".*@hiberus.com$""),REGEXMATCH(A1941,"".*@simonbrico.es$""),regexmatch(A1941,"".*@simonelectric.com$"")),""null"",A1"&amp;"941)"),"1593@gmail.com")</f>
        <v>1593@gmail.com</v>
      </c>
      <c r="C1941" s="5">
        <f>IF(B1941="null","null",Descargas!B1941)</f>
        <v>43950</v>
      </c>
      <c r="D1941" s="6" t="str">
        <f>Descargas!E1941</f>
        <v>https://resources.simonelectric.com/simon-catalogo-vehiculo-electrico</v>
      </c>
      <c r="E1941" s="20" t="str">
        <f t="shared" si="1"/>
        <v>1593@gmail.com</v>
      </c>
      <c r="F1941" s="21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</row>
    <row r="1942" ht="15.75" customHeight="1">
      <c r="A1942" s="18" t="str">
        <f>Descargas!A1942</f>
        <v>1594@jgingenieros.es</v>
      </c>
      <c r="B1942" s="19" t="str">
        <f>IFERROR(__xludf.DUMMYFUNCTION("IF(OR(regexmatch(A1942,"".*@simon.es$""),REGEXMATCH(A1942,"".*@simon.pt$""),REGEXMATCH(A1942,"".*@simonelectrica.com$""),REGEXMATCH(A1942,"".*@hiberus.com$""),REGEXMATCH(A1942,"".*@simonbrico.es$""),regexmatch(A1942,"".*@simonelectric.com$"")),""null"",A1"&amp;"942)"),"1594@jgingenieros.es")</f>
        <v>1594@jgingenieros.es</v>
      </c>
      <c r="C1942" s="5">
        <f>IF(B1942="null","null",Descargas!B1942)</f>
        <v>43950</v>
      </c>
      <c r="D1942" s="6" t="str">
        <f>Descargas!E1942</f>
        <v>https://resources.simonelectric.com/simon-catalogo-vehiculo-electrico</v>
      </c>
      <c r="E1942" s="20" t="str">
        <f t="shared" si="1"/>
        <v>1594@jgingenieros.es</v>
      </c>
      <c r="F1942" s="21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</row>
    <row r="1943" ht="15.75" customHeight="1">
      <c r="A1943" s="18" t="str">
        <f>Descargas!A1943</f>
        <v>1595@gmail.com</v>
      </c>
      <c r="B1943" s="19" t="str">
        <f>IFERROR(__xludf.DUMMYFUNCTION("IF(OR(regexmatch(A1943,"".*@simon.es$""),REGEXMATCH(A1943,"".*@simon.pt$""),REGEXMATCH(A1943,"".*@simonelectrica.com$""),REGEXMATCH(A1943,"".*@hiberus.com$""),REGEXMATCH(A1943,"".*@simonbrico.es$""),regexmatch(A1943,"".*@simonelectric.com$"")),""null"",A1"&amp;"943)"),"1595@gmail.com")</f>
        <v>1595@gmail.com</v>
      </c>
      <c r="C1943" s="5">
        <f>IF(B1943="null","null",Descargas!B1943)</f>
        <v>43950</v>
      </c>
      <c r="D1943" s="6" t="str">
        <f>Descargas!E1943</f>
        <v>https://resources.simonelectric.com/simon-catalogo-vehiculo-electrico</v>
      </c>
      <c r="E1943" s="20" t="str">
        <f t="shared" si="1"/>
        <v>1595@gmail.com</v>
      </c>
      <c r="F1943" s="21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</row>
    <row r="1944" ht="15.75" customHeight="1">
      <c r="A1944" s="18" t="str">
        <f>Descargas!A1944</f>
        <v>1596@gruponovelec.com</v>
      </c>
      <c r="B1944" s="19" t="str">
        <f>IFERROR(__xludf.DUMMYFUNCTION("IF(OR(regexmatch(A1944,"".*@simon.es$""),REGEXMATCH(A1944,"".*@simon.pt$""),REGEXMATCH(A1944,"".*@simonelectrica.com$""),REGEXMATCH(A1944,"".*@hiberus.com$""),REGEXMATCH(A1944,"".*@simonbrico.es$""),regexmatch(A1944,"".*@simonelectric.com$"")),""null"",A1"&amp;"944)"),"1596@gruponovelec.com")</f>
        <v>1596@gruponovelec.com</v>
      </c>
      <c r="C1944" s="5">
        <f>IF(B1944="null","null",Descargas!B1944)</f>
        <v>43950</v>
      </c>
      <c r="D1944" s="6" t="str">
        <f>Descargas!E1944</f>
        <v>https://resources.simonelectric.com/simon-catalogo-vehiculo-electrico</v>
      </c>
      <c r="E1944" s="20" t="str">
        <f t="shared" si="1"/>
        <v>1596@gruponovelec.com</v>
      </c>
      <c r="F1944" s="21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</row>
    <row r="1945" ht="15.75" customHeight="1">
      <c r="A1945" s="18" t="str">
        <f>Descargas!A1945</f>
        <v>1597@gmail.com</v>
      </c>
      <c r="B1945" s="19" t="str">
        <f>IFERROR(__xludf.DUMMYFUNCTION("IF(OR(regexmatch(A1945,"".*@simon.es$""),REGEXMATCH(A1945,"".*@simon.pt$""),REGEXMATCH(A1945,"".*@simonelectrica.com$""),REGEXMATCH(A1945,"".*@hiberus.com$""),REGEXMATCH(A1945,"".*@simonbrico.es$""),regexmatch(A1945,"".*@simonelectric.com$"")),""null"",A1"&amp;"945)"),"1597@gmail.com")</f>
        <v>1597@gmail.com</v>
      </c>
      <c r="C1945" s="5">
        <f>IF(B1945="null","null",Descargas!B1945)</f>
        <v>43950</v>
      </c>
      <c r="D1945" s="6" t="str">
        <f>Descargas!E1945</f>
        <v>https://resources.simonelectric.com/simon-catalogo-vehiculo-electrico</v>
      </c>
      <c r="E1945" s="20" t="str">
        <f t="shared" si="1"/>
        <v>1597@gmail.com</v>
      </c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</row>
    <row r="1946" ht="15.75" customHeight="1">
      <c r="A1946" s="18" t="str">
        <f>Descargas!A1946</f>
        <v>1598@coac.net</v>
      </c>
      <c r="B1946" s="19" t="str">
        <f>IFERROR(__xludf.DUMMYFUNCTION("IF(OR(regexmatch(A1946,"".*@simon.es$""),REGEXMATCH(A1946,"".*@simon.pt$""),REGEXMATCH(A1946,"".*@simonelectrica.com$""),REGEXMATCH(A1946,"".*@hiberus.com$""),REGEXMATCH(A1946,"".*@simonbrico.es$""),regexmatch(A1946,"".*@simonelectric.com$"")),""null"",A1"&amp;"946)"),"1598@coac.net")</f>
        <v>1598@coac.net</v>
      </c>
      <c r="C1946" s="5">
        <f>IF(B1946="null","null",Descargas!B1946)</f>
        <v>43950</v>
      </c>
      <c r="D1946" s="6" t="str">
        <f>Descargas!E1946</f>
        <v>https://resources.simonelectric.com/simon-catalogo-vehiculo-electrico</v>
      </c>
      <c r="E1946" s="20" t="str">
        <f t="shared" si="1"/>
        <v>1598@coac.net</v>
      </c>
      <c r="F1946" s="21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</row>
    <row r="1947" ht="15.75" customHeight="1">
      <c r="A1947" s="18" t="str">
        <f>Descargas!A1947</f>
        <v>1599@conmasa.cat</v>
      </c>
      <c r="B1947" s="19" t="str">
        <f>IFERROR(__xludf.DUMMYFUNCTION("IF(OR(regexmatch(A1947,"".*@simon.es$""),REGEXMATCH(A1947,"".*@simon.pt$""),REGEXMATCH(A1947,"".*@simonelectrica.com$""),REGEXMATCH(A1947,"".*@hiberus.com$""),REGEXMATCH(A1947,"".*@simonbrico.es$""),regexmatch(A1947,"".*@simonelectric.com$"")),""null"",A1"&amp;"947)"),"1599@conmasa.cat")</f>
        <v>1599@conmasa.cat</v>
      </c>
      <c r="C1947" s="5">
        <f>IF(B1947="null","null",Descargas!B1947)</f>
        <v>43950</v>
      </c>
      <c r="D1947" s="6" t="str">
        <f>Descargas!E1947</f>
        <v>https://resources.simonelectric.com/simon-catalogo-vehiculo-electrico</v>
      </c>
      <c r="E1947" s="20" t="str">
        <f t="shared" si="1"/>
        <v>1599@conmasa.cat</v>
      </c>
      <c r="F1947" s="21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</row>
    <row r="1948" ht="15.75" customHeight="1">
      <c r="A1948" s="18" t="str">
        <f>Descargas!A1948</f>
        <v>1600@coelca.com</v>
      </c>
      <c r="B1948" s="19" t="str">
        <f>IFERROR(__xludf.DUMMYFUNCTION("IF(OR(regexmatch(A1948,"".*@simon.es$""),REGEXMATCH(A1948,"".*@simon.pt$""),REGEXMATCH(A1948,"".*@simonelectrica.com$""),REGEXMATCH(A1948,"".*@hiberus.com$""),REGEXMATCH(A1948,"".*@simonbrico.es$""),regexmatch(A1948,"".*@simonelectric.com$"")),""null"",A1"&amp;"948)"),"1600@coelca.com")</f>
        <v>1600@coelca.com</v>
      </c>
      <c r="C1948" s="5">
        <f>IF(B1948="null","null",Descargas!B1948)</f>
        <v>43950</v>
      </c>
      <c r="D1948" s="6" t="str">
        <f>Descargas!E1948</f>
        <v>https://resources.simonelectric.com/simon-catalogo-vehiculo-electrico</v>
      </c>
      <c r="E1948" s="20" t="str">
        <f t="shared" si="1"/>
        <v>1600@coelca.com</v>
      </c>
      <c r="F1948" s="21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</row>
    <row r="1949" ht="15.75" customHeight="1">
      <c r="A1949" s="18" t="str">
        <f>Descargas!A1949</f>
        <v>1601@yahoo.es</v>
      </c>
      <c r="B1949" s="19" t="str">
        <f>IFERROR(__xludf.DUMMYFUNCTION("IF(OR(regexmatch(A1949,"".*@simon.es$""),REGEXMATCH(A1949,"".*@simon.pt$""),REGEXMATCH(A1949,"".*@simonelectrica.com$""),REGEXMATCH(A1949,"".*@hiberus.com$""),REGEXMATCH(A1949,"".*@simonbrico.es$""),regexmatch(A1949,"".*@simonelectric.com$"")),""null"",A1"&amp;"949)"),"1601@yahoo.es")</f>
        <v>1601@yahoo.es</v>
      </c>
      <c r="C1949" s="5">
        <f>IF(B1949="null","null",Descargas!B1949)</f>
        <v>43950</v>
      </c>
      <c r="D1949" s="6" t="str">
        <f>Descargas!E1949</f>
        <v>https://resources.simonelectric.com/simon-catalogo-vehiculo-electrico</v>
      </c>
      <c r="E1949" s="20" t="str">
        <f t="shared" si="1"/>
        <v>1601@yahoo.es</v>
      </c>
      <c r="F1949" s="21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</row>
    <row r="1950" ht="15.75" customHeight="1">
      <c r="A1950" s="18" t="str">
        <f>Descargas!A1950</f>
        <v>1602@gmail.com</v>
      </c>
      <c r="B1950" s="19" t="str">
        <f>IFERROR(__xludf.DUMMYFUNCTION("IF(OR(regexmatch(A1950,"".*@simon.es$""),REGEXMATCH(A1950,"".*@simon.pt$""),REGEXMATCH(A1950,"".*@simonelectrica.com$""),REGEXMATCH(A1950,"".*@hiberus.com$""),REGEXMATCH(A1950,"".*@simonbrico.es$""),regexmatch(A1950,"".*@simonelectric.com$"")),""null"",A1"&amp;"950)"),"1602@gmail.com")</f>
        <v>1602@gmail.com</v>
      </c>
      <c r="C1950" s="5">
        <f>IF(B1950="null","null",Descargas!B1950)</f>
        <v>43950</v>
      </c>
      <c r="D1950" s="6" t="str">
        <f>Descargas!E1950</f>
        <v>https://resources.simonelectric.com/simon-catalogo-vehiculo-electrico</v>
      </c>
      <c r="E1950" s="20" t="str">
        <f t="shared" si="1"/>
        <v>1602@gmail.com</v>
      </c>
      <c r="F1950" s="21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</row>
    <row r="1951" ht="15.75" customHeight="1">
      <c r="A1951" s="18" t="str">
        <f>Descargas!A1951</f>
        <v>1603@gmail.com</v>
      </c>
      <c r="B1951" s="19" t="str">
        <f>IFERROR(__xludf.DUMMYFUNCTION("IF(OR(regexmatch(A1951,"".*@simon.es$""),REGEXMATCH(A1951,"".*@simon.pt$""),REGEXMATCH(A1951,"".*@simonelectrica.com$""),REGEXMATCH(A1951,"".*@hiberus.com$""),REGEXMATCH(A1951,"".*@simonbrico.es$""),regexmatch(A1951,"".*@simonelectric.com$"")),""null"",A1"&amp;"951)"),"1603@gmail.com")</f>
        <v>1603@gmail.com</v>
      </c>
      <c r="C1951" s="5">
        <f>IF(B1951="null","null",Descargas!B1951)</f>
        <v>43950</v>
      </c>
      <c r="D1951" s="6" t="str">
        <f>Descargas!E1951</f>
        <v>https://resources.simonelectric.com/simon-catalogo-vehiculo-electrico</v>
      </c>
      <c r="E1951" s="20" t="str">
        <f t="shared" si="1"/>
        <v>1603@gmail.com</v>
      </c>
      <c r="F1951" s="21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</row>
    <row r="1952" ht="15.75" customHeight="1">
      <c r="A1952" s="18" t="str">
        <f>Descargas!A1952</f>
        <v>1604@geinstal.com</v>
      </c>
      <c r="B1952" s="19" t="str">
        <f>IFERROR(__xludf.DUMMYFUNCTION("IF(OR(regexmatch(A1952,"".*@simon.es$""),REGEXMATCH(A1952,"".*@simon.pt$""),REGEXMATCH(A1952,"".*@simonelectrica.com$""),REGEXMATCH(A1952,"".*@hiberus.com$""),REGEXMATCH(A1952,"".*@simonbrico.es$""),regexmatch(A1952,"".*@simonelectric.com$"")),""null"",A1"&amp;"952)"),"1604@geinstal.com")</f>
        <v>1604@geinstal.com</v>
      </c>
      <c r="C1952" s="5">
        <f>IF(B1952="null","null",Descargas!B1952)</f>
        <v>43950</v>
      </c>
      <c r="D1952" s="6" t="str">
        <f>Descargas!E1952</f>
        <v>https://resources.simonelectric.com/simon-catalogo-vehiculo-electrico</v>
      </c>
      <c r="E1952" s="20" t="str">
        <f t="shared" si="1"/>
        <v>1604@geinstal.com</v>
      </c>
      <c r="F1952" s="21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</row>
    <row r="1953" ht="15.75" customHeight="1">
      <c r="A1953" s="18" t="str">
        <f>Descargas!A1953</f>
        <v>1605@recargamostucoche.com</v>
      </c>
      <c r="B1953" s="19" t="str">
        <f>IFERROR(__xludf.DUMMYFUNCTION("IF(OR(regexmatch(A1953,"".*@simon.es$""),REGEXMATCH(A1953,"".*@simon.pt$""),REGEXMATCH(A1953,"".*@simonelectrica.com$""),REGEXMATCH(A1953,"".*@hiberus.com$""),REGEXMATCH(A1953,"".*@simonbrico.es$""),regexmatch(A1953,"".*@simonelectric.com$"")),""null"",A1"&amp;"953)"),"1605@recargamostucoche.com")</f>
        <v>1605@recargamostucoche.com</v>
      </c>
      <c r="C1953" s="5">
        <f>IF(B1953="null","null",Descargas!B1953)</f>
        <v>43950</v>
      </c>
      <c r="D1953" s="6" t="str">
        <f>Descargas!E1953</f>
        <v>https://resources.simonelectric.com/simon-catalogo-vehiculo-electrico</v>
      </c>
      <c r="E1953" s="20" t="str">
        <f t="shared" si="1"/>
        <v>1605@recargamostucoche.com</v>
      </c>
      <c r="F1953" s="21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</row>
    <row r="1954" ht="15.75" customHeight="1">
      <c r="A1954" s="18" t="str">
        <f>Descargas!A1954</f>
        <v>1606@cesvimap.com</v>
      </c>
      <c r="B1954" s="19" t="str">
        <f>IFERROR(__xludf.DUMMYFUNCTION("IF(OR(regexmatch(A1954,"".*@simon.es$""),REGEXMATCH(A1954,"".*@simon.pt$""),REGEXMATCH(A1954,"".*@simonelectrica.com$""),REGEXMATCH(A1954,"".*@hiberus.com$""),REGEXMATCH(A1954,"".*@simonbrico.es$""),regexmatch(A1954,"".*@simonelectric.com$"")),""null"",A1"&amp;"954)"),"1606@cesvimap.com")</f>
        <v>1606@cesvimap.com</v>
      </c>
      <c r="C1954" s="5">
        <f>IF(B1954="null","null",Descargas!B1954)</f>
        <v>43950</v>
      </c>
      <c r="D1954" s="6" t="str">
        <f>Descargas!E1954</f>
        <v>https://resources.simonelectric.com/simon-catalogo-vehiculo-electrico</v>
      </c>
      <c r="E1954" s="20" t="str">
        <f t="shared" si="1"/>
        <v>1606@cesvimap.com</v>
      </c>
      <c r="F1954" s="21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</row>
    <row r="1955" ht="15.75" customHeight="1">
      <c r="A1955" s="18" t="str">
        <f>Descargas!A1955</f>
        <v>1607@talesingenieria.es</v>
      </c>
      <c r="B1955" s="19" t="str">
        <f>IFERROR(__xludf.DUMMYFUNCTION("IF(OR(regexmatch(A1955,"".*@simon.es$""),REGEXMATCH(A1955,"".*@simon.pt$""),REGEXMATCH(A1955,"".*@simonelectrica.com$""),REGEXMATCH(A1955,"".*@hiberus.com$""),REGEXMATCH(A1955,"".*@simonbrico.es$""),regexmatch(A1955,"".*@simonelectric.com$"")),""null"",A1"&amp;"955)"),"1607@talesingenieria.es")</f>
        <v>1607@talesingenieria.es</v>
      </c>
      <c r="C1955" s="5">
        <f>IF(B1955="null","null",Descargas!B1955)</f>
        <v>43950</v>
      </c>
      <c r="D1955" s="6" t="str">
        <f>Descargas!E1955</f>
        <v>https://resources.simonelectric.com/simon-catalogo-vehiculo-electrico</v>
      </c>
      <c r="E1955" s="20" t="str">
        <f t="shared" si="1"/>
        <v>1607@talesingenieria.es</v>
      </c>
      <c r="F1955" s="21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</row>
    <row r="1956" ht="15.75" customHeight="1">
      <c r="A1956" s="18" t="str">
        <f>Descargas!A1956</f>
        <v>1608@grupolasser.com</v>
      </c>
      <c r="B1956" s="19" t="str">
        <f>IFERROR(__xludf.DUMMYFUNCTION("IF(OR(regexmatch(A1956,"".*@simon.es$""),REGEXMATCH(A1956,"".*@simon.pt$""),REGEXMATCH(A1956,"".*@simonelectrica.com$""),REGEXMATCH(A1956,"".*@hiberus.com$""),REGEXMATCH(A1956,"".*@simonbrico.es$""),regexmatch(A1956,"".*@simonelectric.com$"")),""null"",A1"&amp;"956)"),"1608@grupolasser.com")</f>
        <v>1608@grupolasser.com</v>
      </c>
      <c r="C1956" s="5">
        <f>IF(B1956="null","null",Descargas!B1956)</f>
        <v>43950</v>
      </c>
      <c r="D1956" s="6" t="str">
        <f>Descargas!E1956</f>
        <v>https://resources.simonelectric.com/simon-catalogo-vehiculo-electrico</v>
      </c>
      <c r="E1956" s="20" t="str">
        <f t="shared" si="1"/>
        <v>1608@grupolasser.com</v>
      </c>
      <c r="F1956" s="21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</row>
    <row r="1957" ht="15.75" customHeight="1">
      <c r="A1957" s="18" t="str">
        <f>Descargas!A1957</f>
        <v>875@orange.es</v>
      </c>
      <c r="B1957" s="19" t="str">
        <f>IFERROR(__xludf.DUMMYFUNCTION("IF(OR(regexmatch(A1957,"".*@simon.es$""),REGEXMATCH(A1957,"".*@simon.pt$""),REGEXMATCH(A1957,"".*@simonelectrica.com$""),REGEXMATCH(A1957,"".*@hiberus.com$""),REGEXMATCH(A1957,"".*@simonbrico.es$""),regexmatch(A1957,"".*@simonelectric.com$"")),""null"",A1"&amp;"957)"),"875@orange.es")</f>
        <v>875@orange.es</v>
      </c>
      <c r="C1957" s="5">
        <f>IF(B1957="null","null",Descargas!B1957)</f>
        <v>43950</v>
      </c>
      <c r="D1957" s="6" t="str">
        <f>Descargas!E1957</f>
        <v>https://resources.simonelectric.com/simon-catalogo-vehiculo-electrico</v>
      </c>
      <c r="E1957" s="20" t="str">
        <f t="shared" si="1"/>
        <v>875@orange.es</v>
      </c>
      <c r="F1957" s="21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</row>
    <row r="1958" ht="15.75" customHeight="1">
      <c r="A1958" s="18" t="str">
        <f>Descargas!A1958</f>
        <v>1609@gmail.com</v>
      </c>
      <c r="B1958" s="19" t="str">
        <f>IFERROR(__xludf.DUMMYFUNCTION("IF(OR(regexmatch(A1958,"".*@simon.es$""),REGEXMATCH(A1958,"".*@simon.pt$""),REGEXMATCH(A1958,"".*@simonelectrica.com$""),REGEXMATCH(A1958,"".*@hiberus.com$""),REGEXMATCH(A1958,"".*@simonbrico.es$""),regexmatch(A1958,"".*@simonelectric.com$"")),""null"",A1"&amp;"958)"),"1609@gmail.com")</f>
        <v>1609@gmail.com</v>
      </c>
      <c r="C1958" s="5">
        <f>IF(B1958="null","null",Descargas!B1958)</f>
        <v>43950</v>
      </c>
      <c r="D1958" s="6" t="str">
        <f>Descargas!E1958</f>
        <v>https://resources.simonelectric.com/simon-catalogo-vehiculo-electrico</v>
      </c>
      <c r="E1958" s="20" t="str">
        <f t="shared" si="1"/>
        <v>1609@gmail.com</v>
      </c>
      <c r="F1958" s="21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</row>
    <row r="1959" ht="15.75" customHeight="1">
      <c r="A1959" s="18" t="str">
        <f>Descargas!A1959</f>
        <v>1610@gmail.com</v>
      </c>
      <c r="B1959" s="19" t="str">
        <f>IFERROR(__xludf.DUMMYFUNCTION("IF(OR(regexmatch(A1959,"".*@simon.es$""),REGEXMATCH(A1959,"".*@simon.pt$""),REGEXMATCH(A1959,"".*@simonelectrica.com$""),REGEXMATCH(A1959,"".*@hiberus.com$""),REGEXMATCH(A1959,"".*@simonbrico.es$""),regexmatch(A1959,"".*@simonelectric.com$"")),""null"",A1"&amp;"959)"),"1610@gmail.com")</f>
        <v>1610@gmail.com</v>
      </c>
      <c r="C1959" s="5">
        <f>IF(B1959="null","null",Descargas!B1959)</f>
        <v>43950</v>
      </c>
      <c r="D1959" s="6" t="str">
        <f>Descargas!E1959</f>
        <v>https://resources.simonelectric.com/simon-catalogo-vehiculo-electrico</v>
      </c>
      <c r="E1959" s="20" t="str">
        <f t="shared" si="1"/>
        <v>1610@gmail.com</v>
      </c>
      <c r="F1959" s="21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</row>
    <row r="1960" ht="15.75" customHeight="1">
      <c r="A1960" s="18" t="str">
        <f>Descargas!A1960</f>
        <v>1611@lasallesagradocorazon.es</v>
      </c>
      <c r="B1960" s="19" t="str">
        <f>IFERROR(__xludf.DUMMYFUNCTION("IF(OR(regexmatch(A1960,"".*@simon.es$""),REGEXMATCH(A1960,"".*@simon.pt$""),REGEXMATCH(A1960,"".*@simonelectrica.com$""),REGEXMATCH(A1960,"".*@hiberus.com$""),REGEXMATCH(A1960,"".*@simonbrico.es$""),regexmatch(A1960,"".*@simonelectric.com$"")),""null"",A1"&amp;"960)"),"1611@lasallesagradocorazon.es")</f>
        <v>1611@lasallesagradocorazon.es</v>
      </c>
      <c r="C1960" s="5">
        <f>IF(B1960="null","null",Descargas!B1960)</f>
        <v>43950</v>
      </c>
      <c r="D1960" s="6" t="str">
        <f>Descargas!E1960</f>
        <v>https://resources.simonelectric.com/simon-catalogo-vehiculo-electrico</v>
      </c>
      <c r="E1960" s="20" t="str">
        <f t="shared" si="1"/>
        <v>1611@lasallesagradocorazon.es</v>
      </c>
      <c r="F1960" s="21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</row>
    <row r="1961" ht="15.75" customHeight="1">
      <c r="A1961" s="18" t="str">
        <f>Descargas!A1961</f>
        <v>1004@telefonica.net</v>
      </c>
      <c r="B1961" s="19" t="str">
        <f>IFERROR(__xludf.DUMMYFUNCTION("IF(OR(regexmatch(A1961,"".*@simon.es$""),REGEXMATCH(A1961,"".*@simon.pt$""),REGEXMATCH(A1961,"".*@simonelectrica.com$""),REGEXMATCH(A1961,"".*@hiberus.com$""),REGEXMATCH(A1961,"".*@simonbrico.es$""),regexmatch(A1961,"".*@simonelectric.com$"")),""null"",A1"&amp;"961)"),"1004@telefonica.net")</f>
        <v>1004@telefonica.net</v>
      </c>
      <c r="C1961" s="5">
        <f>IF(B1961="null","null",Descargas!B1961)</f>
        <v>43950</v>
      </c>
      <c r="D1961" s="6" t="str">
        <f>Descargas!E1961</f>
        <v>https://resources.simonelectric.com/simon-catalogo-vehiculo-electrico</v>
      </c>
      <c r="E1961" s="20" t="str">
        <f t="shared" si="1"/>
        <v>1004@telefonica.net</v>
      </c>
      <c r="F1961" s="21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</row>
    <row r="1962" ht="15.75" customHeight="1">
      <c r="A1962" s="18" t="str">
        <f>Descargas!A1962</f>
        <v>632@gmail.com</v>
      </c>
      <c r="B1962" s="19" t="str">
        <f>IFERROR(__xludf.DUMMYFUNCTION("IF(OR(regexmatch(A1962,"".*@simon.es$""),REGEXMATCH(A1962,"".*@simon.pt$""),REGEXMATCH(A1962,"".*@simonelectrica.com$""),REGEXMATCH(A1962,"".*@hiberus.com$""),REGEXMATCH(A1962,"".*@simonbrico.es$""),regexmatch(A1962,"".*@simonelectric.com$"")),""null"",A1"&amp;"962)"),"632@gmail.com")</f>
        <v>632@gmail.com</v>
      </c>
      <c r="C1962" s="5">
        <f>IF(B1962="null","null",Descargas!B1962)</f>
        <v>43950</v>
      </c>
      <c r="D1962" s="6" t="str">
        <f>Descargas!E1962</f>
        <v>https://resources.simonelectric.com/simon-catalogo-vehiculo-electrico</v>
      </c>
      <c r="E1962" s="20" t="str">
        <f t="shared" si="1"/>
        <v>632@gmail.com</v>
      </c>
      <c r="F1962" s="21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</row>
    <row r="1963" ht="15.75" customHeight="1">
      <c r="A1963" s="18" t="str">
        <f>Descargas!A1963</f>
        <v>685@climava.com</v>
      </c>
      <c r="B1963" s="19" t="str">
        <f>IFERROR(__xludf.DUMMYFUNCTION("IF(OR(regexmatch(A1963,"".*@simon.es$""),REGEXMATCH(A1963,"".*@simon.pt$""),REGEXMATCH(A1963,"".*@simonelectrica.com$""),REGEXMATCH(A1963,"".*@hiberus.com$""),REGEXMATCH(A1963,"".*@simonbrico.es$""),regexmatch(A1963,"".*@simonelectric.com$"")),""null"",A1"&amp;"963)"),"685@climava.com")</f>
        <v>685@climava.com</v>
      </c>
      <c r="C1963" s="5">
        <f>IF(B1963="null","null",Descargas!B1963)</f>
        <v>43950</v>
      </c>
      <c r="D1963" s="6" t="str">
        <f>Descargas!E1963</f>
        <v>https://resources.simonelectric.com/simon-catalogo-vehiculo-electrico</v>
      </c>
      <c r="E1963" s="20" t="str">
        <f t="shared" si="1"/>
        <v>685@climava.com</v>
      </c>
      <c r="F1963" s="21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</row>
    <row r="1964" ht="15.75" customHeight="1">
      <c r="A1964" s="18" t="str">
        <f>Descargas!A1964</f>
        <v>1612@gmail.com</v>
      </c>
      <c r="B1964" s="19" t="str">
        <f>IFERROR(__xludf.DUMMYFUNCTION("IF(OR(regexmatch(A1964,"".*@simon.es$""),REGEXMATCH(A1964,"".*@simon.pt$""),REGEXMATCH(A1964,"".*@simonelectrica.com$""),REGEXMATCH(A1964,"".*@hiberus.com$""),REGEXMATCH(A1964,"".*@simonbrico.es$""),regexmatch(A1964,"".*@simonelectric.com$"")),""null"",A1"&amp;"964)"),"1612@gmail.com")</f>
        <v>1612@gmail.com</v>
      </c>
      <c r="C1964" s="5">
        <f>IF(B1964="null","null",Descargas!B1964)</f>
        <v>43950</v>
      </c>
      <c r="D1964" s="6" t="str">
        <f>Descargas!E1964</f>
        <v>https://resources.simonelectric.com/simon-ebook-vehiculo-electrico-ppc</v>
      </c>
      <c r="E1964" s="20" t="str">
        <f t="shared" si="1"/>
        <v>1612@gmail.com</v>
      </c>
      <c r="F1964" s="21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</row>
    <row r="1965" ht="15.75" customHeight="1">
      <c r="A1965" s="18" t="str">
        <f>Descargas!A1965</f>
        <v>1613@muntanerelectro.com</v>
      </c>
      <c r="B1965" s="19" t="str">
        <f>IFERROR(__xludf.DUMMYFUNCTION("IF(OR(regexmatch(A1965,"".*@simon.es$""),REGEXMATCH(A1965,"".*@simon.pt$""),REGEXMATCH(A1965,"".*@simonelectrica.com$""),REGEXMATCH(A1965,"".*@hiberus.com$""),REGEXMATCH(A1965,"".*@simonbrico.es$""),regexmatch(A1965,"".*@simonelectric.com$"")),""null"",A1"&amp;"965)"),"1613@muntanerelectro.com")</f>
        <v>1613@muntanerelectro.com</v>
      </c>
      <c r="C1965" s="5">
        <f>IF(B1965="null","null",Descargas!B1965)</f>
        <v>43950</v>
      </c>
      <c r="D1965" s="6" t="str">
        <f>Descargas!E1965</f>
        <v>https://resources.simonelectric.com/simon-catalogo-vehiculo-electrico</v>
      </c>
      <c r="E1965" s="20" t="str">
        <f t="shared" si="1"/>
        <v>1613@muntanerelectro.com</v>
      </c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</row>
    <row r="1966" ht="15.75" customHeight="1">
      <c r="A1966" s="18" t="str">
        <f>Descargas!A1966</f>
        <v>1614@electronalon.es</v>
      </c>
      <c r="B1966" s="19" t="str">
        <f>IFERROR(__xludf.DUMMYFUNCTION("IF(OR(regexmatch(A1966,"".*@simon.es$""),REGEXMATCH(A1966,"".*@simon.pt$""),REGEXMATCH(A1966,"".*@simonelectrica.com$""),REGEXMATCH(A1966,"".*@hiberus.com$""),REGEXMATCH(A1966,"".*@simonbrico.es$""),regexmatch(A1966,"".*@simonelectric.com$"")),""null"",A1"&amp;"966)"),"1614@electronalon.es")</f>
        <v>1614@electronalon.es</v>
      </c>
      <c r="C1966" s="5">
        <f>IF(B1966="null","null",Descargas!B1966)</f>
        <v>43950</v>
      </c>
      <c r="D1966" s="6" t="str">
        <f>Descargas!E1966</f>
        <v>https://resources.simonelectric.com/simon-catalogo-vehiculo-electrico</v>
      </c>
      <c r="E1966" s="20" t="str">
        <f t="shared" si="1"/>
        <v>1614@electronalon.es</v>
      </c>
      <c r="F1966" s="21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</row>
    <row r="1967" ht="15.75" customHeight="1">
      <c r="A1967" s="18" t="str">
        <f>Descargas!A1967</f>
        <v>603@tenmega.pt</v>
      </c>
      <c r="B1967" s="19" t="str">
        <f>IFERROR(__xludf.DUMMYFUNCTION("IF(OR(regexmatch(A1967,"".*@simon.es$""),REGEXMATCH(A1967,"".*@simon.pt$""),REGEXMATCH(A1967,"".*@simonelectrica.com$""),REGEXMATCH(A1967,"".*@hiberus.com$""),REGEXMATCH(A1967,"".*@simonbrico.es$""),regexmatch(A1967,"".*@simonelectric.com$"")),""null"",A1"&amp;"967)"),"603@tenmega.pt")</f>
        <v>603@tenmega.pt</v>
      </c>
      <c r="C1967" s="5">
        <f>IF(B1967="null","null",Descargas!B1967)</f>
        <v>43950</v>
      </c>
      <c r="D1967" s="6" t="str">
        <f>Descargas!E1967</f>
        <v>https://resources.simonelectric.com/simon-catalogo-vehiculo-electrico</v>
      </c>
      <c r="E1967" s="20" t="str">
        <f t="shared" si="1"/>
        <v>603@tenmega.pt</v>
      </c>
      <c r="F1967" s="21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</row>
    <row r="1968" ht="15.75" customHeight="1">
      <c r="A1968" s="18" t="str">
        <f>Descargas!A1968</f>
        <v>1615@hotmail.es</v>
      </c>
      <c r="B1968" s="19" t="str">
        <f>IFERROR(__xludf.DUMMYFUNCTION("IF(OR(regexmatch(A1968,"".*@simon.es$""),REGEXMATCH(A1968,"".*@simon.pt$""),REGEXMATCH(A1968,"".*@simonelectrica.com$""),REGEXMATCH(A1968,"".*@hiberus.com$""),REGEXMATCH(A1968,"".*@simonbrico.es$""),regexmatch(A1968,"".*@simonelectric.com$"")),""null"",A1"&amp;"968)"),"1615@hotmail.es")</f>
        <v>1615@hotmail.es</v>
      </c>
      <c r="C1968" s="5">
        <f>IF(B1968="null","null",Descargas!B1968)</f>
        <v>43950</v>
      </c>
      <c r="D1968" s="6" t="str">
        <f>Descargas!E1968</f>
        <v>https://resources.simonelectric.com/simon-catalogo-vehiculo-electrico</v>
      </c>
      <c r="E1968" s="20" t="str">
        <f t="shared" si="1"/>
        <v>1615@hotmail.es</v>
      </c>
      <c r="F1968" s="21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</row>
    <row r="1969" ht="15.75" customHeight="1">
      <c r="A1969" s="18" t="str">
        <f>Descargas!A1969</f>
        <v>1616@wct.es</v>
      </c>
      <c r="B1969" s="19" t="str">
        <f>IFERROR(__xludf.DUMMYFUNCTION("IF(OR(regexmatch(A1969,"".*@simon.es$""),REGEXMATCH(A1969,"".*@simon.pt$""),REGEXMATCH(A1969,"".*@simonelectrica.com$""),REGEXMATCH(A1969,"".*@hiberus.com$""),REGEXMATCH(A1969,"".*@simonbrico.es$""),regexmatch(A1969,"".*@simonelectric.com$"")),""null"",A1"&amp;"969)"),"1616@wct.es")</f>
        <v>1616@wct.es</v>
      </c>
      <c r="C1969" s="5">
        <f>IF(B1969="null","null",Descargas!B1969)</f>
        <v>43950</v>
      </c>
      <c r="D1969" s="6" t="str">
        <f>Descargas!E1969</f>
        <v>https://resources.simonelectric.com/simon-catalogo-vehiculo-electrico</v>
      </c>
      <c r="E1969" s="20" t="str">
        <f t="shared" si="1"/>
        <v>1616@wct.es</v>
      </c>
      <c r="F1969" s="21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</row>
    <row r="1970" ht="15.75" customHeight="1">
      <c r="A1970" s="18" t="str">
        <f>Descargas!A1970</f>
        <v>1617@e-noses.com</v>
      </c>
      <c r="B1970" s="19" t="str">
        <f>IFERROR(__xludf.DUMMYFUNCTION("IF(OR(regexmatch(A1970,"".*@simon.es$""),REGEXMATCH(A1970,"".*@simon.pt$""),REGEXMATCH(A1970,"".*@simonelectrica.com$""),REGEXMATCH(A1970,"".*@hiberus.com$""),REGEXMATCH(A1970,"".*@simonbrico.es$""),regexmatch(A1970,"".*@simonelectric.com$"")),""null"",A1"&amp;"970)"),"1617@e-noses.com")</f>
        <v>1617@e-noses.com</v>
      </c>
      <c r="C1970" s="5">
        <f>IF(B1970="null","null",Descargas!B1970)</f>
        <v>43950</v>
      </c>
      <c r="D1970" s="6" t="str">
        <f>Descargas!E1970</f>
        <v>https://resources.simonelectric.com/simon-catalogo-vehiculo-electrico</v>
      </c>
      <c r="E1970" s="20" t="str">
        <f t="shared" si="1"/>
        <v>1617@e-noses.com</v>
      </c>
      <c r="F1970" s="21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</row>
    <row r="1971" ht="15.75" customHeight="1">
      <c r="A1971" s="18" t="str">
        <f>Descargas!A1971</f>
        <v>1618@hotmail.com</v>
      </c>
      <c r="B1971" s="19" t="str">
        <f>IFERROR(__xludf.DUMMYFUNCTION("IF(OR(regexmatch(A1971,"".*@simon.es$""),REGEXMATCH(A1971,"".*@simon.pt$""),REGEXMATCH(A1971,"".*@simonelectrica.com$""),REGEXMATCH(A1971,"".*@hiberus.com$""),REGEXMATCH(A1971,"".*@simonbrico.es$""),regexmatch(A1971,"".*@simonelectric.com$"")),""null"",A1"&amp;"971)"),"1618@hotmail.com")</f>
        <v>1618@hotmail.com</v>
      </c>
      <c r="C1971" s="5">
        <f>IF(B1971="null","null",Descargas!B1971)</f>
        <v>43950</v>
      </c>
      <c r="D1971" s="6" t="str">
        <f>Descargas!E1971</f>
        <v>https://resources.simonelectric.com/simon-catalogo-vehiculo-electrico</v>
      </c>
      <c r="E1971" s="20" t="str">
        <f t="shared" si="1"/>
        <v>1618@hotmail.com</v>
      </c>
      <c r="F1971" s="21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</row>
    <row r="1972" ht="15.75" customHeight="1">
      <c r="A1972" s="18" t="str">
        <f>Descargas!A1972</f>
        <v>1619@simon.es</v>
      </c>
      <c r="B1972" s="19" t="str">
        <f>IFERROR(__xludf.DUMMYFUNCTION("IF(OR(regexmatch(A1972,"".*@simon.es$""),REGEXMATCH(A1972,"".*@simon.pt$""),REGEXMATCH(A1972,"".*@simonelectrica.com$""),REGEXMATCH(A1972,"".*@hiberus.com$""),REGEXMATCH(A1972,"".*@simonbrico.es$""),regexmatch(A1972,"".*@simonelectric.com$"")),""null"",A1"&amp;"972)"),"null")</f>
        <v>null</v>
      </c>
      <c r="C1972" s="5" t="str">
        <f>IF(B1972="null","null",Descargas!B1972)</f>
        <v>null</v>
      </c>
      <c r="D1972" s="6" t="str">
        <f>Descargas!E1972</f>
        <v>https://resources.simonelectric.com/simon-catalogo-vehiculo-electrico</v>
      </c>
      <c r="E1972" s="24" t="str">
        <f t="shared" si="1"/>
        <v/>
      </c>
      <c r="F1972" s="21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</row>
    <row r="1973" ht="15.75" customHeight="1">
      <c r="A1973" s="18" t="str">
        <f>Descargas!A1973</f>
        <v>642@ecoviv.eu</v>
      </c>
      <c r="B1973" s="19" t="str">
        <f>IFERROR(__xludf.DUMMYFUNCTION("IF(OR(regexmatch(A1973,"".*@simon.es$""),REGEXMATCH(A1973,"".*@simon.pt$""),REGEXMATCH(A1973,"".*@simonelectrica.com$""),REGEXMATCH(A1973,"".*@hiberus.com$""),REGEXMATCH(A1973,"".*@simonbrico.es$""),regexmatch(A1973,"".*@simonelectric.com$"")),""null"",A1"&amp;"973)"),"642@ecoviv.eu")</f>
        <v>642@ecoviv.eu</v>
      </c>
      <c r="C1973" s="5">
        <f>IF(B1973="null","null",Descargas!B1973)</f>
        <v>43950</v>
      </c>
      <c r="D1973" s="6" t="str">
        <f>Descargas!E1973</f>
        <v>https://resources.simonelectric.com/simon-catalogo-vehiculo-electrico</v>
      </c>
      <c r="E1973" s="20" t="str">
        <f t="shared" si="1"/>
        <v>642@ecoviv.eu</v>
      </c>
      <c r="F1973" s="21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</row>
    <row r="1974" ht="15.75" customHeight="1">
      <c r="A1974" s="18" t="str">
        <f>Descargas!A1974</f>
        <v>1620@ciudaddelosmuchachos.com</v>
      </c>
      <c r="B1974" s="19" t="str">
        <f>IFERROR(__xludf.DUMMYFUNCTION("IF(OR(regexmatch(A1974,"".*@simon.es$""),REGEXMATCH(A1974,"".*@simon.pt$""),REGEXMATCH(A1974,"".*@simonelectrica.com$""),REGEXMATCH(A1974,"".*@hiberus.com$""),REGEXMATCH(A1974,"".*@simonbrico.es$""),regexmatch(A1974,"".*@simonelectric.com$"")),""null"",A1"&amp;"974)"),"1620@ciudaddelosmuchachos.com")</f>
        <v>1620@ciudaddelosmuchachos.com</v>
      </c>
      <c r="C1974" s="5">
        <f>IF(B1974="null","null",Descargas!B1974)</f>
        <v>43950</v>
      </c>
      <c r="D1974" s="6" t="str">
        <f>Descargas!E1974</f>
        <v>https://resources.simonelectric.com/simon-catalogo-vehiculo-electrico</v>
      </c>
      <c r="E1974" s="20" t="str">
        <f t="shared" si="1"/>
        <v>1620@ciudaddelosmuchachos.com</v>
      </c>
      <c r="F1974" s="21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</row>
    <row r="1975" ht="15.75" customHeight="1">
      <c r="A1975" s="18" t="str">
        <f>Descargas!A1975</f>
        <v>1621@salicru.com</v>
      </c>
      <c r="B1975" s="19" t="str">
        <f>IFERROR(__xludf.DUMMYFUNCTION("IF(OR(regexmatch(A1975,"".*@simon.es$""),REGEXMATCH(A1975,"".*@simon.pt$""),REGEXMATCH(A1975,"".*@simonelectrica.com$""),REGEXMATCH(A1975,"".*@hiberus.com$""),REGEXMATCH(A1975,"".*@simonbrico.es$""),regexmatch(A1975,"".*@simonelectric.com$"")),""null"",A1"&amp;"975)"),"1621@salicru.com")</f>
        <v>1621@salicru.com</v>
      </c>
      <c r="C1975" s="5">
        <f>IF(B1975="null","null",Descargas!B1975)</f>
        <v>43950</v>
      </c>
      <c r="D1975" s="6" t="str">
        <f>Descargas!E1975</f>
        <v>https://resources.simonelectric.com/simon-catalogo-vehiculo-electrico</v>
      </c>
      <c r="E1975" s="20" t="str">
        <f t="shared" si="1"/>
        <v>1621@salicru.com</v>
      </c>
      <c r="F1975" s="21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</row>
    <row r="1976" ht="15.75" customHeight="1">
      <c r="A1976" s="18" t="str">
        <f>Descargas!A1976</f>
        <v>1622@electropla.cat</v>
      </c>
      <c r="B1976" s="19" t="str">
        <f>IFERROR(__xludf.DUMMYFUNCTION("IF(OR(regexmatch(A1976,"".*@simon.es$""),REGEXMATCH(A1976,"".*@simon.pt$""),REGEXMATCH(A1976,"".*@simonelectrica.com$""),REGEXMATCH(A1976,"".*@hiberus.com$""),REGEXMATCH(A1976,"".*@simonbrico.es$""),regexmatch(A1976,"".*@simonelectric.com$"")),""null"",A1"&amp;"976)"),"1622@electropla.cat")</f>
        <v>1622@electropla.cat</v>
      </c>
      <c r="C1976" s="5">
        <f>IF(B1976="null","null",Descargas!B1976)</f>
        <v>43950</v>
      </c>
      <c r="D1976" s="6" t="str">
        <f>Descargas!E1976</f>
        <v>https://resources.simonelectric.com/simon-catalogo-vehiculo-electrico</v>
      </c>
      <c r="E1976" s="20" t="str">
        <f t="shared" si="1"/>
        <v>1622@electropla.cat</v>
      </c>
      <c r="F1976" s="21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</row>
    <row r="1977" ht="15.75" customHeight="1">
      <c r="A1977" s="18" t="str">
        <f>Descargas!A1977</f>
        <v>1623@gmail.com</v>
      </c>
      <c r="B1977" s="19" t="str">
        <f>IFERROR(__xludf.DUMMYFUNCTION("IF(OR(regexmatch(A1977,"".*@simon.es$""),REGEXMATCH(A1977,"".*@simon.pt$""),REGEXMATCH(A1977,"".*@simonelectrica.com$""),REGEXMATCH(A1977,"".*@hiberus.com$""),REGEXMATCH(A1977,"".*@simonbrico.es$""),regexmatch(A1977,"".*@simonelectric.com$"")),""null"",A1"&amp;"977)"),"1623@gmail.com")</f>
        <v>1623@gmail.com</v>
      </c>
      <c r="C1977" s="5">
        <f>IF(B1977="null","null",Descargas!B1977)</f>
        <v>43950</v>
      </c>
      <c r="D1977" s="6" t="str">
        <f>Descargas!E1977</f>
        <v>https://resources.simonelectric.com/simon-catalogo-vehiculo-electrico</v>
      </c>
      <c r="E1977" s="20" t="str">
        <f t="shared" si="1"/>
        <v>1623@gmail.com</v>
      </c>
      <c r="F1977" s="21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</row>
    <row r="1978" ht="15.75" customHeight="1">
      <c r="A1978" s="18" t="str">
        <f>Descargas!A1978</f>
        <v>1624@sistema1.es</v>
      </c>
      <c r="B1978" s="19" t="str">
        <f>IFERROR(__xludf.DUMMYFUNCTION("IF(OR(regexmatch(A1978,"".*@simon.es$""),REGEXMATCH(A1978,"".*@simon.pt$""),REGEXMATCH(A1978,"".*@simonelectrica.com$""),REGEXMATCH(A1978,"".*@hiberus.com$""),REGEXMATCH(A1978,"".*@simonbrico.es$""),regexmatch(A1978,"".*@simonelectric.com$"")),""null"",A1"&amp;"978)"),"1624@sistema1.es")</f>
        <v>1624@sistema1.es</v>
      </c>
      <c r="C1978" s="5">
        <f>IF(B1978="null","null",Descargas!B1978)</f>
        <v>43950</v>
      </c>
      <c r="D1978" s="6" t="str">
        <f>Descargas!E1978</f>
        <v>https://resources.simonelectric.com/simon-catalogo-vehiculo-electrico</v>
      </c>
      <c r="E1978" s="20" t="str">
        <f t="shared" si="1"/>
        <v>1624@sistema1.es</v>
      </c>
      <c r="F1978" s="21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</row>
    <row r="1979" ht="15.75" customHeight="1">
      <c r="A1979" s="18" t="str">
        <f>Descargas!A1979</f>
        <v>1625@hotmail.com</v>
      </c>
      <c r="B1979" s="19" t="str">
        <f>IFERROR(__xludf.DUMMYFUNCTION("IF(OR(regexmatch(A1979,"".*@simon.es$""),REGEXMATCH(A1979,"".*@simon.pt$""),REGEXMATCH(A1979,"".*@simonelectrica.com$""),REGEXMATCH(A1979,"".*@hiberus.com$""),REGEXMATCH(A1979,"".*@simonbrico.es$""),regexmatch(A1979,"".*@simonelectric.com$"")),""null"",A1"&amp;"979)"),"1625@hotmail.com")</f>
        <v>1625@hotmail.com</v>
      </c>
      <c r="C1979" s="5">
        <f>IF(B1979="null","null",Descargas!B1979)</f>
        <v>43950</v>
      </c>
      <c r="D1979" s="6" t="str">
        <f>Descargas!E1979</f>
        <v>https://resources.simonelectric.com/simon-catalogo-vehiculo-electrico</v>
      </c>
      <c r="E1979" s="20" t="str">
        <f t="shared" si="1"/>
        <v>1625@hotmail.com</v>
      </c>
      <c r="F1979" s="21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</row>
    <row r="1980" ht="15.75" customHeight="1">
      <c r="A1980" s="18" t="str">
        <f>Descargas!A1980</f>
        <v>1626@adaliaradio.com</v>
      </c>
      <c r="B1980" s="19" t="str">
        <f>IFERROR(__xludf.DUMMYFUNCTION("IF(OR(regexmatch(A1980,"".*@simon.es$""),REGEXMATCH(A1980,"".*@simon.pt$""),REGEXMATCH(A1980,"".*@simonelectrica.com$""),REGEXMATCH(A1980,"".*@hiberus.com$""),REGEXMATCH(A1980,"".*@simonbrico.es$""),regexmatch(A1980,"".*@simonelectric.com$"")),""null"",A1"&amp;"980)"),"1626@adaliaradio.com")</f>
        <v>1626@adaliaradio.com</v>
      </c>
      <c r="C1980" s="5">
        <f>IF(B1980="null","null",Descargas!B1980)</f>
        <v>43950</v>
      </c>
      <c r="D1980" s="6" t="str">
        <f>Descargas!E1980</f>
        <v>https://resources.simonelectric.com/simon-catalogo-vehiculo-electrico</v>
      </c>
      <c r="E1980" s="20" t="str">
        <f t="shared" si="1"/>
        <v>1626@adaliaradio.com</v>
      </c>
      <c r="F1980" s="21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</row>
    <row r="1981" ht="15.75" customHeight="1">
      <c r="A1981" s="18" t="str">
        <f>Descargas!A1981</f>
        <v>1627@elec-matic.com</v>
      </c>
      <c r="B1981" s="19" t="str">
        <f>IFERROR(__xludf.DUMMYFUNCTION("IF(OR(regexmatch(A1981,"".*@simon.es$""),REGEXMATCH(A1981,"".*@simon.pt$""),REGEXMATCH(A1981,"".*@simonelectrica.com$""),REGEXMATCH(A1981,"".*@hiberus.com$""),REGEXMATCH(A1981,"".*@simonbrico.es$""),regexmatch(A1981,"".*@simonelectric.com$"")),""null"",A1"&amp;"981)"),"1627@elec-matic.com")</f>
        <v>1627@elec-matic.com</v>
      </c>
      <c r="C1981" s="5">
        <f>IF(B1981="null","null",Descargas!B1981)</f>
        <v>43950</v>
      </c>
      <c r="D1981" s="6" t="str">
        <f>Descargas!E1981</f>
        <v>https://resources.simonelectric.com/simon-catalogo-vehiculo-electrico</v>
      </c>
      <c r="E1981" s="20" t="str">
        <f t="shared" si="1"/>
        <v>1627@elec-matic.com</v>
      </c>
      <c r="F1981" s="21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</row>
    <row r="1982" ht="15.75" customHeight="1">
      <c r="A1982" s="18" t="str">
        <f>Descargas!A1982</f>
        <v>1628@solbesingenieros.com</v>
      </c>
      <c r="B1982" s="19" t="str">
        <f>IFERROR(__xludf.DUMMYFUNCTION("IF(OR(regexmatch(A1982,"".*@simon.es$""),REGEXMATCH(A1982,"".*@simon.pt$""),REGEXMATCH(A1982,"".*@simonelectrica.com$""),REGEXMATCH(A1982,"".*@hiberus.com$""),REGEXMATCH(A1982,"".*@simonbrico.es$""),regexmatch(A1982,"".*@simonelectric.com$"")),""null"",A1"&amp;"982)"),"1628@solbesingenieros.com")</f>
        <v>1628@solbesingenieros.com</v>
      </c>
      <c r="C1982" s="5">
        <f>IF(B1982="null","null",Descargas!B1982)</f>
        <v>43950</v>
      </c>
      <c r="D1982" s="6" t="str">
        <f>Descargas!E1982</f>
        <v>https://resources.simonelectric.com/simon-catalogo-vehiculo-electrico</v>
      </c>
      <c r="E1982" s="20" t="str">
        <f t="shared" si="1"/>
        <v>1628@solbesingenieros.com</v>
      </c>
      <c r="F1982" s="21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</row>
    <row r="1983" ht="15.75" customHeight="1">
      <c r="A1983" s="18" t="str">
        <f>Descargas!A1983</f>
        <v>1629@coac.net</v>
      </c>
      <c r="B1983" s="19" t="str">
        <f>IFERROR(__xludf.DUMMYFUNCTION("IF(OR(regexmatch(A1983,"".*@simon.es$""),REGEXMATCH(A1983,"".*@simon.pt$""),REGEXMATCH(A1983,"".*@simonelectrica.com$""),REGEXMATCH(A1983,"".*@hiberus.com$""),REGEXMATCH(A1983,"".*@simonbrico.es$""),regexmatch(A1983,"".*@simonelectric.com$"")),""null"",A1"&amp;"983)"),"1629@coac.net")</f>
        <v>1629@coac.net</v>
      </c>
      <c r="C1983" s="5">
        <f>IF(B1983="null","null",Descargas!B1983)</f>
        <v>43950</v>
      </c>
      <c r="D1983" s="6" t="str">
        <f>Descargas!E1983</f>
        <v>https://resources.simonelectric.com/simon-catalogo-vehiculo-electrico</v>
      </c>
      <c r="E1983" s="20" t="str">
        <f t="shared" si="1"/>
        <v>1629@coac.net</v>
      </c>
      <c r="F1983" s="21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</row>
    <row r="1984" ht="15.75" customHeight="1">
      <c r="A1984" s="18" t="str">
        <f>Descargas!A1984</f>
        <v>1630@sertec.es</v>
      </c>
      <c r="B1984" s="19" t="str">
        <f>IFERROR(__xludf.DUMMYFUNCTION("IF(OR(regexmatch(A1984,"".*@simon.es$""),REGEXMATCH(A1984,"".*@simon.pt$""),REGEXMATCH(A1984,"".*@simonelectrica.com$""),REGEXMATCH(A1984,"".*@hiberus.com$""),REGEXMATCH(A1984,"".*@simonbrico.es$""),regexmatch(A1984,"".*@simonelectric.com$"")),""null"",A1"&amp;"984)"),"1630@sertec.es")</f>
        <v>1630@sertec.es</v>
      </c>
      <c r="C1984" s="5">
        <f>IF(B1984="null","null",Descargas!B1984)</f>
        <v>43950</v>
      </c>
      <c r="D1984" s="6" t="str">
        <f>Descargas!E1984</f>
        <v>https://resources.simonelectric.com/simon-catalogo-vehiculo-electrico</v>
      </c>
      <c r="E1984" s="20" t="str">
        <f t="shared" si="1"/>
        <v>1630@sertec.es</v>
      </c>
      <c r="F1984" s="21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</row>
    <row r="1985" ht="15.75" customHeight="1">
      <c r="A1985" s="18" t="str">
        <f>Descargas!A1985</f>
        <v>1631@sri.es</v>
      </c>
      <c r="B1985" s="19" t="str">
        <f>IFERROR(__xludf.DUMMYFUNCTION("IF(OR(regexmatch(A1985,"".*@simon.es$""),REGEXMATCH(A1985,"".*@simon.pt$""),REGEXMATCH(A1985,"".*@simonelectrica.com$""),REGEXMATCH(A1985,"".*@hiberus.com$""),REGEXMATCH(A1985,"".*@simonbrico.es$""),regexmatch(A1985,"".*@simonelectric.com$"")),""null"",A1"&amp;"985)"),"1631@sri.es")</f>
        <v>1631@sri.es</v>
      </c>
      <c r="C1985" s="5">
        <f>IF(B1985="null","null",Descargas!B1985)</f>
        <v>43950</v>
      </c>
      <c r="D1985" s="6" t="str">
        <f>Descargas!E1985</f>
        <v>https://resources.simonelectric.com/simon-catalogo-vehiculo-electrico</v>
      </c>
      <c r="E1985" s="20" t="str">
        <f t="shared" si="1"/>
        <v>1631@sri.es</v>
      </c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</row>
    <row r="1986" ht="15.75" customHeight="1">
      <c r="A1986" s="18" t="str">
        <f>Descargas!A1986</f>
        <v>1632@iremael.com</v>
      </c>
      <c r="B1986" s="19" t="str">
        <f>IFERROR(__xludf.DUMMYFUNCTION("IF(OR(regexmatch(A1986,"".*@simon.es$""),REGEXMATCH(A1986,"".*@simon.pt$""),REGEXMATCH(A1986,"".*@simonelectrica.com$""),REGEXMATCH(A1986,"".*@hiberus.com$""),REGEXMATCH(A1986,"".*@simonbrico.es$""),regexmatch(A1986,"".*@simonelectric.com$"")),""null"",A1"&amp;"986)"),"1632@iremael.com")</f>
        <v>1632@iremael.com</v>
      </c>
      <c r="C1986" s="5">
        <f>IF(B1986="null","null",Descargas!B1986)</f>
        <v>43950</v>
      </c>
      <c r="D1986" s="6" t="str">
        <f>Descargas!E1986</f>
        <v>https://resources.simonelectric.com/simon-catalogo-vehiculo-electrico</v>
      </c>
      <c r="E1986" s="20" t="str">
        <f t="shared" si="1"/>
        <v>1632@iremael.com</v>
      </c>
      <c r="F1986" s="21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</row>
    <row r="1987" ht="15.75" customHeight="1">
      <c r="A1987" s="18" t="str">
        <f>Descargas!A1987</f>
        <v>1633@coam.es</v>
      </c>
      <c r="B1987" s="19" t="str">
        <f>IFERROR(__xludf.DUMMYFUNCTION("IF(OR(regexmatch(A1987,"".*@simon.es$""),REGEXMATCH(A1987,"".*@simon.pt$""),REGEXMATCH(A1987,"".*@simonelectrica.com$""),REGEXMATCH(A1987,"".*@hiberus.com$""),REGEXMATCH(A1987,"".*@simonbrico.es$""),regexmatch(A1987,"".*@simonelectric.com$"")),""null"",A1"&amp;"987)"),"1633@coam.es")</f>
        <v>1633@coam.es</v>
      </c>
      <c r="C1987" s="5">
        <f>IF(B1987="null","null",Descargas!B1987)</f>
        <v>43950</v>
      </c>
      <c r="D1987" s="6" t="str">
        <f>Descargas!E1987</f>
        <v>https://resources.simonelectric.com/simon-catalogo-vehiculo-electrico</v>
      </c>
      <c r="E1987" s="20" t="str">
        <f t="shared" si="1"/>
        <v>1633@coam.es</v>
      </c>
      <c r="F1987" s="21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</row>
    <row r="1988" ht="15.75" customHeight="1">
      <c r="A1988" s="18" t="str">
        <f>Descargas!A1988</f>
        <v>1634@gmail.com</v>
      </c>
      <c r="B1988" s="19" t="str">
        <f>IFERROR(__xludf.DUMMYFUNCTION("IF(OR(regexmatch(A1988,"".*@simon.es$""),REGEXMATCH(A1988,"".*@simon.pt$""),REGEXMATCH(A1988,"".*@simonelectrica.com$""),REGEXMATCH(A1988,"".*@hiberus.com$""),REGEXMATCH(A1988,"".*@simonbrico.es$""),regexmatch(A1988,"".*@simonelectric.com$"")),""null"",A1"&amp;"988)"),"1634@gmail.com")</f>
        <v>1634@gmail.com</v>
      </c>
      <c r="C1988" s="5">
        <f>IF(B1988="null","null",Descargas!B1988)</f>
        <v>43950</v>
      </c>
      <c r="D1988" s="6" t="str">
        <f>Descargas!E1988</f>
        <v>https://resources.simonelectric.com/simon-catalogo-vehiculo-electrico</v>
      </c>
      <c r="E1988" s="20" t="str">
        <f t="shared" si="1"/>
        <v>1634@gmail.com</v>
      </c>
      <c r="F1988" s="21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</row>
    <row r="1989" ht="15.75" customHeight="1">
      <c r="A1989" s="18" t="str">
        <f>Descargas!A1989</f>
        <v>1635@arevoltapc.com</v>
      </c>
      <c r="B1989" s="19" t="str">
        <f>IFERROR(__xludf.DUMMYFUNCTION("IF(OR(regexmatch(A1989,"".*@simon.es$""),REGEXMATCH(A1989,"".*@simon.pt$""),REGEXMATCH(A1989,"".*@simonelectrica.com$""),REGEXMATCH(A1989,"".*@hiberus.com$""),REGEXMATCH(A1989,"".*@simonbrico.es$""),regexmatch(A1989,"".*@simonelectric.com$"")),""null"",A1"&amp;"989)"),"1635@arevoltapc.com")</f>
        <v>1635@arevoltapc.com</v>
      </c>
      <c r="C1989" s="5">
        <f>IF(B1989="null","null",Descargas!B1989)</f>
        <v>43950</v>
      </c>
      <c r="D1989" s="6" t="str">
        <f>Descargas!E1989</f>
        <v>https://resources.simonelectric.com/simon-catalogo-vehiculo-electrico</v>
      </c>
      <c r="E1989" s="20" t="str">
        <f t="shared" si="1"/>
        <v>1635@arevoltapc.com</v>
      </c>
      <c r="F1989" s="21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</row>
    <row r="1990" ht="15.75" customHeight="1">
      <c r="A1990" s="18" t="str">
        <f>Descargas!A1990</f>
        <v>1636@yahoo.es</v>
      </c>
      <c r="B1990" s="19" t="str">
        <f>IFERROR(__xludf.DUMMYFUNCTION("IF(OR(regexmatch(A1990,"".*@simon.es$""),REGEXMATCH(A1990,"".*@simon.pt$""),REGEXMATCH(A1990,"".*@simonelectrica.com$""),REGEXMATCH(A1990,"".*@hiberus.com$""),REGEXMATCH(A1990,"".*@simonbrico.es$""),regexmatch(A1990,"".*@simonelectric.com$"")),""null"",A1"&amp;"990)"),"1636@yahoo.es")</f>
        <v>1636@yahoo.es</v>
      </c>
      <c r="C1990" s="5">
        <f>IF(B1990="null","null",Descargas!B1990)</f>
        <v>43950</v>
      </c>
      <c r="D1990" s="6" t="str">
        <f>Descargas!E1990</f>
        <v>https://resources.simonelectric.com/simon-catalogo-vehiculo-electrico</v>
      </c>
      <c r="E1990" s="20" t="str">
        <f t="shared" si="1"/>
        <v>1636@yahoo.es</v>
      </c>
      <c r="F1990" s="21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</row>
    <row r="1991" ht="15.75" customHeight="1">
      <c r="A1991" s="18" t="str">
        <f>Descargas!A1991</f>
        <v>298@ibielectric.com</v>
      </c>
      <c r="B1991" s="19" t="str">
        <f>IFERROR(__xludf.DUMMYFUNCTION("IF(OR(regexmatch(A1991,"".*@simon.es$""),REGEXMATCH(A1991,"".*@simon.pt$""),REGEXMATCH(A1991,"".*@simonelectrica.com$""),REGEXMATCH(A1991,"".*@hiberus.com$""),REGEXMATCH(A1991,"".*@simonbrico.es$""),regexmatch(A1991,"".*@simonelectric.com$"")),""null"",A1"&amp;"991)"),"298@ibielectric.com")</f>
        <v>298@ibielectric.com</v>
      </c>
      <c r="C1991" s="5">
        <f>IF(B1991="null","null",Descargas!B1991)</f>
        <v>43950</v>
      </c>
      <c r="D1991" s="6" t="str">
        <f>Descargas!E1991</f>
        <v>https://resources.simonelectric.com/simon-catalogo-vehiculo-electrico</v>
      </c>
      <c r="E1991" s="20" t="str">
        <f t="shared" si="1"/>
        <v>298@ibielectric.com</v>
      </c>
      <c r="F1991" s="21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</row>
    <row r="1992" ht="15.75" customHeight="1">
      <c r="A1992" s="18" t="str">
        <f>Descargas!A1992</f>
        <v>1637@gmail.com</v>
      </c>
      <c r="B1992" s="19" t="str">
        <f>IFERROR(__xludf.DUMMYFUNCTION("IF(OR(regexmatch(A1992,"".*@simon.es$""),REGEXMATCH(A1992,"".*@simon.pt$""),REGEXMATCH(A1992,"".*@simonelectrica.com$""),REGEXMATCH(A1992,"".*@hiberus.com$""),REGEXMATCH(A1992,"".*@simonbrico.es$""),regexmatch(A1992,"".*@simonelectric.com$"")),""null"",A1"&amp;"992)"),"1637@gmail.com")</f>
        <v>1637@gmail.com</v>
      </c>
      <c r="C1992" s="5">
        <f>IF(B1992="null","null",Descargas!B1992)</f>
        <v>43950</v>
      </c>
      <c r="D1992" s="6" t="str">
        <f>Descargas!E1992</f>
        <v>https://resources.simonelectric.com/simon-catalogo-vehiculo-electrico</v>
      </c>
      <c r="E1992" s="20" t="str">
        <f t="shared" si="1"/>
        <v>1637@gmail.com</v>
      </c>
      <c r="F1992" s="21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</row>
    <row r="1993" ht="15.75" customHeight="1">
      <c r="A1993" s="18" t="str">
        <f>Descargas!A1993</f>
        <v>1638@teclisa.com</v>
      </c>
      <c r="B1993" s="19" t="str">
        <f>IFERROR(__xludf.DUMMYFUNCTION("IF(OR(regexmatch(A1993,"".*@simon.es$""),REGEXMATCH(A1993,"".*@simon.pt$""),REGEXMATCH(A1993,"".*@simonelectrica.com$""),REGEXMATCH(A1993,"".*@hiberus.com$""),REGEXMATCH(A1993,"".*@simonbrico.es$""),regexmatch(A1993,"".*@simonelectric.com$"")),""null"",A1"&amp;"993)"),"1638@teclisa.com")</f>
        <v>1638@teclisa.com</v>
      </c>
      <c r="C1993" s="5">
        <f>IF(B1993="null","null",Descargas!B1993)</f>
        <v>43950</v>
      </c>
      <c r="D1993" s="6" t="str">
        <f>Descargas!E1993</f>
        <v>https://resources.simonelectric.com/simon-catalogo-vehiculo-electrico</v>
      </c>
      <c r="E1993" s="20" t="str">
        <f t="shared" si="1"/>
        <v>1638@teclisa.com</v>
      </c>
      <c r="F1993" s="21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</row>
    <row r="1994" ht="15.75" customHeight="1">
      <c r="A1994" s="18" t="str">
        <f>Descargas!A1994</f>
        <v>1639@senae.es</v>
      </c>
      <c r="B1994" s="19" t="str">
        <f>IFERROR(__xludf.DUMMYFUNCTION("IF(OR(regexmatch(A1994,"".*@simon.es$""),REGEXMATCH(A1994,"".*@simon.pt$""),REGEXMATCH(A1994,"".*@simonelectrica.com$""),REGEXMATCH(A1994,"".*@hiberus.com$""),REGEXMATCH(A1994,"".*@simonbrico.es$""),regexmatch(A1994,"".*@simonelectric.com$"")),""null"",A1"&amp;"994)"),"1639@senae.es")</f>
        <v>1639@senae.es</v>
      </c>
      <c r="C1994" s="5">
        <f>IF(B1994="null","null",Descargas!B1994)</f>
        <v>43950</v>
      </c>
      <c r="D1994" s="6" t="str">
        <f>Descargas!E1994</f>
        <v>https://resources.simonelectric.com/simon-catalogo-vehiculo-electrico</v>
      </c>
      <c r="E1994" s="20" t="str">
        <f t="shared" si="1"/>
        <v>1639@senae.es</v>
      </c>
      <c r="F1994" s="21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</row>
    <row r="1995" ht="15.75" customHeight="1">
      <c r="A1995" s="18" t="str">
        <f>Descargas!A1995</f>
        <v>1640@infonegocio.com</v>
      </c>
      <c r="B1995" s="19" t="str">
        <f>IFERROR(__xludf.DUMMYFUNCTION("IF(OR(regexmatch(A1995,"".*@simon.es$""),REGEXMATCH(A1995,"".*@simon.pt$""),REGEXMATCH(A1995,"".*@simonelectrica.com$""),REGEXMATCH(A1995,"".*@hiberus.com$""),REGEXMATCH(A1995,"".*@simonbrico.es$""),regexmatch(A1995,"".*@simonelectric.com$"")),""null"",A1"&amp;"995)"),"1640@infonegocio.com")</f>
        <v>1640@infonegocio.com</v>
      </c>
      <c r="C1995" s="5">
        <f>IF(B1995="null","null",Descargas!B1995)</f>
        <v>43950</v>
      </c>
      <c r="D1995" s="6" t="str">
        <f>Descargas!E1995</f>
        <v>https://resources.simonelectric.com/simon-catalogo-vehiculo-electrico</v>
      </c>
      <c r="E1995" s="20" t="str">
        <f t="shared" si="1"/>
        <v>1640@infonegocio.com</v>
      </c>
      <c r="F1995" s="21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</row>
    <row r="1996" ht="15.75" customHeight="1">
      <c r="A1996" s="18" t="str">
        <f>Descargas!A1996</f>
        <v>1641@gmail.com</v>
      </c>
      <c r="B1996" s="19" t="str">
        <f>IFERROR(__xludf.DUMMYFUNCTION("IF(OR(regexmatch(A1996,"".*@simon.es$""),REGEXMATCH(A1996,"".*@simon.pt$""),REGEXMATCH(A1996,"".*@simonelectrica.com$""),REGEXMATCH(A1996,"".*@hiberus.com$""),REGEXMATCH(A1996,"".*@simonbrico.es$""),regexmatch(A1996,"".*@simonelectric.com$"")),""null"",A1"&amp;"996)"),"1641@gmail.com")</f>
        <v>1641@gmail.com</v>
      </c>
      <c r="C1996" s="5">
        <f>IF(B1996="null","null",Descargas!B1996)</f>
        <v>43950</v>
      </c>
      <c r="D1996" s="6" t="str">
        <f>Descargas!E1996</f>
        <v>https://resources.simonelectric.com/simon-catalogo-vehiculo-electrico</v>
      </c>
      <c r="E1996" s="20" t="str">
        <f t="shared" si="1"/>
        <v>1641@gmail.com</v>
      </c>
      <c r="F1996" s="21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</row>
    <row r="1997" ht="15.75" customHeight="1">
      <c r="A1997" s="18" t="str">
        <f>Descargas!A1997</f>
        <v>1642@aytoguadalajara.es</v>
      </c>
      <c r="B1997" s="19" t="str">
        <f>IFERROR(__xludf.DUMMYFUNCTION("IF(OR(regexmatch(A1997,"".*@simon.es$""),REGEXMATCH(A1997,"".*@simon.pt$""),REGEXMATCH(A1997,"".*@simonelectrica.com$""),REGEXMATCH(A1997,"".*@hiberus.com$""),REGEXMATCH(A1997,"".*@simonbrico.es$""),regexmatch(A1997,"".*@simonelectric.com$"")),""null"",A1"&amp;"997)"),"1642@aytoguadalajara.es")</f>
        <v>1642@aytoguadalajara.es</v>
      </c>
      <c r="C1997" s="5">
        <f>IF(B1997="null","null",Descargas!B1997)</f>
        <v>43950</v>
      </c>
      <c r="D1997" s="6" t="str">
        <f>Descargas!E1997</f>
        <v>https://resources.simonelectric.com/simon-catalogo-vehiculo-electrico</v>
      </c>
      <c r="E1997" s="20" t="str">
        <f t="shared" si="1"/>
        <v>1642@aytoguadalajara.es</v>
      </c>
      <c r="F1997" s="21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</row>
    <row r="1998" ht="15.75" customHeight="1">
      <c r="A1998" s="18" t="str">
        <f>Descargas!A1998</f>
        <v>1643@splitmania.net</v>
      </c>
      <c r="B1998" s="19" t="str">
        <f>IFERROR(__xludf.DUMMYFUNCTION("IF(OR(regexmatch(A1998,"".*@simon.es$""),REGEXMATCH(A1998,"".*@simon.pt$""),REGEXMATCH(A1998,"".*@simonelectrica.com$""),REGEXMATCH(A1998,"".*@hiberus.com$""),REGEXMATCH(A1998,"".*@simonbrico.es$""),regexmatch(A1998,"".*@simonelectric.com$"")),""null"",A1"&amp;"998)"),"1643@splitmania.net")</f>
        <v>1643@splitmania.net</v>
      </c>
      <c r="C1998" s="5">
        <f>IF(B1998="null","null",Descargas!B1998)</f>
        <v>43950</v>
      </c>
      <c r="D1998" s="6" t="str">
        <f>Descargas!E1998</f>
        <v>https://resources.simonelectric.com/simon-catalogo-vehiculo-electrico</v>
      </c>
      <c r="E1998" s="20" t="str">
        <f t="shared" si="1"/>
        <v>1643@splitmania.net</v>
      </c>
      <c r="F1998" s="21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</row>
    <row r="1999" ht="15.75" customHeight="1">
      <c r="A1999" s="18" t="str">
        <f>Descargas!A1999</f>
        <v>1644@tevigrup.com</v>
      </c>
      <c r="B1999" s="19" t="str">
        <f>IFERROR(__xludf.DUMMYFUNCTION("IF(OR(regexmatch(A1999,"".*@simon.es$""),REGEXMATCH(A1999,"".*@simon.pt$""),REGEXMATCH(A1999,"".*@simonelectrica.com$""),REGEXMATCH(A1999,"".*@hiberus.com$""),REGEXMATCH(A1999,"".*@simonbrico.es$""),regexmatch(A1999,"".*@simonelectric.com$"")),""null"",A1"&amp;"999)"),"1644@tevigrup.com")</f>
        <v>1644@tevigrup.com</v>
      </c>
      <c r="C1999" s="5">
        <f>IF(B1999="null","null",Descargas!B1999)</f>
        <v>43950</v>
      </c>
      <c r="D1999" s="6" t="str">
        <f>Descargas!E1999</f>
        <v>https://resources.simonelectric.com/simon-catalogo-vehiculo-electrico</v>
      </c>
      <c r="E1999" s="20" t="str">
        <f t="shared" si="1"/>
        <v>1644@tevigrup.com</v>
      </c>
      <c r="F1999" s="21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</row>
    <row r="2000" ht="15.75" customHeight="1">
      <c r="A2000" s="18" t="str">
        <f>Descargas!A2000</f>
        <v>1645@gomezmoreno.com</v>
      </c>
      <c r="B2000" s="19" t="str">
        <f>IFERROR(__xludf.DUMMYFUNCTION("IF(OR(regexmatch(A2000,"".*@simon.es$""),REGEXMATCH(A2000,"".*@simon.pt$""),REGEXMATCH(A2000,"".*@simonelectrica.com$""),REGEXMATCH(A2000,"".*@hiberus.com$""),REGEXMATCH(A2000,"".*@simonbrico.es$""),regexmatch(A2000,"".*@simonelectric.com$"")),""null"",A2"&amp;"000)"),"1645@gomezmoreno.com")</f>
        <v>1645@gomezmoreno.com</v>
      </c>
      <c r="C2000" s="5">
        <f>IF(B2000="null","null",Descargas!B2000)</f>
        <v>43950</v>
      </c>
      <c r="D2000" s="6" t="str">
        <f>Descargas!E2000</f>
        <v>https://resources.simonelectric.com/simon-catalogo-vehiculo-electrico</v>
      </c>
      <c r="E2000" s="20" t="str">
        <f t="shared" si="1"/>
        <v>1645@gomezmoreno.com</v>
      </c>
      <c r="F2000" s="21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</row>
    <row r="2001" ht="15.75" customHeight="1">
      <c r="A2001" s="18" t="str">
        <f>Descargas!A2001</f>
        <v>1646@geserelectric.es</v>
      </c>
      <c r="B2001" s="19" t="str">
        <f>IFERROR(__xludf.DUMMYFUNCTION("IF(OR(regexmatch(A2001,"".*@simon.es$""),REGEXMATCH(A2001,"".*@simon.pt$""),REGEXMATCH(A2001,"".*@simonelectrica.com$""),REGEXMATCH(A2001,"".*@hiberus.com$""),REGEXMATCH(A2001,"".*@simonbrico.es$""),regexmatch(A2001,"".*@simonelectric.com$"")),""null"",A2"&amp;"001)"),"1646@geserelectric.es")</f>
        <v>1646@geserelectric.es</v>
      </c>
      <c r="C2001" s="5">
        <f>IF(B2001="null","null",Descargas!B2001)</f>
        <v>43950</v>
      </c>
      <c r="D2001" s="6" t="str">
        <f>Descargas!E2001</f>
        <v>https://resources.simonelectric.com/simon-catalogo-vehiculo-electrico</v>
      </c>
      <c r="E2001" s="20" t="str">
        <f t="shared" si="1"/>
        <v>1646@geserelectric.es</v>
      </c>
      <c r="F2001" s="21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</row>
    <row r="2002" ht="15.75" customHeight="1">
      <c r="A2002" s="18" t="str">
        <f>Descargas!A2002</f>
        <v>1020@deinrresa.es</v>
      </c>
      <c r="B2002" s="19" t="str">
        <f>IFERROR(__xludf.DUMMYFUNCTION("IF(OR(regexmatch(A2002,"".*@simon.es$""),REGEXMATCH(A2002,"".*@simon.pt$""),REGEXMATCH(A2002,"".*@simonelectrica.com$""),REGEXMATCH(A2002,"".*@hiberus.com$""),REGEXMATCH(A2002,"".*@simonbrico.es$""),regexmatch(A2002,"".*@simonelectric.com$"")),""null"",A2"&amp;"002)"),"1020@deinrresa.es")</f>
        <v>1020@deinrresa.es</v>
      </c>
      <c r="C2002" s="5">
        <f>IF(B2002="null","null",Descargas!B2002)</f>
        <v>43950</v>
      </c>
      <c r="D2002" s="6" t="str">
        <f>Descargas!E2002</f>
        <v>https://resources.simonelectric.com/simon-catalogo-vehiculo-electrico</v>
      </c>
      <c r="E2002" s="20" t="str">
        <f t="shared" si="1"/>
        <v>1020@deinrresa.es</v>
      </c>
      <c r="F2002" s="21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</row>
    <row r="2003" ht="15.75" customHeight="1">
      <c r="A2003" s="18" t="str">
        <f>Descargas!A2003</f>
        <v>1647@telefonica.net</v>
      </c>
      <c r="B2003" s="19" t="str">
        <f>IFERROR(__xludf.DUMMYFUNCTION("IF(OR(regexmatch(A2003,"".*@simon.es$""),REGEXMATCH(A2003,"".*@simon.pt$""),REGEXMATCH(A2003,"".*@simonelectrica.com$""),REGEXMATCH(A2003,"".*@hiberus.com$""),REGEXMATCH(A2003,"".*@simonbrico.es$""),regexmatch(A2003,"".*@simonelectric.com$"")),""null"",A2"&amp;"003)"),"1647@telefonica.net")</f>
        <v>1647@telefonica.net</v>
      </c>
      <c r="C2003" s="5">
        <f>IF(B2003="null","null",Descargas!B2003)</f>
        <v>43950</v>
      </c>
      <c r="D2003" s="6" t="str">
        <f>Descargas!E2003</f>
        <v>https://resources.simonelectric.com/simon-catalogo-vehiculo-electrico</v>
      </c>
      <c r="E2003" s="20" t="str">
        <f t="shared" si="1"/>
        <v>1647@telefonica.net</v>
      </c>
      <c r="F2003" s="21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</row>
    <row r="2004" ht="15.75" customHeight="1">
      <c r="A2004" s="18" t="str">
        <f>Descargas!A2004</f>
        <v>1648@gmail.com</v>
      </c>
      <c r="B2004" s="19" t="str">
        <f>IFERROR(__xludf.DUMMYFUNCTION("IF(OR(regexmatch(A2004,"".*@simon.es$""),REGEXMATCH(A2004,"".*@simon.pt$""),REGEXMATCH(A2004,"".*@simonelectrica.com$""),REGEXMATCH(A2004,"".*@hiberus.com$""),REGEXMATCH(A2004,"".*@simonbrico.es$""),regexmatch(A2004,"".*@simonelectric.com$"")),""null"",A2"&amp;"004)"),"1648@gmail.com")</f>
        <v>1648@gmail.com</v>
      </c>
      <c r="C2004" s="5">
        <f>IF(B2004="null","null",Descargas!B2004)</f>
        <v>43950</v>
      </c>
      <c r="D2004" s="6" t="str">
        <f>Descargas!E2004</f>
        <v>https://resources.simonelectric.com/simon-catalogo-vehiculo-electrico</v>
      </c>
      <c r="E2004" s="20" t="str">
        <f t="shared" si="1"/>
        <v>1648@gmail.com</v>
      </c>
      <c r="F2004" s="21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</row>
    <row r="2005" ht="15.75" customHeight="1">
      <c r="A2005" s="18" t="str">
        <f>Descargas!A2005</f>
        <v>1649@vamostelecom.es</v>
      </c>
      <c r="B2005" s="19" t="str">
        <f>IFERROR(__xludf.DUMMYFUNCTION("IF(OR(regexmatch(A2005,"".*@simon.es$""),REGEXMATCH(A2005,"".*@simon.pt$""),REGEXMATCH(A2005,"".*@simonelectrica.com$""),REGEXMATCH(A2005,"".*@hiberus.com$""),REGEXMATCH(A2005,"".*@simonbrico.es$""),regexmatch(A2005,"".*@simonelectric.com$"")),""null"",A2"&amp;"005)"),"1649@vamostelecom.es")</f>
        <v>1649@vamostelecom.es</v>
      </c>
      <c r="C2005" s="5">
        <f>IF(B2005="null","null",Descargas!B2005)</f>
        <v>43950</v>
      </c>
      <c r="D2005" s="6" t="str">
        <f>Descargas!E2005</f>
        <v>https://resources.simonelectric.com/simon-catalogo-vehiculo-electrico</v>
      </c>
      <c r="E2005" s="20" t="str">
        <f t="shared" si="1"/>
        <v>1649@vamostelecom.es</v>
      </c>
      <c r="F2005" s="21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</row>
    <row r="2006" ht="15.75" customHeight="1">
      <c r="A2006" s="18" t="str">
        <f>Descargas!A2006</f>
        <v>1650@hotmail.com</v>
      </c>
      <c r="B2006" s="19" t="str">
        <f>IFERROR(__xludf.DUMMYFUNCTION("IF(OR(regexmatch(A2006,"".*@simon.es$""),REGEXMATCH(A2006,"".*@simon.pt$""),REGEXMATCH(A2006,"".*@simonelectrica.com$""),REGEXMATCH(A2006,"".*@hiberus.com$""),REGEXMATCH(A2006,"".*@simonbrico.es$""),regexmatch(A2006,"".*@simonelectric.com$"")),""null"",A2"&amp;"006)"),"1650@hotmail.com")</f>
        <v>1650@hotmail.com</v>
      </c>
      <c r="C2006" s="5">
        <f>IF(B2006="null","null",Descargas!B2006)</f>
        <v>43950</v>
      </c>
      <c r="D2006" s="6" t="str">
        <f>Descargas!E2006</f>
        <v>https://resources.simonelectric.com/simon-catalogo-vehiculo-electrico</v>
      </c>
      <c r="E2006" s="20" t="str">
        <f t="shared" si="1"/>
        <v>1650@hotmail.com</v>
      </c>
      <c r="F2006" s="21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</row>
    <row r="2007" ht="15.75" customHeight="1">
      <c r="A2007" s="18" t="str">
        <f>Descargas!A2007</f>
        <v>1651@gmail.com</v>
      </c>
      <c r="B2007" s="19" t="str">
        <f>IFERROR(__xludf.DUMMYFUNCTION("IF(OR(regexmatch(A2007,"".*@simon.es$""),REGEXMATCH(A2007,"".*@simon.pt$""),REGEXMATCH(A2007,"".*@simonelectrica.com$""),REGEXMATCH(A2007,"".*@hiberus.com$""),REGEXMATCH(A2007,"".*@simonbrico.es$""),regexmatch(A2007,"".*@simonelectric.com$"")),""null"",A2"&amp;"007)"),"1651@gmail.com")</f>
        <v>1651@gmail.com</v>
      </c>
      <c r="C2007" s="5">
        <f>IF(B2007="null","null",Descargas!B2007)</f>
        <v>43950</v>
      </c>
      <c r="D2007" s="6" t="str">
        <f>Descargas!E2007</f>
        <v>https://resources.simonelectric.com/simon-catalogo-vehiculo-electrico</v>
      </c>
      <c r="E2007" s="20" t="str">
        <f t="shared" si="1"/>
        <v>1651@gmail.com</v>
      </c>
      <c r="F2007" s="21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</row>
    <row r="2008" ht="15.75" customHeight="1">
      <c r="A2008" s="18" t="str">
        <f>Descargas!A2008</f>
        <v>210@simon.pt</v>
      </c>
      <c r="B2008" s="19" t="str">
        <f>IFERROR(__xludf.DUMMYFUNCTION("IF(OR(regexmatch(A2008,"".*@simon.es$""),REGEXMATCH(A2008,"".*@simon.pt$""),REGEXMATCH(A2008,"".*@simonelectrica.com$""),REGEXMATCH(A2008,"".*@hiberus.com$""),REGEXMATCH(A2008,"".*@simonbrico.es$""),regexmatch(A2008,"".*@simonelectric.com$"")),""null"",A2"&amp;"008)"),"null")</f>
        <v>null</v>
      </c>
      <c r="C2008" s="5" t="str">
        <f>IF(B2008="null","null",Descargas!B2008)</f>
        <v>null</v>
      </c>
      <c r="D2008" s="6" t="str">
        <f>Descargas!E2008</f>
        <v>https://resources.simonelectric.com/simon-catalogo-vehiculo-electrico</v>
      </c>
      <c r="E2008" s="24" t="str">
        <f t="shared" si="1"/>
        <v/>
      </c>
      <c r="F2008" s="21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</row>
    <row r="2009" ht="15.75" customHeight="1">
      <c r="A2009" s="18" t="str">
        <f>Descargas!A2009</f>
        <v>1652@skyclimber.es</v>
      </c>
      <c r="B2009" s="19" t="str">
        <f>IFERROR(__xludf.DUMMYFUNCTION("IF(OR(regexmatch(A2009,"".*@simon.es$""),REGEXMATCH(A2009,"".*@simon.pt$""),REGEXMATCH(A2009,"".*@simonelectrica.com$""),REGEXMATCH(A2009,"".*@hiberus.com$""),REGEXMATCH(A2009,"".*@simonbrico.es$""),regexmatch(A2009,"".*@simonelectric.com$"")),""null"",A2"&amp;"009)"),"1652@skyclimber.es")</f>
        <v>1652@skyclimber.es</v>
      </c>
      <c r="C2009" s="5">
        <f>IF(B2009="null","null",Descargas!B2009)</f>
        <v>43950</v>
      </c>
      <c r="D2009" s="6" t="str">
        <f>Descargas!E2009</f>
        <v>https://resources.simonelectric.com/simon-catalogo-vehiculo-electrico</v>
      </c>
      <c r="E2009" s="20" t="str">
        <f t="shared" si="1"/>
        <v>1652@skyclimber.es</v>
      </c>
      <c r="F2009" s="21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</row>
    <row r="2010" ht="15.75" customHeight="1">
      <c r="A2010" s="18" t="str">
        <f>Descargas!A2010</f>
        <v>278@urbaser.com</v>
      </c>
      <c r="B2010" s="19" t="str">
        <f>IFERROR(__xludf.DUMMYFUNCTION("IF(OR(regexmatch(A2010,"".*@simon.es$""),REGEXMATCH(A2010,"".*@simon.pt$""),REGEXMATCH(A2010,"".*@simonelectrica.com$""),REGEXMATCH(A2010,"".*@hiberus.com$""),REGEXMATCH(A2010,"".*@simonbrico.es$""),regexmatch(A2010,"".*@simonelectric.com$"")),""null"",A2"&amp;"010)"),"278@urbaser.com")</f>
        <v>278@urbaser.com</v>
      </c>
      <c r="C2010" s="5">
        <f>IF(B2010="null","null",Descargas!B2010)</f>
        <v>43950</v>
      </c>
      <c r="D2010" s="6" t="str">
        <f>Descargas!E2010</f>
        <v>https://resources.simonelectric.com/simon-catalogo-vehiculo-electrico</v>
      </c>
      <c r="E2010" s="20" t="str">
        <f t="shared" si="1"/>
        <v>278@urbaser.com</v>
      </c>
      <c r="F2010" s="21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</row>
    <row r="2011" ht="15.75" customHeight="1">
      <c r="A2011" s="18" t="str">
        <f>Descargas!A2011</f>
        <v>1653@sonepar.es</v>
      </c>
      <c r="B2011" s="19" t="str">
        <f>IFERROR(__xludf.DUMMYFUNCTION("IF(OR(regexmatch(A2011,"".*@simon.es$""),REGEXMATCH(A2011,"".*@simon.pt$""),REGEXMATCH(A2011,"".*@simonelectrica.com$""),REGEXMATCH(A2011,"".*@hiberus.com$""),REGEXMATCH(A2011,"".*@simonbrico.es$""),regexmatch(A2011,"".*@simonelectric.com$"")),""null"",A2"&amp;"011)"),"1653@sonepar.es")</f>
        <v>1653@sonepar.es</v>
      </c>
      <c r="C2011" s="5">
        <f>IF(B2011="null","null",Descargas!B2011)</f>
        <v>43950</v>
      </c>
      <c r="D2011" s="6" t="str">
        <f>Descargas!E2011</f>
        <v>https://resources.simonelectric.com/simon-catalogo-vehiculo-electrico</v>
      </c>
      <c r="E2011" s="20" t="str">
        <f t="shared" si="1"/>
        <v>1653@sonepar.es</v>
      </c>
      <c r="F2011" s="21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</row>
    <row r="2012" ht="15.75" customHeight="1">
      <c r="A2012" s="18" t="str">
        <f>Descargas!A2012</f>
        <v>1654@movinetenergia.com</v>
      </c>
      <c r="B2012" s="19" t="str">
        <f>IFERROR(__xludf.DUMMYFUNCTION("IF(OR(regexmatch(A2012,"".*@simon.es$""),REGEXMATCH(A2012,"".*@simon.pt$""),REGEXMATCH(A2012,"".*@simonelectrica.com$""),REGEXMATCH(A2012,"".*@hiberus.com$""),REGEXMATCH(A2012,"".*@simonbrico.es$""),regexmatch(A2012,"".*@simonelectric.com$"")),""null"",A2"&amp;"012)"),"1654@movinetenergia.com")</f>
        <v>1654@movinetenergia.com</v>
      </c>
      <c r="C2012" s="5">
        <f>IF(B2012="null","null",Descargas!B2012)</f>
        <v>43950</v>
      </c>
      <c r="D2012" s="6" t="str">
        <f>Descargas!E2012</f>
        <v>https://resources.simonelectric.com/simon-catalogo-vehiculo-electrico</v>
      </c>
      <c r="E2012" s="20" t="str">
        <f t="shared" si="1"/>
        <v>1654@movinetenergia.com</v>
      </c>
      <c r="F2012" s="21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</row>
    <row r="2013" ht="15.75" customHeight="1">
      <c r="A2013" s="18" t="str">
        <f>Descargas!A2013</f>
        <v>1024@elecnor.com</v>
      </c>
      <c r="B2013" s="19" t="str">
        <f>IFERROR(__xludf.DUMMYFUNCTION("IF(OR(regexmatch(A2013,"".*@simon.es$""),REGEXMATCH(A2013,"".*@simon.pt$""),REGEXMATCH(A2013,"".*@simonelectrica.com$""),REGEXMATCH(A2013,"".*@hiberus.com$""),REGEXMATCH(A2013,"".*@simonbrico.es$""),regexmatch(A2013,"".*@simonelectric.com$"")),""null"",A2"&amp;"013)"),"1024@elecnor.com")</f>
        <v>1024@elecnor.com</v>
      </c>
      <c r="C2013" s="5">
        <f>IF(B2013="null","null",Descargas!B2013)</f>
        <v>43950</v>
      </c>
      <c r="D2013" s="6" t="str">
        <f>Descargas!E2013</f>
        <v>https://resources.simonelectric.com/simon-catalogo-vehiculo-electrico</v>
      </c>
      <c r="E2013" s="20" t="str">
        <f t="shared" si="1"/>
        <v>1024@elecnor.com</v>
      </c>
      <c r="F2013" s="21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</row>
    <row r="2014" ht="15.75" customHeight="1">
      <c r="A2014" s="18" t="str">
        <f>Descargas!A2014</f>
        <v>1015@aziraelectricidad.com</v>
      </c>
      <c r="B2014" s="19" t="str">
        <f>IFERROR(__xludf.DUMMYFUNCTION("IF(OR(regexmatch(A2014,"".*@simon.es$""),REGEXMATCH(A2014,"".*@simon.pt$""),REGEXMATCH(A2014,"".*@simonelectrica.com$""),REGEXMATCH(A2014,"".*@hiberus.com$""),REGEXMATCH(A2014,"".*@simonbrico.es$""),regexmatch(A2014,"".*@simonelectric.com$"")),""null"",A2"&amp;"014)"),"1015@aziraelectricidad.com")</f>
        <v>1015@aziraelectricidad.com</v>
      </c>
      <c r="C2014" s="5">
        <f>IF(B2014="null","null",Descargas!B2014)</f>
        <v>43950</v>
      </c>
      <c r="D2014" s="6" t="str">
        <f>Descargas!E2014</f>
        <v>https://resources.simonelectric.com/simon-catalogo-vehiculo-electrico</v>
      </c>
      <c r="E2014" s="20" t="str">
        <f t="shared" si="1"/>
        <v>1015@aziraelectricidad.com</v>
      </c>
      <c r="F2014" s="21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</row>
    <row r="2015" ht="15.75" customHeight="1">
      <c r="A2015" s="18" t="str">
        <f>Descargas!A2015</f>
        <v>1655@sonepar.es</v>
      </c>
      <c r="B2015" s="19" t="str">
        <f>IFERROR(__xludf.DUMMYFUNCTION("IF(OR(regexmatch(A2015,"".*@simon.es$""),REGEXMATCH(A2015,"".*@simon.pt$""),REGEXMATCH(A2015,"".*@simonelectrica.com$""),REGEXMATCH(A2015,"".*@hiberus.com$""),REGEXMATCH(A2015,"".*@simonbrico.es$""),regexmatch(A2015,"".*@simonelectric.com$"")),""null"",A2"&amp;"015)"),"1655@sonepar.es")</f>
        <v>1655@sonepar.es</v>
      </c>
      <c r="C2015" s="5">
        <f>IF(B2015="null","null",Descargas!B2015)</f>
        <v>43950</v>
      </c>
      <c r="D2015" s="6" t="str">
        <f>Descargas!E2015</f>
        <v>https://resources.simonelectric.com/simon-catalogo-vehiculo-electrico</v>
      </c>
      <c r="E2015" s="20" t="str">
        <f t="shared" si="1"/>
        <v>1655@sonepar.es</v>
      </c>
      <c r="F2015" s="21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</row>
    <row r="2016" ht="15.75" customHeight="1">
      <c r="A2016" s="18" t="str">
        <f>Descargas!A2016</f>
        <v>1656@gmx.es</v>
      </c>
      <c r="B2016" s="19" t="str">
        <f>IFERROR(__xludf.DUMMYFUNCTION("IF(OR(regexmatch(A2016,"".*@simon.es$""),REGEXMATCH(A2016,"".*@simon.pt$""),REGEXMATCH(A2016,"".*@simonelectrica.com$""),REGEXMATCH(A2016,"".*@hiberus.com$""),REGEXMATCH(A2016,"".*@simonbrico.es$""),regexmatch(A2016,"".*@simonelectric.com$"")),""null"",A2"&amp;"016)"),"1656@gmx.es")</f>
        <v>1656@gmx.es</v>
      </c>
      <c r="C2016" s="5">
        <f>IF(B2016="null","null",Descargas!B2016)</f>
        <v>43950</v>
      </c>
      <c r="D2016" s="6" t="str">
        <f>Descargas!E2016</f>
        <v>https://resources.simonelectric.com/simon-catalogo-vehiculo-electrico</v>
      </c>
      <c r="E2016" s="20" t="str">
        <f t="shared" si="1"/>
        <v>1656@gmx.es</v>
      </c>
      <c r="F2016" s="21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</row>
    <row r="2017" ht="15.75" customHeight="1">
      <c r="A2017" s="18" t="str">
        <f>Descargas!A2017</f>
        <v>1657@pontosolar.com</v>
      </c>
      <c r="B2017" s="19" t="str">
        <f>IFERROR(__xludf.DUMMYFUNCTION("IF(OR(regexmatch(A2017,"".*@simon.es$""),REGEXMATCH(A2017,"".*@simon.pt$""),REGEXMATCH(A2017,"".*@simonelectrica.com$""),REGEXMATCH(A2017,"".*@hiberus.com$""),REGEXMATCH(A2017,"".*@simonbrico.es$""),regexmatch(A2017,"".*@simonelectric.com$"")),""null"",A2"&amp;"017)"),"1657@pontosolar.com")</f>
        <v>1657@pontosolar.com</v>
      </c>
      <c r="C2017" s="5">
        <f>IF(B2017="null","null",Descargas!B2017)</f>
        <v>43950</v>
      </c>
      <c r="D2017" s="6" t="str">
        <f>Descargas!E2017</f>
        <v>https://resources.simonelectric.com/simon-catalogo-vehiculo-electrico</v>
      </c>
      <c r="E2017" s="20" t="str">
        <f t="shared" si="1"/>
        <v>1657@pontosolar.com</v>
      </c>
      <c r="F2017" s="21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</row>
    <row r="2018" ht="15.75" customHeight="1">
      <c r="A2018" s="18" t="str">
        <f>Descargas!A2018</f>
        <v>1658@gmail.com</v>
      </c>
      <c r="B2018" s="19" t="str">
        <f>IFERROR(__xludf.DUMMYFUNCTION("IF(OR(regexmatch(A2018,"".*@simon.es$""),REGEXMATCH(A2018,"".*@simon.pt$""),REGEXMATCH(A2018,"".*@simonelectrica.com$""),REGEXMATCH(A2018,"".*@hiberus.com$""),REGEXMATCH(A2018,"".*@simonbrico.es$""),regexmatch(A2018,"".*@simonelectric.com$"")),""null"",A2"&amp;"018)"),"1658@gmail.com")</f>
        <v>1658@gmail.com</v>
      </c>
      <c r="C2018" s="5">
        <f>IF(B2018="null","null",Descargas!B2018)</f>
        <v>43950</v>
      </c>
      <c r="D2018" s="6" t="str">
        <f>Descargas!E2018</f>
        <v>https://resources.simonelectric.com/simon-catalogo-vehiculo-electrico</v>
      </c>
      <c r="E2018" s="20" t="str">
        <f t="shared" si="1"/>
        <v>1658@gmail.com</v>
      </c>
      <c r="F2018" s="21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</row>
    <row r="2019" ht="15.75" customHeight="1">
      <c r="A2019" s="18" t="str">
        <f>Descargas!A2019</f>
        <v>1659@orpoint.com</v>
      </c>
      <c r="B2019" s="19" t="str">
        <f>IFERROR(__xludf.DUMMYFUNCTION("IF(OR(regexmatch(A2019,"".*@simon.es$""),REGEXMATCH(A2019,"".*@simon.pt$""),REGEXMATCH(A2019,"".*@simonelectrica.com$""),REGEXMATCH(A2019,"".*@hiberus.com$""),REGEXMATCH(A2019,"".*@simonbrico.es$""),regexmatch(A2019,"".*@simonelectric.com$"")),""null"",A2"&amp;"019)"),"1659@orpoint.com")</f>
        <v>1659@orpoint.com</v>
      </c>
      <c r="C2019" s="5">
        <f>IF(B2019="null","null",Descargas!B2019)</f>
        <v>43950</v>
      </c>
      <c r="D2019" s="6" t="str">
        <f>Descargas!E2019</f>
        <v>https://resources.simonelectric.com/simon-catalogo-vehiculo-electrico</v>
      </c>
      <c r="E2019" s="20" t="str">
        <f t="shared" si="1"/>
        <v>1659@orpoint.com</v>
      </c>
      <c r="F2019" s="21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</row>
    <row r="2020" ht="15.75" customHeight="1">
      <c r="A2020" s="18" t="str">
        <f>Descargas!A2020</f>
        <v>278@urbaser.com</v>
      </c>
      <c r="B2020" s="19" t="str">
        <f>IFERROR(__xludf.DUMMYFUNCTION("IF(OR(regexmatch(A2020,"".*@simon.es$""),REGEXMATCH(A2020,"".*@simon.pt$""),REGEXMATCH(A2020,"".*@simonelectrica.com$""),REGEXMATCH(A2020,"".*@hiberus.com$""),REGEXMATCH(A2020,"".*@simonbrico.es$""),regexmatch(A2020,"".*@simonelectric.com$"")),""null"",A2"&amp;"020)"),"278@urbaser.com")</f>
        <v>278@urbaser.com</v>
      </c>
      <c r="C2020" s="5">
        <f>IF(B2020="null","null",Descargas!B2020)</f>
        <v>43950</v>
      </c>
      <c r="D2020" s="6" t="str">
        <f>Descargas!E2020</f>
        <v>https://resources.simonelectric.com/simon-catalogo-vehiculo-electrico</v>
      </c>
      <c r="E2020" s="20" t="str">
        <f t="shared" si="1"/>
        <v>278@urbaser.com</v>
      </c>
      <c r="F2020" s="21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</row>
    <row r="2021" ht="15.75" customHeight="1">
      <c r="A2021" s="18" t="str">
        <f>Descargas!A2021</f>
        <v>1660@relsa.es</v>
      </c>
      <c r="B2021" s="19" t="str">
        <f>IFERROR(__xludf.DUMMYFUNCTION("IF(OR(regexmatch(A2021,"".*@simon.es$""),REGEXMATCH(A2021,"".*@simon.pt$""),REGEXMATCH(A2021,"".*@simonelectrica.com$""),REGEXMATCH(A2021,"".*@hiberus.com$""),REGEXMATCH(A2021,"".*@simonbrico.es$""),regexmatch(A2021,"".*@simonelectric.com$"")),""null"",A2"&amp;"021)"),"1660@relsa.es")</f>
        <v>1660@relsa.es</v>
      </c>
      <c r="C2021" s="5">
        <f>IF(B2021="null","null",Descargas!B2021)</f>
        <v>43950</v>
      </c>
      <c r="D2021" s="6" t="str">
        <f>Descargas!E2021</f>
        <v>https://resources.simonelectric.com/simon-catalogo-vehiculo-electrico</v>
      </c>
      <c r="E2021" s="20" t="str">
        <f t="shared" si="1"/>
        <v>1660@relsa.es</v>
      </c>
      <c r="F2021" s="21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</row>
    <row r="2022" ht="15.75" customHeight="1">
      <c r="A2022" s="18" t="str">
        <f>Descargas!A2022</f>
        <v>1661@turelectric.com</v>
      </c>
      <c r="B2022" s="19" t="str">
        <f>IFERROR(__xludf.DUMMYFUNCTION("IF(OR(regexmatch(A2022,"".*@simon.es$""),REGEXMATCH(A2022,"".*@simon.pt$""),REGEXMATCH(A2022,"".*@simonelectrica.com$""),REGEXMATCH(A2022,"".*@hiberus.com$""),REGEXMATCH(A2022,"".*@simonbrico.es$""),regexmatch(A2022,"".*@simonelectric.com$"")),""null"",A2"&amp;"022)"),"1661@turelectric.com")</f>
        <v>1661@turelectric.com</v>
      </c>
      <c r="C2022" s="5">
        <f>IF(B2022="null","null",Descargas!B2022)</f>
        <v>43950</v>
      </c>
      <c r="D2022" s="6" t="str">
        <f>Descargas!E2022</f>
        <v>https://resources.simonelectric.com/simon-catalogo-vehiculo-electrico</v>
      </c>
      <c r="E2022" s="20" t="str">
        <f t="shared" si="1"/>
        <v>1661@turelectric.com</v>
      </c>
      <c r="F2022" s="21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</row>
    <row r="2023" ht="15.75" customHeight="1">
      <c r="A2023" s="18" t="str">
        <f>Descargas!A2023</f>
        <v>1662@neinorhomes.com</v>
      </c>
      <c r="B2023" s="19" t="str">
        <f>IFERROR(__xludf.DUMMYFUNCTION("IF(OR(regexmatch(A2023,"".*@simon.es$""),REGEXMATCH(A2023,"".*@simon.pt$""),REGEXMATCH(A2023,"".*@simonelectrica.com$""),REGEXMATCH(A2023,"".*@hiberus.com$""),REGEXMATCH(A2023,"".*@simonbrico.es$""),regexmatch(A2023,"".*@simonelectric.com$"")),""null"",A2"&amp;"023)"),"1662@neinorhomes.com")</f>
        <v>1662@neinorhomes.com</v>
      </c>
      <c r="C2023" s="5">
        <f>IF(B2023="null","null",Descargas!B2023)</f>
        <v>43950</v>
      </c>
      <c r="D2023" s="6" t="str">
        <f>Descargas!E2023</f>
        <v>https://resources.simonelectric.com/simon-catalogo-vehiculo-electrico</v>
      </c>
      <c r="E2023" s="20" t="str">
        <f t="shared" si="1"/>
        <v>1662@neinorhomes.com</v>
      </c>
      <c r="F2023" s="21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</row>
    <row r="2024" ht="15.75" customHeight="1">
      <c r="A2024" s="18" t="str">
        <f>Descargas!A2024</f>
        <v>1663@hotmail.com</v>
      </c>
      <c r="B2024" s="19" t="str">
        <f>IFERROR(__xludf.DUMMYFUNCTION("IF(OR(regexmatch(A2024,"".*@simon.es$""),REGEXMATCH(A2024,"".*@simon.pt$""),REGEXMATCH(A2024,"".*@simonelectrica.com$""),REGEXMATCH(A2024,"".*@hiberus.com$""),REGEXMATCH(A2024,"".*@simonbrico.es$""),regexmatch(A2024,"".*@simonelectric.com$"")),""null"",A2"&amp;"024)"),"1663@hotmail.com")</f>
        <v>1663@hotmail.com</v>
      </c>
      <c r="C2024" s="5">
        <f>IF(B2024="null","null",Descargas!B2024)</f>
        <v>43950</v>
      </c>
      <c r="D2024" s="6" t="str">
        <f>Descargas!E2024</f>
        <v>https://resources.simonelectric.com/simon-catalogo-vehiculo-electrico</v>
      </c>
      <c r="E2024" s="20" t="str">
        <f t="shared" si="1"/>
        <v>1663@hotmail.com</v>
      </c>
      <c r="F2024" s="21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</row>
    <row r="2025" ht="15.75" customHeight="1">
      <c r="A2025" s="18" t="str">
        <f>Descargas!A2025</f>
        <v>1664@jgingenieros.es</v>
      </c>
      <c r="B2025" s="19" t="str">
        <f>IFERROR(__xludf.DUMMYFUNCTION("IF(OR(regexmatch(A2025,"".*@simon.es$""),REGEXMATCH(A2025,"".*@simon.pt$""),REGEXMATCH(A2025,"".*@simonelectrica.com$""),REGEXMATCH(A2025,"".*@hiberus.com$""),REGEXMATCH(A2025,"".*@simonbrico.es$""),regexmatch(A2025,"".*@simonelectric.com$"")),""null"",A2"&amp;"025)"),"1664@jgingenieros.es")</f>
        <v>1664@jgingenieros.es</v>
      </c>
      <c r="C2025" s="5">
        <f>IF(B2025="null","null",Descargas!B2025)</f>
        <v>43950</v>
      </c>
      <c r="D2025" s="6" t="str">
        <f>Descargas!E2025</f>
        <v>https://resources.simonelectric.com/simon-catalogo-vehiculo-electrico</v>
      </c>
      <c r="E2025" s="20" t="str">
        <f t="shared" si="1"/>
        <v>1664@jgingenieros.es</v>
      </c>
      <c r="F2025" s="21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</row>
    <row r="2026" ht="15.75" customHeight="1">
      <c r="A2026" s="18" t="str">
        <f>Descargas!A2026</f>
        <v>647@apis-ing.es</v>
      </c>
      <c r="B2026" s="19" t="str">
        <f>IFERROR(__xludf.DUMMYFUNCTION("IF(OR(regexmatch(A2026,"".*@simon.es$""),REGEXMATCH(A2026,"".*@simon.pt$""),REGEXMATCH(A2026,"".*@simonelectrica.com$""),REGEXMATCH(A2026,"".*@hiberus.com$""),REGEXMATCH(A2026,"".*@simonbrico.es$""),regexmatch(A2026,"".*@simonelectric.com$"")),""null"",A2"&amp;"026)"),"647@apis-ing.es")</f>
        <v>647@apis-ing.es</v>
      </c>
      <c r="C2026" s="5">
        <f>IF(B2026="null","null",Descargas!B2026)</f>
        <v>43950</v>
      </c>
      <c r="D2026" s="6" t="str">
        <f>Descargas!E2026</f>
        <v>https://resources.simonelectric.com/simon-catalogo-vehiculo-electrico</v>
      </c>
      <c r="E2026" s="20" t="str">
        <f t="shared" si="1"/>
        <v>647@apis-ing.es</v>
      </c>
      <c r="F2026" s="21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</row>
    <row r="2027" ht="15.75" customHeight="1">
      <c r="A2027" s="18" t="str">
        <f>Descargas!A2027</f>
        <v>1665@gmail.com</v>
      </c>
      <c r="B2027" s="19" t="str">
        <f>IFERROR(__xludf.DUMMYFUNCTION("IF(OR(regexmatch(A2027,"".*@simon.es$""),REGEXMATCH(A2027,"".*@simon.pt$""),REGEXMATCH(A2027,"".*@simonelectrica.com$""),REGEXMATCH(A2027,"".*@hiberus.com$""),REGEXMATCH(A2027,"".*@simonbrico.es$""),regexmatch(A2027,"".*@simonelectric.com$"")),""null"",A2"&amp;"027)"),"1665@gmail.com")</f>
        <v>1665@gmail.com</v>
      </c>
      <c r="C2027" s="5">
        <f>IF(B2027="null","null",Descargas!B2027)</f>
        <v>43950</v>
      </c>
      <c r="D2027" s="6" t="str">
        <f>Descargas!E2027</f>
        <v>https://resources.simonelectric.com/simon-catalogo-vehiculo-electrico</v>
      </c>
      <c r="E2027" s="20" t="str">
        <f t="shared" si="1"/>
        <v>1665@gmail.com</v>
      </c>
      <c r="F2027" s="21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</row>
    <row r="2028" ht="15.75" customHeight="1">
      <c r="A2028" s="18" t="str">
        <f>Descargas!A2028</f>
        <v>380@acp-level.es</v>
      </c>
      <c r="B2028" s="19" t="str">
        <f>IFERROR(__xludf.DUMMYFUNCTION("IF(OR(regexmatch(A2028,"".*@simon.es$""),REGEXMATCH(A2028,"".*@simon.pt$""),REGEXMATCH(A2028,"".*@simonelectrica.com$""),REGEXMATCH(A2028,"".*@hiberus.com$""),REGEXMATCH(A2028,"".*@simonbrico.es$""),regexmatch(A2028,"".*@simonelectric.com$"")),""null"",A2"&amp;"028)"),"380@acp-level.es")</f>
        <v>380@acp-level.es</v>
      </c>
      <c r="C2028" s="5">
        <f>IF(B2028="null","null",Descargas!B2028)</f>
        <v>43950</v>
      </c>
      <c r="D2028" s="6" t="str">
        <f>Descargas!E2028</f>
        <v>https://resources.simonelectric.com/simon-catalogo-vehiculo-electrico</v>
      </c>
      <c r="E2028" s="20" t="str">
        <f t="shared" si="1"/>
        <v>380@acp-level.es</v>
      </c>
      <c r="F2028" s="21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</row>
    <row r="2029" ht="15.75" customHeight="1">
      <c r="A2029" s="18" t="str">
        <f>Descargas!A2029</f>
        <v>1666@coto.pro</v>
      </c>
      <c r="B2029" s="19" t="str">
        <f>IFERROR(__xludf.DUMMYFUNCTION("IF(OR(regexmatch(A2029,"".*@simon.es$""),REGEXMATCH(A2029,"".*@simon.pt$""),REGEXMATCH(A2029,"".*@simonelectrica.com$""),REGEXMATCH(A2029,"".*@hiberus.com$""),REGEXMATCH(A2029,"".*@simonbrico.es$""),regexmatch(A2029,"".*@simonelectric.com$"")),""null"",A2"&amp;"029)"),"1666@coto.pro")</f>
        <v>1666@coto.pro</v>
      </c>
      <c r="C2029" s="5">
        <f>IF(B2029="null","null",Descargas!B2029)</f>
        <v>43950</v>
      </c>
      <c r="D2029" s="6" t="str">
        <f>Descargas!E2029</f>
        <v>https://resources.simonelectric.com/simon-catalogo-vehiculo-electrico</v>
      </c>
      <c r="E2029" s="20" t="str">
        <f t="shared" si="1"/>
        <v>1666@coto.pro</v>
      </c>
      <c r="F2029" s="21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</row>
    <row r="2030" ht="15.75" customHeight="1">
      <c r="A2030" s="18" t="str">
        <f>Descargas!A2030</f>
        <v>1667@hotmail.com</v>
      </c>
      <c r="B2030" s="19" t="str">
        <f>IFERROR(__xludf.DUMMYFUNCTION("IF(OR(regexmatch(A2030,"".*@simon.es$""),REGEXMATCH(A2030,"".*@simon.pt$""),REGEXMATCH(A2030,"".*@simonelectrica.com$""),REGEXMATCH(A2030,"".*@hiberus.com$""),REGEXMATCH(A2030,"".*@simonbrico.es$""),regexmatch(A2030,"".*@simonelectric.com$"")),""null"",A2"&amp;"030)"),"1667@hotmail.com")</f>
        <v>1667@hotmail.com</v>
      </c>
      <c r="C2030" s="5">
        <f>IF(B2030="null","null",Descargas!B2030)</f>
        <v>43950</v>
      </c>
      <c r="D2030" s="6" t="str">
        <f>Descargas!E2030</f>
        <v>https://resources.simonelectric.com/simon-catalogo-vehiculo-electrico</v>
      </c>
      <c r="E2030" s="20" t="str">
        <f t="shared" si="1"/>
        <v>1667@hotmail.com</v>
      </c>
      <c r="F2030" s="21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</row>
    <row r="2031" ht="15.75" customHeight="1">
      <c r="A2031" s="18" t="str">
        <f>Descargas!A2031</f>
        <v>1668@negratin.com</v>
      </c>
      <c r="B2031" s="19" t="str">
        <f>IFERROR(__xludf.DUMMYFUNCTION("IF(OR(regexmatch(A2031,"".*@simon.es$""),REGEXMATCH(A2031,"".*@simon.pt$""),REGEXMATCH(A2031,"".*@simonelectrica.com$""),REGEXMATCH(A2031,"".*@hiberus.com$""),REGEXMATCH(A2031,"".*@simonbrico.es$""),regexmatch(A2031,"".*@simonelectric.com$"")),""null"",A2"&amp;"031)"),"1668@negratin.com")</f>
        <v>1668@negratin.com</v>
      </c>
      <c r="C2031" s="5">
        <f>IF(B2031="null","null",Descargas!B2031)</f>
        <v>43950</v>
      </c>
      <c r="D2031" s="6" t="str">
        <f>Descargas!E2031</f>
        <v>https://resources.simonelectric.com/simon-catalogo-vehiculo-electrico</v>
      </c>
      <c r="E2031" s="20" t="str">
        <f t="shared" si="1"/>
        <v>1668@negratin.com</v>
      </c>
      <c r="F2031" s="21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</row>
    <row r="2032" ht="15.75" customHeight="1">
      <c r="A2032" s="18" t="str">
        <f>Descargas!A2032</f>
        <v>1669@gmail.com</v>
      </c>
      <c r="B2032" s="19" t="str">
        <f>IFERROR(__xludf.DUMMYFUNCTION("IF(OR(regexmatch(A2032,"".*@simon.es$""),REGEXMATCH(A2032,"".*@simon.pt$""),REGEXMATCH(A2032,"".*@simonelectrica.com$""),REGEXMATCH(A2032,"".*@hiberus.com$""),REGEXMATCH(A2032,"".*@simonbrico.es$""),regexmatch(A2032,"".*@simonelectric.com$"")),""null"",A2"&amp;"032)"),"1669@gmail.com")</f>
        <v>1669@gmail.com</v>
      </c>
      <c r="C2032" s="5">
        <f>IF(B2032="null","null",Descargas!B2032)</f>
        <v>43950</v>
      </c>
      <c r="D2032" s="6" t="str">
        <f>Descargas!E2032</f>
        <v>https://resources.simonelectric.com/simon-catalogo-vehiculo-electrico</v>
      </c>
      <c r="E2032" s="20" t="str">
        <f t="shared" si="1"/>
        <v>1669@gmail.com</v>
      </c>
      <c r="F2032" s="21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</row>
    <row r="2033" ht="15.75" customHeight="1">
      <c r="A2033" s="18" t="str">
        <f>Descargas!A2033</f>
        <v>1009@ccatlantico.com</v>
      </c>
      <c r="B2033" s="19" t="str">
        <f>IFERROR(__xludf.DUMMYFUNCTION("IF(OR(regexmatch(A2033,"".*@simon.es$""),REGEXMATCH(A2033,"".*@simon.pt$""),REGEXMATCH(A2033,"".*@simonelectrica.com$""),REGEXMATCH(A2033,"".*@hiberus.com$""),REGEXMATCH(A2033,"".*@simonbrico.es$""),regexmatch(A2033,"".*@simonelectric.com$"")),""null"",A2"&amp;"033)"),"1009@ccatlantico.com")</f>
        <v>1009@ccatlantico.com</v>
      </c>
      <c r="C2033" s="5">
        <f>IF(B2033="null","null",Descargas!B2033)</f>
        <v>43950</v>
      </c>
      <c r="D2033" s="6" t="str">
        <f>Descargas!E2033</f>
        <v>https://resources.simonelectric.com/simon-catalogo-vehiculo-electrico</v>
      </c>
      <c r="E2033" s="20" t="str">
        <f t="shared" si="1"/>
        <v>1009@ccatlantico.com</v>
      </c>
      <c r="F2033" s="21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</row>
    <row r="2034" ht="15.75" customHeight="1">
      <c r="A2034" s="18" t="str">
        <f>Descargas!A2034</f>
        <v>1670@electricidadisla.com</v>
      </c>
      <c r="B2034" s="19" t="str">
        <f>IFERROR(__xludf.DUMMYFUNCTION("IF(OR(regexmatch(A2034,"".*@simon.es$""),REGEXMATCH(A2034,"".*@simon.pt$""),REGEXMATCH(A2034,"".*@simonelectrica.com$""),REGEXMATCH(A2034,"".*@hiberus.com$""),REGEXMATCH(A2034,"".*@simonbrico.es$""),regexmatch(A2034,"".*@simonelectric.com$"")),""null"",A2"&amp;"034)"),"1670@electricidadisla.com")</f>
        <v>1670@electricidadisla.com</v>
      </c>
      <c r="C2034" s="5">
        <f>IF(B2034="null","null",Descargas!B2034)</f>
        <v>43950</v>
      </c>
      <c r="D2034" s="6" t="str">
        <f>Descargas!E2034</f>
        <v>https://resources.simonelectric.com/simon-catalogo-vehiculo-electrico</v>
      </c>
      <c r="E2034" s="20" t="str">
        <f t="shared" si="1"/>
        <v>1670@electricidadisla.com</v>
      </c>
      <c r="F2034" s="21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</row>
    <row r="2035" ht="15.75" customHeight="1">
      <c r="A2035" s="18" t="str">
        <f>Descargas!A2035</f>
        <v>1671@epc-industrial.com</v>
      </c>
      <c r="B2035" s="19" t="str">
        <f>IFERROR(__xludf.DUMMYFUNCTION("IF(OR(regexmatch(A2035,"".*@simon.es$""),REGEXMATCH(A2035,"".*@simon.pt$""),REGEXMATCH(A2035,"".*@simonelectrica.com$""),REGEXMATCH(A2035,"".*@hiberus.com$""),REGEXMATCH(A2035,"".*@simonbrico.es$""),regexmatch(A2035,"".*@simonelectric.com$"")),""null"",A2"&amp;"035)"),"1671@epc-industrial.com")</f>
        <v>1671@epc-industrial.com</v>
      </c>
      <c r="C2035" s="5">
        <f>IF(B2035="null","null",Descargas!B2035)</f>
        <v>43950</v>
      </c>
      <c r="D2035" s="6" t="str">
        <f>Descargas!E2035</f>
        <v>https://resources.simonelectric.com/simon-catalogo-vehiculo-electrico</v>
      </c>
      <c r="E2035" s="20" t="str">
        <f t="shared" si="1"/>
        <v>1671@epc-industrial.com</v>
      </c>
      <c r="F2035" s="21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</row>
    <row r="2036" ht="15.75" customHeight="1">
      <c r="A2036" s="18" t="str">
        <f>Descargas!A2036</f>
        <v>1672@internoringenieros.es</v>
      </c>
      <c r="B2036" s="19" t="str">
        <f>IFERROR(__xludf.DUMMYFUNCTION("IF(OR(regexmatch(A2036,"".*@simon.es$""),REGEXMATCH(A2036,"".*@simon.pt$""),REGEXMATCH(A2036,"".*@simonelectrica.com$""),REGEXMATCH(A2036,"".*@hiberus.com$""),REGEXMATCH(A2036,"".*@simonbrico.es$""),regexmatch(A2036,"".*@simonelectric.com$"")),""null"",A2"&amp;"036)"),"1672@internoringenieros.es")</f>
        <v>1672@internoringenieros.es</v>
      </c>
      <c r="C2036" s="5">
        <f>IF(B2036="null","null",Descargas!B2036)</f>
        <v>43950</v>
      </c>
      <c r="D2036" s="6" t="str">
        <f>Descargas!E2036</f>
        <v>https://resources.simonelectric.com/simon-catalogo-vehiculo-electrico</v>
      </c>
      <c r="E2036" s="20" t="str">
        <f t="shared" si="1"/>
        <v>1672@internoringenieros.es</v>
      </c>
      <c r="F2036" s="21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</row>
    <row r="2037" ht="15.75" customHeight="1">
      <c r="A2037" s="18" t="str">
        <f>Descargas!A2037</f>
        <v>1673@gailmafra.com</v>
      </c>
      <c r="B2037" s="19" t="str">
        <f>IFERROR(__xludf.DUMMYFUNCTION("IF(OR(regexmatch(A2037,"".*@simon.es$""),REGEXMATCH(A2037,"".*@simon.pt$""),REGEXMATCH(A2037,"".*@simonelectrica.com$""),REGEXMATCH(A2037,"".*@hiberus.com$""),REGEXMATCH(A2037,"".*@simonbrico.es$""),regexmatch(A2037,"".*@simonelectric.com$"")),""null"",A2"&amp;"037)"),"1673@gailmafra.com")</f>
        <v>1673@gailmafra.com</v>
      </c>
      <c r="C2037" s="5">
        <f>IF(B2037="null","null",Descargas!B2037)</f>
        <v>43950</v>
      </c>
      <c r="D2037" s="6" t="str">
        <f>Descargas!E2037</f>
        <v>https://resources.simonelectric.com/simon-catalogo-vehiculo-electrico</v>
      </c>
      <c r="E2037" s="20" t="str">
        <f t="shared" si="1"/>
        <v>1673@gailmafra.com</v>
      </c>
      <c r="F2037" s="21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</row>
    <row r="2038" ht="15.75" customHeight="1">
      <c r="A2038" s="18" t="str">
        <f>Descargas!A2038</f>
        <v>1674@gmail.com</v>
      </c>
      <c r="B2038" s="19" t="str">
        <f>IFERROR(__xludf.DUMMYFUNCTION("IF(OR(regexmatch(A2038,"".*@simon.es$""),REGEXMATCH(A2038,"".*@simon.pt$""),REGEXMATCH(A2038,"".*@simonelectrica.com$""),REGEXMATCH(A2038,"".*@hiberus.com$""),REGEXMATCH(A2038,"".*@simonbrico.es$""),regexmatch(A2038,"".*@simonelectric.com$"")),""null"",A2"&amp;"038)"),"1674@gmail.com")</f>
        <v>1674@gmail.com</v>
      </c>
      <c r="C2038" s="5">
        <f>IF(B2038="null","null",Descargas!B2038)</f>
        <v>43950</v>
      </c>
      <c r="D2038" s="6" t="str">
        <f>Descargas!E2038</f>
        <v>https://resources.simonelectric.com/simon-catalogo-vehiculo-electrico</v>
      </c>
      <c r="E2038" s="20" t="str">
        <f t="shared" si="1"/>
        <v>1674@gmail.com</v>
      </c>
      <c r="F2038" s="21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</row>
    <row r="2039" ht="15.75" customHeight="1">
      <c r="A2039" s="18" t="str">
        <f>Descargas!A2039</f>
        <v>1675@exinor.com</v>
      </c>
      <c r="B2039" s="19" t="str">
        <f>IFERROR(__xludf.DUMMYFUNCTION("IF(OR(regexmatch(A2039,"".*@simon.es$""),REGEXMATCH(A2039,"".*@simon.pt$""),REGEXMATCH(A2039,"".*@simonelectrica.com$""),REGEXMATCH(A2039,"".*@hiberus.com$""),REGEXMATCH(A2039,"".*@simonbrico.es$""),regexmatch(A2039,"".*@simonelectric.com$"")),""null"",A2"&amp;"039)"),"1675@exinor.com")</f>
        <v>1675@exinor.com</v>
      </c>
      <c r="C2039" s="5">
        <f>IF(B2039="null","null",Descargas!B2039)</f>
        <v>43950</v>
      </c>
      <c r="D2039" s="6" t="str">
        <f>Descargas!E2039</f>
        <v>https://resources.simonelectric.com/simon-catalogo-vehiculo-electrico</v>
      </c>
      <c r="E2039" s="20" t="str">
        <f t="shared" si="1"/>
        <v>1675@exinor.com</v>
      </c>
      <c r="F2039" s="21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</row>
    <row r="2040" ht="15.75" customHeight="1">
      <c r="A2040" s="18" t="str">
        <f>Descargas!A2040</f>
        <v>1676@unex.net</v>
      </c>
      <c r="B2040" s="19" t="str">
        <f>IFERROR(__xludf.DUMMYFUNCTION("IF(OR(regexmatch(A2040,"".*@simon.es$""),REGEXMATCH(A2040,"".*@simon.pt$""),REGEXMATCH(A2040,"".*@simonelectrica.com$""),REGEXMATCH(A2040,"".*@hiberus.com$""),REGEXMATCH(A2040,"".*@simonbrico.es$""),regexmatch(A2040,"".*@simonelectric.com$"")),""null"",A2"&amp;"040)"),"1676@unex.net")</f>
        <v>1676@unex.net</v>
      </c>
      <c r="C2040" s="5">
        <f>IF(B2040="null","null",Descargas!B2040)</f>
        <v>43950</v>
      </c>
      <c r="D2040" s="6" t="str">
        <f>Descargas!E2040</f>
        <v>https://resources.simonelectric.com/simon-catalogo-vehiculo-electrico</v>
      </c>
      <c r="E2040" s="20" t="str">
        <f t="shared" si="1"/>
        <v>1676@unex.net</v>
      </c>
      <c r="F2040" s="21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</row>
    <row r="2041" ht="15.75" customHeight="1">
      <c r="A2041" s="18" t="str">
        <f>Descargas!A2041</f>
        <v>1677@simon.es</v>
      </c>
      <c r="B2041" s="19" t="str">
        <f>IFERROR(__xludf.DUMMYFUNCTION("IF(OR(regexmatch(A2041,"".*@simon.es$""),REGEXMATCH(A2041,"".*@simon.pt$""),REGEXMATCH(A2041,"".*@simonelectrica.com$""),REGEXMATCH(A2041,"".*@hiberus.com$""),REGEXMATCH(A2041,"".*@simonbrico.es$""),regexmatch(A2041,"".*@simonelectric.com$"")),""null"",A2"&amp;"041)"),"null")</f>
        <v>null</v>
      </c>
      <c r="C2041" s="5" t="str">
        <f>IF(B2041="null","null",Descargas!B2041)</f>
        <v>null</v>
      </c>
      <c r="D2041" s="6" t="str">
        <f>Descargas!E2041</f>
        <v>https://resources.simonelectric.com/simon-catalogo-vehiculo-electrico</v>
      </c>
      <c r="E2041" s="24" t="str">
        <f t="shared" si="1"/>
        <v/>
      </c>
      <c r="F2041" s="21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</row>
    <row r="2042" ht="15.75" customHeight="1">
      <c r="A2042" s="18" t="str">
        <f>Descargas!A2042</f>
        <v>1678@simon.es</v>
      </c>
      <c r="B2042" s="19" t="str">
        <f>IFERROR(__xludf.DUMMYFUNCTION("IF(OR(regexmatch(A2042,"".*@simon.es$""),REGEXMATCH(A2042,"".*@simon.pt$""),REGEXMATCH(A2042,"".*@simonelectrica.com$""),REGEXMATCH(A2042,"".*@hiberus.com$""),REGEXMATCH(A2042,"".*@simonbrico.es$""),regexmatch(A2042,"".*@simonelectric.com$"")),""null"",A2"&amp;"042)"),"null")</f>
        <v>null</v>
      </c>
      <c r="C2042" s="5" t="str">
        <f>IF(B2042="null","null",Descargas!B2042)</f>
        <v>null</v>
      </c>
      <c r="D2042" s="6" t="str">
        <f>Descargas!E2042</f>
        <v>https://resources.simonelectric.com/simon-catalogo-vehiculo-electrico</v>
      </c>
      <c r="E2042" s="24" t="str">
        <f t="shared" si="1"/>
        <v/>
      </c>
      <c r="F2042" s="21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</row>
    <row r="2043" ht="15.75" customHeight="1">
      <c r="A2043" s="18" t="str">
        <f>Descargas!A2043</f>
        <v>1679@levantinadecuadros.com</v>
      </c>
      <c r="B2043" s="19" t="str">
        <f>IFERROR(__xludf.DUMMYFUNCTION("IF(OR(regexmatch(A2043,"".*@simon.es$""),REGEXMATCH(A2043,"".*@simon.pt$""),REGEXMATCH(A2043,"".*@simonelectrica.com$""),REGEXMATCH(A2043,"".*@hiberus.com$""),REGEXMATCH(A2043,"".*@simonbrico.es$""),regexmatch(A2043,"".*@simonelectric.com$"")),""null"",A2"&amp;"043)"),"1679@levantinadecuadros.com")</f>
        <v>1679@levantinadecuadros.com</v>
      </c>
      <c r="C2043" s="5">
        <f>IF(B2043="null","null",Descargas!B2043)</f>
        <v>43950</v>
      </c>
      <c r="D2043" s="6" t="str">
        <f>Descargas!E2043</f>
        <v>https://resources.simonelectric.com/simon-catalogo-vehiculo-electrico</v>
      </c>
      <c r="E2043" s="20" t="str">
        <f t="shared" si="1"/>
        <v>1679@levantinadecuadros.com</v>
      </c>
      <c r="F2043" s="21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</row>
    <row r="2044" ht="15.75" customHeight="1">
      <c r="A2044" s="18" t="str">
        <f>Descargas!A2044</f>
        <v>1680@trelec.es</v>
      </c>
      <c r="B2044" s="19" t="str">
        <f>IFERROR(__xludf.DUMMYFUNCTION("IF(OR(regexmatch(A2044,"".*@simon.es$""),REGEXMATCH(A2044,"".*@simon.pt$""),REGEXMATCH(A2044,"".*@simonelectrica.com$""),REGEXMATCH(A2044,"".*@hiberus.com$""),REGEXMATCH(A2044,"".*@simonbrico.es$""),regexmatch(A2044,"".*@simonelectric.com$"")),""null"",A2"&amp;"044)"),"1680@trelec.es")</f>
        <v>1680@trelec.es</v>
      </c>
      <c r="C2044" s="5">
        <f>IF(B2044="null","null",Descargas!B2044)</f>
        <v>43950</v>
      </c>
      <c r="D2044" s="6" t="str">
        <f>Descargas!E2044</f>
        <v>https://resources.simonelectric.com/simon-catalogo-vehiculo-electrico</v>
      </c>
      <c r="E2044" s="20" t="str">
        <f t="shared" si="1"/>
        <v>1680@trelec.es</v>
      </c>
      <c r="F2044" s="21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</row>
    <row r="2045" ht="15.75" customHeight="1">
      <c r="A2045" s="18" t="str">
        <f>Descargas!A2045</f>
        <v>1681@gmail.com</v>
      </c>
      <c r="B2045" s="19" t="str">
        <f>IFERROR(__xludf.DUMMYFUNCTION("IF(OR(regexmatch(A2045,"".*@simon.es$""),REGEXMATCH(A2045,"".*@simon.pt$""),REGEXMATCH(A2045,"".*@simonelectrica.com$""),REGEXMATCH(A2045,"".*@hiberus.com$""),REGEXMATCH(A2045,"".*@simonbrico.es$""),regexmatch(A2045,"".*@simonelectric.com$"")),""null"",A2"&amp;"045)"),"1681@gmail.com")</f>
        <v>1681@gmail.com</v>
      </c>
      <c r="C2045" s="5">
        <f>IF(B2045="null","null",Descargas!B2045)</f>
        <v>43950</v>
      </c>
      <c r="D2045" s="6" t="str">
        <f>Descargas!E2045</f>
        <v>https://resources.simonelectric.com/simon-catalogo-vehiculo-electrico</v>
      </c>
      <c r="E2045" s="20" t="str">
        <f t="shared" si="1"/>
        <v>1681@gmail.com</v>
      </c>
      <c r="F2045" s="21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</row>
    <row r="2046" ht="15.75" customHeight="1">
      <c r="A2046" s="18" t="str">
        <f>Descargas!A2046</f>
        <v>927@argionelectric.es</v>
      </c>
      <c r="B2046" s="19" t="str">
        <f>IFERROR(__xludf.DUMMYFUNCTION("IF(OR(regexmatch(A2046,"".*@simon.es$""),REGEXMATCH(A2046,"".*@simon.pt$""),REGEXMATCH(A2046,"".*@simonelectrica.com$""),REGEXMATCH(A2046,"".*@hiberus.com$""),REGEXMATCH(A2046,"".*@simonbrico.es$""),regexmatch(A2046,"".*@simonelectric.com$"")),""null"",A2"&amp;"046)"),"927@argionelectric.es")</f>
        <v>927@argionelectric.es</v>
      </c>
      <c r="C2046" s="5">
        <f>IF(B2046="null","null",Descargas!B2046)</f>
        <v>43950</v>
      </c>
      <c r="D2046" s="6" t="str">
        <f>Descargas!E2046</f>
        <v>https://resources.simonelectric.com/simon-catalogo-vehiculo-electrico</v>
      </c>
      <c r="E2046" s="20" t="str">
        <f t="shared" si="1"/>
        <v>927@argionelectric.es</v>
      </c>
      <c r="F2046" s="21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</row>
    <row r="2047" ht="15.75" customHeight="1">
      <c r="A2047" s="18" t="str">
        <f>Descargas!A2047</f>
        <v>1682@hotmail.es</v>
      </c>
      <c r="B2047" s="19" t="str">
        <f>IFERROR(__xludf.DUMMYFUNCTION("IF(OR(regexmatch(A2047,"".*@simon.es$""),REGEXMATCH(A2047,"".*@simon.pt$""),REGEXMATCH(A2047,"".*@simonelectrica.com$""),REGEXMATCH(A2047,"".*@hiberus.com$""),REGEXMATCH(A2047,"".*@simonbrico.es$""),regexmatch(A2047,"".*@simonelectric.com$"")),""null"",A2"&amp;"047)"),"1682@hotmail.es")</f>
        <v>1682@hotmail.es</v>
      </c>
      <c r="C2047" s="5">
        <f>IF(B2047="null","null",Descargas!B2047)</f>
        <v>43950</v>
      </c>
      <c r="D2047" s="6" t="str">
        <f>Descargas!E2047</f>
        <v>https://resources.simonelectric.com/simon-catalogo-vehiculo-electrico</v>
      </c>
      <c r="E2047" s="20" t="str">
        <f t="shared" si="1"/>
        <v>1682@hotmail.es</v>
      </c>
      <c r="F2047" s="21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</row>
    <row r="2048" ht="15.75" customHeight="1">
      <c r="A2048" s="18" t="str">
        <f>Descargas!A2048</f>
        <v>1683@eleccom.es</v>
      </c>
      <c r="B2048" s="19" t="str">
        <f>IFERROR(__xludf.DUMMYFUNCTION("IF(OR(regexmatch(A2048,"".*@simon.es$""),REGEXMATCH(A2048,"".*@simon.pt$""),REGEXMATCH(A2048,"".*@simonelectrica.com$""),REGEXMATCH(A2048,"".*@hiberus.com$""),REGEXMATCH(A2048,"".*@simonbrico.es$""),regexmatch(A2048,"".*@simonelectric.com$"")),""null"",A2"&amp;"048)"),"1683@eleccom.es")</f>
        <v>1683@eleccom.es</v>
      </c>
      <c r="C2048" s="5">
        <f>IF(B2048="null","null",Descargas!B2048)</f>
        <v>43950</v>
      </c>
      <c r="D2048" s="6" t="str">
        <f>Descargas!E2048</f>
        <v>https://resources.simonelectric.com/simon-catalogo-vehiculo-electrico</v>
      </c>
      <c r="E2048" s="20" t="str">
        <f t="shared" si="1"/>
        <v>1683@eleccom.es</v>
      </c>
      <c r="F2048" s="21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</row>
    <row r="2049" ht="15.75" customHeight="1">
      <c r="A2049" s="18" t="str">
        <f>Descargas!A2049</f>
        <v>1684@climalec.com</v>
      </c>
      <c r="B2049" s="19" t="str">
        <f>IFERROR(__xludf.DUMMYFUNCTION("IF(OR(regexmatch(A2049,"".*@simon.es$""),REGEXMATCH(A2049,"".*@simon.pt$""),REGEXMATCH(A2049,"".*@simonelectrica.com$""),REGEXMATCH(A2049,"".*@hiberus.com$""),REGEXMATCH(A2049,"".*@simonbrico.es$""),regexmatch(A2049,"".*@simonelectric.com$"")),""null"",A2"&amp;"049)"),"1684@climalec.com")</f>
        <v>1684@climalec.com</v>
      </c>
      <c r="C2049" s="5">
        <f>IF(B2049="null","null",Descargas!B2049)</f>
        <v>43950</v>
      </c>
      <c r="D2049" s="6" t="str">
        <f>Descargas!E2049</f>
        <v>https://resources.simonelectric.com/simon-catalogo-vehiculo-electrico</v>
      </c>
      <c r="E2049" s="20" t="str">
        <f t="shared" si="1"/>
        <v>1684@climalec.com</v>
      </c>
      <c r="F2049" s="21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</row>
    <row r="2050" ht="15.75" customHeight="1">
      <c r="A2050" s="18" t="str">
        <f>Descargas!A2050</f>
        <v>1685@zuaznabar.com</v>
      </c>
      <c r="B2050" s="19" t="str">
        <f>IFERROR(__xludf.DUMMYFUNCTION("IF(OR(regexmatch(A2050,"".*@simon.es$""),REGEXMATCH(A2050,"".*@simon.pt$""),REGEXMATCH(A2050,"".*@simonelectrica.com$""),REGEXMATCH(A2050,"".*@hiberus.com$""),REGEXMATCH(A2050,"".*@simonbrico.es$""),regexmatch(A2050,"".*@simonelectric.com$"")),""null"",A2"&amp;"050)"),"1685@zuaznabar.com")</f>
        <v>1685@zuaznabar.com</v>
      </c>
      <c r="C2050" s="5">
        <f>IF(B2050="null","null",Descargas!B2050)</f>
        <v>43950</v>
      </c>
      <c r="D2050" s="6" t="str">
        <f>Descargas!E2050</f>
        <v>https://resources.simonelectric.com/simon-catalogo-vehiculo-electrico</v>
      </c>
      <c r="E2050" s="20" t="str">
        <f t="shared" si="1"/>
        <v>1685@zuaznabar.com</v>
      </c>
      <c r="F2050" s="21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</row>
    <row r="2051" ht="15.75" customHeight="1">
      <c r="A2051" s="18" t="str">
        <f>Descargas!A2051</f>
        <v>1686@yahoo.com</v>
      </c>
      <c r="B2051" s="19" t="str">
        <f>IFERROR(__xludf.DUMMYFUNCTION("IF(OR(regexmatch(A2051,"".*@simon.es$""),REGEXMATCH(A2051,"".*@simon.pt$""),REGEXMATCH(A2051,"".*@simonelectrica.com$""),REGEXMATCH(A2051,"".*@hiberus.com$""),REGEXMATCH(A2051,"".*@simonbrico.es$""),regexmatch(A2051,"".*@simonelectric.com$"")),""null"",A2"&amp;"051)"),"1686@yahoo.com")</f>
        <v>1686@yahoo.com</v>
      </c>
      <c r="C2051" s="5">
        <f>IF(B2051="null","null",Descargas!B2051)</f>
        <v>43950</v>
      </c>
      <c r="D2051" s="6" t="str">
        <f>Descargas!E2051</f>
        <v>https://resources.simonelectric.com/simon-catalogo-vehiculo-electrico</v>
      </c>
      <c r="E2051" s="20" t="str">
        <f t="shared" si="1"/>
        <v>1686@yahoo.com</v>
      </c>
      <c r="F2051" s="21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</row>
    <row r="2052" ht="15.75" customHeight="1">
      <c r="A2052" s="18" t="str">
        <f>Descargas!A2052</f>
        <v>1687@gestilar.com</v>
      </c>
      <c r="B2052" s="19" t="str">
        <f>IFERROR(__xludf.DUMMYFUNCTION("IF(OR(regexmatch(A2052,"".*@simon.es$""),REGEXMATCH(A2052,"".*@simon.pt$""),REGEXMATCH(A2052,"".*@simonelectrica.com$""),REGEXMATCH(A2052,"".*@hiberus.com$""),REGEXMATCH(A2052,"".*@simonbrico.es$""),regexmatch(A2052,"".*@simonelectric.com$"")),""null"",A2"&amp;"052)"),"1687@gestilar.com")</f>
        <v>1687@gestilar.com</v>
      </c>
      <c r="C2052" s="5">
        <f>IF(B2052="null","null",Descargas!B2052)</f>
        <v>43950</v>
      </c>
      <c r="D2052" s="6" t="str">
        <f>Descargas!E2052</f>
        <v>https://resources.simonelectric.com/simon-catalogo-vehiculo-electrico</v>
      </c>
      <c r="E2052" s="20" t="str">
        <f t="shared" si="1"/>
        <v>1687@gestilar.com</v>
      </c>
      <c r="F2052" s="21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</row>
    <row r="2053" ht="15.75" customHeight="1">
      <c r="A2053" s="18" t="str">
        <f>Descargas!A2053</f>
        <v>239@alfadesarrollo.com</v>
      </c>
      <c r="B2053" s="19" t="str">
        <f>IFERROR(__xludf.DUMMYFUNCTION("IF(OR(regexmatch(A2053,"".*@simon.es$""),REGEXMATCH(A2053,"".*@simon.pt$""),REGEXMATCH(A2053,"".*@simonelectrica.com$""),REGEXMATCH(A2053,"".*@hiberus.com$""),REGEXMATCH(A2053,"".*@simonbrico.es$""),regexmatch(A2053,"".*@simonelectric.com$"")),""null"",A2"&amp;"053)"),"239@alfadesarrollo.com")</f>
        <v>239@alfadesarrollo.com</v>
      </c>
      <c r="C2053" s="5">
        <f>IF(B2053="null","null",Descargas!B2053)</f>
        <v>43950</v>
      </c>
      <c r="D2053" s="6" t="str">
        <f>Descargas!E2053</f>
        <v>https://resources.simonelectric.com/simon-catalogo-vehiculo-electrico</v>
      </c>
      <c r="E2053" s="20" t="str">
        <f t="shared" si="1"/>
        <v>239@alfadesarrollo.com</v>
      </c>
      <c r="F2053" s="21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</row>
    <row r="2054" ht="15.75" customHeight="1">
      <c r="A2054" s="18" t="str">
        <f>Descargas!A2054</f>
        <v>1688@muringenieros.es</v>
      </c>
      <c r="B2054" s="19" t="str">
        <f>IFERROR(__xludf.DUMMYFUNCTION("IF(OR(regexmatch(A2054,"".*@simon.es$""),REGEXMATCH(A2054,"".*@simon.pt$""),REGEXMATCH(A2054,"".*@simonelectrica.com$""),REGEXMATCH(A2054,"".*@hiberus.com$""),REGEXMATCH(A2054,"".*@simonbrico.es$""),regexmatch(A2054,"".*@simonelectric.com$"")),""null"",A2"&amp;"054)"),"1688@muringenieros.es")</f>
        <v>1688@muringenieros.es</v>
      </c>
      <c r="C2054" s="5">
        <f>IF(B2054="null","null",Descargas!B2054)</f>
        <v>43950</v>
      </c>
      <c r="D2054" s="6" t="str">
        <f>Descargas!E2054</f>
        <v>https://resources.simonelectric.com/simon-catalogo-vehiculo-electrico</v>
      </c>
      <c r="E2054" s="20" t="str">
        <f t="shared" si="1"/>
        <v>1688@muringenieros.es</v>
      </c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</row>
    <row r="2055" ht="15.75" customHeight="1">
      <c r="A2055" s="18" t="str">
        <f>Descargas!A2055</f>
        <v>1689@jlgingenieria.com</v>
      </c>
      <c r="B2055" s="19" t="str">
        <f>IFERROR(__xludf.DUMMYFUNCTION("IF(OR(regexmatch(A2055,"".*@simon.es$""),REGEXMATCH(A2055,"".*@simon.pt$""),REGEXMATCH(A2055,"".*@simonelectrica.com$""),REGEXMATCH(A2055,"".*@hiberus.com$""),REGEXMATCH(A2055,"".*@simonbrico.es$""),regexmatch(A2055,"".*@simonelectric.com$"")),""null"",A2"&amp;"055)"),"1689@jlgingenieria.com")</f>
        <v>1689@jlgingenieria.com</v>
      </c>
      <c r="C2055" s="5">
        <f>IF(B2055="null","null",Descargas!B2055)</f>
        <v>43950</v>
      </c>
      <c r="D2055" s="6" t="str">
        <f>Descargas!E2055</f>
        <v>https://resources.simonelectric.com/simon-catalogo-vehiculo-electrico</v>
      </c>
      <c r="E2055" s="20" t="str">
        <f t="shared" si="1"/>
        <v>1689@jlgingenieria.com</v>
      </c>
      <c r="F2055" s="21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</row>
    <row r="2056" ht="15.75" customHeight="1">
      <c r="A2056" s="18" t="str">
        <f>Descargas!A2056</f>
        <v>1690@gruponovelec.com</v>
      </c>
      <c r="B2056" s="19" t="str">
        <f>IFERROR(__xludf.DUMMYFUNCTION("IF(OR(regexmatch(A2056,"".*@simon.es$""),REGEXMATCH(A2056,"".*@simon.pt$""),REGEXMATCH(A2056,"".*@simonelectrica.com$""),REGEXMATCH(A2056,"".*@hiberus.com$""),REGEXMATCH(A2056,"".*@simonbrico.es$""),regexmatch(A2056,"".*@simonelectric.com$"")),""null"",A2"&amp;"056)"),"1690@gruponovelec.com")</f>
        <v>1690@gruponovelec.com</v>
      </c>
      <c r="C2056" s="5">
        <f>IF(B2056="null","null",Descargas!B2056)</f>
        <v>43950</v>
      </c>
      <c r="D2056" s="6" t="str">
        <f>Descargas!E2056</f>
        <v>https://resources.simonelectric.com/simon-catalogo-vehiculo-electrico</v>
      </c>
      <c r="E2056" s="20" t="str">
        <f t="shared" si="1"/>
        <v>1690@gruponovelec.com</v>
      </c>
      <c r="F2056" s="21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</row>
    <row r="2057" ht="15.75" customHeight="1">
      <c r="A2057" s="18" t="str">
        <f>Descargas!A2057</f>
        <v>377@nouges.es</v>
      </c>
      <c r="B2057" s="19" t="str">
        <f>IFERROR(__xludf.DUMMYFUNCTION("IF(OR(regexmatch(A2057,"".*@simon.es$""),REGEXMATCH(A2057,"".*@simon.pt$""),REGEXMATCH(A2057,"".*@simonelectrica.com$""),REGEXMATCH(A2057,"".*@hiberus.com$""),REGEXMATCH(A2057,"".*@simonbrico.es$""),regexmatch(A2057,"".*@simonelectric.com$"")),""null"",A2"&amp;"057)"),"377@nouges.es")</f>
        <v>377@nouges.es</v>
      </c>
      <c r="C2057" s="5">
        <f>IF(B2057="null","null",Descargas!B2057)</f>
        <v>43950</v>
      </c>
      <c r="D2057" s="6" t="str">
        <f>Descargas!E2057</f>
        <v>https://resources.simonelectric.com/simon-catalogo-vehiculo-electrico</v>
      </c>
      <c r="E2057" s="20" t="str">
        <f t="shared" si="1"/>
        <v>377@nouges.es</v>
      </c>
      <c r="F2057" s="21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</row>
    <row r="2058" ht="15.75" customHeight="1">
      <c r="A2058" s="18" t="str">
        <f>Descargas!A2058</f>
        <v>1691@hotmail.com</v>
      </c>
      <c r="B2058" s="19" t="str">
        <f>IFERROR(__xludf.DUMMYFUNCTION("IF(OR(regexmatch(A2058,"".*@simon.es$""),REGEXMATCH(A2058,"".*@simon.pt$""),REGEXMATCH(A2058,"".*@simonelectrica.com$""),REGEXMATCH(A2058,"".*@hiberus.com$""),REGEXMATCH(A2058,"".*@simonbrico.es$""),regexmatch(A2058,"".*@simonelectric.com$"")),""null"",A2"&amp;"058)"),"1691@hotmail.com")</f>
        <v>1691@hotmail.com</v>
      </c>
      <c r="C2058" s="5">
        <f>IF(B2058="null","null",Descargas!B2058)</f>
        <v>43950</v>
      </c>
      <c r="D2058" s="6" t="str">
        <f>Descargas!E2058</f>
        <v>https://resources.simonelectric.com/simon-catalogo-vehiculo-electrico</v>
      </c>
      <c r="E2058" s="20" t="str">
        <f t="shared" si="1"/>
        <v>1691@hotmail.com</v>
      </c>
      <c r="F2058" s="21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</row>
    <row r="2059" ht="15.75" customHeight="1">
      <c r="A2059" s="18" t="str">
        <f>Descargas!A2059</f>
        <v>1692@tecasol.net</v>
      </c>
      <c r="B2059" s="19" t="str">
        <f>IFERROR(__xludf.DUMMYFUNCTION("IF(OR(regexmatch(A2059,"".*@simon.es$""),REGEXMATCH(A2059,"".*@simon.pt$""),REGEXMATCH(A2059,"".*@simonelectrica.com$""),REGEXMATCH(A2059,"".*@hiberus.com$""),REGEXMATCH(A2059,"".*@simonbrico.es$""),regexmatch(A2059,"".*@simonelectric.com$"")),""null"",A2"&amp;"059)"),"1692@tecasol.net")</f>
        <v>1692@tecasol.net</v>
      </c>
      <c r="C2059" s="5">
        <f>IF(B2059="null","null",Descargas!B2059)</f>
        <v>43950</v>
      </c>
      <c r="D2059" s="6" t="str">
        <f>Descargas!E2059</f>
        <v>https://resources.simonelectric.com/simon-catalogo-vehiculo-electrico</v>
      </c>
      <c r="E2059" s="20" t="str">
        <f t="shared" si="1"/>
        <v>1692@tecasol.net</v>
      </c>
      <c r="F2059" s="21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</row>
    <row r="2060" ht="15.75" customHeight="1">
      <c r="A2060" s="18" t="str">
        <f>Descargas!A2060</f>
        <v>1693@gmx.es</v>
      </c>
      <c r="B2060" s="19" t="str">
        <f>IFERROR(__xludf.DUMMYFUNCTION("IF(OR(regexmatch(A2060,"".*@simon.es$""),REGEXMATCH(A2060,"".*@simon.pt$""),REGEXMATCH(A2060,"".*@simonelectrica.com$""),REGEXMATCH(A2060,"".*@hiberus.com$""),REGEXMATCH(A2060,"".*@simonbrico.es$""),regexmatch(A2060,"".*@simonelectric.com$"")),""null"",A2"&amp;"060)"),"1693@gmx.es")</f>
        <v>1693@gmx.es</v>
      </c>
      <c r="C2060" s="5">
        <f>IF(B2060="null","null",Descargas!B2060)</f>
        <v>43950</v>
      </c>
      <c r="D2060" s="6" t="str">
        <f>Descargas!E2060</f>
        <v>https://resources.simonelectric.com/simon-catalogo-vehiculo-electrico</v>
      </c>
      <c r="E2060" s="20" t="str">
        <f t="shared" si="1"/>
        <v>1693@gmx.es</v>
      </c>
      <c r="F2060" s="21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</row>
    <row r="2061" ht="15.75" customHeight="1">
      <c r="A2061" s="18" t="str">
        <f>Descargas!A2061</f>
        <v>990@gmail.com</v>
      </c>
      <c r="B2061" s="19" t="str">
        <f>IFERROR(__xludf.DUMMYFUNCTION("IF(OR(regexmatch(A2061,"".*@simon.es$""),REGEXMATCH(A2061,"".*@simon.pt$""),REGEXMATCH(A2061,"".*@simonelectrica.com$""),REGEXMATCH(A2061,"".*@hiberus.com$""),REGEXMATCH(A2061,"".*@simonbrico.es$""),regexmatch(A2061,"".*@simonelectric.com$"")),""null"",A2"&amp;"061)"),"990@gmail.com")</f>
        <v>990@gmail.com</v>
      </c>
      <c r="C2061" s="5">
        <f>IF(B2061="null","null",Descargas!B2061)</f>
        <v>43950</v>
      </c>
      <c r="D2061" s="6" t="str">
        <f>Descargas!E2061</f>
        <v>https://resources.simonelectric.com/simon-catalogo-vehiculo-electrico</v>
      </c>
      <c r="E2061" s="20" t="str">
        <f t="shared" si="1"/>
        <v>990@gmail.com</v>
      </c>
      <c r="F2061" s="21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</row>
    <row r="2062" ht="15.75" customHeight="1">
      <c r="A2062" s="18" t="str">
        <f>Descargas!A2062</f>
        <v>1694@gmail.com</v>
      </c>
      <c r="B2062" s="19" t="str">
        <f>IFERROR(__xludf.DUMMYFUNCTION("IF(OR(regexmatch(A2062,"".*@simon.es$""),REGEXMATCH(A2062,"".*@simon.pt$""),REGEXMATCH(A2062,"".*@simonelectrica.com$""),REGEXMATCH(A2062,"".*@hiberus.com$""),REGEXMATCH(A2062,"".*@simonbrico.es$""),regexmatch(A2062,"".*@simonelectric.com$"")),""null"",A2"&amp;"062)"),"1694@gmail.com")</f>
        <v>1694@gmail.com</v>
      </c>
      <c r="C2062" s="5">
        <f>IF(B2062="null","null",Descargas!B2062)</f>
        <v>43950</v>
      </c>
      <c r="D2062" s="6" t="str">
        <f>Descargas!E2062</f>
        <v>https://resources.simonelectric.com/simon-catalogo-vehiculo-electrico</v>
      </c>
      <c r="E2062" s="20" t="str">
        <f t="shared" si="1"/>
        <v>1694@gmail.com</v>
      </c>
      <c r="F2062" s="21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</row>
    <row r="2063" ht="15.75" customHeight="1">
      <c r="A2063" s="18" t="str">
        <f>Descargas!A2063</f>
        <v>1695@gruponortica.com</v>
      </c>
      <c r="B2063" s="19" t="str">
        <f>IFERROR(__xludf.DUMMYFUNCTION("IF(OR(regexmatch(A2063,"".*@simon.es$""),REGEXMATCH(A2063,"".*@simon.pt$""),REGEXMATCH(A2063,"".*@simonelectrica.com$""),REGEXMATCH(A2063,"".*@hiberus.com$""),REGEXMATCH(A2063,"".*@simonbrico.es$""),regexmatch(A2063,"".*@simonelectric.com$"")),""null"",A2"&amp;"063)"),"1695@gruponortica.com")</f>
        <v>1695@gruponortica.com</v>
      </c>
      <c r="C2063" s="5">
        <f>IF(B2063="null","null",Descargas!B2063)</f>
        <v>43950</v>
      </c>
      <c r="D2063" s="6" t="str">
        <f>Descargas!E2063</f>
        <v>https://resources.simonelectric.com/simon-catalogo-vehiculo-electrico</v>
      </c>
      <c r="E2063" s="20" t="str">
        <f t="shared" si="1"/>
        <v>1695@gruponortica.com</v>
      </c>
      <c r="F2063" s="21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</row>
    <row r="2064" ht="15.75" customHeight="1">
      <c r="A2064" s="18" t="str">
        <f>Descargas!A2064</f>
        <v>1696@gmail.com</v>
      </c>
      <c r="B2064" s="19" t="str">
        <f>IFERROR(__xludf.DUMMYFUNCTION("IF(OR(regexmatch(A2064,"".*@simon.es$""),REGEXMATCH(A2064,"".*@simon.pt$""),REGEXMATCH(A2064,"".*@simonelectrica.com$""),REGEXMATCH(A2064,"".*@hiberus.com$""),REGEXMATCH(A2064,"".*@simonbrico.es$""),regexmatch(A2064,"".*@simonelectric.com$"")),""null"",A2"&amp;"064)"),"1696@gmail.com")</f>
        <v>1696@gmail.com</v>
      </c>
      <c r="C2064" s="5">
        <f>IF(B2064="null","null",Descargas!B2064)</f>
        <v>43950</v>
      </c>
      <c r="D2064" s="6" t="str">
        <f>Descargas!E2064</f>
        <v>https://resources.simonelectric.com/simon-catalogo-vehiculo-electrico</v>
      </c>
      <c r="E2064" s="20" t="str">
        <f t="shared" si="1"/>
        <v>1696@gmail.com</v>
      </c>
      <c r="F2064" s="21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</row>
    <row r="2065" ht="15.75" customHeight="1">
      <c r="A2065" s="18" t="str">
        <f>Descargas!A2065</f>
        <v>1697@yahoo.es</v>
      </c>
      <c r="B2065" s="19" t="str">
        <f>IFERROR(__xludf.DUMMYFUNCTION("IF(OR(regexmatch(A2065,"".*@simon.es$""),REGEXMATCH(A2065,"".*@simon.pt$""),REGEXMATCH(A2065,"".*@simonelectrica.com$""),REGEXMATCH(A2065,"".*@hiberus.com$""),REGEXMATCH(A2065,"".*@simonbrico.es$""),regexmatch(A2065,"".*@simonelectric.com$"")),""null"",A2"&amp;"065)"),"1697@yahoo.es")</f>
        <v>1697@yahoo.es</v>
      </c>
      <c r="C2065" s="5">
        <f>IF(B2065="null","null",Descargas!B2065)</f>
        <v>43950</v>
      </c>
      <c r="D2065" s="6" t="str">
        <f>Descargas!E2065</f>
        <v>https://resources.simonelectric.com/simon-catalogo-vehiculo-electrico</v>
      </c>
      <c r="E2065" s="20" t="str">
        <f t="shared" si="1"/>
        <v>1697@yahoo.es</v>
      </c>
      <c r="F2065" s="21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</row>
    <row r="2066" ht="15.75" customHeight="1">
      <c r="A2066" s="18" t="str">
        <f>Descargas!A2066</f>
        <v>1698@jgi.es</v>
      </c>
      <c r="B2066" s="19" t="str">
        <f>IFERROR(__xludf.DUMMYFUNCTION("IF(OR(regexmatch(A2066,"".*@simon.es$""),REGEXMATCH(A2066,"".*@simon.pt$""),REGEXMATCH(A2066,"".*@simonelectrica.com$""),REGEXMATCH(A2066,"".*@hiberus.com$""),REGEXMATCH(A2066,"".*@simonbrico.es$""),regexmatch(A2066,"".*@simonelectric.com$"")),""null"",A2"&amp;"066)"),"1698@jgi.es")</f>
        <v>1698@jgi.es</v>
      </c>
      <c r="C2066" s="5">
        <f>IF(B2066="null","null",Descargas!B2066)</f>
        <v>43950</v>
      </c>
      <c r="D2066" s="6" t="str">
        <f>Descargas!E2066</f>
        <v>https://resources.simonelectric.com/simon-catalogo-vehiculo-electrico</v>
      </c>
      <c r="E2066" s="20" t="str">
        <f t="shared" si="1"/>
        <v>1698@jgi.es</v>
      </c>
      <c r="F2066" s="21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</row>
    <row r="2067" ht="15.75" customHeight="1">
      <c r="A2067" s="18" t="str">
        <f>Descargas!A2067</f>
        <v>1699@panchofernandez.com</v>
      </c>
      <c r="B2067" s="19" t="str">
        <f>IFERROR(__xludf.DUMMYFUNCTION("IF(OR(regexmatch(A2067,"".*@simon.es$""),REGEXMATCH(A2067,"".*@simon.pt$""),REGEXMATCH(A2067,"".*@simonelectrica.com$""),REGEXMATCH(A2067,"".*@hiberus.com$""),REGEXMATCH(A2067,"".*@simonbrico.es$""),regexmatch(A2067,"".*@simonelectric.com$"")),""null"",A2"&amp;"067)"),"1699@panchofernandez.com")</f>
        <v>1699@panchofernandez.com</v>
      </c>
      <c r="C2067" s="5">
        <f>IF(B2067="null","null",Descargas!B2067)</f>
        <v>43950</v>
      </c>
      <c r="D2067" s="6" t="str">
        <f>Descargas!E2067</f>
        <v>https://resources.simonelectric.com/simon-catalogo-vehiculo-electrico</v>
      </c>
      <c r="E2067" s="20" t="str">
        <f t="shared" si="1"/>
        <v>1699@panchofernandez.com</v>
      </c>
      <c r="F2067" s="21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</row>
    <row r="2068" ht="15.75" customHeight="1">
      <c r="A2068" s="18" t="str">
        <f>Descargas!A2068</f>
        <v>1700@padrao.com.pt</v>
      </c>
      <c r="B2068" s="19" t="str">
        <f>IFERROR(__xludf.DUMMYFUNCTION("IF(OR(regexmatch(A2068,"".*@simon.es$""),REGEXMATCH(A2068,"".*@simon.pt$""),REGEXMATCH(A2068,"".*@simonelectrica.com$""),REGEXMATCH(A2068,"".*@hiberus.com$""),REGEXMATCH(A2068,"".*@simonbrico.es$""),regexmatch(A2068,"".*@simonelectric.com$"")),""null"",A2"&amp;"068)"),"1700@padrao.com.pt")</f>
        <v>1700@padrao.com.pt</v>
      </c>
      <c r="C2068" s="5">
        <f>IF(B2068="null","null",Descargas!B2068)</f>
        <v>43950</v>
      </c>
      <c r="D2068" s="6" t="str">
        <f>Descargas!E2068</f>
        <v>https://resources.simonelectric.com/simon-catalogo-vehiculo-electrico</v>
      </c>
      <c r="E2068" s="20" t="str">
        <f t="shared" si="1"/>
        <v>1700@padrao.com.pt</v>
      </c>
      <c r="F2068" s="21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</row>
    <row r="2069" ht="15.75" customHeight="1">
      <c r="A2069" s="18" t="str">
        <f>Descargas!A2069</f>
        <v>1701@insmarbella.com</v>
      </c>
      <c r="B2069" s="19" t="str">
        <f>IFERROR(__xludf.DUMMYFUNCTION("IF(OR(regexmatch(A2069,"".*@simon.es$""),REGEXMATCH(A2069,"".*@simon.pt$""),REGEXMATCH(A2069,"".*@simonelectrica.com$""),REGEXMATCH(A2069,"".*@hiberus.com$""),REGEXMATCH(A2069,"".*@simonbrico.es$""),regexmatch(A2069,"".*@simonelectric.com$"")),""null"",A2"&amp;"069)"),"1701@insmarbella.com")</f>
        <v>1701@insmarbella.com</v>
      </c>
      <c r="C2069" s="5">
        <f>IF(B2069="null","null",Descargas!B2069)</f>
        <v>43950</v>
      </c>
      <c r="D2069" s="6" t="str">
        <f>Descargas!E2069</f>
        <v>https://resources.simonelectric.com/simon-catalogo-vehiculo-electrico</v>
      </c>
      <c r="E2069" s="20" t="str">
        <f t="shared" si="1"/>
        <v>1701@insmarbella.com</v>
      </c>
      <c r="F2069" s="21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</row>
    <row r="2070" ht="15.75" customHeight="1">
      <c r="A2070" s="18" t="str">
        <f>Descargas!A2070</f>
        <v>1702@gestion-energetica.eu</v>
      </c>
      <c r="B2070" s="19" t="str">
        <f>IFERROR(__xludf.DUMMYFUNCTION("IF(OR(regexmatch(A2070,"".*@simon.es$""),REGEXMATCH(A2070,"".*@simon.pt$""),REGEXMATCH(A2070,"".*@simonelectrica.com$""),REGEXMATCH(A2070,"".*@hiberus.com$""),REGEXMATCH(A2070,"".*@simonbrico.es$""),regexmatch(A2070,"".*@simonelectric.com$"")),""null"",A2"&amp;"070)"),"1702@gestion-energetica.eu")</f>
        <v>1702@gestion-energetica.eu</v>
      </c>
      <c r="C2070" s="5">
        <f>IF(B2070="null","null",Descargas!B2070)</f>
        <v>43950</v>
      </c>
      <c r="D2070" s="6" t="str">
        <f>Descargas!E2070</f>
        <v>https://resources.simonelectric.com/simon-catalogo-vehiculo-electrico</v>
      </c>
      <c r="E2070" s="20" t="str">
        <f t="shared" si="1"/>
        <v>1702@gestion-energetica.eu</v>
      </c>
      <c r="F2070" s="21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</row>
    <row r="2071" ht="15.75" customHeight="1">
      <c r="A2071" s="18" t="str">
        <f>Descargas!A2071</f>
        <v>1703@laelectrica.com</v>
      </c>
      <c r="B2071" s="19" t="str">
        <f>IFERROR(__xludf.DUMMYFUNCTION("IF(OR(regexmatch(A2071,"".*@simon.es$""),REGEXMATCH(A2071,"".*@simon.pt$""),REGEXMATCH(A2071,"".*@simonelectrica.com$""),REGEXMATCH(A2071,"".*@hiberus.com$""),REGEXMATCH(A2071,"".*@simonbrico.es$""),regexmatch(A2071,"".*@simonelectric.com$"")),""null"",A2"&amp;"071)"),"1703@laelectrica.com")</f>
        <v>1703@laelectrica.com</v>
      </c>
      <c r="C2071" s="5">
        <f>IF(B2071="null","null",Descargas!B2071)</f>
        <v>43950</v>
      </c>
      <c r="D2071" s="6" t="str">
        <f>Descargas!E2071</f>
        <v>https://resources.simonelectric.com/simon-catalogo-vehiculo-electrico</v>
      </c>
      <c r="E2071" s="20" t="str">
        <f t="shared" si="1"/>
        <v>1703@laelectrica.com</v>
      </c>
      <c r="F2071" s="21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</row>
    <row r="2072" ht="15.75" customHeight="1">
      <c r="A2072" s="18" t="str">
        <f>Descargas!A2072</f>
        <v>1704@hotmail.com</v>
      </c>
      <c r="B2072" s="19" t="str">
        <f>IFERROR(__xludf.DUMMYFUNCTION("IF(OR(regexmatch(A2072,"".*@simon.es$""),REGEXMATCH(A2072,"".*@simon.pt$""),REGEXMATCH(A2072,"".*@simonelectrica.com$""),REGEXMATCH(A2072,"".*@hiberus.com$""),REGEXMATCH(A2072,"".*@simonbrico.es$""),regexmatch(A2072,"".*@simonelectric.com$"")),""null"",A2"&amp;"072)"),"1704@hotmail.com")</f>
        <v>1704@hotmail.com</v>
      </c>
      <c r="C2072" s="5">
        <f>IF(B2072="null","null",Descargas!B2072)</f>
        <v>43950</v>
      </c>
      <c r="D2072" s="6" t="str">
        <f>Descargas!E2072</f>
        <v>https://resources.simonelectric.com/simon-catalogo-vehiculo-electrico</v>
      </c>
      <c r="E2072" s="20" t="str">
        <f t="shared" si="1"/>
        <v>1704@hotmail.com</v>
      </c>
      <c r="F2072" s="21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</row>
    <row r="2073" ht="15.75" customHeight="1">
      <c r="A2073" s="18" t="str">
        <f>Descargas!A2073</f>
        <v>723@gmail.com</v>
      </c>
      <c r="B2073" s="19" t="str">
        <f>IFERROR(__xludf.DUMMYFUNCTION("IF(OR(regexmatch(A2073,"".*@simon.es$""),REGEXMATCH(A2073,"".*@simon.pt$""),REGEXMATCH(A2073,"".*@simonelectrica.com$""),REGEXMATCH(A2073,"".*@hiberus.com$""),REGEXMATCH(A2073,"".*@simonbrico.es$""),regexmatch(A2073,"".*@simonelectric.com$"")),""null"",A2"&amp;"073)"),"723@gmail.com")</f>
        <v>723@gmail.com</v>
      </c>
      <c r="C2073" s="5">
        <f>IF(B2073="null","null",Descargas!B2073)</f>
        <v>43950</v>
      </c>
      <c r="D2073" s="6" t="str">
        <f>Descargas!E2073</f>
        <v>https://resources.simonelectric.com/simon-catalogo-vehiculo-electrico</v>
      </c>
      <c r="E2073" s="20" t="str">
        <f t="shared" si="1"/>
        <v>723@gmail.com</v>
      </c>
      <c r="F2073" s="21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</row>
    <row r="2074" ht="15.75" customHeight="1">
      <c r="A2074" s="18" t="str">
        <f>Descargas!A2074</f>
        <v>1705@sanehogar.com</v>
      </c>
      <c r="B2074" s="19" t="str">
        <f>IFERROR(__xludf.DUMMYFUNCTION("IF(OR(regexmatch(A2074,"".*@simon.es$""),REGEXMATCH(A2074,"".*@simon.pt$""),REGEXMATCH(A2074,"".*@simonelectrica.com$""),REGEXMATCH(A2074,"".*@hiberus.com$""),REGEXMATCH(A2074,"".*@simonbrico.es$""),regexmatch(A2074,"".*@simonelectric.com$"")),""null"",A2"&amp;"074)"),"1705@sanehogar.com")</f>
        <v>1705@sanehogar.com</v>
      </c>
      <c r="C2074" s="5">
        <f>IF(B2074="null","null",Descargas!B2074)</f>
        <v>43950</v>
      </c>
      <c r="D2074" s="6" t="str">
        <f>Descargas!E2074</f>
        <v>https://resources.simonelectric.com/simon-catalogo-vehiculo-electrico</v>
      </c>
      <c r="E2074" s="20" t="str">
        <f t="shared" si="1"/>
        <v>1705@sanehogar.com</v>
      </c>
      <c r="F2074" s="21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</row>
    <row r="2075" ht="15.75" customHeight="1">
      <c r="A2075" s="18" t="str">
        <f>Descargas!A2075</f>
        <v>1706@otp.cat</v>
      </c>
      <c r="B2075" s="19" t="str">
        <f>IFERROR(__xludf.DUMMYFUNCTION("IF(OR(regexmatch(A2075,"".*@simon.es$""),REGEXMATCH(A2075,"".*@simon.pt$""),REGEXMATCH(A2075,"".*@simonelectrica.com$""),REGEXMATCH(A2075,"".*@hiberus.com$""),REGEXMATCH(A2075,"".*@simonbrico.es$""),regexmatch(A2075,"".*@simonelectric.com$"")),""null"",A2"&amp;"075)"),"1706@otp.cat")</f>
        <v>1706@otp.cat</v>
      </c>
      <c r="C2075" s="5">
        <f>IF(B2075="null","null",Descargas!B2075)</f>
        <v>43950</v>
      </c>
      <c r="D2075" s="6" t="str">
        <f>Descargas!E2075</f>
        <v>https://resources.simonelectric.com/simon-catalogo-vehiculo-electrico</v>
      </c>
      <c r="E2075" s="20" t="str">
        <f t="shared" si="1"/>
        <v>1706@otp.cat</v>
      </c>
      <c r="F2075" s="21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</row>
    <row r="2076" ht="15.75" customHeight="1">
      <c r="A2076" s="18" t="str">
        <f>Descargas!A2076</f>
        <v>1707@lledosa.es</v>
      </c>
      <c r="B2076" s="19" t="str">
        <f>IFERROR(__xludf.DUMMYFUNCTION("IF(OR(regexmatch(A2076,"".*@simon.es$""),REGEXMATCH(A2076,"".*@simon.pt$""),REGEXMATCH(A2076,"".*@simonelectrica.com$""),REGEXMATCH(A2076,"".*@hiberus.com$""),REGEXMATCH(A2076,"".*@simonbrico.es$""),regexmatch(A2076,"".*@simonelectric.com$"")),""null"",A2"&amp;"076)"),"1707@lledosa.es")</f>
        <v>1707@lledosa.es</v>
      </c>
      <c r="C2076" s="5">
        <f>IF(B2076="null","null",Descargas!B2076)</f>
        <v>43950</v>
      </c>
      <c r="D2076" s="6" t="str">
        <f>Descargas!E2076</f>
        <v>https://resources.simonelectric.com/simon-catalogo-vehiculo-electrico</v>
      </c>
      <c r="E2076" s="20" t="str">
        <f t="shared" si="1"/>
        <v>1707@lledosa.es</v>
      </c>
      <c r="F2076" s="21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</row>
    <row r="2077" ht="15.75" customHeight="1">
      <c r="A2077" s="18" t="str">
        <f>Descargas!A2077</f>
        <v>1708@gmail.com</v>
      </c>
      <c r="B2077" s="19" t="str">
        <f>IFERROR(__xludf.DUMMYFUNCTION("IF(OR(regexmatch(A2077,"".*@simon.es$""),REGEXMATCH(A2077,"".*@simon.pt$""),REGEXMATCH(A2077,"".*@simonelectrica.com$""),REGEXMATCH(A2077,"".*@hiberus.com$""),REGEXMATCH(A2077,"".*@simonbrico.es$""),regexmatch(A2077,"".*@simonelectric.com$"")),""null"",A2"&amp;"077)"),"1708@gmail.com")</f>
        <v>1708@gmail.com</v>
      </c>
      <c r="C2077" s="5">
        <f>IF(B2077="null","null",Descargas!B2077)</f>
        <v>43950</v>
      </c>
      <c r="D2077" s="6" t="str">
        <f>Descargas!E2077</f>
        <v>https://resources.simonelectric.com/simon-catalogo-vehiculo-electrico</v>
      </c>
      <c r="E2077" s="20" t="str">
        <f t="shared" si="1"/>
        <v>1708@gmail.com</v>
      </c>
      <c r="F2077" s="21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</row>
    <row r="2078" ht="15.75" customHeight="1">
      <c r="A2078" s="18" t="str">
        <f>Descargas!A2078</f>
        <v>1709@serium.es</v>
      </c>
      <c r="B2078" s="19" t="str">
        <f>IFERROR(__xludf.DUMMYFUNCTION("IF(OR(regexmatch(A2078,"".*@simon.es$""),REGEXMATCH(A2078,"".*@simon.pt$""),REGEXMATCH(A2078,"".*@simonelectrica.com$""),REGEXMATCH(A2078,"".*@hiberus.com$""),REGEXMATCH(A2078,"".*@simonbrico.es$""),regexmatch(A2078,"".*@simonelectric.com$"")),""null"",A2"&amp;"078)"),"1709@serium.es")</f>
        <v>1709@serium.es</v>
      </c>
      <c r="C2078" s="5">
        <f>IF(B2078="null","null",Descargas!B2078)</f>
        <v>43950</v>
      </c>
      <c r="D2078" s="6" t="str">
        <f>Descargas!E2078</f>
        <v>https://resources.simonelectric.com/simon-catalogo-vehiculo-electrico</v>
      </c>
      <c r="E2078" s="20" t="str">
        <f t="shared" si="1"/>
        <v>1709@serium.es</v>
      </c>
      <c r="F2078" s="21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</row>
    <row r="2079" ht="15.75" customHeight="1">
      <c r="A2079" s="18" t="str">
        <f>Descargas!A2079</f>
        <v>1710@gmail.com</v>
      </c>
      <c r="B2079" s="19" t="str">
        <f>IFERROR(__xludf.DUMMYFUNCTION("IF(OR(regexmatch(A2079,"".*@simon.es$""),REGEXMATCH(A2079,"".*@simon.pt$""),REGEXMATCH(A2079,"".*@simonelectrica.com$""),REGEXMATCH(A2079,"".*@hiberus.com$""),REGEXMATCH(A2079,"".*@simonbrico.es$""),regexmatch(A2079,"".*@simonelectric.com$"")),""null"",A2"&amp;"079)"),"1710@gmail.com")</f>
        <v>1710@gmail.com</v>
      </c>
      <c r="C2079" s="5">
        <f>IF(B2079="null","null",Descargas!B2079)</f>
        <v>43950</v>
      </c>
      <c r="D2079" s="6" t="str">
        <f>Descargas!E2079</f>
        <v>https://resources.simonelectric.com/simon-catalogo-vehiculo-electrico</v>
      </c>
      <c r="E2079" s="20" t="str">
        <f t="shared" si="1"/>
        <v>1710@gmail.com</v>
      </c>
      <c r="F2079" s="21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</row>
    <row r="2080" ht="15.75" customHeight="1">
      <c r="A2080" s="18" t="str">
        <f>Descargas!A2080</f>
        <v>1711@simon.es</v>
      </c>
      <c r="B2080" s="19" t="str">
        <f>IFERROR(__xludf.DUMMYFUNCTION("IF(OR(regexmatch(A2080,"".*@simon.es$""),REGEXMATCH(A2080,"".*@simon.pt$""),REGEXMATCH(A2080,"".*@simonelectrica.com$""),REGEXMATCH(A2080,"".*@hiberus.com$""),REGEXMATCH(A2080,"".*@simonbrico.es$""),regexmatch(A2080,"".*@simonelectric.com$"")),""null"",A2"&amp;"080)"),"null")</f>
        <v>null</v>
      </c>
      <c r="C2080" s="5" t="str">
        <f>IF(B2080="null","null",Descargas!B2080)</f>
        <v>null</v>
      </c>
      <c r="D2080" s="6" t="str">
        <f>Descargas!E2080</f>
        <v>https://resources.simonelectric.com/simon-catalogo-vehiculo-electrico</v>
      </c>
      <c r="E2080" s="24" t="str">
        <f t="shared" si="1"/>
        <v/>
      </c>
      <c r="F2080" s="21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</row>
    <row r="2081" ht="15.75" customHeight="1">
      <c r="A2081" s="18" t="str">
        <f>Descargas!A2081</f>
        <v>1712@gmail.com</v>
      </c>
      <c r="B2081" s="19" t="str">
        <f>IFERROR(__xludf.DUMMYFUNCTION("IF(OR(regexmatch(A2081,"".*@simon.es$""),REGEXMATCH(A2081,"".*@simon.pt$""),REGEXMATCH(A2081,"".*@simonelectrica.com$""),REGEXMATCH(A2081,"".*@hiberus.com$""),REGEXMATCH(A2081,"".*@simonbrico.es$""),regexmatch(A2081,"".*@simonelectric.com$"")),""null"",A2"&amp;"081)"),"1712@gmail.com")</f>
        <v>1712@gmail.com</v>
      </c>
      <c r="C2081" s="5">
        <f>IF(B2081="null","null",Descargas!B2081)</f>
        <v>43950</v>
      </c>
      <c r="D2081" s="6" t="str">
        <f>Descargas!E2081</f>
        <v>https://resources.simonelectric.com/simon-catalogo-vehiculo-electrico</v>
      </c>
      <c r="E2081" s="20" t="str">
        <f t="shared" si="1"/>
        <v>1712@gmail.com</v>
      </c>
      <c r="F2081" s="21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</row>
    <row r="2082" ht="15.75" customHeight="1">
      <c r="A2082" s="18" t="str">
        <f>Descargas!A2082</f>
        <v>1713@gmail.com</v>
      </c>
      <c r="B2082" s="19" t="str">
        <f>IFERROR(__xludf.DUMMYFUNCTION("IF(OR(regexmatch(A2082,"".*@simon.es$""),REGEXMATCH(A2082,"".*@simon.pt$""),REGEXMATCH(A2082,"".*@simonelectrica.com$""),REGEXMATCH(A2082,"".*@hiberus.com$""),REGEXMATCH(A2082,"".*@simonbrico.es$""),regexmatch(A2082,"".*@simonelectric.com$"")),""null"",A2"&amp;"082)"),"1713@gmail.com")</f>
        <v>1713@gmail.com</v>
      </c>
      <c r="C2082" s="5">
        <f>IF(B2082="null","null",Descargas!B2082)</f>
        <v>43950</v>
      </c>
      <c r="D2082" s="6" t="str">
        <f>Descargas!E2082</f>
        <v>https://resources.simonelectric.com/simon-catalogo-vehiculo-electrico</v>
      </c>
      <c r="E2082" s="20" t="str">
        <f t="shared" si="1"/>
        <v>1713@gmail.com</v>
      </c>
      <c r="F2082" s="21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</row>
    <row r="2083" ht="15.75" customHeight="1">
      <c r="A2083" s="18" t="str">
        <f>Descargas!A2083</f>
        <v>1714@cirima.es</v>
      </c>
      <c r="B2083" s="19" t="str">
        <f>IFERROR(__xludf.DUMMYFUNCTION("IF(OR(regexmatch(A2083,"".*@simon.es$""),REGEXMATCH(A2083,"".*@simon.pt$""),REGEXMATCH(A2083,"".*@simonelectrica.com$""),REGEXMATCH(A2083,"".*@hiberus.com$""),REGEXMATCH(A2083,"".*@simonbrico.es$""),regexmatch(A2083,"".*@simonelectric.com$"")),""null"",A2"&amp;"083)"),"1714@cirima.es")</f>
        <v>1714@cirima.es</v>
      </c>
      <c r="C2083" s="5">
        <f>IF(B2083="null","null",Descargas!B2083)</f>
        <v>43950</v>
      </c>
      <c r="D2083" s="6" t="str">
        <f>Descargas!E2083</f>
        <v>https://resources.simonelectric.com/simon-catalogo-vehiculo-electrico</v>
      </c>
      <c r="E2083" s="20" t="str">
        <f t="shared" si="1"/>
        <v>1714@cirima.es</v>
      </c>
      <c r="F2083" s="21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</row>
    <row r="2084" ht="15.75" customHeight="1">
      <c r="A2084" s="18" t="str">
        <f>Descargas!A2084</f>
        <v>1715@upv.es</v>
      </c>
      <c r="B2084" s="19" t="str">
        <f>IFERROR(__xludf.DUMMYFUNCTION("IF(OR(regexmatch(A2084,"".*@simon.es$""),REGEXMATCH(A2084,"".*@simon.pt$""),REGEXMATCH(A2084,"".*@simonelectrica.com$""),REGEXMATCH(A2084,"".*@hiberus.com$""),REGEXMATCH(A2084,"".*@simonbrico.es$""),regexmatch(A2084,"".*@simonelectric.com$"")),""null"",A2"&amp;"084)"),"1715@upv.es")</f>
        <v>1715@upv.es</v>
      </c>
      <c r="C2084" s="5">
        <f>IF(B2084="null","null",Descargas!B2084)</f>
        <v>43950</v>
      </c>
      <c r="D2084" s="6" t="str">
        <f>Descargas!E2084</f>
        <v>https://resources.simonelectric.com/simon-catalogo-vehiculo-electrico</v>
      </c>
      <c r="E2084" s="20" t="str">
        <f t="shared" si="1"/>
        <v>1715@upv.es</v>
      </c>
      <c r="F2084" s="21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</row>
    <row r="2085" ht="15.75" customHeight="1">
      <c r="A2085" s="18" t="str">
        <f>Descargas!A2085</f>
        <v>1716@fuengiroluz.es</v>
      </c>
      <c r="B2085" s="19" t="str">
        <f>IFERROR(__xludf.DUMMYFUNCTION("IF(OR(regexmatch(A2085,"".*@simon.es$""),REGEXMATCH(A2085,"".*@simon.pt$""),REGEXMATCH(A2085,"".*@simonelectrica.com$""),REGEXMATCH(A2085,"".*@hiberus.com$""),REGEXMATCH(A2085,"".*@simonbrico.es$""),regexmatch(A2085,"".*@simonelectric.com$"")),""null"",A2"&amp;"085)"),"1716@fuengiroluz.es")</f>
        <v>1716@fuengiroluz.es</v>
      </c>
      <c r="C2085" s="5">
        <f>IF(B2085="null","null",Descargas!B2085)</f>
        <v>43950</v>
      </c>
      <c r="D2085" s="6" t="str">
        <f>Descargas!E2085</f>
        <v>https://resources.simonelectric.com/simon-catalogo-vehiculo-electrico</v>
      </c>
      <c r="E2085" s="20" t="str">
        <f t="shared" si="1"/>
        <v>1716@fuengiroluz.es</v>
      </c>
      <c r="F2085" s="21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</row>
    <row r="2086" ht="15.75" customHeight="1">
      <c r="A2086" s="18" t="str">
        <f>Descargas!A2086</f>
        <v>1717@soelvi.es</v>
      </c>
      <c r="B2086" s="19" t="str">
        <f>IFERROR(__xludf.DUMMYFUNCTION("IF(OR(regexmatch(A2086,"".*@simon.es$""),REGEXMATCH(A2086,"".*@simon.pt$""),REGEXMATCH(A2086,"".*@simonelectrica.com$""),REGEXMATCH(A2086,"".*@hiberus.com$""),REGEXMATCH(A2086,"".*@simonbrico.es$""),regexmatch(A2086,"".*@simonelectric.com$"")),""null"",A2"&amp;"086)"),"1717@soelvi.es")</f>
        <v>1717@soelvi.es</v>
      </c>
      <c r="C2086" s="5">
        <f>IF(B2086="null","null",Descargas!B2086)</f>
        <v>43950</v>
      </c>
      <c r="D2086" s="6" t="str">
        <f>Descargas!E2086</f>
        <v>https://resources.simonelectric.com/simon-catalogo-vehiculo-electrico</v>
      </c>
      <c r="E2086" s="20" t="str">
        <f t="shared" si="1"/>
        <v>1717@soelvi.es</v>
      </c>
      <c r="F2086" s="21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</row>
    <row r="2087" ht="15.75" customHeight="1">
      <c r="A2087" s="18" t="str">
        <f>Descargas!A2087</f>
        <v>383@llamas.com.es</v>
      </c>
      <c r="B2087" s="19" t="str">
        <f>IFERROR(__xludf.DUMMYFUNCTION("IF(OR(regexmatch(A2087,"".*@simon.es$""),REGEXMATCH(A2087,"".*@simon.pt$""),REGEXMATCH(A2087,"".*@simonelectrica.com$""),REGEXMATCH(A2087,"".*@hiberus.com$""),REGEXMATCH(A2087,"".*@simonbrico.es$""),regexmatch(A2087,"".*@simonelectric.com$"")),""null"",A2"&amp;"087)"),"383@llamas.com.es")</f>
        <v>383@llamas.com.es</v>
      </c>
      <c r="C2087" s="5">
        <f>IF(B2087="null","null",Descargas!B2087)</f>
        <v>43950</v>
      </c>
      <c r="D2087" s="6" t="str">
        <f>Descargas!E2087</f>
        <v>https://resources.simonelectric.com/simon-catalogo-vehiculo-electrico</v>
      </c>
      <c r="E2087" s="20" t="str">
        <f t="shared" si="1"/>
        <v>383@llamas.com.es</v>
      </c>
      <c r="F2087" s="21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</row>
    <row r="2088" ht="15.75" customHeight="1">
      <c r="A2088" s="18" t="str">
        <f>Descargas!A2088</f>
        <v>1718@yupcharge.com</v>
      </c>
      <c r="B2088" s="19" t="str">
        <f>IFERROR(__xludf.DUMMYFUNCTION("IF(OR(regexmatch(A2088,"".*@simon.es$""),REGEXMATCH(A2088,"".*@simon.pt$""),REGEXMATCH(A2088,"".*@simonelectrica.com$""),REGEXMATCH(A2088,"".*@hiberus.com$""),REGEXMATCH(A2088,"".*@simonbrico.es$""),regexmatch(A2088,"".*@simonelectric.com$"")),""null"",A2"&amp;"088)"),"1718@yupcharge.com")</f>
        <v>1718@yupcharge.com</v>
      </c>
      <c r="C2088" s="5">
        <f>IF(B2088="null","null",Descargas!B2088)</f>
        <v>43950</v>
      </c>
      <c r="D2088" s="6" t="str">
        <f>Descargas!E2088</f>
        <v>https://resources.simonelectric.com/simon-catalogo-vehiculo-electrico</v>
      </c>
      <c r="E2088" s="20" t="str">
        <f t="shared" si="1"/>
        <v>1718@yupcharge.com</v>
      </c>
      <c r="F2088" s="21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</row>
    <row r="2089" ht="15.75" customHeight="1">
      <c r="A2089" s="18" t="str">
        <f>Descargas!A2089</f>
        <v>700@gmail.com</v>
      </c>
      <c r="B2089" s="19" t="str">
        <f>IFERROR(__xludf.DUMMYFUNCTION("IF(OR(regexmatch(A2089,"".*@simon.es$""),REGEXMATCH(A2089,"".*@simon.pt$""),REGEXMATCH(A2089,"".*@simonelectrica.com$""),REGEXMATCH(A2089,"".*@hiberus.com$""),REGEXMATCH(A2089,"".*@simonbrico.es$""),regexmatch(A2089,"".*@simonelectric.com$"")),""null"",A2"&amp;"089)"),"700@gmail.com")</f>
        <v>700@gmail.com</v>
      </c>
      <c r="C2089" s="5">
        <f>IF(B2089="null","null",Descargas!B2089)</f>
        <v>43950</v>
      </c>
      <c r="D2089" s="6" t="str">
        <f>Descargas!E2089</f>
        <v>https://resources.simonelectric.com/simon-catalogo-vehiculo-electrico</v>
      </c>
      <c r="E2089" s="20" t="str">
        <f t="shared" si="1"/>
        <v>700@gmail.com</v>
      </c>
      <c r="F2089" s="21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</row>
    <row r="2090" ht="15.75" customHeight="1">
      <c r="A2090" s="18" t="str">
        <f>Descargas!A2090</f>
        <v>1719@simon.pt</v>
      </c>
      <c r="B2090" s="19" t="str">
        <f>IFERROR(__xludf.DUMMYFUNCTION("IF(OR(regexmatch(A2090,"".*@simon.es$""),REGEXMATCH(A2090,"".*@simon.pt$""),REGEXMATCH(A2090,"".*@simonelectrica.com$""),REGEXMATCH(A2090,"".*@hiberus.com$""),REGEXMATCH(A2090,"".*@simonbrico.es$""),regexmatch(A2090,"".*@simonelectric.com$"")),""null"",A2"&amp;"090)"),"null")</f>
        <v>null</v>
      </c>
      <c r="C2090" s="5" t="str">
        <f>IF(B2090="null","null",Descargas!B2090)</f>
        <v>null</v>
      </c>
      <c r="D2090" s="6" t="str">
        <f>Descargas!E2090</f>
        <v>https://resources.simonelectric.com/simon-catalogo-vehiculo-electrico</v>
      </c>
      <c r="E2090" s="24" t="str">
        <f t="shared" si="1"/>
        <v/>
      </c>
      <c r="F2090" s="21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</row>
    <row r="2091" ht="15.75" customHeight="1">
      <c r="A2091" s="18" t="str">
        <f>Descargas!A2091</f>
        <v>1720@yahoo.es</v>
      </c>
      <c r="B2091" s="19" t="str">
        <f>IFERROR(__xludf.DUMMYFUNCTION("IF(OR(regexmatch(A2091,"".*@simon.es$""),REGEXMATCH(A2091,"".*@simon.pt$""),REGEXMATCH(A2091,"".*@simonelectrica.com$""),REGEXMATCH(A2091,"".*@hiberus.com$""),REGEXMATCH(A2091,"".*@simonbrico.es$""),regexmatch(A2091,"".*@simonelectric.com$"")),""null"",A2"&amp;"091)"),"1720@yahoo.es")</f>
        <v>1720@yahoo.es</v>
      </c>
      <c r="C2091" s="5">
        <f>IF(B2091="null","null",Descargas!B2091)</f>
        <v>43950</v>
      </c>
      <c r="D2091" s="6" t="str">
        <f>Descargas!E2091</f>
        <v>https://resources.simonelectric.com/simon-catalogo-vehiculo-electrico</v>
      </c>
      <c r="E2091" s="20" t="str">
        <f t="shared" si="1"/>
        <v>1720@yahoo.es</v>
      </c>
      <c r="F2091" s="21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</row>
    <row r="2092" ht="15.75" customHeight="1">
      <c r="A2092" s="18" t="str">
        <f>Descargas!A2092</f>
        <v>1721@mafonsa.cat</v>
      </c>
      <c r="B2092" s="19" t="str">
        <f>IFERROR(__xludf.DUMMYFUNCTION("IF(OR(regexmatch(A2092,"".*@simon.es$""),REGEXMATCH(A2092,"".*@simon.pt$""),REGEXMATCH(A2092,"".*@simonelectrica.com$""),REGEXMATCH(A2092,"".*@hiberus.com$""),REGEXMATCH(A2092,"".*@simonbrico.es$""),regexmatch(A2092,"".*@simonelectric.com$"")),""null"",A2"&amp;"092)"),"1721@mafonsa.cat")</f>
        <v>1721@mafonsa.cat</v>
      </c>
      <c r="C2092" s="5">
        <f>IF(B2092="null","null",Descargas!B2092)</f>
        <v>43950</v>
      </c>
      <c r="D2092" s="6" t="str">
        <f>Descargas!E2092</f>
        <v>https://resources.simonelectric.com/simon-catalogo-vehiculo-electrico</v>
      </c>
      <c r="E2092" s="20" t="str">
        <f t="shared" si="1"/>
        <v>1721@mafonsa.cat</v>
      </c>
      <c r="F2092" s="21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</row>
    <row r="2093" ht="15.75" customHeight="1">
      <c r="A2093" s="18" t="str">
        <f>Descargas!A2093</f>
        <v>982@gmail.com</v>
      </c>
      <c r="B2093" s="19" t="str">
        <f>IFERROR(__xludf.DUMMYFUNCTION("IF(OR(regexmatch(A2093,"".*@simon.es$""),REGEXMATCH(A2093,"".*@simon.pt$""),REGEXMATCH(A2093,"".*@simonelectrica.com$""),REGEXMATCH(A2093,"".*@hiberus.com$""),REGEXMATCH(A2093,"".*@simonbrico.es$""),regexmatch(A2093,"".*@simonelectric.com$"")),""null"",A2"&amp;"093)"),"982@gmail.com")</f>
        <v>982@gmail.com</v>
      </c>
      <c r="C2093" s="5">
        <f>IF(B2093="null","null",Descargas!B2093)</f>
        <v>43950</v>
      </c>
      <c r="D2093" s="6" t="str">
        <f>Descargas!E2093</f>
        <v>https://resources.simonelectric.com/simon-catalogo-vehiculo-electrico</v>
      </c>
      <c r="E2093" s="20" t="str">
        <f t="shared" si="1"/>
        <v>982@gmail.com</v>
      </c>
      <c r="F2093" s="21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</row>
    <row r="2094" ht="15.75" customHeight="1">
      <c r="A2094" s="18" t="str">
        <f>Descargas!A2094</f>
        <v>1722@folgarona.com</v>
      </c>
      <c r="B2094" s="19" t="str">
        <f>IFERROR(__xludf.DUMMYFUNCTION("IF(OR(regexmatch(A2094,"".*@simon.es$""),REGEXMATCH(A2094,"".*@simon.pt$""),REGEXMATCH(A2094,"".*@simonelectrica.com$""),REGEXMATCH(A2094,"".*@hiberus.com$""),REGEXMATCH(A2094,"".*@simonbrico.es$""),regexmatch(A2094,"".*@simonelectric.com$"")),""null"",A2"&amp;"094)"),"1722@folgarona.com")</f>
        <v>1722@folgarona.com</v>
      </c>
      <c r="C2094" s="5">
        <f>IF(B2094="null","null",Descargas!B2094)</f>
        <v>43950</v>
      </c>
      <c r="D2094" s="6" t="str">
        <f>Descargas!E2094</f>
        <v>https://resources.simonelectric.com/simon-catalogo-vehiculo-electrico</v>
      </c>
      <c r="E2094" s="20" t="str">
        <f t="shared" si="1"/>
        <v>1722@folgarona.com</v>
      </c>
      <c r="F2094" s="21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</row>
    <row r="2095" ht="15.75" customHeight="1">
      <c r="A2095" s="18" t="str">
        <f>Descargas!A2095</f>
        <v>1723@gmail.com</v>
      </c>
      <c r="B2095" s="19" t="str">
        <f>IFERROR(__xludf.DUMMYFUNCTION("IF(OR(regexmatch(A2095,"".*@simon.es$""),REGEXMATCH(A2095,"".*@simon.pt$""),REGEXMATCH(A2095,"".*@simonelectrica.com$""),REGEXMATCH(A2095,"".*@hiberus.com$""),REGEXMATCH(A2095,"".*@simonbrico.es$""),regexmatch(A2095,"".*@simonelectric.com$"")),""null"",A2"&amp;"095)"),"1723@gmail.com")</f>
        <v>1723@gmail.com</v>
      </c>
      <c r="C2095" s="5">
        <f>IF(B2095="null","null",Descargas!B2095)</f>
        <v>43950</v>
      </c>
      <c r="D2095" s="6" t="str">
        <f>Descargas!E2095</f>
        <v>https://resources.simonelectric.com/simon-catalogo-vehiculo-electrico</v>
      </c>
      <c r="E2095" s="20" t="str">
        <f t="shared" si="1"/>
        <v>1723@gmail.com</v>
      </c>
      <c r="F2095" s="21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</row>
    <row r="2096" ht="15.75" customHeight="1">
      <c r="A2096" s="18" t="str">
        <f>Descargas!A2096</f>
        <v>1724@arbonapiza.com</v>
      </c>
      <c r="B2096" s="19" t="str">
        <f>IFERROR(__xludf.DUMMYFUNCTION("IF(OR(regexmatch(A2096,"".*@simon.es$""),REGEXMATCH(A2096,"".*@simon.pt$""),REGEXMATCH(A2096,"".*@simonelectrica.com$""),REGEXMATCH(A2096,"".*@hiberus.com$""),REGEXMATCH(A2096,"".*@simonbrico.es$""),regexmatch(A2096,"".*@simonelectric.com$"")),""null"",A2"&amp;"096)"),"1724@arbonapiza.com")</f>
        <v>1724@arbonapiza.com</v>
      </c>
      <c r="C2096" s="5">
        <f>IF(B2096="null","null",Descargas!B2096)</f>
        <v>43950</v>
      </c>
      <c r="D2096" s="6" t="str">
        <f>Descargas!E2096</f>
        <v>https://resources.simonelectric.com/simon-catalogo-vehiculo-electrico</v>
      </c>
      <c r="E2096" s="20" t="str">
        <f t="shared" si="1"/>
        <v>1724@arbonapiza.com</v>
      </c>
      <c r="F2096" s="21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</row>
    <row r="2097" ht="15.75" customHeight="1">
      <c r="A2097" s="18" t="str">
        <f>Descargas!A2097</f>
        <v>1725@coelbe.com</v>
      </c>
      <c r="B2097" s="19" t="str">
        <f>IFERROR(__xludf.DUMMYFUNCTION("IF(OR(regexmatch(A2097,"".*@simon.es$""),REGEXMATCH(A2097,"".*@simon.pt$""),REGEXMATCH(A2097,"".*@simonelectrica.com$""),REGEXMATCH(A2097,"".*@hiberus.com$""),REGEXMATCH(A2097,"".*@simonbrico.es$""),regexmatch(A2097,"".*@simonelectric.com$"")),""null"",A2"&amp;"097)"),"1725@coelbe.com")</f>
        <v>1725@coelbe.com</v>
      </c>
      <c r="C2097" s="5">
        <f>IF(B2097="null","null",Descargas!B2097)</f>
        <v>43950</v>
      </c>
      <c r="D2097" s="6" t="str">
        <f>Descargas!E2097</f>
        <v>https://resources.simonelectric.com/simon-catalogo-vehiculo-electrico</v>
      </c>
      <c r="E2097" s="20" t="str">
        <f t="shared" si="1"/>
        <v>1725@coelbe.com</v>
      </c>
      <c r="F2097" s="21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</row>
    <row r="2098" ht="15.75" customHeight="1">
      <c r="A2098" s="18" t="str">
        <f>Descargas!A2098</f>
        <v>1726@quadrifoli.com</v>
      </c>
      <c r="B2098" s="19" t="str">
        <f>IFERROR(__xludf.DUMMYFUNCTION("IF(OR(regexmatch(A2098,"".*@simon.es$""),REGEXMATCH(A2098,"".*@simon.pt$""),REGEXMATCH(A2098,"".*@simonelectrica.com$""),REGEXMATCH(A2098,"".*@hiberus.com$""),REGEXMATCH(A2098,"".*@simonbrico.es$""),regexmatch(A2098,"".*@simonelectric.com$"")),""null"",A2"&amp;"098)"),"1726@quadrifoli.com")</f>
        <v>1726@quadrifoli.com</v>
      </c>
      <c r="C2098" s="5">
        <f>IF(B2098="null","null",Descargas!B2098)</f>
        <v>43950</v>
      </c>
      <c r="D2098" s="6" t="str">
        <f>Descargas!E2098</f>
        <v>https://resources.simonelectric.com/simon-catalogo-vehiculo-electrico</v>
      </c>
      <c r="E2098" s="20" t="str">
        <f t="shared" si="1"/>
        <v>1726@quadrifoli.com</v>
      </c>
      <c r="F2098" s="21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</row>
    <row r="2099" ht="15.75" customHeight="1">
      <c r="A2099" s="18" t="str">
        <f>Descargas!A2099</f>
        <v>1727@grupojab.es</v>
      </c>
      <c r="B2099" s="19" t="str">
        <f>IFERROR(__xludf.DUMMYFUNCTION("IF(OR(regexmatch(A2099,"".*@simon.es$""),REGEXMATCH(A2099,"".*@simon.pt$""),REGEXMATCH(A2099,"".*@simonelectrica.com$""),REGEXMATCH(A2099,"".*@hiberus.com$""),REGEXMATCH(A2099,"".*@simonbrico.es$""),regexmatch(A2099,"".*@simonelectric.com$"")),""null"",A2"&amp;"099)"),"1727@grupojab.es")</f>
        <v>1727@grupojab.es</v>
      </c>
      <c r="C2099" s="5">
        <f>IF(B2099="null","null",Descargas!B2099)</f>
        <v>43950</v>
      </c>
      <c r="D2099" s="6" t="str">
        <f>Descargas!E2099</f>
        <v>https://resources.simonelectric.com/simon-catalogo-vehiculo-electrico</v>
      </c>
      <c r="E2099" s="20" t="str">
        <f t="shared" si="1"/>
        <v>1727@grupojab.es</v>
      </c>
      <c r="F2099" s="21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</row>
    <row r="2100" ht="15.75" customHeight="1">
      <c r="A2100" s="18" t="str">
        <f>Descargas!A2100</f>
        <v>1728@gmail.com</v>
      </c>
      <c r="B2100" s="19" t="str">
        <f>IFERROR(__xludf.DUMMYFUNCTION("IF(OR(regexmatch(A2100,"".*@simon.es$""),REGEXMATCH(A2100,"".*@simon.pt$""),REGEXMATCH(A2100,"".*@simonelectrica.com$""),REGEXMATCH(A2100,"".*@hiberus.com$""),REGEXMATCH(A2100,"".*@simonbrico.es$""),regexmatch(A2100,"".*@simonelectric.com$"")),""null"",A2"&amp;"100)"),"1728@gmail.com")</f>
        <v>1728@gmail.com</v>
      </c>
      <c r="C2100" s="5">
        <f>IF(B2100="null","null",Descargas!B2100)</f>
        <v>43950</v>
      </c>
      <c r="D2100" s="6" t="str">
        <f>Descargas!E2100</f>
        <v>https://resources.simonelectric.com/simon-catalogo-vehiculo-electrico</v>
      </c>
      <c r="E2100" s="20" t="str">
        <f t="shared" si="1"/>
        <v>1728@gmail.com</v>
      </c>
      <c r="F2100" s="21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</row>
    <row r="2101" ht="15.75" customHeight="1">
      <c r="A2101" s="18" t="str">
        <f>Descargas!A2101</f>
        <v>1729@gmail.com</v>
      </c>
      <c r="B2101" s="19" t="str">
        <f>IFERROR(__xludf.DUMMYFUNCTION("IF(OR(regexmatch(A2101,"".*@simon.es$""),REGEXMATCH(A2101,"".*@simon.pt$""),REGEXMATCH(A2101,"".*@simonelectrica.com$""),REGEXMATCH(A2101,"".*@hiberus.com$""),REGEXMATCH(A2101,"".*@simonbrico.es$""),regexmatch(A2101,"".*@simonelectric.com$"")),""null"",A2"&amp;"101)"),"1729@gmail.com")</f>
        <v>1729@gmail.com</v>
      </c>
      <c r="C2101" s="5">
        <f>IF(B2101="null","null",Descargas!B2101)</f>
        <v>43950</v>
      </c>
      <c r="D2101" s="6" t="str">
        <f>Descargas!E2101</f>
        <v>https://resources.simonelectric.com/simon-catalogo-vehiculo-electrico</v>
      </c>
      <c r="E2101" s="20" t="str">
        <f t="shared" si="1"/>
        <v>1729@gmail.com</v>
      </c>
      <c r="F2101" s="21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</row>
    <row r="2102" ht="15.75" customHeight="1">
      <c r="A2102" s="18" t="str">
        <f>Descargas!A2102</f>
        <v>1730@armeriaeskola.eus</v>
      </c>
      <c r="B2102" s="19" t="str">
        <f>IFERROR(__xludf.DUMMYFUNCTION("IF(OR(regexmatch(A2102,"".*@simon.es$""),REGEXMATCH(A2102,"".*@simon.pt$""),REGEXMATCH(A2102,"".*@simonelectrica.com$""),REGEXMATCH(A2102,"".*@hiberus.com$""),REGEXMATCH(A2102,"".*@simonbrico.es$""),regexmatch(A2102,"".*@simonelectric.com$"")),""null"",A2"&amp;"102)"),"1730@armeriaeskola.eus")</f>
        <v>1730@armeriaeskola.eus</v>
      </c>
      <c r="C2102" s="5">
        <f>IF(B2102="null","null",Descargas!B2102)</f>
        <v>43950</v>
      </c>
      <c r="D2102" s="6" t="str">
        <f>Descargas!E2102</f>
        <v>https://resources.simonelectric.com/simon-catalogo-vehiculo-electrico</v>
      </c>
      <c r="E2102" s="20" t="str">
        <f t="shared" si="1"/>
        <v>1730@armeriaeskola.eus</v>
      </c>
      <c r="F2102" s="21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</row>
    <row r="2103" ht="15.75" customHeight="1">
      <c r="A2103" s="18" t="str">
        <f>Descargas!A2103</f>
        <v>1731@inserty.net</v>
      </c>
      <c r="B2103" s="19" t="str">
        <f>IFERROR(__xludf.DUMMYFUNCTION("IF(OR(regexmatch(A2103,"".*@simon.es$""),REGEXMATCH(A2103,"".*@simon.pt$""),REGEXMATCH(A2103,"".*@simonelectrica.com$""),REGEXMATCH(A2103,"".*@hiberus.com$""),REGEXMATCH(A2103,"".*@simonbrico.es$""),regexmatch(A2103,"".*@simonelectric.com$"")),""null"",A2"&amp;"103)"),"1731@inserty.net")</f>
        <v>1731@inserty.net</v>
      </c>
      <c r="C2103" s="5">
        <f>IF(B2103="null","null",Descargas!B2103)</f>
        <v>43950</v>
      </c>
      <c r="D2103" s="6" t="str">
        <f>Descargas!E2103</f>
        <v>https://resources.simonelectric.com/simon-catalogo-vehiculo-electrico</v>
      </c>
      <c r="E2103" s="20" t="str">
        <f t="shared" si="1"/>
        <v>1731@inserty.net</v>
      </c>
      <c r="F2103" s="21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</row>
    <row r="2104" ht="15.75" customHeight="1">
      <c r="A2104" s="18" t="str">
        <f>Descargas!A2104</f>
        <v>1732@gmail.com</v>
      </c>
      <c r="B2104" s="19" t="str">
        <f>IFERROR(__xludf.DUMMYFUNCTION("IF(OR(regexmatch(A2104,"".*@simon.es$""),REGEXMATCH(A2104,"".*@simon.pt$""),REGEXMATCH(A2104,"".*@simonelectrica.com$""),REGEXMATCH(A2104,"".*@hiberus.com$""),REGEXMATCH(A2104,"".*@simonbrico.es$""),regexmatch(A2104,"".*@simonelectric.com$"")),""null"",A2"&amp;"104)"),"1732@gmail.com")</f>
        <v>1732@gmail.com</v>
      </c>
      <c r="C2104" s="5">
        <f>IF(B2104="null","null",Descargas!B2104)</f>
        <v>43950</v>
      </c>
      <c r="D2104" s="6" t="str">
        <f>Descargas!E2104</f>
        <v>https://resources.simonelectric.com/simon-catalogo-vehiculo-electrico</v>
      </c>
      <c r="E2104" s="20" t="str">
        <f t="shared" si="1"/>
        <v>1732@gmail.com</v>
      </c>
      <c r="F2104" s="21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</row>
    <row r="2105" ht="15.75" customHeight="1">
      <c r="A2105" s="18" t="str">
        <f>Descargas!A2105</f>
        <v>1733@ecm-partners.com</v>
      </c>
      <c r="B2105" s="19" t="str">
        <f>IFERROR(__xludf.DUMMYFUNCTION("IF(OR(regexmatch(A2105,"".*@simon.es$""),REGEXMATCH(A2105,"".*@simon.pt$""),REGEXMATCH(A2105,"".*@simonelectrica.com$""),REGEXMATCH(A2105,"".*@hiberus.com$""),REGEXMATCH(A2105,"".*@simonbrico.es$""),regexmatch(A2105,"".*@simonelectric.com$"")),""null"",A2"&amp;"105)"),"1733@ecm-partners.com")</f>
        <v>1733@ecm-partners.com</v>
      </c>
      <c r="C2105" s="5">
        <f>IF(B2105="null","null",Descargas!B2105)</f>
        <v>43950</v>
      </c>
      <c r="D2105" s="6" t="str">
        <f>Descargas!E2105</f>
        <v>https://resources.simonelectric.com/simon-catalogo-vehiculo-electrico</v>
      </c>
      <c r="E2105" s="20" t="str">
        <f t="shared" si="1"/>
        <v>1733@ecm-partners.com</v>
      </c>
      <c r="F2105" s="21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</row>
    <row r="2106" ht="15.75" customHeight="1">
      <c r="A2106" s="18" t="str">
        <f>Descargas!A2106</f>
        <v>1734@ofintex.com</v>
      </c>
      <c r="B2106" s="19" t="str">
        <f>IFERROR(__xludf.DUMMYFUNCTION("IF(OR(regexmatch(A2106,"".*@simon.es$""),REGEXMATCH(A2106,"".*@simon.pt$""),REGEXMATCH(A2106,"".*@simonelectrica.com$""),REGEXMATCH(A2106,"".*@hiberus.com$""),REGEXMATCH(A2106,"".*@simonbrico.es$""),regexmatch(A2106,"".*@simonelectric.com$"")),""null"",A2"&amp;"106)"),"1734@ofintex.com")</f>
        <v>1734@ofintex.com</v>
      </c>
      <c r="C2106" s="5">
        <f>IF(B2106="null","null",Descargas!B2106)</f>
        <v>43950</v>
      </c>
      <c r="D2106" s="6" t="str">
        <f>Descargas!E2106</f>
        <v>https://resources.simonelectric.com/simon-catalogo-vehiculo-electrico</v>
      </c>
      <c r="E2106" s="20" t="str">
        <f t="shared" si="1"/>
        <v>1734@ofintex.com</v>
      </c>
      <c r="F2106" s="21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</row>
    <row r="2107" ht="15.75" customHeight="1">
      <c r="A2107" s="18" t="str">
        <f>Descargas!A2107</f>
        <v>1735@gruponovelec.com</v>
      </c>
      <c r="B2107" s="19" t="str">
        <f>IFERROR(__xludf.DUMMYFUNCTION("IF(OR(regexmatch(A2107,"".*@simon.es$""),REGEXMATCH(A2107,"".*@simon.pt$""),REGEXMATCH(A2107,"".*@simonelectrica.com$""),REGEXMATCH(A2107,"".*@hiberus.com$""),REGEXMATCH(A2107,"".*@simonbrico.es$""),regexmatch(A2107,"".*@simonelectric.com$"")),""null"",A2"&amp;"107)"),"1735@gruponovelec.com")</f>
        <v>1735@gruponovelec.com</v>
      </c>
      <c r="C2107" s="5">
        <f>IF(B2107="null","null",Descargas!B2107)</f>
        <v>43950</v>
      </c>
      <c r="D2107" s="6" t="str">
        <f>Descargas!E2107</f>
        <v>https://resources.simonelectric.com/simon-catalogo-vehiculo-electrico</v>
      </c>
      <c r="E2107" s="20" t="str">
        <f t="shared" si="1"/>
        <v>1735@gruponovelec.com</v>
      </c>
      <c r="F2107" s="21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</row>
    <row r="2108" ht="15.75" customHeight="1">
      <c r="A2108" s="18" t="str">
        <f>Descargas!A2108</f>
        <v>1736@electrovizcaya.com</v>
      </c>
      <c r="B2108" s="19" t="str">
        <f>IFERROR(__xludf.DUMMYFUNCTION("IF(OR(regexmatch(A2108,"".*@simon.es$""),REGEXMATCH(A2108,"".*@simon.pt$""),REGEXMATCH(A2108,"".*@simonelectrica.com$""),REGEXMATCH(A2108,"".*@hiberus.com$""),REGEXMATCH(A2108,"".*@simonbrico.es$""),regexmatch(A2108,"".*@simonelectric.com$"")),""null"",A2"&amp;"108)"),"1736@electrovizcaya.com")</f>
        <v>1736@electrovizcaya.com</v>
      </c>
      <c r="C2108" s="5">
        <f>IF(B2108="null","null",Descargas!B2108)</f>
        <v>43950</v>
      </c>
      <c r="D2108" s="6" t="str">
        <f>Descargas!E2108</f>
        <v>https://resources.simonelectric.com/simon-catalogo-vehiculo-electrico</v>
      </c>
      <c r="E2108" s="20" t="str">
        <f t="shared" si="1"/>
        <v>1736@electrovizcaya.com</v>
      </c>
      <c r="F2108" s="21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</row>
    <row r="2109" ht="15.75" customHeight="1">
      <c r="A2109" s="18" t="str">
        <f>Descargas!A2109</f>
        <v>1737@salesianos.edu</v>
      </c>
      <c r="B2109" s="19" t="str">
        <f>IFERROR(__xludf.DUMMYFUNCTION("IF(OR(regexmatch(A2109,"".*@simon.es$""),REGEXMATCH(A2109,"".*@simon.pt$""),REGEXMATCH(A2109,"".*@simonelectrica.com$""),REGEXMATCH(A2109,"".*@hiberus.com$""),REGEXMATCH(A2109,"".*@simonbrico.es$""),regexmatch(A2109,"".*@simonelectric.com$"")),""null"",A2"&amp;"109)"),"1737@salesianos.edu")</f>
        <v>1737@salesianos.edu</v>
      </c>
      <c r="C2109" s="5">
        <f>IF(B2109="null","null",Descargas!B2109)</f>
        <v>43950</v>
      </c>
      <c r="D2109" s="6" t="str">
        <f>Descargas!E2109</f>
        <v>https://resources.simonelectric.com/simon-catalogo-vehiculo-electrico</v>
      </c>
      <c r="E2109" s="20" t="str">
        <f t="shared" si="1"/>
        <v>1737@salesianos.edu</v>
      </c>
      <c r="F2109" s="21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</row>
    <row r="2110" ht="15.75" customHeight="1">
      <c r="A2110" s="18" t="str">
        <f>Descargas!A2110</f>
        <v>1738@msn.com</v>
      </c>
      <c r="B2110" s="19" t="str">
        <f>IFERROR(__xludf.DUMMYFUNCTION("IF(OR(regexmatch(A2110,"".*@simon.es$""),REGEXMATCH(A2110,"".*@simon.pt$""),REGEXMATCH(A2110,"".*@simonelectrica.com$""),REGEXMATCH(A2110,"".*@hiberus.com$""),REGEXMATCH(A2110,"".*@simonbrico.es$""),regexmatch(A2110,"".*@simonelectric.com$"")),""null"",A2"&amp;"110)"),"1738@msn.com")</f>
        <v>1738@msn.com</v>
      </c>
      <c r="C2110" s="5">
        <f>IF(B2110="null","null",Descargas!B2110)</f>
        <v>43950</v>
      </c>
      <c r="D2110" s="6" t="str">
        <f>Descargas!E2110</f>
        <v>https://resources.simonelectric.com/simon-catalogo-vehiculo-electrico</v>
      </c>
      <c r="E2110" s="20" t="str">
        <f t="shared" si="1"/>
        <v>1738@msn.com</v>
      </c>
      <c r="F2110" s="21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</row>
    <row r="2111" ht="15.75" customHeight="1">
      <c r="A2111" s="18" t="str">
        <f>Descargas!A2111</f>
        <v>1739@jh-internacional.com</v>
      </c>
      <c r="B2111" s="19" t="str">
        <f>IFERROR(__xludf.DUMMYFUNCTION("IF(OR(regexmatch(A2111,"".*@simon.es$""),REGEXMATCH(A2111,"".*@simon.pt$""),REGEXMATCH(A2111,"".*@simonelectrica.com$""),REGEXMATCH(A2111,"".*@hiberus.com$""),REGEXMATCH(A2111,"".*@simonbrico.es$""),regexmatch(A2111,"".*@simonelectric.com$"")),""null"",A2"&amp;"111)"),"1739@jh-internacional.com")</f>
        <v>1739@jh-internacional.com</v>
      </c>
      <c r="C2111" s="5">
        <f>IF(B2111="null","null",Descargas!B2111)</f>
        <v>43950</v>
      </c>
      <c r="D2111" s="6" t="str">
        <f>Descargas!E2111</f>
        <v>https://resources.simonelectric.com/simon-catalogo-vehiculo-electrico</v>
      </c>
      <c r="E2111" s="20" t="str">
        <f t="shared" si="1"/>
        <v>1739@jh-internacional.com</v>
      </c>
      <c r="F2111" s="21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</row>
    <row r="2112" ht="15.75" customHeight="1">
      <c r="A2112" s="18" t="str">
        <f>Descargas!A2112</f>
        <v>1025@gmail.com</v>
      </c>
      <c r="B2112" s="19" t="str">
        <f>IFERROR(__xludf.DUMMYFUNCTION("IF(OR(regexmatch(A2112,"".*@simon.es$""),REGEXMATCH(A2112,"".*@simon.pt$""),REGEXMATCH(A2112,"".*@simonelectrica.com$""),REGEXMATCH(A2112,"".*@hiberus.com$""),REGEXMATCH(A2112,"".*@simonbrico.es$""),regexmatch(A2112,"".*@simonelectric.com$"")),""null"",A2"&amp;"112)"),"1025@gmail.com")</f>
        <v>1025@gmail.com</v>
      </c>
      <c r="C2112" s="5">
        <f>IF(B2112="null","null",Descargas!B2112)</f>
        <v>43950</v>
      </c>
      <c r="D2112" s="6" t="str">
        <f>Descargas!E2112</f>
        <v>https://resources.simonelectric.com/simon-catalogo-vehiculo-electrico</v>
      </c>
      <c r="E2112" s="20" t="str">
        <f t="shared" si="1"/>
        <v>1025@gmail.com</v>
      </c>
      <c r="F2112" s="21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</row>
    <row r="2113" ht="15.75" customHeight="1">
      <c r="A2113" s="18" t="str">
        <f>Descargas!A2113</f>
        <v>1740@doica.net</v>
      </c>
      <c r="B2113" s="19" t="str">
        <f>IFERROR(__xludf.DUMMYFUNCTION("IF(OR(regexmatch(A2113,"".*@simon.es$""),REGEXMATCH(A2113,"".*@simon.pt$""),REGEXMATCH(A2113,"".*@simonelectrica.com$""),REGEXMATCH(A2113,"".*@hiberus.com$""),REGEXMATCH(A2113,"".*@simonbrico.es$""),regexmatch(A2113,"".*@simonelectric.com$"")),""null"",A2"&amp;"113)"),"1740@doica.net")</f>
        <v>1740@doica.net</v>
      </c>
      <c r="C2113" s="5">
        <f>IF(B2113="null","null",Descargas!B2113)</f>
        <v>43950</v>
      </c>
      <c r="D2113" s="6" t="str">
        <f>Descargas!E2113</f>
        <v>https://resources.simonelectric.com/simon-catalogo-vehiculo-electrico</v>
      </c>
      <c r="E2113" s="20" t="str">
        <f t="shared" si="1"/>
        <v>1740@doica.net</v>
      </c>
      <c r="F2113" s="21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</row>
    <row r="2114" ht="15.75" customHeight="1">
      <c r="A2114" s="18" t="str">
        <f>Descargas!A2114</f>
        <v>1741@grupoelectrostocks.com</v>
      </c>
      <c r="B2114" s="19" t="str">
        <f>IFERROR(__xludf.DUMMYFUNCTION("IF(OR(regexmatch(A2114,"".*@simon.es$""),REGEXMATCH(A2114,"".*@simon.pt$""),REGEXMATCH(A2114,"".*@simonelectrica.com$""),REGEXMATCH(A2114,"".*@hiberus.com$""),REGEXMATCH(A2114,"".*@simonbrico.es$""),regexmatch(A2114,"".*@simonelectric.com$"")),""null"",A2"&amp;"114)"),"1741@grupoelectrostocks.com")</f>
        <v>1741@grupoelectrostocks.com</v>
      </c>
      <c r="C2114" s="5">
        <f>IF(B2114="null","null",Descargas!B2114)</f>
        <v>43950</v>
      </c>
      <c r="D2114" s="6" t="str">
        <f>Descargas!E2114</f>
        <v>https://resources.simonelectric.com/simon-catalogo-vehiculo-electrico</v>
      </c>
      <c r="E2114" s="20" t="str">
        <f t="shared" si="1"/>
        <v>1741@grupoelectrostocks.com</v>
      </c>
      <c r="F2114" s="21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</row>
    <row r="2115" ht="15.75" customHeight="1">
      <c r="A2115" s="18" t="str">
        <f>Descargas!A2115</f>
        <v>1742@industrialgines.com</v>
      </c>
      <c r="B2115" s="19" t="str">
        <f>IFERROR(__xludf.DUMMYFUNCTION("IF(OR(regexmatch(A2115,"".*@simon.es$""),REGEXMATCH(A2115,"".*@simon.pt$""),REGEXMATCH(A2115,"".*@simonelectrica.com$""),REGEXMATCH(A2115,"".*@hiberus.com$""),REGEXMATCH(A2115,"".*@simonbrico.es$""),regexmatch(A2115,"".*@simonelectric.com$"")),""null"",A2"&amp;"115)"),"1742@industrialgines.com")</f>
        <v>1742@industrialgines.com</v>
      </c>
      <c r="C2115" s="5">
        <f>IF(B2115="null","null",Descargas!B2115)</f>
        <v>43950</v>
      </c>
      <c r="D2115" s="6" t="str">
        <f>Descargas!E2115</f>
        <v>https://resources.simonelectric.com/simon-catalogo-vehiculo-electrico</v>
      </c>
      <c r="E2115" s="20" t="str">
        <f t="shared" si="1"/>
        <v>1742@industrialgines.com</v>
      </c>
      <c r="F2115" s="21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</row>
    <row r="2116" ht="15.75" customHeight="1">
      <c r="A2116" s="18" t="str">
        <f>Descargas!A2116</f>
        <v>1743@ceymo.es</v>
      </c>
      <c r="B2116" s="19" t="str">
        <f>IFERROR(__xludf.DUMMYFUNCTION("IF(OR(regexmatch(A2116,"".*@simon.es$""),REGEXMATCH(A2116,"".*@simon.pt$""),REGEXMATCH(A2116,"".*@simonelectrica.com$""),REGEXMATCH(A2116,"".*@hiberus.com$""),REGEXMATCH(A2116,"".*@simonbrico.es$""),regexmatch(A2116,"".*@simonelectric.com$"")),""null"",A2"&amp;"116)"),"1743@ceymo.es")</f>
        <v>1743@ceymo.es</v>
      </c>
      <c r="C2116" s="5">
        <f>IF(B2116="null","null",Descargas!B2116)</f>
        <v>43950</v>
      </c>
      <c r="D2116" s="6" t="str">
        <f>Descargas!E2116</f>
        <v>https://resources.simonelectric.com/simon-catalogo-vehiculo-electrico</v>
      </c>
      <c r="E2116" s="20" t="str">
        <f t="shared" si="1"/>
        <v>1743@ceymo.es</v>
      </c>
      <c r="F2116" s="21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</row>
    <row r="2117" ht="15.75" customHeight="1">
      <c r="A2117" s="18" t="str">
        <f>Descargas!A2117</f>
        <v>1744@gmail.com</v>
      </c>
      <c r="B2117" s="19" t="str">
        <f>IFERROR(__xludf.DUMMYFUNCTION("IF(OR(regexmatch(A2117,"".*@simon.es$""),REGEXMATCH(A2117,"".*@simon.pt$""),REGEXMATCH(A2117,"".*@simonelectrica.com$""),REGEXMATCH(A2117,"".*@hiberus.com$""),REGEXMATCH(A2117,"".*@simonbrico.es$""),regexmatch(A2117,"".*@simonelectric.com$"")),""null"",A2"&amp;"117)"),"1744@gmail.com")</f>
        <v>1744@gmail.com</v>
      </c>
      <c r="C2117" s="5">
        <f>IF(B2117="null","null",Descargas!B2117)</f>
        <v>43950</v>
      </c>
      <c r="D2117" s="6" t="str">
        <f>Descargas!E2117</f>
        <v>https://resources.simonelectric.com/simon-catalogo-vehiculo-electrico</v>
      </c>
      <c r="E2117" s="20" t="str">
        <f t="shared" si="1"/>
        <v>1744@gmail.com</v>
      </c>
      <c r="F2117" s="21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</row>
    <row r="2118" ht="15.75" customHeight="1">
      <c r="A2118" s="18" t="str">
        <f>Descargas!A2118</f>
        <v>1745@bod.es</v>
      </c>
      <c r="B2118" s="19" t="str">
        <f>IFERROR(__xludf.DUMMYFUNCTION("IF(OR(regexmatch(A2118,"".*@simon.es$""),REGEXMATCH(A2118,"".*@simon.pt$""),REGEXMATCH(A2118,"".*@simonelectrica.com$""),REGEXMATCH(A2118,"".*@hiberus.com$""),REGEXMATCH(A2118,"".*@simonbrico.es$""),regexmatch(A2118,"".*@simonelectric.com$"")),""null"",A2"&amp;"118)"),"1745@bod.es")</f>
        <v>1745@bod.es</v>
      </c>
      <c r="C2118" s="5">
        <f>IF(B2118="null","null",Descargas!B2118)</f>
        <v>43950</v>
      </c>
      <c r="D2118" s="6" t="str">
        <f>Descargas!E2118</f>
        <v>https://resources.simonelectric.com/simon-catalogo-vehiculo-electrico</v>
      </c>
      <c r="E2118" s="20" t="str">
        <f t="shared" si="1"/>
        <v>1745@bod.es</v>
      </c>
      <c r="F2118" s="21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</row>
    <row r="2119" ht="15.75" customHeight="1">
      <c r="A2119" s="18" t="str">
        <f>Descargas!A2119</f>
        <v>1746@hotmail.es</v>
      </c>
      <c r="B2119" s="19" t="str">
        <f>IFERROR(__xludf.DUMMYFUNCTION("IF(OR(regexmatch(A2119,"".*@simon.es$""),REGEXMATCH(A2119,"".*@simon.pt$""),REGEXMATCH(A2119,"".*@simonelectrica.com$""),REGEXMATCH(A2119,"".*@hiberus.com$""),REGEXMATCH(A2119,"".*@simonbrico.es$""),regexmatch(A2119,"".*@simonelectric.com$"")),""null"",A2"&amp;"119)"),"1746@hotmail.es")</f>
        <v>1746@hotmail.es</v>
      </c>
      <c r="C2119" s="5">
        <f>IF(B2119="null","null",Descargas!B2119)</f>
        <v>43950</v>
      </c>
      <c r="D2119" s="6" t="str">
        <f>Descargas!E2119</f>
        <v>https://resources.simonelectric.com/simon-catalogo-vehiculo-electrico</v>
      </c>
      <c r="E2119" s="20" t="str">
        <f t="shared" si="1"/>
        <v>1746@hotmail.es</v>
      </c>
      <c r="F2119" s="21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</row>
    <row r="2120" ht="15.75" customHeight="1">
      <c r="A2120" s="18" t="str">
        <f>Descargas!A2120</f>
        <v>1747@araiz.es</v>
      </c>
      <c r="B2120" s="19" t="str">
        <f>IFERROR(__xludf.DUMMYFUNCTION("IF(OR(regexmatch(A2120,"".*@simon.es$""),REGEXMATCH(A2120,"".*@simon.pt$""),REGEXMATCH(A2120,"".*@simonelectrica.com$""),REGEXMATCH(A2120,"".*@hiberus.com$""),REGEXMATCH(A2120,"".*@simonbrico.es$""),regexmatch(A2120,"".*@simonelectric.com$"")),""null"",A2"&amp;"120)"),"1747@araiz.es")</f>
        <v>1747@araiz.es</v>
      </c>
      <c r="C2120" s="5">
        <f>IF(B2120="null","null",Descargas!B2120)</f>
        <v>43950</v>
      </c>
      <c r="D2120" s="6" t="str">
        <f>Descargas!E2120</f>
        <v>https://resources.simonelectric.com/simon-catalogo-vehiculo-electrico</v>
      </c>
      <c r="E2120" s="20" t="str">
        <f t="shared" si="1"/>
        <v>1747@araiz.es</v>
      </c>
      <c r="F2120" s="21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</row>
    <row r="2121" ht="15.75" customHeight="1">
      <c r="A2121" s="18" t="str">
        <f>Descargas!A2121</f>
        <v>408@ic3sl.com</v>
      </c>
      <c r="B2121" s="19" t="str">
        <f>IFERROR(__xludf.DUMMYFUNCTION("IF(OR(regexmatch(A2121,"".*@simon.es$""),REGEXMATCH(A2121,"".*@simon.pt$""),REGEXMATCH(A2121,"".*@simonelectrica.com$""),REGEXMATCH(A2121,"".*@hiberus.com$""),REGEXMATCH(A2121,"".*@simonbrico.es$""),regexmatch(A2121,"".*@simonelectric.com$"")),""null"",A2"&amp;"121)"),"408@ic3sl.com")</f>
        <v>408@ic3sl.com</v>
      </c>
      <c r="C2121" s="5">
        <f>IF(B2121="null","null",Descargas!B2121)</f>
        <v>43950</v>
      </c>
      <c r="D2121" s="6" t="str">
        <f>Descargas!E2121</f>
        <v>https://resources.simonelectric.com/simon-catalogo-vehiculo-electrico</v>
      </c>
      <c r="E2121" s="20" t="str">
        <f t="shared" si="1"/>
        <v>408@ic3sl.com</v>
      </c>
      <c r="F2121" s="21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</row>
    <row r="2122" ht="15.75" customHeight="1">
      <c r="A2122" s="18" t="str">
        <f>Descargas!A2122</f>
        <v>1748@salesianosatocha.es</v>
      </c>
      <c r="B2122" s="19" t="str">
        <f>IFERROR(__xludf.DUMMYFUNCTION("IF(OR(regexmatch(A2122,"".*@simon.es$""),REGEXMATCH(A2122,"".*@simon.pt$""),REGEXMATCH(A2122,"".*@simonelectrica.com$""),REGEXMATCH(A2122,"".*@hiberus.com$""),REGEXMATCH(A2122,"".*@simonbrico.es$""),regexmatch(A2122,"".*@simonelectric.com$"")),""null"",A2"&amp;"122)"),"1748@salesianosatocha.es")</f>
        <v>1748@salesianosatocha.es</v>
      </c>
      <c r="C2122" s="5">
        <f>IF(B2122="null","null",Descargas!B2122)</f>
        <v>43950</v>
      </c>
      <c r="D2122" s="6" t="str">
        <f>Descargas!E2122</f>
        <v>https://resources.simonelectric.com/simon-catalogo-vehiculo-electrico</v>
      </c>
      <c r="E2122" s="20" t="str">
        <f t="shared" si="1"/>
        <v>1748@salesianosatocha.es</v>
      </c>
      <c r="F2122" s="21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</row>
    <row r="2123" ht="15.75" customHeight="1">
      <c r="A2123" s="18" t="str">
        <f>Descargas!A2123</f>
        <v>1749@simon.es</v>
      </c>
      <c r="B2123" s="19" t="str">
        <f>IFERROR(__xludf.DUMMYFUNCTION("IF(OR(regexmatch(A2123,"".*@simon.es$""),REGEXMATCH(A2123,"".*@simon.pt$""),REGEXMATCH(A2123,"".*@simonelectrica.com$""),REGEXMATCH(A2123,"".*@hiberus.com$""),REGEXMATCH(A2123,"".*@simonbrico.es$""),regexmatch(A2123,"".*@simonelectric.com$"")),""null"",A2"&amp;"123)"),"null")</f>
        <v>null</v>
      </c>
      <c r="C2123" s="5" t="str">
        <f>IF(B2123="null","null",Descargas!B2123)</f>
        <v>null</v>
      </c>
      <c r="D2123" s="6" t="str">
        <f>Descargas!E2123</f>
        <v>https://resources.simonelectric.com/simon-catalogo-vehiculo-electrico</v>
      </c>
      <c r="E2123" s="24" t="str">
        <f t="shared" si="1"/>
        <v/>
      </c>
      <c r="F2123" s="21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</row>
    <row r="2124" ht="15.75" customHeight="1">
      <c r="A2124" s="18" t="str">
        <f>Descargas!A2124</f>
        <v>1750@itecnal.com</v>
      </c>
      <c r="B2124" s="19" t="str">
        <f>IFERROR(__xludf.DUMMYFUNCTION("IF(OR(regexmatch(A2124,"".*@simon.es$""),REGEXMATCH(A2124,"".*@simon.pt$""),REGEXMATCH(A2124,"".*@simonelectrica.com$""),REGEXMATCH(A2124,"".*@hiberus.com$""),REGEXMATCH(A2124,"".*@simonbrico.es$""),regexmatch(A2124,"".*@simonelectric.com$"")),""null"",A2"&amp;"124)"),"1750@itecnal.com")</f>
        <v>1750@itecnal.com</v>
      </c>
      <c r="C2124" s="5">
        <f>IF(B2124="null","null",Descargas!B2124)</f>
        <v>43950</v>
      </c>
      <c r="D2124" s="6" t="str">
        <f>Descargas!E2124</f>
        <v>https://resources.simonelectric.com/simon-catalogo-vehiculo-electrico</v>
      </c>
      <c r="E2124" s="20" t="str">
        <f t="shared" si="1"/>
        <v>1750@itecnal.com</v>
      </c>
      <c r="F2124" s="21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</row>
    <row r="2125" ht="15.75" customHeight="1">
      <c r="A2125" s="18" t="str">
        <f>Descargas!A2125</f>
        <v>1751@altener.es</v>
      </c>
      <c r="B2125" s="19" t="str">
        <f>IFERROR(__xludf.DUMMYFUNCTION("IF(OR(regexmatch(A2125,"".*@simon.es$""),REGEXMATCH(A2125,"".*@simon.pt$""),REGEXMATCH(A2125,"".*@simonelectrica.com$""),REGEXMATCH(A2125,"".*@hiberus.com$""),REGEXMATCH(A2125,"".*@simonbrico.es$""),regexmatch(A2125,"".*@simonelectric.com$"")),""null"",A2"&amp;"125)"),"1751@altener.es")</f>
        <v>1751@altener.es</v>
      </c>
      <c r="C2125" s="5">
        <f>IF(B2125="null","null",Descargas!B2125)</f>
        <v>43950</v>
      </c>
      <c r="D2125" s="6" t="str">
        <f>Descargas!E2125</f>
        <v>https://resources.simonelectric.com/simon-catalogo-vehiculo-electrico</v>
      </c>
      <c r="E2125" s="20" t="str">
        <f t="shared" si="1"/>
        <v>1751@altener.es</v>
      </c>
      <c r="F2125" s="21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</row>
    <row r="2126" ht="15.75" customHeight="1">
      <c r="A2126" s="18" t="str">
        <f>Descargas!A2126</f>
        <v>1752@intec3.es</v>
      </c>
      <c r="B2126" s="19" t="str">
        <f>IFERROR(__xludf.DUMMYFUNCTION("IF(OR(regexmatch(A2126,"".*@simon.es$""),REGEXMATCH(A2126,"".*@simon.pt$""),REGEXMATCH(A2126,"".*@simonelectrica.com$""),REGEXMATCH(A2126,"".*@hiberus.com$""),REGEXMATCH(A2126,"".*@simonbrico.es$""),regexmatch(A2126,"".*@simonelectric.com$"")),""null"",A2"&amp;"126)"),"1752@intec3.es")</f>
        <v>1752@intec3.es</v>
      </c>
      <c r="C2126" s="5">
        <f>IF(B2126="null","null",Descargas!B2126)</f>
        <v>43950</v>
      </c>
      <c r="D2126" s="6" t="str">
        <f>Descargas!E2126</f>
        <v>https://resources.simonelectric.com/simon-catalogo-vehiculo-electrico</v>
      </c>
      <c r="E2126" s="20" t="str">
        <f t="shared" si="1"/>
        <v>1752@intec3.es</v>
      </c>
      <c r="F2126" s="21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</row>
    <row r="2127" ht="15.75" customHeight="1">
      <c r="A2127" s="18" t="str">
        <f>Descargas!A2127</f>
        <v>1753@arcadis.com</v>
      </c>
      <c r="B2127" s="19" t="str">
        <f>IFERROR(__xludf.DUMMYFUNCTION("IF(OR(regexmatch(A2127,"".*@simon.es$""),REGEXMATCH(A2127,"".*@simon.pt$""),REGEXMATCH(A2127,"".*@simonelectrica.com$""),REGEXMATCH(A2127,"".*@hiberus.com$""),REGEXMATCH(A2127,"".*@simonbrico.es$""),regexmatch(A2127,"".*@simonelectric.com$"")),""null"",A2"&amp;"127)"),"1753@arcadis.com")</f>
        <v>1753@arcadis.com</v>
      </c>
      <c r="C2127" s="5">
        <f>IF(B2127="null","null",Descargas!B2127)</f>
        <v>43950</v>
      </c>
      <c r="D2127" s="6" t="str">
        <f>Descargas!E2127</f>
        <v>https://resources.simonelectric.com/simon-catalogo-vehiculo-electrico</v>
      </c>
      <c r="E2127" s="20" t="str">
        <f t="shared" si="1"/>
        <v>1753@arcadis.com</v>
      </c>
      <c r="F2127" s="21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</row>
    <row r="2128" ht="15.75" customHeight="1">
      <c r="A2128" s="18" t="str">
        <f>Descargas!A2128</f>
        <v>1754@gabyl.com</v>
      </c>
      <c r="B2128" s="19" t="str">
        <f>IFERROR(__xludf.DUMMYFUNCTION("IF(OR(regexmatch(A2128,"".*@simon.es$""),REGEXMATCH(A2128,"".*@simon.pt$""),REGEXMATCH(A2128,"".*@simonelectrica.com$""),REGEXMATCH(A2128,"".*@hiberus.com$""),REGEXMATCH(A2128,"".*@simonbrico.es$""),regexmatch(A2128,"".*@simonelectric.com$"")),""null"",A2"&amp;"128)"),"1754@gabyl.com")</f>
        <v>1754@gabyl.com</v>
      </c>
      <c r="C2128" s="5">
        <f>IF(B2128="null","null",Descargas!B2128)</f>
        <v>43950</v>
      </c>
      <c r="D2128" s="6" t="str">
        <f>Descargas!E2128</f>
        <v>https://resources.simonelectric.com/simon-catalogo-vehiculo-electrico</v>
      </c>
      <c r="E2128" s="20" t="str">
        <f t="shared" si="1"/>
        <v>1754@gabyl.com</v>
      </c>
      <c r="F2128" s="21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</row>
    <row r="2129" ht="15.75" customHeight="1">
      <c r="A2129" s="18" t="str">
        <f>Descargas!A2129</f>
        <v>1755@pgiengineering.com</v>
      </c>
      <c r="B2129" s="19" t="str">
        <f>IFERROR(__xludf.DUMMYFUNCTION("IF(OR(regexmatch(A2129,"".*@simon.es$""),REGEXMATCH(A2129,"".*@simon.pt$""),REGEXMATCH(A2129,"".*@simonelectrica.com$""),REGEXMATCH(A2129,"".*@hiberus.com$""),REGEXMATCH(A2129,"".*@simonbrico.es$""),regexmatch(A2129,"".*@simonelectric.com$"")),""null"",A2"&amp;"129)"),"1755@pgiengineering.com")</f>
        <v>1755@pgiengineering.com</v>
      </c>
      <c r="C2129" s="5">
        <f>IF(B2129="null","null",Descargas!B2129)</f>
        <v>43950</v>
      </c>
      <c r="D2129" s="6" t="str">
        <f>Descargas!E2129</f>
        <v>https://resources.simonelectric.com/simon-catalogo-vehiculo-electrico</v>
      </c>
      <c r="E2129" s="20" t="str">
        <f t="shared" si="1"/>
        <v>1755@pgiengineering.com</v>
      </c>
      <c r="F2129" s="21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</row>
    <row r="2130" ht="15.75" customHeight="1">
      <c r="A2130" s="18" t="str">
        <f>Descargas!A2130</f>
        <v>1756@gmail.com</v>
      </c>
      <c r="B2130" s="19" t="str">
        <f>IFERROR(__xludf.DUMMYFUNCTION("IF(OR(regexmatch(A2130,"".*@simon.es$""),REGEXMATCH(A2130,"".*@simon.pt$""),REGEXMATCH(A2130,"".*@simonelectrica.com$""),REGEXMATCH(A2130,"".*@hiberus.com$""),REGEXMATCH(A2130,"".*@simonbrico.es$""),regexmatch(A2130,"".*@simonelectric.com$"")),""null"",A2"&amp;"130)"),"1756@gmail.com")</f>
        <v>1756@gmail.com</v>
      </c>
      <c r="C2130" s="5">
        <f>IF(B2130="null","null",Descargas!B2130)</f>
        <v>43950</v>
      </c>
      <c r="D2130" s="6" t="str">
        <f>Descargas!E2130</f>
        <v>https://resources.simonelectric.com/simon-catalogo-vehiculo-electrico</v>
      </c>
      <c r="E2130" s="20" t="str">
        <f t="shared" si="1"/>
        <v>1756@gmail.com</v>
      </c>
      <c r="F2130" s="21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</row>
    <row r="2131" ht="15.75" customHeight="1">
      <c r="A2131" s="18" t="str">
        <f>Descargas!A2131</f>
        <v>1757@indair-genercasadevall.cat</v>
      </c>
      <c r="B2131" s="19" t="str">
        <f>IFERROR(__xludf.DUMMYFUNCTION("IF(OR(regexmatch(A2131,"".*@simon.es$""),REGEXMATCH(A2131,"".*@simon.pt$""),REGEXMATCH(A2131,"".*@simonelectrica.com$""),REGEXMATCH(A2131,"".*@hiberus.com$""),REGEXMATCH(A2131,"".*@simonbrico.es$""),regexmatch(A2131,"".*@simonelectric.com$"")),""null"",A2"&amp;"131)"),"1757@indair-genercasadevall.cat")</f>
        <v>1757@indair-genercasadevall.cat</v>
      </c>
      <c r="C2131" s="5">
        <f>IF(B2131="null","null",Descargas!B2131)</f>
        <v>43950</v>
      </c>
      <c r="D2131" s="6" t="str">
        <f>Descargas!E2131</f>
        <v>https://resources.simonelectric.com/simon-catalogo-vehiculo-electrico</v>
      </c>
      <c r="E2131" s="20" t="str">
        <f t="shared" si="1"/>
        <v>1757@indair-genercasadevall.cat</v>
      </c>
      <c r="F2131" s="21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</row>
    <row r="2132" ht="15.75" customHeight="1">
      <c r="A2132" s="18" t="str">
        <f>Descargas!A2132</f>
        <v>1758@gmail.com</v>
      </c>
      <c r="B2132" s="19" t="str">
        <f>IFERROR(__xludf.DUMMYFUNCTION("IF(OR(regexmatch(A2132,"".*@simon.es$""),REGEXMATCH(A2132,"".*@simon.pt$""),REGEXMATCH(A2132,"".*@simonelectrica.com$""),REGEXMATCH(A2132,"".*@hiberus.com$""),REGEXMATCH(A2132,"".*@simonbrico.es$""),regexmatch(A2132,"".*@simonelectric.com$"")),""null"",A2"&amp;"132)"),"1758@gmail.com")</f>
        <v>1758@gmail.com</v>
      </c>
      <c r="C2132" s="5">
        <f>IF(B2132="null","null",Descargas!B2132)</f>
        <v>43950</v>
      </c>
      <c r="D2132" s="6" t="str">
        <f>Descargas!E2132</f>
        <v>https://resources.simonelectric.com/simon-catalogo-vehiculo-electrico</v>
      </c>
      <c r="E2132" s="20" t="str">
        <f t="shared" si="1"/>
        <v>1758@gmail.com</v>
      </c>
      <c r="F2132" s="21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</row>
    <row r="2133" ht="15.75" customHeight="1">
      <c r="A2133" s="18" t="str">
        <f>Descargas!A2133</f>
        <v>1759@galektra.es</v>
      </c>
      <c r="B2133" s="19" t="str">
        <f>IFERROR(__xludf.DUMMYFUNCTION("IF(OR(regexmatch(A2133,"".*@simon.es$""),REGEXMATCH(A2133,"".*@simon.pt$""),REGEXMATCH(A2133,"".*@simonelectrica.com$""),REGEXMATCH(A2133,"".*@hiberus.com$""),REGEXMATCH(A2133,"".*@simonbrico.es$""),regexmatch(A2133,"".*@simonelectric.com$"")),""null"",A2"&amp;"133)"),"1759@galektra.es")</f>
        <v>1759@galektra.es</v>
      </c>
      <c r="C2133" s="5">
        <f>IF(B2133="null","null",Descargas!B2133)</f>
        <v>43950</v>
      </c>
      <c r="D2133" s="6" t="str">
        <f>Descargas!E2133</f>
        <v>https://resources.simonelectric.com/simon-catalogo-vehiculo-electrico</v>
      </c>
      <c r="E2133" s="20" t="str">
        <f t="shared" si="1"/>
        <v>1759@galektra.es</v>
      </c>
      <c r="F2133" s="21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</row>
    <row r="2134" ht="15.75" customHeight="1">
      <c r="A2134" s="18" t="str">
        <f>Descargas!A2134</f>
        <v>1760@xtec.cat</v>
      </c>
      <c r="B2134" s="19" t="str">
        <f>IFERROR(__xludf.DUMMYFUNCTION("IF(OR(regexmatch(A2134,"".*@simon.es$""),REGEXMATCH(A2134,"".*@simon.pt$""),REGEXMATCH(A2134,"".*@simonelectrica.com$""),REGEXMATCH(A2134,"".*@hiberus.com$""),REGEXMATCH(A2134,"".*@simonbrico.es$""),regexmatch(A2134,"".*@simonelectric.com$"")),""null"",A2"&amp;"134)"),"1760@xtec.cat")</f>
        <v>1760@xtec.cat</v>
      </c>
      <c r="C2134" s="5">
        <f>IF(B2134="null","null",Descargas!B2134)</f>
        <v>43950</v>
      </c>
      <c r="D2134" s="6" t="str">
        <f>Descargas!E2134</f>
        <v>https://resources.simonelectric.com/simon-catalogo-vehiculo-electrico</v>
      </c>
      <c r="E2134" s="20" t="str">
        <f t="shared" si="1"/>
        <v>1760@xtec.cat</v>
      </c>
      <c r="F2134" s="21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</row>
    <row r="2135" ht="15.75" customHeight="1">
      <c r="A2135" s="18" t="str">
        <f>Descargas!A2135</f>
        <v>1761@spiritingenieria.es</v>
      </c>
      <c r="B2135" s="19" t="str">
        <f>IFERROR(__xludf.DUMMYFUNCTION("IF(OR(regexmatch(A2135,"".*@simon.es$""),REGEXMATCH(A2135,"".*@simon.pt$""),REGEXMATCH(A2135,"".*@simonelectrica.com$""),REGEXMATCH(A2135,"".*@hiberus.com$""),REGEXMATCH(A2135,"".*@simonbrico.es$""),regexmatch(A2135,"".*@simonelectric.com$"")),""null"",A2"&amp;"135)"),"1761@spiritingenieria.es")</f>
        <v>1761@spiritingenieria.es</v>
      </c>
      <c r="C2135" s="5">
        <f>IF(B2135="null","null",Descargas!B2135)</f>
        <v>43950</v>
      </c>
      <c r="D2135" s="6" t="str">
        <f>Descargas!E2135</f>
        <v>https://resources.simonelectric.com/simon-catalogo-vehiculo-electrico</v>
      </c>
      <c r="E2135" s="20" t="str">
        <f t="shared" si="1"/>
        <v>1761@spiritingenieria.es</v>
      </c>
      <c r="F2135" s="21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</row>
    <row r="2136" ht="15.75" customHeight="1">
      <c r="A2136" s="18" t="str">
        <f>Descargas!A2136</f>
        <v>1762@adqa.com</v>
      </c>
      <c r="B2136" s="19" t="str">
        <f>IFERROR(__xludf.DUMMYFUNCTION("IF(OR(regexmatch(A2136,"".*@simon.es$""),REGEXMATCH(A2136,"".*@simon.pt$""),REGEXMATCH(A2136,"".*@simonelectrica.com$""),REGEXMATCH(A2136,"".*@hiberus.com$""),REGEXMATCH(A2136,"".*@simonbrico.es$""),regexmatch(A2136,"".*@simonelectric.com$"")),""null"",A2"&amp;"136)"),"1762@adqa.com")</f>
        <v>1762@adqa.com</v>
      </c>
      <c r="C2136" s="5">
        <f>IF(B2136="null","null",Descargas!B2136)</f>
        <v>43950</v>
      </c>
      <c r="D2136" s="6" t="str">
        <f>Descargas!E2136</f>
        <v>https://resources.simonelectric.com/simon-catalogo-vehiculo-electrico</v>
      </c>
      <c r="E2136" s="20" t="str">
        <f t="shared" si="1"/>
        <v>1762@adqa.com</v>
      </c>
      <c r="F2136" s="21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</row>
    <row r="2137" ht="15.75" customHeight="1">
      <c r="A2137" s="18" t="str">
        <f>Descargas!A2137</f>
        <v>1763@coacordoba.net</v>
      </c>
      <c r="B2137" s="19" t="str">
        <f>IFERROR(__xludf.DUMMYFUNCTION("IF(OR(regexmatch(A2137,"".*@simon.es$""),REGEXMATCH(A2137,"".*@simon.pt$""),REGEXMATCH(A2137,"".*@simonelectrica.com$""),REGEXMATCH(A2137,"".*@hiberus.com$""),REGEXMATCH(A2137,"".*@simonbrico.es$""),regexmatch(A2137,"".*@simonelectric.com$"")),""null"",A2"&amp;"137)"),"1763@coacordoba.net")</f>
        <v>1763@coacordoba.net</v>
      </c>
      <c r="C2137" s="5">
        <f>IF(B2137="null","null",Descargas!B2137)</f>
        <v>43950</v>
      </c>
      <c r="D2137" s="6" t="str">
        <f>Descargas!E2137</f>
        <v>https://resources.simonelectric.com/simon-catalogo-vehiculo-electrico</v>
      </c>
      <c r="E2137" s="20" t="str">
        <f t="shared" si="1"/>
        <v>1763@coacordoba.net</v>
      </c>
      <c r="F2137" s="21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</row>
    <row r="2138" ht="15.75" customHeight="1">
      <c r="A2138" s="18" t="str">
        <f>Descargas!A2138</f>
        <v>1764@gmail.com</v>
      </c>
      <c r="B2138" s="19" t="str">
        <f>IFERROR(__xludf.DUMMYFUNCTION("IF(OR(regexmatch(A2138,"".*@simon.es$""),REGEXMATCH(A2138,"".*@simon.pt$""),REGEXMATCH(A2138,"".*@simonelectrica.com$""),REGEXMATCH(A2138,"".*@hiberus.com$""),REGEXMATCH(A2138,"".*@simonbrico.es$""),regexmatch(A2138,"".*@simonelectric.com$"")),""null"",A2"&amp;"138)"),"1764@gmail.com")</f>
        <v>1764@gmail.com</v>
      </c>
      <c r="C2138" s="5">
        <f>IF(B2138="null","null",Descargas!B2138)</f>
        <v>43950</v>
      </c>
      <c r="D2138" s="6" t="str">
        <f>Descargas!E2138</f>
        <v>https://resources.simonelectric.com/simon-catalogo-vehiculo-electrico</v>
      </c>
      <c r="E2138" s="20" t="str">
        <f t="shared" si="1"/>
        <v>1764@gmail.com</v>
      </c>
      <c r="F2138" s="21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</row>
    <row r="2139" ht="15.75" customHeight="1">
      <c r="A2139" s="18" t="str">
        <f>Descargas!A2139</f>
        <v>1765@instalplus.es</v>
      </c>
      <c r="B2139" s="19" t="str">
        <f>IFERROR(__xludf.DUMMYFUNCTION("IF(OR(regexmatch(A2139,"".*@simon.es$""),REGEXMATCH(A2139,"".*@simon.pt$""),REGEXMATCH(A2139,"".*@simonelectrica.com$""),REGEXMATCH(A2139,"".*@hiberus.com$""),REGEXMATCH(A2139,"".*@simonbrico.es$""),regexmatch(A2139,"".*@simonelectric.com$"")),""null"",A2"&amp;"139)"),"1765@instalplus.es")</f>
        <v>1765@instalplus.es</v>
      </c>
      <c r="C2139" s="5">
        <f>IF(B2139="null","null",Descargas!B2139)</f>
        <v>43950</v>
      </c>
      <c r="D2139" s="6" t="str">
        <f>Descargas!E2139</f>
        <v>https://resources.simonelectric.com/simon-catalogo-vehiculo-electrico</v>
      </c>
      <c r="E2139" s="20" t="str">
        <f t="shared" si="1"/>
        <v>1765@instalplus.es</v>
      </c>
      <c r="F2139" s="21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</row>
    <row r="2140" ht="15.75" customHeight="1">
      <c r="A2140" s="18" t="str">
        <f>Descargas!A2140</f>
        <v>1766@gmail.com</v>
      </c>
      <c r="B2140" s="19" t="str">
        <f>IFERROR(__xludf.DUMMYFUNCTION("IF(OR(regexmatch(A2140,"".*@simon.es$""),REGEXMATCH(A2140,"".*@simon.pt$""),REGEXMATCH(A2140,"".*@simonelectrica.com$""),REGEXMATCH(A2140,"".*@hiberus.com$""),REGEXMATCH(A2140,"".*@simonbrico.es$""),regexmatch(A2140,"".*@simonelectric.com$"")),""null"",A2"&amp;"140)"),"1766@gmail.com")</f>
        <v>1766@gmail.com</v>
      </c>
      <c r="C2140" s="5">
        <f>IF(B2140="null","null",Descargas!B2140)</f>
        <v>43950</v>
      </c>
      <c r="D2140" s="6" t="str">
        <f>Descargas!E2140</f>
        <v>https://resources.simonelectric.com/simon-catalogo-vehiculo-electrico</v>
      </c>
      <c r="E2140" s="20" t="str">
        <f t="shared" si="1"/>
        <v>1766@gmail.com</v>
      </c>
      <c r="F2140" s="21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</row>
    <row r="2141" ht="15.75" customHeight="1">
      <c r="A2141" s="18" t="str">
        <f>Descargas!A2141</f>
        <v>1767@gmail.com</v>
      </c>
      <c r="B2141" s="19" t="str">
        <f>IFERROR(__xludf.DUMMYFUNCTION("IF(OR(regexmatch(A2141,"".*@simon.es$""),REGEXMATCH(A2141,"".*@simon.pt$""),REGEXMATCH(A2141,"".*@simonelectrica.com$""),REGEXMATCH(A2141,"".*@hiberus.com$""),REGEXMATCH(A2141,"".*@simonbrico.es$""),regexmatch(A2141,"".*@simonelectric.com$"")),""null"",A2"&amp;"141)"),"1767@gmail.com")</f>
        <v>1767@gmail.com</v>
      </c>
      <c r="C2141" s="5">
        <f>IF(B2141="null","null",Descargas!B2141)</f>
        <v>43950</v>
      </c>
      <c r="D2141" s="6" t="str">
        <f>Descargas!E2141</f>
        <v>https://resources.simonelectric.com/simon-catalogo-vehiculo-electrico</v>
      </c>
      <c r="E2141" s="20" t="str">
        <f t="shared" si="1"/>
        <v>1767@gmail.com</v>
      </c>
      <c r="F2141" s="21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</row>
    <row r="2142" ht="15.75" customHeight="1">
      <c r="A2142" s="18" t="str">
        <f>Descargas!A2142</f>
        <v>1768@telefonica.net</v>
      </c>
      <c r="B2142" s="19" t="str">
        <f>IFERROR(__xludf.DUMMYFUNCTION("IF(OR(regexmatch(A2142,"".*@simon.es$""),REGEXMATCH(A2142,"".*@simon.pt$""),REGEXMATCH(A2142,"".*@simonelectrica.com$""),REGEXMATCH(A2142,"".*@hiberus.com$""),REGEXMATCH(A2142,"".*@simonbrico.es$""),regexmatch(A2142,"".*@simonelectric.com$"")),""null"",A2"&amp;"142)"),"1768@telefonica.net")</f>
        <v>1768@telefonica.net</v>
      </c>
      <c r="C2142" s="5">
        <f>IF(B2142="null","null",Descargas!B2142)</f>
        <v>43950</v>
      </c>
      <c r="D2142" s="6" t="str">
        <f>Descargas!E2142</f>
        <v>https://resources.simonelectric.com/simon-catalogo-vehiculo-electrico</v>
      </c>
      <c r="E2142" s="20" t="str">
        <f t="shared" si="1"/>
        <v>1768@telefonica.net</v>
      </c>
      <c r="F2142" s="21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</row>
    <row r="2143" ht="15.75" customHeight="1">
      <c r="A2143" s="18" t="str">
        <f>Descargas!A2143</f>
        <v>1769@gmail.com</v>
      </c>
      <c r="B2143" s="19" t="str">
        <f>IFERROR(__xludf.DUMMYFUNCTION("IF(OR(regexmatch(A2143,"".*@simon.es$""),REGEXMATCH(A2143,"".*@simon.pt$""),REGEXMATCH(A2143,"".*@simonelectrica.com$""),REGEXMATCH(A2143,"".*@hiberus.com$""),REGEXMATCH(A2143,"".*@simonbrico.es$""),regexmatch(A2143,"".*@simonelectric.com$"")),""null"",A2"&amp;"143)"),"1769@gmail.com")</f>
        <v>1769@gmail.com</v>
      </c>
      <c r="C2143" s="5">
        <f>IF(B2143="null","null",Descargas!B2143)</f>
        <v>43950</v>
      </c>
      <c r="D2143" s="6" t="str">
        <f>Descargas!E2143</f>
        <v>https://resources.simonelectric.com/simon-catalogo-vehiculo-electrico</v>
      </c>
      <c r="E2143" s="20" t="str">
        <f t="shared" si="1"/>
        <v>1769@gmail.com</v>
      </c>
      <c r="F2143" s="21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</row>
    <row r="2144" ht="15.75" customHeight="1">
      <c r="A2144" s="18" t="str">
        <f>Descargas!A2144</f>
        <v>1770@hotmail.es</v>
      </c>
      <c r="B2144" s="19" t="str">
        <f>IFERROR(__xludf.DUMMYFUNCTION("IF(OR(regexmatch(A2144,"".*@simon.es$""),REGEXMATCH(A2144,"".*@simon.pt$""),REGEXMATCH(A2144,"".*@simonelectrica.com$""),REGEXMATCH(A2144,"".*@hiberus.com$""),REGEXMATCH(A2144,"".*@simonbrico.es$""),regexmatch(A2144,"".*@simonelectric.com$"")),""null"",A2"&amp;"144)"),"1770@hotmail.es")</f>
        <v>1770@hotmail.es</v>
      </c>
      <c r="C2144" s="5">
        <f>IF(B2144="null","null",Descargas!B2144)</f>
        <v>43950</v>
      </c>
      <c r="D2144" s="6" t="str">
        <f>Descargas!E2144</f>
        <v>https://resources.simonelectric.com/simon-catalogo-vehiculo-electrico</v>
      </c>
      <c r="E2144" s="20" t="str">
        <f t="shared" si="1"/>
        <v>1770@hotmail.es</v>
      </c>
      <c r="F2144" s="21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</row>
    <row r="2145" ht="15.75" customHeight="1">
      <c r="A2145" s="18" t="str">
        <f>Descargas!A2145</f>
        <v>1771@gmail.com</v>
      </c>
      <c r="B2145" s="19" t="str">
        <f>IFERROR(__xludf.DUMMYFUNCTION("IF(OR(regexmatch(A2145,"".*@simon.es$""),REGEXMATCH(A2145,"".*@simon.pt$""),REGEXMATCH(A2145,"".*@simonelectrica.com$""),REGEXMATCH(A2145,"".*@hiberus.com$""),REGEXMATCH(A2145,"".*@simonbrico.es$""),regexmatch(A2145,"".*@simonelectric.com$"")),""null"",A2"&amp;"145)"),"1771@gmail.com")</f>
        <v>1771@gmail.com</v>
      </c>
      <c r="C2145" s="5">
        <f>IF(B2145="null","null",Descargas!B2145)</f>
        <v>43950</v>
      </c>
      <c r="D2145" s="6" t="str">
        <f>Descargas!E2145</f>
        <v>https://resources.simonelectric.com/simon-catalogo-vehiculo-electrico</v>
      </c>
      <c r="E2145" s="20" t="str">
        <f t="shared" si="1"/>
        <v>1771@gmail.com</v>
      </c>
      <c r="F2145" s="21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</row>
    <row r="2146" ht="15.75" customHeight="1">
      <c r="A2146" s="18" t="str">
        <f>Descargas!A2146</f>
        <v>1772@cosmoseguridad.com</v>
      </c>
      <c r="B2146" s="19" t="str">
        <f>IFERROR(__xludf.DUMMYFUNCTION("IF(OR(regexmatch(A2146,"".*@simon.es$""),REGEXMATCH(A2146,"".*@simon.pt$""),REGEXMATCH(A2146,"".*@simonelectrica.com$""),REGEXMATCH(A2146,"".*@hiberus.com$""),REGEXMATCH(A2146,"".*@simonbrico.es$""),regexmatch(A2146,"".*@simonelectric.com$"")),""null"",A2"&amp;"146)"),"1772@cosmoseguridad.com")</f>
        <v>1772@cosmoseguridad.com</v>
      </c>
      <c r="C2146" s="5">
        <f>IF(B2146="null","null",Descargas!B2146)</f>
        <v>43950</v>
      </c>
      <c r="D2146" s="6" t="str">
        <f>Descargas!E2146</f>
        <v>https://resources.simonelectric.com/simon-catalogo-vehiculo-electrico</v>
      </c>
      <c r="E2146" s="20" t="str">
        <f t="shared" si="1"/>
        <v>1772@cosmoseguridad.com</v>
      </c>
      <c r="F2146" s="21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</row>
    <row r="2147" ht="15.75" customHeight="1">
      <c r="A2147" s="18" t="str">
        <f>Descargas!A2147</f>
        <v>1030@inmaser-integral.es</v>
      </c>
      <c r="B2147" s="19" t="str">
        <f>IFERROR(__xludf.DUMMYFUNCTION("IF(OR(regexmatch(A2147,"".*@simon.es$""),REGEXMATCH(A2147,"".*@simon.pt$""),REGEXMATCH(A2147,"".*@simonelectrica.com$""),REGEXMATCH(A2147,"".*@hiberus.com$""),REGEXMATCH(A2147,"".*@simonbrico.es$""),regexmatch(A2147,"".*@simonelectric.com$"")),""null"",A2"&amp;"147)"),"1030@inmaser-integral.es")</f>
        <v>1030@inmaser-integral.es</v>
      </c>
      <c r="C2147" s="5">
        <f>IF(B2147="null","null",Descargas!B2147)</f>
        <v>43950</v>
      </c>
      <c r="D2147" s="6" t="str">
        <f>Descargas!E2147</f>
        <v>https://resources.simonelectric.com/simon-catalogo-vehiculo-electrico</v>
      </c>
      <c r="E2147" s="20" t="str">
        <f t="shared" si="1"/>
        <v>1030@inmaser-integral.es</v>
      </c>
      <c r="F2147" s="21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</row>
    <row r="2148" ht="15.75" customHeight="1">
      <c r="A2148" s="18" t="str">
        <f>Descargas!A2148</f>
        <v>1773@simon.es</v>
      </c>
      <c r="B2148" s="19" t="str">
        <f>IFERROR(__xludf.DUMMYFUNCTION("IF(OR(regexmatch(A2148,"".*@simon.es$""),REGEXMATCH(A2148,"".*@simon.pt$""),REGEXMATCH(A2148,"".*@simonelectrica.com$""),REGEXMATCH(A2148,"".*@hiberus.com$""),REGEXMATCH(A2148,"".*@simonbrico.es$""),regexmatch(A2148,"".*@simonelectric.com$"")),""null"",A2"&amp;"148)"),"null")</f>
        <v>null</v>
      </c>
      <c r="C2148" s="5" t="str">
        <f>IF(B2148="null","null",Descargas!B2148)</f>
        <v>null</v>
      </c>
      <c r="D2148" s="6" t="str">
        <f>Descargas!E2148</f>
        <v>https://resources.simonelectric.com/simon-catalogo-vehiculo-electrico</v>
      </c>
      <c r="E2148" s="24" t="str">
        <f t="shared" si="1"/>
        <v/>
      </c>
      <c r="F2148" s="21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</row>
    <row r="2149" ht="15.75" customHeight="1">
      <c r="A2149" s="18" t="str">
        <f>Descargas!A2149</f>
        <v>1774@soloviov.es</v>
      </c>
      <c r="B2149" s="19" t="str">
        <f>IFERROR(__xludf.DUMMYFUNCTION("IF(OR(regexmatch(A2149,"".*@simon.es$""),REGEXMATCH(A2149,"".*@simon.pt$""),REGEXMATCH(A2149,"".*@simonelectrica.com$""),REGEXMATCH(A2149,"".*@hiberus.com$""),REGEXMATCH(A2149,"".*@simonbrico.es$""),regexmatch(A2149,"".*@simonelectric.com$"")),""null"",A2"&amp;"149)"),"1774@soloviov.es")</f>
        <v>1774@soloviov.es</v>
      </c>
      <c r="C2149" s="5">
        <f>IF(B2149="null","null",Descargas!B2149)</f>
        <v>43950</v>
      </c>
      <c r="D2149" s="6" t="str">
        <f>Descargas!E2149</f>
        <v>https://resources.simonelectric.com/simon-catalogo-vehiculo-electrico</v>
      </c>
      <c r="E2149" s="20" t="str">
        <f t="shared" si="1"/>
        <v>1774@soloviov.es</v>
      </c>
      <c r="F2149" s="21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</row>
    <row r="2150" ht="15.75" customHeight="1">
      <c r="A2150" s="18" t="str">
        <f>Descargas!A2150</f>
        <v>1775@gmail.com</v>
      </c>
      <c r="B2150" s="19" t="str">
        <f>IFERROR(__xludf.DUMMYFUNCTION("IF(OR(regexmatch(A2150,"".*@simon.es$""),REGEXMATCH(A2150,"".*@simon.pt$""),REGEXMATCH(A2150,"".*@simonelectrica.com$""),REGEXMATCH(A2150,"".*@hiberus.com$""),REGEXMATCH(A2150,"".*@simonbrico.es$""),regexmatch(A2150,"".*@simonelectric.com$"")),""null"",A2"&amp;"150)"),"1775@gmail.com")</f>
        <v>1775@gmail.com</v>
      </c>
      <c r="C2150" s="5">
        <f>IF(B2150="null","null",Descargas!B2150)</f>
        <v>43950</v>
      </c>
      <c r="D2150" s="6" t="str">
        <f>Descargas!E2150</f>
        <v>https://resources.simonelectric.com/simon-catalogo-vehiculo-electrico</v>
      </c>
      <c r="E2150" s="20" t="str">
        <f t="shared" si="1"/>
        <v>1775@gmail.com</v>
      </c>
      <c r="F2150" s="21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</row>
    <row r="2151" ht="15.75" customHeight="1">
      <c r="A2151" s="18" t="str">
        <f>Descargas!A2151</f>
        <v>1776@incat.cat</v>
      </c>
      <c r="B2151" s="19" t="str">
        <f>IFERROR(__xludf.DUMMYFUNCTION("IF(OR(regexmatch(A2151,"".*@simon.es$""),REGEXMATCH(A2151,"".*@simon.pt$""),REGEXMATCH(A2151,"".*@simonelectrica.com$""),REGEXMATCH(A2151,"".*@hiberus.com$""),REGEXMATCH(A2151,"".*@simonbrico.es$""),regexmatch(A2151,"".*@simonelectric.com$"")),""null"",A2"&amp;"151)"),"1776@incat.cat")</f>
        <v>1776@incat.cat</v>
      </c>
      <c r="C2151" s="5">
        <f>IF(B2151="null","null",Descargas!B2151)</f>
        <v>43950</v>
      </c>
      <c r="D2151" s="6" t="str">
        <f>Descargas!E2151</f>
        <v>https://resources.simonelectric.com/simon-catalogo-vehiculo-electrico</v>
      </c>
      <c r="E2151" s="20" t="str">
        <f t="shared" si="1"/>
        <v>1776@incat.cat</v>
      </c>
      <c r="F2151" s="21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</row>
    <row r="2152" ht="15.75" customHeight="1">
      <c r="A2152" s="18" t="str">
        <f>Descargas!A2152</f>
        <v>1777@simon.pt</v>
      </c>
      <c r="B2152" s="19" t="str">
        <f>IFERROR(__xludf.DUMMYFUNCTION("IF(OR(regexmatch(A2152,"".*@simon.es$""),REGEXMATCH(A2152,"".*@simon.pt$""),REGEXMATCH(A2152,"".*@simonelectrica.com$""),REGEXMATCH(A2152,"".*@hiberus.com$""),REGEXMATCH(A2152,"".*@simonbrico.es$""),regexmatch(A2152,"".*@simonelectric.com$"")),""null"",A2"&amp;"152)"),"null")</f>
        <v>null</v>
      </c>
      <c r="C2152" s="5" t="str">
        <f>IF(B2152="null","null",Descargas!B2152)</f>
        <v>null</v>
      </c>
      <c r="D2152" s="6" t="str">
        <f>Descargas!E2152</f>
        <v>https://resources.simonelectric.com/simon-catalogo-vehiculo-electrico</v>
      </c>
      <c r="E2152" s="24" t="str">
        <f t="shared" si="1"/>
        <v/>
      </c>
      <c r="F2152" s="21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</row>
    <row r="2153" ht="15.75" customHeight="1">
      <c r="A2153" s="18" t="str">
        <f>Descargas!A2153</f>
        <v>1778@gmail.com</v>
      </c>
      <c r="B2153" s="19" t="str">
        <f>IFERROR(__xludf.DUMMYFUNCTION("IF(OR(regexmatch(A2153,"".*@simon.es$""),REGEXMATCH(A2153,"".*@simon.pt$""),REGEXMATCH(A2153,"".*@simonelectrica.com$""),REGEXMATCH(A2153,"".*@hiberus.com$""),REGEXMATCH(A2153,"".*@simonbrico.es$""),regexmatch(A2153,"".*@simonelectric.com$"")),""null"",A2"&amp;"153)"),"1778@gmail.com")</f>
        <v>1778@gmail.com</v>
      </c>
      <c r="C2153" s="5">
        <f>IF(B2153="null","null",Descargas!B2153)</f>
        <v>43950</v>
      </c>
      <c r="D2153" s="6" t="str">
        <f>Descargas!E2153</f>
        <v>https://resources.simonelectric.com/simon-catalogo-vehiculo-electrico</v>
      </c>
      <c r="E2153" s="20" t="str">
        <f t="shared" si="1"/>
        <v>1778@gmail.com</v>
      </c>
      <c r="F2153" s="21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</row>
    <row r="2154" ht="15.75" customHeight="1">
      <c r="A2154" s="18" t="str">
        <f>Descargas!A2154</f>
        <v>1779@barreu.com</v>
      </c>
      <c r="B2154" s="19" t="str">
        <f>IFERROR(__xludf.DUMMYFUNCTION("IF(OR(regexmatch(A2154,"".*@simon.es$""),REGEXMATCH(A2154,"".*@simon.pt$""),REGEXMATCH(A2154,"".*@simonelectrica.com$""),REGEXMATCH(A2154,"".*@hiberus.com$""),REGEXMATCH(A2154,"".*@simonbrico.es$""),regexmatch(A2154,"".*@simonelectric.com$"")),""null"",A2"&amp;"154)"),"1779@barreu.com")</f>
        <v>1779@barreu.com</v>
      </c>
      <c r="C2154" s="5">
        <f>IF(B2154="null","null",Descargas!B2154)</f>
        <v>43950</v>
      </c>
      <c r="D2154" s="6" t="str">
        <f>Descargas!E2154</f>
        <v>https://resources.simonelectric.com/simon-catalogo-vehiculo-electrico</v>
      </c>
      <c r="E2154" s="20" t="str">
        <f t="shared" si="1"/>
        <v>1779@barreu.com</v>
      </c>
      <c r="F2154" s="21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</row>
    <row r="2155" ht="15.75" customHeight="1">
      <c r="A2155" s="18" t="str">
        <f>Descargas!A2155</f>
        <v>1780@metromadrid.es</v>
      </c>
      <c r="B2155" s="19" t="str">
        <f>IFERROR(__xludf.DUMMYFUNCTION("IF(OR(regexmatch(A2155,"".*@simon.es$""),REGEXMATCH(A2155,"".*@simon.pt$""),REGEXMATCH(A2155,"".*@simonelectrica.com$""),REGEXMATCH(A2155,"".*@hiberus.com$""),REGEXMATCH(A2155,"".*@simonbrico.es$""),regexmatch(A2155,"".*@simonelectric.com$"")),""null"",A2"&amp;"155)"),"1780@metromadrid.es")</f>
        <v>1780@metromadrid.es</v>
      </c>
      <c r="C2155" s="5">
        <f>IF(B2155="null","null",Descargas!B2155)</f>
        <v>43950</v>
      </c>
      <c r="D2155" s="6" t="str">
        <f>Descargas!E2155</f>
        <v>https://resources.simonelectric.com/simon-catalogo-vehiculo-electrico</v>
      </c>
      <c r="E2155" s="20" t="str">
        <f t="shared" si="1"/>
        <v>1780@metromadrid.es</v>
      </c>
      <c r="F2155" s="21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</row>
    <row r="2156" ht="15.75" customHeight="1">
      <c r="A2156" s="18" t="str">
        <f>Descargas!A2156</f>
        <v>980@coiiar.org</v>
      </c>
      <c r="B2156" s="19" t="str">
        <f>IFERROR(__xludf.DUMMYFUNCTION("IF(OR(regexmatch(A2156,"".*@simon.es$""),REGEXMATCH(A2156,"".*@simon.pt$""),REGEXMATCH(A2156,"".*@simonelectrica.com$""),REGEXMATCH(A2156,"".*@hiberus.com$""),REGEXMATCH(A2156,"".*@simonbrico.es$""),regexmatch(A2156,"".*@simonelectric.com$"")),""null"",A2"&amp;"156)"),"980@coiiar.org")</f>
        <v>980@coiiar.org</v>
      </c>
      <c r="C2156" s="5">
        <f>IF(B2156="null","null",Descargas!B2156)</f>
        <v>43950</v>
      </c>
      <c r="D2156" s="6" t="str">
        <f>Descargas!E2156</f>
        <v>https://resources.simonelectric.com/simon-catalogo-vehiculo-electrico</v>
      </c>
      <c r="E2156" s="20" t="str">
        <f t="shared" si="1"/>
        <v>980@coiiar.org</v>
      </c>
      <c r="F2156" s="21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</row>
    <row r="2157" ht="15.75" customHeight="1">
      <c r="A2157" s="18" t="str">
        <f>Descargas!A2157</f>
        <v>1781@autoradiomontijo.es</v>
      </c>
      <c r="B2157" s="19" t="str">
        <f>IFERROR(__xludf.DUMMYFUNCTION("IF(OR(regexmatch(A2157,"".*@simon.es$""),REGEXMATCH(A2157,"".*@simon.pt$""),REGEXMATCH(A2157,"".*@simonelectrica.com$""),REGEXMATCH(A2157,"".*@hiberus.com$""),REGEXMATCH(A2157,"".*@simonbrico.es$""),regexmatch(A2157,"".*@simonelectric.com$"")),""null"",A2"&amp;"157)"),"1781@autoradiomontijo.es")</f>
        <v>1781@autoradiomontijo.es</v>
      </c>
      <c r="C2157" s="5">
        <f>IF(B2157="null","null",Descargas!B2157)</f>
        <v>43950</v>
      </c>
      <c r="D2157" s="6" t="str">
        <f>Descargas!E2157</f>
        <v>https://resources.simonelectric.com/simon-catalogo-vehiculo-electrico</v>
      </c>
      <c r="E2157" s="20" t="str">
        <f t="shared" si="1"/>
        <v>1781@autoradiomontijo.es</v>
      </c>
      <c r="F2157" s="21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</row>
    <row r="2158" ht="15.75" customHeight="1">
      <c r="A2158" s="18" t="str">
        <f>Descargas!A2158</f>
        <v>1782@simon.es</v>
      </c>
      <c r="B2158" s="19" t="str">
        <f>IFERROR(__xludf.DUMMYFUNCTION("IF(OR(regexmatch(A2158,"".*@simon.es$""),REGEXMATCH(A2158,"".*@simon.pt$""),REGEXMATCH(A2158,"".*@simonelectrica.com$""),REGEXMATCH(A2158,"".*@hiberus.com$""),REGEXMATCH(A2158,"".*@simonbrico.es$""),regexmatch(A2158,"".*@simonelectric.com$"")),""null"",A2"&amp;"158)"),"null")</f>
        <v>null</v>
      </c>
      <c r="C2158" s="5" t="str">
        <f>IF(B2158="null","null",Descargas!B2158)</f>
        <v>null</v>
      </c>
      <c r="D2158" s="6" t="str">
        <f>Descargas!E2158</f>
        <v>https://resources.simonelectric.com/simon-catalogo-vehiculo-electrico</v>
      </c>
      <c r="E2158" s="24" t="str">
        <f t="shared" si="1"/>
        <v/>
      </c>
      <c r="F2158" s="21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</row>
    <row r="2159" ht="15.75" customHeight="1">
      <c r="A2159" s="18" t="str">
        <f>Descargas!A2159</f>
        <v>1783@telefonica.net</v>
      </c>
      <c r="B2159" s="19" t="str">
        <f>IFERROR(__xludf.DUMMYFUNCTION("IF(OR(regexmatch(A2159,"".*@simon.es$""),REGEXMATCH(A2159,"".*@simon.pt$""),REGEXMATCH(A2159,"".*@simonelectrica.com$""),REGEXMATCH(A2159,"".*@hiberus.com$""),REGEXMATCH(A2159,"".*@simonbrico.es$""),regexmatch(A2159,"".*@simonelectric.com$"")),""null"",A2"&amp;"159)"),"1783@telefonica.net")</f>
        <v>1783@telefonica.net</v>
      </c>
      <c r="C2159" s="5">
        <f>IF(B2159="null","null",Descargas!B2159)</f>
        <v>43950</v>
      </c>
      <c r="D2159" s="6" t="str">
        <f>Descargas!E2159</f>
        <v>https://resources.simonelectric.com/simon-catalogo-vehiculo-electrico</v>
      </c>
      <c r="E2159" s="20" t="str">
        <f t="shared" si="1"/>
        <v>1783@telefonica.net</v>
      </c>
      <c r="F2159" s="21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</row>
    <row r="2160" ht="15.75" customHeight="1">
      <c r="A2160" s="18" t="str">
        <f>Descargas!A2160</f>
        <v>1784@coytesa.com</v>
      </c>
      <c r="B2160" s="19" t="str">
        <f>IFERROR(__xludf.DUMMYFUNCTION("IF(OR(regexmatch(A2160,"".*@simon.es$""),REGEXMATCH(A2160,"".*@simon.pt$""),REGEXMATCH(A2160,"".*@simonelectrica.com$""),REGEXMATCH(A2160,"".*@hiberus.com$""),REGEXMATCH(A2160,"".*@simonbrico.es$""),regexmatch(A2160,"".*@simonelectric.com$"")),""null"",A2"&amp;"160)"),"1784@coytesa.com")</f>
        <v>1784@coytesa.com</v>
      </c>
      <c r="C2160" s="5">
        <f>IF(B2160="null","null",Descargas!B2160)</f>
        <v>43950</v>
      </c>
      <c r="D2160" s="6" t="str">
        <f>Descargas!E2160</f>
        <v>https://resources.simonelectric.com/simon-catalogo-vehiculo-electrico</v>
      </c>
      <c r="E2160" s="20" t="str">
        <f t="shared" si="1"/>
        <v>1784@coytesa.com</v>
      </c>
      <c r="F2160" s="21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</row>
    <row r="2161" ht="15.75" customHeight="1">
      <c r="A2161" s="18" t="str">
        <f>Descargas!A2161</f>
        <v>1785@arintec.com</v>
      </c>
      <c r="B2161" s="19" t="str">
        <f>IFERROR(__xludf.DUMMYFUNCTION("IF(OR(regexmatch(A2161,"".*@simon.es$""),REGEXMATCH(A2161,"".*@simon.pt$""),REGEXMATCH(A2161,"".*@simonelectrica.com$""),REGEXMATCH(A2161,"".*@hiberus.com$""),REGEXMATCH(A2161,"".*@simonbrico.es$""),regexmatch(A2161,"".*@simonelectric.com$"")),""null"",A2"&amp;"161)"),"1785@arintec.com")</f>
        <v>1785@arintec.com</v>
      </c>
      <c r="C2161" s="5">
        <f>IF(B2161="null","null",Descargas!B2161)</f>
        <v>43950</v>
      </c>
      <c r="D2161" s="6" t="str">
        <f>Descargas!E2161</f>
        <v>https://resources.simonelectric.com/simon-catalogo-vehiculo-electrico</v>
      </c>
      <c r="E2161" s="20" t="str">
        <f t="shared" si="1"/>
        <v>1785@arintec.com</v>
      </c>
      <c r="F2161" s="21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</row>
    <row r="2162" ht="15.75" customHeight="1">
      <c r="A2162" s="18" t="str">
        <f>Descargas!A2162</f>
        <v>1786@simon.es</v>
      </c>
      <c r="B2162" s="19" t="str">
        <f>IFERROR(__xludf.DUMMYFUNCTION("IF(OR(regexmatch(A2162,"".*@simon.es$""),REGEXMATCH(A2162,"".*@simon.pt$""),REGEXMATCH(A2162,"".*@simonelectrica.com$""),REGEXMATCH(A2162,"".*@hiberus.com$""),REGEXMATCH(A2162,"".*@simonbrico.es$""),regexmatch(A2162,"".*@simonelectric.com$"")),""null"",A2"&amp;"162)"),"null")</f>
        <v>null</v>
      </c>
      <c r="C2162" s="5" t="str">
        <f>IF(B2162="null","null",Descargas!B2162)</f>
        <v>null</v>
      </c>
      <c r="D2162" s="6" t="str">
        <f>Descargas!E2162</f>
        <v>https://resources.simonelectric.com/simon-catalogo-vehiculo-electrico</v>
      </c>
      <c r="E2162" s="24" t="str">
        <f t="shared" si="1"/>
        <v/>
      </c>
      <c r="F2162" s="21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</row>
    <row r="2163" ht="15.75" customHeight="1">
      <c r="A2163" s="18" t="str">
        <f>Descargas!A2163</f>
        <v>1787@roigconstruccions.com</v>
      </c>
      <c r="B2163" s="19" t="str">
        <f>IFERROR(__xludf.DUMMYFUNCTION("IF(OR(regexmatch(A2163,"".*@simon.es$""),REGEXMATCH(A2163,"".*@simon.pt$""),REGEXMATCH(A2163,"".*@simonelectrica.com$""),REGEXMATCH(A2163,"".*@hiberus.com$""),REGEXMATCH(A2163,"".*@simonbrico.es$""),regexmatch(A2163,"".*@simonelectric.com$"")),""null"",A2"&amp;"163)"),"1787@roigconstruccions.com")</f>
        <v>1787@roigconstruccions.com</v>
      </c>
      <c r="C2163" s="5">
        <f>IF(B2163="null","null",Descargas!B2163)</f>
        <v>43950</v>
      </c>
      <c r="D2163" s="6" t="str">
        <f>Descargas!E2163</f>
        <v>https://resources.simonelectric.com/simon-catalogo-vehiculo-electrico</v>
      </c>
      <c r="E2163" s="20" t="str">
        <f t="shared" si="1"/>
        <v>1787@roigconstruccions.com</v>
      </c>
      <c r="F2163" s="21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</row>
    <row r="2164" ht="15.75" customHeight="1">
      <c r="A2164" s="18" t="str">
        <f>Descargas!A2164</f>
        <v>1788@hotmail.com</v>
      </c>
      <c r="B2164" s="19" t="str">
        <f>IFERROR(__xludf.DUMMYFUNCTION("IF(OR(regexmatch(A2164,"".*@simon.es$""),REGEXMATCH(A2164,"".*@simon.pt$""),REGEXMATCH(A2164,"".*@simonelectrica.com$""),REGEXMATCH(A2164,"".*@hiberus.com$""),REGEXMATCH(A2164,"".*@simonbrico.es$""),regexmatch(A2164,"".*@simonelectric.com$"")),""null"",A2"&amp;"164)"),"1788@hotmail.com")</f>
        <v>1788@hotmail.com</v>
      </c>
      <c r="C2164" s="5">
        <f>IF(B2164="null","null",Descargas!B2164)</f>
        <v>43950</v>
      </c>
      <c r="D2164" s="6" t="str">
        <f>Descargas!E2164</f>
        <v>https://resources.simonelectric.com/simon-catalogo-vehiculo-electrico</v>
      </c>
      <c r="E2164" s="20" t="str">
        <f t="shared" si="1"/>
        <v>1788@hotmail.com</v>
      </c>
      <c r="F2164" s="21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</row>
    <row r="2165" ht="15.75" customHeight="1">
      <c r="A2165" s="18" t="str">
        <f>Descargas!A2165</f>
        <v>1789@electromat.com</v>
      </c>
      <c r="B2165" s="19" t="str">
        <f>IFERROR(__xludf.DUMMYFUNCTION("IF(OR(regexmatch(A2165,"".*@simon.es$""),REGEXMATCH(A2165,"".*@simon.pt$""),REGEXMATCH(A2165,"".*@simonelectrica.com$""),REGEXMATCH(A2165,"".*@hiberus.com$""),REGEXMATCH(A2165,"".*@simonbrico.es$""),regexmatch(A2165,"".*@simonelectric.com$"")),""null"",A2"&amp;"165)"),"1789@electromat.com")</f>
        <v>1789@electromat.com</v>
      </c>
      <c r="C2165" s="5">
        <f>IF(B2165="null","null",Descargas!B2165)</f>
        <v>43950</v>
      </c>
      <c r="D2165" s="6" t="str">
        <f>Descargas!E2165</f>
        <v>https://resources.simonelectric.com/simon-catalogo-vehiculo-electrico</v>
      </c>
      <c r="E2165" s="20" t="str">
        <f t="shared" si="1"/>
        <v>1789@electromat.com</v>
      </c>
      <c r="F2165" s="21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</row>
    <row r="2166" ht="15.75" customHeight="1">
      <c r="A2166" s="18" t="str">
        <f>Descargas!A2166</f>
        <v>1790@electricarius.com</v>
      </c>
      <c r="B2166" s="19" t="str">
        <f>IFERROR(__xludf.DUMMYFUNCTION("IF(OR(regexmatch(A2166,"".*@simon.es$""),REGEXMATCH(A2166,"".*@simon.pt$""),REGEXMATCH(A2166,"".*@simonelectrica.com$""),REGEXMATCH(A2166,"".*@hiberus.com$""),REGEXMATCH(A2166,"".*@simonbrico.es$""),regexmatch(A2166,"".*@simonelectric.com$"")),""null"",A2"&amp;"166)"),"1790@electricarius.com")</f>
        <v>1790@electricarius.com</v>
      </c>
      <c r="C2166" s="5">
        <f>IF(B2166="null","null",Descargas!B2166)</f>
        <v>43950</v>
      </c>
      <c r="D2166" s="6" t="str">
        <f>Descargas!E2166</f>
        <v>https://resources.simonelectric.com/simon-catalogo-vehiculo-electrico</v>
      </c>
      <c r="E2166" s="20" t="str">
        <f t="shared" si="1"/>
        <v>1790@electricarius.com</v>
      </c>
      <c r="F2166" s="21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</row>
    <row r="2167" ht="15.75" customHeight="1">
      <c r="A2167" s="18" t="str">
        <f>Descargas!A2167</f>
        <v>1791@gmail.com</v>
      </c>
      <c r="B2167" s="19" t="str">
        <f>IFERROR(__xludf.DUMMYFUNCTION("IF(OR(regexmatch(A2167,"".*@simon.es$""),REGEXMATCH(A2167,"".*@simon.pt$""),REGEXMATCH(A2167,"".*@simonelectrica.com$""),REGEXMATCH(A2167,"".*@hiberus.com$""),REGEXMATCH(A2167,"".*@simonbrico.es$""),regexmatch(A2167,"".*@simonelectric.com$"")),""null"",A2"&amp;"167)"),"1791@gmail.com")</f>
        <v>1791@gmail.com</v>
      </c>
      <c r="C2167" s="5">
        <f>IF(B2167="null","null",Descargas!B2167)</f>
        <v>43950</v>
      </c>
      <c r="D2167" s="6" t="str">
        <f>Descargas!E2167</f>
        <v>https://resources.simonelectric.com/simon-catalogo-vehiculo-electrico</v>
      </c>
      <c r="E2167" s="20" t="str">
        <f t="shared" si="1"/>
        <v>1791@gmail.com</v>
      </c>
      <c r="F2167" s="21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</row>
    <row r="2168" ht="15.75" customHeight="1">
      <c r="A2168" s="18" t="str">
        <f>Descargas!A2168</f>
        <v>636@csisuministros.com</v>
      </c>
      <c r="B2168" s="19" t="str">
        <f>IFERROR(__xludf.DUMMYFUNCTION("IF(OR(regexmatch(A2168,"".*@simon.es$""),REGEXMATCH(A2168,"".*@simon.pt$""),REGEXMATCH(A2168,"".*@simonelectrica.com$""),REGEXMATCH(A2168,"".*@hiberus.com$""),REGEXMATCH(A2168,"".*@simonbrico.es$""),regexmatch(A2168,"".*@simonelectric.com$"")),""null"",A2"&amp;"168)"),"636@csisuministros.com")</f>
        <v>636@csisuministros.com</v>
      </c>
      <c r="C2168" s="5">
        <f>IF(B2168="null","null",Descargas!B2168)</f>
        <v>43950</v>
      </c>
      <c r="D2168" s="6" t="str">
        <f>Descargas!E2168</f>
        <v>https://resources.simonelectric.com/simon-catalogo-vehiculo-electrico</v>
      </c>
      <c r="E2168" s="20" t="str">
        <f t="shared" si="1"/>
        <v>636@csisuministros.com</v>
      </c>
      <c r="F2168" s="21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</row>
    <row r="2169" ht="15.75" customHeight="1">
      <c r="A2169" s="18" t="str">
        <f>Descargas!A2169</f>
        <v>1792@incober.es</v>
      </c>
      <c r="B2169" s="19" t="str">
        <f>IFERROR(__xludf.DUMMYFUNCTION("IF(OR(regexmatch(A2169,"".*@simon.es$""),REGEXMATCH(A2169,"".*@simon.pt$""),REGEXMATCH(A2169,"".*@simonelectrica.com$""),REGEXMATCH(A2169,"".*@hiberus.com$""),REGEXMATCH(A2169,"".*@simonbrico.es$""),regexmatch(A2169,"".*@simonelectric.com$"")),""null"",A2"&amp;"169)"),"1792@incober.es")</f>
        <v>1792@incober.es</v>
      </c>
      <c r="C2169" s="5">
        <f>IF(B2169="null","null",Descargas!B2169)</f>
        <v>43950</v>
      </c>
      <c r="D2169" s="6" t="str">
        <f>Descargas!E2169</f>
        <v>https://resources.simonelectric.com/simon-catalogo-vehiculo-electrico</v>
      </c>
      <c r="E2169" s="20" t="str">
        <f t="shared" si="1"/>
        <v>1792@incober.es</v>
      </c>
      <c r="F2169" s="21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</row>
    <row r="2170" ht="15.75" customHeight="1">
      <c r="A2170" s="18" t="str">
        <f>Descargas!A2170</f>
        <v>1793@gmail.com</v>
      </c>
      <c r="B2170" s="19" t="str">
        <f>IFERROR(__xludf.DUMMYFUNCTION("IF(OR(regexmatch(A2170,"".*@simon.es$""),REGEXMATCH(A2170,"".*@simon.pt$""),REGEXMATCH(A2170,"".*@simonelectrica.com$""),REGEXMATCH(A2170,"".*@hiberus.com$""),REGEXMATCH(A2170,"".*@simonbrico.es$""),regexmatch(A2170,"".*@simonelectric.com$"")),""null"",A2"&amp;"170)"),"1793@gmail.com")</f>
        <v>1793@gmail.com</v>
      </c>
      <c r="C2170" s="5">
        <f>IF(B2170="null","null",Descargas!B2170)</f>
        <v>43950</v>
      </c>
      <c r="D2170" s="6" t="str">
        <f>Descargas!E2170</f>
        <v>https://resources.simonelectric.com/simon-catalogo-vehiculo-electrico</v>
      </c>
      <c r="E2170" s="20" t="str">
        <f t="shared" si="1"/>
        <v>1793@gmail.com</v>
      </c>
      <c r="F2170" s="21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</row>
    <row r="2171" ht="15.75" customHeight="1">
      <c r="A2171" s="18" t="str">
        <f>Descargas!A2171</f>
        <v>1794@enchufing.com</v>
      </c>
      <c r="B2171" s="19" t="str">
        <f>IFERROR(__xludf.DUMMYFUNCTION("IF(OR(regexmatch(A2171,"".*@simon.es$""),REGEXMATCH(A2171,"".*@simon.pt$""),REGEXMATCH(A2171,"".*@simonelectrica.com$""),REGEXMATCH(A2171,"".*@hiberus.com$""),REGEXMATCH(A2171,"".*@simonbrico.es$""),regexmatch(A2171,"".*@simonelectric.com$"")),""null"",A2"&amp;"171)"),"1794@enchufing.com")</f>
        <v>1794@enchufing.com</v>
      </c>
      <c r="C2171" s="5">
        <f>IF(B2171="null","null",Descargas!B2171)</f>
        <v>43950</v>
      </c>
      <c r="D2171" s="6" t="str">
        <f>Descargas!E2171</f>
        <v>https://resources.simonelectric.com/simon-catalogo-vehiculo-electrico</v>
      </c>
      <c r="E2171" s="20" t="str">
        <f t="shared" si="1"/>
        <v>1794@enchufing.com</v>
      </c>
      <c r="F2171" s="21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</row>
    <row r="2172" ht="15.75" customHeight="1">
      <c r="A2172" s="18" t="str">
        <f>Descargas!A2172</f>
        <v>1795@gmail.com</v>
      </c>
      <c r="B2172" s="19" t="str">
        <f>IFERROR(__xludf.DUMMYFUNCTION("IF(OR(regexmatch(A2172,"".*@simon.es$""),REGEXMATCH(A2172,"".*@simon.pt$""),REGEXMATCH(A2172,"".*@simonelectrica.com$""),REGEXMATCH(A2172,"".*@hiberus.com$""),REGEXMATCH(A2172,"".*@simonbrico.es$""),regexmatch(A2172,"".*@simonelectric.com$"")),""null"",A2"&amp;"172)"),"1795@gmail.com")</f>
        <v>1795@gmail.com</v>
      </c>
      <c r="C2172" s="5">
        <f>IF(B2172="null","null",Descargas!B2172)</f>
        <v>43950</v>
      </c>
      <c r="D2172" s="6" t="str">
        <f>Descargas!E2172</f>
        <v>https://resources.simonelectric.com/simon-catalogo-vehiculo-electrico</v>
      </c>
      <c r="E2172" s="20" t="str">
        <f t="shared" si="1"/>
        <v>1795@gmail.com</v>
      </c>
      <c r="F2172" s="21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</row>
    <row r="2173" ht="15.75" customHeight="1">
      <c r="A2173" s="18" t="str">
        <f>Descargas!A2173</f>
        <v>1796@sorigue.com</v>
      </c>
      <c r="B2173" s="19" t="str">
        <f>IFERROR(__xludf.DUMMYFUNCTION("IF(OR(regexmatch(A2173,"".*@simon.es$""),REGEXMATCH(A2173,"".*@simon.pt$""),REGEXMATCH(A2173,"".*@simonelectrica.com$""),REGEXMATCH(A2173,"".*@hiberus.com$""),REGEXMATCH(A2173,"".*@simonbrico.es$""),regexmatch(A2173,"".*@simonelectric.com$"")),""null"",A2"&amp;"173)"),"1796@sorigue.com")</f>
        <v>1796@sorigue.com</v>
      </c>
      <c r="C2173" s="5">
        <f>IF(B2173="null","null",Descargas!B2173)</f>
        <v>43950</v>
      </c>
      <c r="D2173" s="6" t="str">
        <f>Descargas!E2173</f>
        <v>https://resources.simonelectric.com/simon-catalogo-vehiculo-electrico</v>
      </c>
      <c r="E2173" s="20" t="str">
        <f t="shared" si="1"/>
        <v>1796@sorigue.com</v>
      </c>
      <c r="F2173" s="21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</row>
    <row r="2174" ht="15.75" customHeight="1">
      <c r="A2174" s="18" t="str">
        <f>Descargas!A2174</f>
        <v>1797@icaingenieros.com</v>
      </c>
      <c r="B2174" s="19" t="str">
        <f>IFERROR(__xludf.DUMMYFUNCTION("IF(OR(regexmatch(A2174,"".*@simon.es$""),REGEXMATCH(A2174,"".*@simon.pt$""),REGEXMATCH(A2174,"".*@simonelectrica.com$""),REGEXMATCH(A2174,"".*@hiberus.com$""),REGEXMATCH(A2174,"".*@simonbrico.es$""),regexmatch(A2174,"".*@simonelectric.com$"")),""null"",A2"&amp;"174)"),"1797@icaingenieros.com")</f>
        <v>1797@icaingenieros.com</v>
      </c>
      <c r="C2174" s="5">
        <f>IF(B2174="null","null",Descargas!B2174)</f>
        <v>43950</v>
      </c>
      <c r="D2174" s="6" t="str">
        <f>Descargas!E2174</f>
        <v>https://resources.simonelectric.com/simon-catalogo-vehiculo-electrico</v>
      </c>
      <c r="E2174" s="20" t="str">
        <f t="shared" si="1"/>
        <v>1797@icaingenieros.com</v>
      </c>
      <c r="F2174" s="21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</row>
    <row r="2175" ht="15.75" customHeight="1">
      <c r="A2175" s="18" t="str">
        <f>Descargas!A2175</f>
        <v>1798@eleccom.es</v>
      </c>
      <c r="B2175" s="19" t="str">
        <f>IFERROR(__xludf.DUMMYFUNCTION("IF(OR(regexmatch(A2175,"".*@simon.es$""),REGEXMATCH(A2175,"".*@simon.pt$""),REGEXMATCH(A2175,"".*@simonelectrica.com$""),REGEXMATCH(A2175,"".*@hiberus.com$""),REGEXMATCH(A2175,"".*@simonbrico.es$""),regexmatch(A2175,"".*@simonelectric.com$"")),""null"",A2"&amp;"175)"),"1798@eleccom.es")</f>
        <v>1798@eleccom.es</v>
      </c>
      <c r="C2175" s="5">
        <f>IF(B2175="null","null",Descargas!B2175)</f>
        <v>43950</v>
      </c>
      <c r="D2175" s="6" t="str">
        <f>Descargas!E2175</f>
        <v>https://resources.simonelectric.com/simon-catalogo-vehiculo-electrico</v>
      </c>
      <c r="E2175" s="20" t="str">
        <f t="shared" si="1"/>
        <v>1798@eleccom.es</v>
      </c>
      <c r="F2175" s="21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</row>
    <row r="2176" ht="15.75" customHeight="1">
      <c r="A2176" s="18" t="str">
        <f>Descargas!A2176</f>
        <v>1799@wurth.es</v>
      </c>
      <c r="B2176" s="19" t="str">
        <f>IFERROR(__xludf.DUMMYFUNCTION("IF(OR(regexmatch(A2176,"".*@simon.es$""),REGEXMATCH(A2176,"".*@simon.pt$""),REGEXMATCH(A2176,"".*@simonelectrica.com$""),REGEXMATCH(A2176,"".*@hiberus.com$""),REGEXMATCH(A2176,"".*@simonbrico.es$""),regexmatch(A2176,"".*@simonelectric.com$"")),""null"",A2"&amp;"176)"),"1799@wurth.es")</f>
        <v>1799@wurth.es</v>
      </c>
      <c r="C2176" s="5">
        <f>IF(B2176="null","null",Descargas!B2176)</f>
        <v>43950</v>
      </c>
      <c r="D2176" s="6" t="str">
        <f>Descargas!E2176</f>
        <v>https://resources.simonelectric.com/simon-catalogo-vehiculo-electrico</v>
      </c>
      <c r="E2176" s="20" t="str">
        <f t="shared" si="1"/>
        <v>1799@wurth.es</v>
      </c>
      <c r="F2176" s="21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</row>
    <row r="2177" ht="15.75" customHeight="1">
      <c r="A2177" s="18" t="str">
        <f>Descargas!A2177</f>
        <v>1800@hotmail.com</v>
      </c>
      <c r="B2177" s="19" t="str">
        <f>IFERROR(__xludf.DUMMYFUNCTION("IF(OR(regexmatch(A2177,"".*@simon.es$""),REGEXMATCH(A2177,"".*@simon.pt$""),REGEXMATCH(A2177,"".*@simonelectrica.com$""),REGEXMATCH(A2177,"".*@hiberus.com$""),REGEXMATCH(A2177,"".*@simonbrico.es$""),regexmatch(A2177,"".*@simonelectric.com$"")),""null"",A2"&amp;"177)"),"1800@hotmail.com")</f>
        <v>1800@hotmail.com</v>
      </c>
      <c r="C2177" s="5">
        <f>IF(B2177="null","null",Descargas!B2177)</f>
        <v>43950</v>
      </c>
      <c r="D2177" s="6" t="str">
        <f>Descargas!E2177</f>
        <v>https://resources.simonelectric.com/simon-catalogo-vehiculo-electrico</v>
      </c>
      <c r="E2177" s="20" t="str">
        <f t="shared" si="1"/>
        <v>1800@hotmail.com</v>
      </c>
      <c r="F2177" s="21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</row>
    <row r="2178" ht="15.75" customHeight="1">
      <c r="A2178" s="18" t="str">
        <f>Descargas!A2178</f>
        <v>1801@gmail.com</v>
      </c>
      <c r="B2178" s="19" t="str">
        <f>IFERROR(__xludf.DUMMYFUNCTION("IF(OR(regexmatch(A2178,"".*@simon.es$""),REGEXMATCH(A2178,"".*@simon.pt$""),REGEXMATCH(A2178,"".*@simonelectrica.com$""),REGEXMATCH(A2178,"".*@hiberus.com$""),REGEXMATCH(A2178,"".*@simonbrico.es$""),regexmatch(A2178,"".*@simonelectric.com$"")),""null"",A2"&amp;"178)"),"1801@gmail.com")</f>
        <v>1801@gmail.com</v>
      </c>
      <c r="C2178" s="5">
        <f>IF(B2178="null","null",Descargas!B2178)</f>
        <v>43950</v>
      </c>
      <c r="D2178" s="6" t="str">
        <f>Descargas!E2178</f>
        <v>https://resources.simonelectric.com/simon-catalogo-vehiculo-electrico</v>
      </c>
      <c r="E2178" s="20" t="str">
        <f t="shared" si="1"/>
        <v>1801@gmail.com</v>
      </c>
      <c r="F2178" s="21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</row>
    <row r="2179" ht="15.75" customHeight="1">
      <c r="A2179" s="18" t="str">
        <f>Descargas!A2179</f>
        <v>604@goliathspain.es</v>
      </c>
      <c r="B2179" s="19" t="str">
        <f>IFERROR(__xludf.DUMMYFUNCTION("IF(OR(regexmatch(A2179,"".*@simon.es$""),REGEXMATCH(A2179,"".*@simon.pt$""),REGEXMATCH(A2179,"".*@simonelectrica.com$""),REGEXMATCH(A2179,"".*@hiberus.com$""),REGEXMATCH(A2179,"".*@simonbrico.es$""),regexmatch(A2179,"".*@simonelectric.com$"")),""null"",A2"&amp;"179)"),"604@goliathspain.es")</f>
        <v>604@goliathspain.es</v>
      </c>
      <c r="C2179" s="5">
        <f>IF(B2179="null","null",Descargas!B2179)</f>
        <v>43950</v>
      </c>
      <c r="D2179" s="6" t="str">
        <f>Descargas!E2179</f>
        <v>https://resources.simonelectric.com/simon-catalogo-vehiculo-electrico</v>
      </c>
      <c r="E2179" s="20" t="str">
        <f t="shared" si="1"/>
        <v>604@goliathspain.es</v>
      </c>
      <c r="F2179" s="21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</row>
    <row r="2180" ht="15.75" customHeight="1">
      <c r="A2180" s="18" t="str">
        <f>Descargas!A2180</f>
        <v>445@sueprat.es</v>
      </c>
      <c r="B2180" s="19" t="str">
        <f>IFERROR(__xludf.DUMMYFUNCTION("IF(OR(regexmatch(A2180,"".*@simon.es$""),REGEXMATCH(A2180,"".*@simon.pt$""),REGEXMATCH(A2180,"".*@simonelectrica.com$""),REGEXMATCH(A2180,"".*@hiberus.com$""),REGEXMATCH(A2180,"".*@simonbrico.es$""),regexmatch(A2180,"".*@simonelectric.com$"")),""null"",A2"&amp;"180)"),"445@sueprat.es")</f>
        <v>445@sueprat.es</v>
      </c>
      <c r="C2180" s="5">
        <f>IF(B2180="null","null",Descargas!B2180)</f>
        <v>43950</v>
      </c>
      <c r="D2180" s="6" t="str">
        <f>Descargas!E2180</f>
        <v>https://resources.simonelectric.com/simon-catalogo-vehiculo-electrico</v>
      </c>
      <c r="E2180" s="20" t="str">
        <f t="shared" si="1"/>
        <v>445@sueprat.es</v>
      </c>
      <c r="F2180" s="21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</row>
    <row r="2181" ht="15.75" customHeight="1">
      <c r="A2181" s="18" t="str">
        <f>Descargas!A2181</f>
        <v>1802@hotmail.es</v>
      </c>
      <c r="B2181" s="19" t="str">
        <f>IFERROR(__xludf.DUMMYFUNCTION("IF(OR(regexmatch(A2181,"".*@simon.es$""),REGEXMATCH(A2181,"".*@simon.pt$""),REGEXMATCH(A2181,"".*@simonelectrica.com$""),REGEXMATCH(A2181,"".*@hiberus.com$""),REGEXMATCH(A2181,"".*@simonbrico.es$""),regexmatch(A2181,"".*@simonelectric.com$"")),""null"",A2"&amp;"181)"),"1802@hotmail.es")</f>
        <v>1802@hotmail.es</v>
      </c>
      <c r="C2181" s="5">
        <f>IF(B2181="null","null",Descargas!B2181)</f>
        <v>43950</v>
      </c>
      <c r="D2181" s="6" t="str">
        <f>Descargas!E2181</f>
        <v>https://resources.simonelectric.com/simon-catalogo-vehiculo-electrico</v>
      </c>
      <c r="E2181" s="20" t="str">
        <f t="shared" si="1"/>
        <v>1802@hotmail.es</v>
      </c>
      <c r="F2181" s="21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</row>
    <row r="2182" ht="15.75" customHeight="1">
      <c r="A2182" s="18" t="str">
        <f>Descargas!A2182</f>
        <v>1803@ymcelectrica.com</v>
      </c>
      <c r="B2182" s="19" t="str">
        <f>IFERROR(__xludf.DUMMYFUNCTION("IF(OR(regexmatch(A2182,"".*@simon.es$""),REGEXMATCH(A2182,"".*@simon.pt$""),REGEXMATCH(A2182,"".*@simonelectrica.com$""),REGEXMATCH(A2182,"".*@hiberus.com$""),REGEXMATCH(A2182,"".*@simonbrico.es$""),regexmatch(A2182,"".*@simonelectric.com$"")),""null"",A2"&amp;"182)"),"1803@ymcelectrica.com")</f>
        <v>1803@ymcelectrica.com</v>
      </c>
      <c r="C2182" s="5">
        <f>IF(B2182="null","null",Descargas!B2182)</f>
        <v>43950</v>
      </c>
      <c r="D2182" s="6" t="str">
        <f>Descargas!E2182</f>
        <v>https://resources.simonelectric.com/simon-catalogo-vehiculo-electrico</v>
      </c>
      <c r="E2182" s="20" t="str">
        <f t="shared" si="1"/>
        <v>1803@ymcelectrica.com</v>
      </c>
      <c r="F2182" s="21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</row>
    <row r="2183" ht="15.75" customHeight="1">
      <c r="A2183" s="18" t="str">
        <f>Descargas!A2183</f>
        <v>1804@meguerra.com</v>
      </c>
      <c r="B2183" s="19" t="str">
        <f>IFERROR(__xludf.DUMMYFUNCTION("IF(OR(regexmatch(A2183,"".*@simon.es$""),REGEXMATCH(A2183,"".*@simon.pt$""),REGEXMATCH(A2183,"".*@simonelectrica.com$""),REGEXMATCH(A2183,"".*@hiberus.com$""),REGEXMATCH(A2183,"".*@simonbrico.es$""),regexmatch(A2183,"".*@simonelectric.com$"")),""null"",A2"&amp;"183)"),"1804@meguerra.com")</f>
        <v>1804@meguerra.com</v>
      </c>
      <c r="C2183" s="5">
        <f>IF(B2183="null","null",Descargas!B2183)</f>
        <v>43950</v>
      </c>
      <c r="D2183" s="6" t="str">
        <f>Descargas!E2183</f>
        <v>https://resources.simonelectric.com/simon-catalogo-vehiculo-electrico</v>
      </c>
      <c r="E2183" s="20" t="str">
        <f t="shared" si="1"/>
        <v>1804@meguerra.com</v>
      </c>
      <c r="F2183" s="21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</row>
    <row r="2184" ht="15.75" customHeight="1">
      <c r="A2184" s="18" t="str">
        <f>Descargas!A2184</f>
        <v>1805@gmail.com</v>
      </c>
      <c r="B2184" s="19" t="str">
        <f>IFERROR(__xludf.DUMMYFUNCTION("IF(OR(regexmatch(A2184,"".*@simon.es$""),REGEXMATCH(A2184,"".*@simon.pt$""),REGEXMATCH(A2184,"".*@simonelectrica.com$""),REGEXMATCH(A2184,"".*@hiberus.com$""),REGEXMATCH(A2184,"".*@simonbrico.es$""),regexmatch(A2184,"".*@simonelectric.com$"")),""null"",A2"&amp;"184)"),"1805@gmail.com")</f>
        <v>1805@gmail.com</v>
      </c>
      <c r="C2184" s="5">
        <f>IF(B2184="null","null",Descargas!B2184)</f>
        <v>43950</v>
      </c>
      <c r="D2184" s="6" t="str">
        <f>Descargas!E2184</f>
        <v>https://resources.simonelectric.com/simon-catalogo-vehiculo-electrico</v>
      </c>
      <c r="E2184" s="20" t="str">
        <f t="shared" si="1"/>
        <v>1805@gmail.com</v>
      </c>
      <c r="F2184" s="21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</row>
    <row r="2185" ht="15.75" customHeight="1">
      <c r="A2185" s="18" t="str">
        <f>Descargas!A2185</f>
        <v>1806@aymesa.com</v>
      </c>
      <c r="B2185" s="19" t="str">
        <f>IFERROR(__xludf.DUMMYFUNCTION("IF(OR(regexmatch(A2185,"".*@simon.es$""),REGEXMATCH(A2185,"".*@simon.pt$""),REGEXMATCH(A2185,"".*@simonelectrica.com$""),REGEXMATCH(A2185,"".*@hiberus.com$""),REGEXMATCH(A2185,"".*@simonbrico.es$""),regexmatch(A2185,"".*@simonelectric.com$"")),""null"",A2"&amp;"185)"),"1806@aymesa.com")</f>
        <v>1806@aymesa.com</v>
      </c>
      <c r="C2185" s="5">
        <f>IF(B2185="null","null",Descargas!B2185)</f>
        <v>43950</v>
      </c>
      <c r="D2185" s="6" t="str">
        <f>Descargas!E2185</f>
        <v>https://resources.simonelectric.com/simon-catalogo-vehiculo-electrico</v>
      </c>
      <c r="E2185" s="20" t="str">
        <f t="shared" si="1"/>
        <v>1806@aymesa.com</v>
      </c>
      <c r="F2185" s="21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</row>
    <row r="2186" ht="15.75" customHeight="1">
      <c r="A2186" s="18" t="str">
        <f>Descargas!A2186</f>
        <v>1807@saltoki.es</v>
      </c>
      <c r="B2186" s="19" t="str">
        <f>IFERROR(__xludf.DUMMYFUNCTION("IF(OR(regexmatch(A2186,"".*@simon.es$""),REGEXMATCH(A2186,"".*@simon.pt$""),REGEXMATCH(A2186,"".*@simonelectrica.com$""),REGEXMATCH(A2186,"".*@hiberus.com$""),REGEXMATCH(A2186,"".*@simonbrico.es$""),regexmatch(A2186,"".*@simonelectric.com$"")),""null"",A2"&amp;"186)"),"1807@saltoki.es")</f>
        <v>1807@saltoki.es</v>
      </c>
      <c r="C2186" s="5">
        <f>IF(B2186="null","null",Descargas!B2186)</f>
        <v>43950</v>
      </c>
      <c r="D2186" s="6" t="str">
        <f>Descargas!E2186</f>
        <v>https://resources.simonelectric.com/simon-catalogo-vehiculo-electrico</v>
      </c>
      <c r="E2186" s="20" t="str">
        <f t="shared" si="1"/>
        <v>1807@saltoki.es</v>
      </c>
      <c r="F2186" s="21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</row>
    <row r="2187" ht="15.75" customHeight="1">
      <c r="A2187" s="18" t="str">
        <f>Descargas!A2187</f>
        <v>1808@gmail.com</v>
      </c>
      <c r="B2187" s="19" t="str">
        <f>IFERROR(__xludf.DUMMYFUNCTION("IF(OR(regexmatch(A2187,"".*@simon.es$""),REGEXMATCH(A2187,"".*@simon.pt$""),REGEXMATCH(A2187,"".*@simonelectrica.com$""),REGEXMATCH(A2187,"".*@hiberus.com$""),REGEXMATCH(A2187,"".*@simonbrico.es$""),regexmatch(A2187,"".*@simonelectric.com$"")),""null"",A2"&amp;"187)"),"1808@gmail.com")</f>
        <v>1808@gmail.com</v>
      </c>
      <c r="C2187" s="5">
        <f>IF(B2187="null","null",Descargas!B2187)</f>
        <v>43950</v>
      </c>
      <c r="D2187" s="6" t="str">
        <f>Descargas!E2187</f>
        <v>https://resources.simonelectric.com/simon-catalogo-vehiculo-electrico</v>
      </c>
      <c r="E2187" s="20" t="str">
        <f t="shared" si="1"/>
        <v>1808@gmail.com</v>
      </c>
      <c r="F2187" s="21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</row>
    <row r="2188" ht="15.75" customHeight="1">
      <c r="A2188" s="18" t="str">
        <f>Descargas!A2188</f>
        <v>327@romovi.com</v>
      </c>
      <c r="B2188" s="19" t="str">
        <f>IFERROR(__xludf.DUMMYFUNCTION("IF(OR(regexmatch(A2188,"".*@simon.es$""),REGEXMATCH(A2188,"".*@simon.pt$""),REGEXMATCH(A2188,"".*@simonelectrica.com$""),REGEXMATCH(A2188,"".*@hiberus.com$""),REGEXMATCH(A2188,"".*@simonbrico.es$""),regexmatch(A2188,"".*@simonelectric.com$"")),""null"",A2"&amp;"188)"),"327@romovi.com")</f>
        <v>327@romovi.com</v>
      </c>
      <c r="C2188" s="5">
        <f>IF(B2188="null","null",Descargas!B2188)</f>
        <v>43950</v>
      </c>
      <c r="D2188" s="6" t="str">
        <f>Descargas!E2188</f>
        <v>https://resources.simonelectric.com/simon-catalogo-vehiculo-electrico</v>
      </c>
      <c r="E2188" s="20" t="str">
        <f t="shared" si="1"/>
        <v>327@romovi.com</v>
      </c>
      <c r="F2188" s="21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</row>
    <row r="2189" ht="15.75" customHeight="1">
      <c r="A2189" s="18" t="str">
        <f>Descargas!A2189</f>
        <v>1809@prodelec.es</v>
      </c>
      <c r="B2189" s="19" t="str">
        <f>IFERROR(__xludf.DUMMYFUNCTION("IF(OR(regexmatch(A2189,"".*@simon.es$""),REGEXMATCH(A2189,"".*@simon.pt$""),REGEXMATCH(A2189,"".*@simonelectrica.com$""),REGEXMATCH(A2189,"".*@hiberus.com$""),REGEXMATCH(A2189,"".*@simonbrico.es$""),regexmatch(A2189,"".*@simonelectric.com$"")),""null"",A2"&amp;"189)"),"1809@prodelec.es")</f>
        <v>1809@prodelec.es</v>
      </c>
      <c r="C2189" s="5">
        <f>IF(B2189="null","null",Descargas!B2189)</f>
        <v>43950</v>
      </c>
      <c r="D2189" s="6" t="str">
        <f>Descargas!E2189</f>
        <v>https://resources.simonelectric.com/simon-catalogo-vehiculo-electrico</v>
      </c>
      <c r="E2189" s="20" t="str">
        <f t="shared" si="1"/>
        <v>1809@prodelec.es</v>
      </c>
      <c r="F2189" s="21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</row>
    <row r="2190" ht="15.75" customHeight="1">
      <c r="A2190" s="18" t="str">
        <f>Descargas!A2190</f>
        <v>1810@ebegroup.net</v>
      </c>
      <c r="B2190" s="19" t="str">
        <f>IFERROR(__xludf.DUMMYFUNCTION("IF(OR(regexmatch(A2190,"".*@simon.es$""),REGEXMATCH(A2190,"".*@simon.pt$""),REGEXMATCH(A2190,"".*@simonelectrica.com$""),REGEXMATCH(A2190,"".*@hiberus.com$""),REGEXMATCH(A2190,"".*@simonbrico.es$""),regexmatch(A2190,"".*@simonelectric.com$"")),""null"",A2"&amp;"190)"),"1810@ebegroup.net")</f>
        <v>1810@ebegroup.net</v>
      </c>
      <c r="C2190" s="5">
        <f>IF(B2190="null","null",Descargas!B2190)</f>
        <v>43950</v>
      </c>
      <c r="D2190" s="6" t="str">
        <f>Descargas!E2190</f>
        <v>https://resources.simonelectric.com/simon-catalogo-vehiculo-electrico</v>
      </c>
      <c r="E2190" s="20" t="str">
        <f t="shared" si="1"/>
        <v>1810@ebegroup.net</v>
      </c>
      <c r="F2190" s="21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</row>
    <row r="2191" ht="15.75" customHeight="1">
      <c r="A2191" s="18" t="str">
        <f>Descargas!A2191</f>
        <v>1811@ansiel.eu</v>
      </c>
      <c r="B2191" s="19" t="str">
        <f>IFERROR(__xludf.DUMMYFUNCTION("IF(OR(regexmatch(A2191,"".*@simon.es$""),REGEXMATCH(A2191,"".*@simon.pt$""),REGEXMATCH(A2191,"".*@simonelectrica.com$""),REGEXMATCH(A2191,"".*@hiberus.com$""),REGEXMATCH(A2191,"".*@simonbrico.es$""),regexmatch(A2191,"".*@simonelectric.com$"")),""null"",A2"&amp;"191)"),"1811@ansiel.eu")</f>
        <v>1811@ansiel.eu</v>
      </c>
      <c r="C2191" s="5">
        <f>IF(B2191="null","null",Descargas!B2191)</f>
        <v>43950</v>
      </c>
      <c r="D2191" s="6" t="str">
        <f>Descargas!E2191</f>
        <v>https://resources.simonelectric.com/simon-catalogo-vehiculo-electrico</v>
      </c>
      <c r="E2191" s="20" t="str">
        <f t="shared" si="1"/>
        <v>1811@ansiel.eu</v>
      </c>
      <c r="F2191" s="21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</row>
    <row r="2192" ht="15.75" customHeight="1">
      <c r="A2192" s="18" t="str">
        <f>Descargas!A2192</f>
        <v>1812@ext.mpsa.com</v>
      </c>
      <c r="B2192" s="19" t="str">
        <f>IFERROR(__xludf.DUMMYFUNCTION("IF(OR(regexmatch(A2192,"".*@simon.es$""),REGEXMATCH(A2192,"".*@simon.pt$""),REGEXMATCH(A2192,"".*@simonelectrica.com$""),REGEXMATCH(A2192,"".*@hiberus.com$""),REGEXMATCH(A2192,"".*@simonbrico.es$""),regexmatch(A2192,"".*@simonelectric.com$"")),""null"",A2"&amp;"192)"),"1812@ext.mpsa.com")</f>
        <v>1812@ext.mpsa.com</v>
      </c>
      <c r="C2192" s="5">
        <f>IF(B2192="null","null",Descargas!B2192)</f>
        <v>43950</v>
      </c>
      <c r="D2192" s="6" t="str">
        <f>Descargas!E2192</f>
        <v>https://resources.simonelectric.com/simon-catalogo-vehiculo-electrico</v>
      </c>
      <c r="E2192" s="20" t="str">
        <f t="shared" si="1"/>
        <v>1812@ext.mpsa.com</v>
      </c>
      <c r="F2192" s="21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</row>
    <row r="2193" ht="15.75" customHeight="1">
      <c r="A2193" s="18" t="str">
        <f>Descargas!A2193</f>
        <v>206@jgingenieros.es</v>
      </c>
      <c r="B2193" s="19" t="str">
        <f>IFERROR(__xludf.DUMMYFUNCTION("IF(OR(regexmatch(A2193,"".*@simon.es$""),REGEXMATCH(A2193,"".*@simon.pt$""),REGEXMATCH(A2193,"".*@simonelectrica.com$""),REGEXMATCH(A2193,"".*@hiberus.com$""),REGEXMATCH(A2193,"".*@simonbrico.es$""),regexmatch(A2193,"".*@simonelectric.com$"")),""null"",A2"&amp;"193)"),"206@jgingenieros.es")</f>
        <v>206@jgingenieros.es</v>
      </c>
      <c r="C2193" s="5">
        <f>IF(B2193="null","null",Descargas!B2193)</f>
        <v>43950</v>
      </c>
      <c r="D2193" s="6" t="str">
        <f>Descargas!E2193</f>
        <v>https://resources.simonelectric.com/simon-catalogo-vehiculo-electrico</v>
      </c>
      <c r="E2193" s="20" t="str">
        <f t="shared" si="1"/>
        <v>206@jgingenieros.es</v>
      </c>
      <c r="F2193" s="21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</row>
    <row r="2194" ht="15.75" customHeight="1">
      <c r="A2194" s="18" t="str">
        <f>Descargas!A2194</f>
        <v>1813@gmail.com</v>
      </c>
      <c r="B2194" s="19" t="str">
        <f>IFERROR(__xludf.DUMMYFUNCTION("IF(OR(regexmatch(A2194,"".*@simon.es$""),REGEXMATCH(A2194,"".*@simon.pt$""),REGEXMATCH(A2194,"".*@simonelectrica.com$""),REGEXMATCH(A2194,"".*@hiberus.com$""),REGEXMATCH(A2194,"".*@simonbrico.es$""),regexmatch(A2194,"".*@simonelectric.com$"")),""null"",A2"&amp;"194)"),"1813@gmail.com")</f>
        <v>1813@gmail.com</v>
      </c>
      <c r="C2194" s="5">
        <f>IF(B2194="null","null",Descargas!B2194)</f>
        <v>43950</v>
      </c>
      <c r="D2194" s="6" t="str">
        <f>Descargas!E2194</f>
        <v>https://resources.simonelectric.com/simon-catalogo-vehiculo-electrico</v>
      </c>
      <c r="E2194" s="20" t="str">
        <f t="shared" si="1"/>
        <v>1813@gmail.com</v>
      </c>
      <c r="F2194" s="21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</row>
    <row r="2195" ht="15.75" customHeight="1">
      <c r="A2195" s="18" t="str">
        <f>Descargas!A2195</f>
        <v>1814@grupoetra.com</v>
      </c>
      <c r="B2195" s="19" t="str">
        <f>IFERROR(__xludf.DUMMYFUNCTION("IF(OR(regexmatch(A2195,"".*@simon.es$""),REGEXMATCH(A2195,"".*@simon.pt$""),REGEXMATCH(A2195,"".*@simonelectrica.com$""),REGEXMATCH(A2195,"".*@hiberus.com$""),REGEXMATCH(A2195,"".*@simonbrico.es$""),regexmatch(A2195,"".*@simonelectric.com$"")),""null"",A2"&amp;"195)"),"1814@grupoetra.com")</f>
        <v>1814@grupoetra.com</v>
      </c>
      <c r="C2195" s="5">
        <f>IF(B2195="null","null",Descargas!B2195)</f>
        <v>43950</v>
      </c>
      <c r="D2195" s="6" t="str">
        <f>Descargas!E2195</f>
        <v>https://resources.simonelectric.com/simon-catalogo-vehiculo-electrico</v>
      </c>
      <c r="E2195" s="20" t="str">
        <f t="shared" si="1"/>
        <v>1814@grupoetra.com</v>
      </c>
      <c r="F2195" s="21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</row>
    <row r="2196" ht="15.75" customHeight="1">
      <c r="A2196" s="18" t="str">
        <f>Descargas!A2196</f>
        <v>1815@grupojab.es</v>
      </c>
      <c r="B2196" s="19" t="str">
        <f>IFERROR(__xludf.DUMMYFUNCTION("IF(OR(regexmatch(A2196,"".*@simon.es$""),REGEXMATCH(A2196,"".*@simon.pt$""),REGEXMATCH(A2196,"".*@simonelectrica.com$""),REGEXMATCH(A2196,"".*@hiberus.com$""),REGEXMATCH(A2196,"".*@simonbrico.es$""),regexmatch(A2196,"".*@simonelectric.com$"")),""null"",A2"&amp;"196)"),"1815@grupojab.es")</f>
        <v>1815@grupojab.es</v>
      </c>
      <c r="C2196" s="5">
        <f>IF(B2196="null","null",Descargas!B2196)</f>
        <v>43950</v>
      </c>
      <c r="D2196" s="6" t="str">
        <f>Descargas!E2196</f>
        <v>https://resources.simonelectric.com/simon-catalogo-vehiculo-electrico</v>
      </c>
      <c r="E2196" s="20" t="str">
        <f t="shared" si="1"/>
        <v>1815@grupojab.es</v>
      </c>
      <c r="F2196" s="21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</row>
    <row r="2197" ht="15.75" customHeight="1">
      <c r="A2197" s="18" t="str">
        <f>Descargas!A2197</f>
        <v>1816@petesan.es</v>
      </c>
      <c r="B2197" s="19" t="str">
        <f>IFERROR(__xludf.DUMMYFUNCTION("IF(OR(regexmatch(A2197,"".*@simon.es$""),REGEXMATCH(A2197,"".*@simon.pt$""),REGEXMATCH(A2197,"".*@simonelectrica.com$""),REGEXMATCH(A2197,"".*@hiberus.com$""),REGEXMATCH(A2197,"".*@simonbrico.es$""),regexmatch(A2197,"".*@simonelectric.com$"")),""null"",A2"&amp;"197)"),"1816@petesan.es")</f>
        <v>1816@petesan.es</v>
      </c>
      <c r="C2197" s="5">
        <f>IF(B2197="null","null",Descargas!B2197)</f>
        <v>43950</v>
      </c>
      <c r="D2197" s="6" t="str">
        <f>Descargas!E2197</f>
        <v>https://resources.simonelectric.com/simon-catalogo-vehiculo-electrico</v>
      </c>
      <c r="E2197" s="20" t="str">
        <f t="shared" si="1"/>
        <v>1816@petesan.es</v>
      </c>
      <c r="F2197" s="21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</row>
    <row r="2198" ht="15.75" customHeight="1">
      <c r="A2198" s="18" t="str">
        <f>Descargas!A2198</f>
        <v>1817@eurocabos.es</v>
      </c>
      <c r="B2198" s="19" t="str">
        <f>IFERROR(__xludf.DUMMYFUNCTION("IF(OR(regexmatch(A2198,"".*@simon.es$""),REGEXMATCH(A2198,"".*@simon.pt$""),REGEXMATCH(A2198,"".*@simonelectrica.com$""),REGEXMATCH(A2198,"".*@hiberus.com$""),REGEXMATCH(A2198,"".*@simonbrico.es$""),regexmatch(A2198,"".*@simonelectric.com$"")),""null"",A2"&amp;"198)"),"1817@eurocabos.es")</f>
        <v>1817@eurocabos.es</v>
      </c>
      <c r="C2198" s="5">
        <f>IF(B2198="null","null",Descargas!B2198)</f>
        <v>43950</v>
      </c>
      <c r="D2198" s="6" t="str">
        <f>Descargas!E2198</f>
        <v>https://resources.simonelectric.com/simon-catalogo-vehiculo-electrico</v>
      </c>
      <c r="E2198" s="20" t="str">
        <f t="shared" si="1"/>
        <v>1817@eurocabos.es</v>
      </c>
      <c r="F2198" s="21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</row>
    <row r="2199" ht="15.75" customHeight="1">
      <c r="A2199" s="18" t="str">
        <f>Descargas!A2199</f>
        <v>1818@electricidadpolop.es</v>
      </c>
      <c r="B2199" s="19" t="str">
        <f>IFERROR(__xludf.DUMMYFUNCTION("IF(OR(regexmatch(A2199,"".*@simon.es$""),REGEXMATCH(A2199,"".*@simon.pt$""),REGEXMATCH(A2199,"".*@simonelectrica.com$""),REGEXMATCH(A2199,"".*@hiberus.com$""),REGEXMATCH(A2199,"".*@simonbrico.es$""),regexmatch(A2199,"".*@simonelectric.com$"")),""null"",A2"&amp;"199)"),"1818@electricidadpolop.es")</f>
        <v>1818@electricidadpolop.es</v>
      </c>
      <c r="C2199" s="5">
        <f>IF(B2199="null","null",Descargas!B2199)</f>
        <v>43950</v>
      </c>
      <c r="D2199" s="6" t="str">
        <f>Descargas!E2199</f>
        <v>https://resources.simonelectric.com/simon-catalogo-vehiculo-electrico</v>
      </c>
      <c r="E2199" s="20" t="str">
        <f t="shared" si="1"/>
        <v>1818@electricidadpolop.es</v>
      </c>
      <c r="F2199" s="21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</row>
    <row r="2200" ht="15.75" customHeight="1">
      <c r="A2200" s="18" t="str">
        <f>Descargas!A2200</f>
        <v>1819@simon.es</v>
      </c>
      <c r="B2200" s="19" t="str">
        <f>IFERROR(__xludf.DUMMYFUNCTION("IF(OR(regexmatch(A2200,"".*@simon.es$""),REGEXMATCH(A2200,"".*@simon.pt$""),REGEXMATCH(A2200,"".*@simonelectrica.com$""),REGEXMATCH(A2200,"".*@hiberus.com$""),REGEXMATCH(A2200,"".*@simonbrico.es$""),regexmatch(A2200,"".*@simonelectric.com$"")),""null"",A2"&amp;"200)"),"null")</f>
        <v>null</v>
      </c>
      <c r="C2200" s="5" t="str">
        <f>IF(B2200="null","null",Descargas!B2200)</f>
        <v>null</v>
      </c>
      <c r="D2200" s="6" t="str">
        <f>Descargas!E2200</f>
        <v>https://resources.simonelectric.com/simon-catalogo-vehiculo-electrico</v>
      </c>
      <c r="E2200" s="24" t="str">
        <f t="shared" si="1"/>
        <v/>
      </c>
      <c r="F2200" s="21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</row>
    <row r="2201" ht="15.75" customHeight="1">
      <c r="A2201" s="18" t="str">
        <f>Descargas!A2201</f>
        <v>1820@marveco.com</v>
      </c>
      <c r="B2201" s="19" t="str">
        <f>IFERROR(__xludf.DUMMYFUNCTION("IF(OR(regexmatch(A2201,"".*@simon.es$""),REGEXMATCH(A2201,"".*@simon.pt$""),REGEXMATCH(A2201,"".*@simonelectrica.com$""),REGEXMATCH(A2201,"".*@hiberus.com$""),REGEXMATCH(A2201,"".*@simonbrico.es$""),regexmatch(A2201,"".*@simonelectric.com$"")),""null"",A2"&amp;"201)"),"1820@marveco.com")</f>
        <v>1820@marveco.com</v>
      </c>
      <c r="C2201" s="5">
        <f>IF(B2201="null","null",Descargas!B2201)</f>
        <v>43950</v>
      </c>
      <c r="D2201" s="6" t="str">
        <f>Descargas!E2201</f>
        <v>https://resources.simonelectric.com/simon-catalogo-vehiculo-electrico</v>
      </c>
      <c r="E2201" s="20" t="str">
        <f t="shared" si="1"/>
        <v>1820@marveco.com</v>
      </c>
      <c r="F2201" s="21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</row>
    <row r="2202" ht="15.75" customHeight="1">
      <c r="A2202" s="18" t="str">
        <f>Descargas!A2202</f>
        <v>1821@construciainstalaciones.com</v>
      </c>
      <c r="B2202" s="19" t="str">
        <f>IFERROR(__xludf.DUMMYFUNCTION("IF(OR(regexmatch(A2202,"".*@simon.es$""),REGEXMATCH(A2202,"".*@simon.pt$""),REGEXMATCH(A2202,"".*@simonelectrica.com$""),REGEXMATCH(A2202,"".*@hiberus.com$""),REGEXMATCH(A2202,"".*@simonbrico.es$""),regexmatch(A2202,"".*@simonelectric.com$"")),""null"",A2"&amp;"202)"),"1821@construciainstalaciones.com")</f>
        <v>1821@construciainstalaciones.com</v>
      </c>
      <c r="C2202" s="5">
        <f>IF(B2202="null","null",Descargas!B2202)</f>
        <v>43950</v>
      </c>
      <c r="D2202" s="6" t="str">
        <f>Descargas!E2202</f>
        <v>https://resources.simonelectric.com/simon-catalogo-vehiculo-electrico</v>
      </c>
      <c r="E2202" s="20" t="str">
        <f t="shared" si="1"/>
        <v>1821@construciainstalaciones.com</v>
      </c>
      <c r="F2202" s="21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</row>
    <row r="2203" ht="15.75" customHeight="1">
      <c r="A2203" s="18" t="str">
        <f>Descargas!A2203</f>
        <v>1822@diexfe.com</v>
      </c>
      <c r="B2203" s="19" t="str">
        <f>IFERROR(__xludf.DUMMYFUNCTION("IF(OR(regexmatch(A2203,"".*@simon.es$""),REGEXMATCH(A2203,"".*@simon.pt$""),REGEXMATCH(A2203,"".*@simonelectrica.com$""),REGEXMATCH(A2203,"".*@hiberus.com$""),REGEXMATCH(A2203,"".*@simonbrico.es$""),regexmatch(A2203,"".*@simonelectric.com$"")),""null"",A2"&amp;"203)"),"1822@diexfe.com")</f>
        <v>1822@diexfe.com</v>
      </c>
      <c r="C2203" s="5">
        <f>IF(B2203="null","null",Descargas!B2203)</f>
        <v>43950</v>
      </c>
      <c r="D2203" s="6" t="str">
        <f>Descargas!E2203</f>
        <v>https://resources.simonelectric.com/simon-catalogo-vehiculo-electrico</v>
      </c>
      <c r="E2203" s="20" t="str">
        <f t="shared" si="1"/>
        <v>1822@diexfe.com</v>
      </c>
      <c r="F2203" s="21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</row>
    <row r="2204" ht="15.75" customHeight="1">
      <c r="A2204" s="18" t="str">
        <f>Descargas!A2204</f>
        <v>1823@saltoki.es</v>
      </c>
      <c r="B2204" s="19" t="str">
        <f>IFERROR(__xludf.DUMMYFUNCTION("IF(OR(regexmatch(A2204,"".*@simon.es$""),REGEXMATCH(A2204,"".*@simon.pt$""),REGEXMATCH(A2204,"".*@simonelectrica.com$""),REGEXMATCH(A2204,"".*@hiberus.com$""),REGEXMATCH(A2204,"".*@simonbrico.es$""),regexmatch(A2204,"".*@simonelectric.com$"")),""null"",A2"&amp;"204)"),"1823@saltoki.es")</f>
        <v>1823@saltoki.es</v>
      </c>
      <c r="C2204" s="5">
        <f>IF(B2204="null","null",Descargas!B2204)</f>
        <v>43950</v>
      </c>
      <c r="D2204" s="6" t="str">
        <f>Descargas!E2204</f>
        <v>https://resources.simonelectric.com/simon-catalogo-vehiculo-electrico</v>
      </c>
      <c r="E2204" s="20" t="str">
        <f t="shared" si="1"/>
        <v>1823@saltoki.es</v>
      </c>
      <c r="F2204" s="21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</row>
    <row r="2205" ht="15.75" customHeight="1">
      <c r="A2205" s="18" t="str">
        <f>Descargas!A2205</f>
        <v>783@diexfe.com</v>
      </c>
      <c r="B2205" s="19" t="str">
        <f>IFERROR(__xludf.DUMMYFUNCTION("IF(OR(regexmatch(A2205,"".*@simon.es$""),REGEXMATCH(A2205,"".*@simon.pt$""),REGEXMATCH(A2205,"".*@simonelectrica.com$""),REGEXMATCH(A2205,"".*@hiberus.com$""),REGEXMATCH(A2205,"".*@simonbrico.es$""),regexmatch(A2205,"".*@simonelectric.com$"")),""null"",A2"&amp;"205)"),"783@diexfe.com")</f>
        <v>783@diexfe.com</v>
      </c>
      <c r="C2205" s="5">
        <f>IF(B2205="null","null",Descargas!B2205)</f>
        <v>43950</v>
      </c>
      <c r="D2205" s="6" t="str">
        <f>Descargas!E2205</f>
        <v>https://resources.simonelectric.com/simon-catalogo-vehiculo-electrico</v>
      </c>
      <c r="E2205" s="20" t="str">
        <f t="shared" si="1"/>
        <v>783@diexfe.com</v>
      </c>
      <c r="F2205" s="21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</row>
    <row r="2206" ht="15.75" customHeight="1">
      <c r="A2206" s="18" t="str">
        <f>Descargas!A2206</f>
        <v>1824@selpri.pt</v>
      </c>
      <c r="B2206" s="19" t="str">
        <f>IFERROR(__xludf.DUMMYFUNCTION("IF(OR(regexmatch(A2206,"".*@simon.es$""),REGEXMATCH(A2206,"".*@simon.pt$""),REGEXMATCH(A2206,"".*@simonelectrica.com$""),REGEXMATCH(A2206,"".*@hiberus.com$""),REGEXMATCH(A2206,"".*@simonbrico.es$""),regexmatch(A2206,"".*@simonelectric.com$"")),""null"",A2"&amp;"206)"),"1824@selpri.pt")</f>
        <v>1824@selpri.pt</v>
      </c>
      <c r="C2206" s="5">
        <f>IF(B2206="null","null",Descargas!B2206)</f>
        <v>43950</v>
      </c>
      <c r="D2206" s="6" t="str">
        <f>Descargas!E2206</f>
        <v>https://resources.simonelectric.com/simon-catalogo-vehiculo-electrico</v>
      </c>
      <c r="E2206" s="20" t="str">
        <f t="shared" si="1"/>
        <v>1824@selpri.pt</v>
      </c>
      <c r="F2206" s="21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</row>
    <row r="2207" ht="15.75" customHeight="1">
      <c r="A2207" s="18" t="str">
        <f>Descargas!A2207</f>
        <v>1825@digamel.com</v>
      </c>
      <c r="B2207" s="19" t="str">
        <f>IFERROR(__xludf.DUMMYFUNCTION("IF(OR(regexmatch(A2207,"".*@simon.es$""),REGEXMATCH(A2207,"".*@simon.pt$""),REGEXMATCH(A2207,"".*@simonelectrica.com$""),REGEXMATCH(A2207,"".*@hiberus.com$""),REGEXMATCH(A2207,"".*@simonbrico.es$""),regexmatch(A2207,"".*@simonelectric.com$"")),""null"",A2"&amp;"207)"),"1825@digamel.com")</f>
        <v>1825@digamel.com</v>
      </c>
      <c r="C2207" s="5">
        <f>IF(B2207="null","null",Descargas!B2207)</f>
        <v>43950</v>
      </c>
      <c r="D2207" s="6" t="str">
        <f>Descargas!E2207</f>
        <v>https://resources.simonelectric.com/simon-catalogo-vehiculo-electrico</v>
      </c>
      <c r="E2207" s="20" t="str">
        <f t="shared" si="1"/>
        <v>1825@digamel.com</v>
      </c>
      <c r="F2207" s="21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</row>
    <row r="2208" ht="15.75" customHeight="1">
      <c r="A2208" s="18" t="str">
        <f>Descargas!A2208</f>
        <v>1826@gestionservicios.com</v>
      </c>
      <c r="B2208" s="19" t="str">
        <f>IFERROR(__xludf.DUMMYFUNCTION("IF(OR(regexmatch(A2208,"".*@simon.es$""),REGEXMATCH(A2208,"".*@simon.pt$""),REGEXMATCH(A2208,"".*@simonelectrica.com$""),REGEXMATCH(A2208,"".*@hiberus.com$""),REGEXMATCH(A2208,"".*@simonbrico.es$""),regexmatch(A2208,"".*@simonelectric.com$"")),""null"",A2"&amp;"208)"),"1826@gestionservicios.com")</f>
        <v>1826@gestionservicios.com</v>
      </c>
      <c r="C2208" s="5">
        <f>IF(B2208="null","null",Descargas!B2208)</f>
        <v>43950</v>
      </c>
      <c r="D2208" s="6" t="str">
        <f>Descargas!E2208</f>
        <v>https://resources.simonelectric.com/simon-catalogo-vehiculo-electrico</v>
      </c>
      <c r="E2208" s="20" t="str">
        <f t="shared" si="1"/>
        <v>1826@gestionservicios.com</v>
      </c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</row>
    <row r="2209" ht="15.75" customHeight="1">
      <c r="A2209" s="18" t="str">
        <f>Descargas!A2209</f>
        <v>1827@gmail.com</v>
      </c>
      <c r="B2209" s="19" t="str">
        <f>IFERROR(__xludf.DUMMYFUNCTION("IF(OR(regexmatch(A2209,"".*@simon.es$""),REGEXMATCH(A2209,"".*@simon.pt$""),REGEXMATCH(A2209,"".*@simonelectrica.com$""),REGEXMATCH(A2209,"".*@hiberus.com$""),REGEXMATCH(A2209,"".*@simonbrico.es$""),regexmatch(A2209,"".*@simonelectric.com$"")),""null"",A2"&amp;"209)"),"1827@gmail.com")</f>
        <v>1827@gmail.com</v>
      </c>
      <c r="C2209" s="5">
        <f>IF(B2209="null","null",Descargas!B2209)</f>
        <v>43950</v>
      </c>
      <c r="D2209" s="6" t="str">
        <f>Descargas!E2209</f>
        <v>https://resources.simonelectric.com/simon-catalogo-vehiculo-electrico</v>
      </c>
      <c r="E2209" s="20" t="str">
        <f t="shared" si="1"/>
        <v>1827@gmail.com</v>
      </c>
      <c r="F2209" s="21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</row>
    <row r="2210" ht="15.75" customHeight="1">
      <c r="A2210" s="18" t="str">
        <f>Descargas!A2210</f>
        <v>649@yahoo.es</v>
      </c>
      <c r="B2210" s="19" t="str">
        <f>IFERROR(__xludf.DUMMYFUNCTION("IF(OR(regexmatch(A2210,"".*@simon.es$""),REGEXMATCH(A2210,"".*@simon.pt$""),REGEXMATCH(A2210,"".*@simonelectrica.com$""),REGEXMATCH(A2210,"".*@hiberus.com$""),REGEXMATCH(A2210,"".*@simonbrico.es$""),regexmatch(A2210,"".*@simonelectric.com$"")),""null"",A2"&amp;"210)"),"649@yahoo.es")</f>
        <v>649@yahoo.es</v>
      </c>
      <c r="C2210" s="5">
        <f>IF(B2210="null","null",Descargas!B2210)</f>
        <v>43950</v>
      </c>
      <c r="D2210" s="6" t="str">
        <f>Descargas!E2210</f>
        <v>https://resources.simonelectric.com/simon-catalogo-vehiculo-electrico</v>
      </c>
      <c r="E2210" s="20" t="str">
        <f t="shared" si="1"/>
        <v>649@yahoo.es</v>
      </c>
      <c r="F2210" s="21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</row>
    <row r="2211" ht="15.75" customHeight="1">
      <c r="A2211" s="18" t="str">
        <f>Descargas!A2211</f>
        <v>1828@econergia.es</v>
      </c>
      <c r="B2211" s="19" t="str">
        <f>IFERROR(__xludf.DUMMYFUNCTION("IF(OR(regexmatch(A2211,"".*@simon.es$""),REGEXMATCH(A2211,"".*@simon.pt$""),REGEXMATCH(A2211,"".*@simonelectrica.com$""),REGEXMATCH(A2211,"".*@hiberus.com$""),REGEXMATCH(A2211,"".*@simonbrico.es$""),regexmatch(A2211,"".*@simonelectric.com$"")),""null"",A2"&amp;"211)"),"1828@econergia.es")</f>
        <v>1828@econergia.es</v>
      </c>
      <c r="C2211" s="5">
        <f>IF(B2211="null","null",Descargas!B2211)</f>
        <v>43950</v>
      </c>
      <c r="D2211" s="6" t="str">
        <f>Descargas!E2211</f>
        <v>https://resources.simonelectric.com/simon-catalogo-vehiculo-electrico</v>
      </c>
      <c r="E2211" s="20" t="str">
        <f t="shared" si="1"/>
        <v>1828@econergia.es</v>
      </c>
      <c r="F2211" s="21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</row>
    <row r="2212" ht="15.75" customHeight="1">
      <c r="A2212" s="18" t="str">
        <f>Descargas!A2212</f>
        <v>1829@1aingenieros.com</v>
      </c>
      <c r="B2212" s="19" t="str">
        <f>IFERROR(__xludf.DUMMYFUNCTION("IF(OR(regexmatch(A2212,"".*@simon.es$""),REGEXMATCH(A2212,"".*@simon.pt$""),REGEXMATCH(A2212,"".*@simonelectrica.com$""),REGEXMATCH(A2212,"".*@hiberus.com$""),REGEXMATCH(A2212,"".*@simonbrico.es$""),regexmatch(A2212,"".*@simonelectric.com$"")),""null"",A2"&amp;"212)"),"1829@1aingenieros.com")</f>
        <v>1829@1aingenieros.com</v>
      </c>
      <c r="C2212" s="5">
        <f>IF(B2212="null","null",Descargas!B2212)</f>
        <v>43950</v>
      </c>
      <c r="D2212" s="6" t="str">
        <f>Descargas!E2212</f>
        <v>https://resources.simonelectric.com/simon-catalogo-vehiculo-electrico</v>
      </c>
      <c r="E2212" s="20" t="str">
        <f t="shared" si="1"/>
        <v>1829@1aingenieros.com</v>
      </c>
      <c r="F2212" s="21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</row>
    <row r="2213" ht="15.75" customHeight="1">
      <c r="A2213" s="18" t="str">
        <f>Descargas!A2213</f>
        <v>1830@gmail.com</v>
      </c>
      <c r="B2213" s="19" t="str">
        <f>IFERROR(__xludf.DUMMYFUNCTION("IF(OR(regexmatch(A2213,"".*@simon.es$""),REGEXMATCH(A2213,"".*@simon.pt$""),REGEXMATCH(A2213,"".*@simonelectrica.com$""),REGEXMATCH(A2213,"".*@hiberus.com$""),REGEXMATCH(A2213,"".*@simonbrico.es$""),regexmatch(A2213,"".*@simonelectric.com$"")),""null"",A2"&amp;"213)"),"1830@gmail.com")</f>
        <v>1830@gmail.com</v>
      </c>
      <c r="C2213" s="5">
        <f>IF(B2213="null","null",Descargas!B2213)</f>
        <v>43950</v>
      </c>
      <c r="D2213" s="6" t="str">
        <f>Descargas!E2213</f>
        <v>https://resources.simonelectric.com/simon-catalogo-vehiculo-electrico</v>
      </c>
      <c r="E2213" s="20" t="str">
        <f t="shared" si="1"/>
        <v>1830@gmail.com</v>
      </c>
      <c r="F2213" s="21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</row>
    <row r="2214" ht="15.75" customHeight="1">
      <c r="A2214" s="18" t="str">
        <f>Descargas!A2214</f>
        <v>1831@monlau.com</v>
      </c>
      <c r="B2214" s="19" t="str">
        <f>IFERROR(__xludf.DUMMYFUNCTION("IF(OR(regexmatch(A2214,"".*@simon.es$""),REGEXMATCH(A2214,"".*@simon.pt$""),REGEXMATCH(A2214,"".*@simonelectrica.com$""),REGEXMATCH(A2214,"".*@hiberus.com$""),REGEXMATCH(A2214,"".*@simonbrico.es$""),regexmatch(A2214,"".*@simonelectric.com$"")),""null"",A2"&amp;"214)"),"1831@monlau.com")</f>
        <v>1831@monlau.com</v>
      </c>
      <c r="C2214" s="5">
        <f>IF(B2214="null","null",Descargas!B2214)</f>
        <v>43950</v>
      </c>
      <c r="D2214" s="6" t="str">
        <f>Descargas!E2214</f>
        <v>https://resources.simonelectric.com/simon-catalogo-vehiculo-electrico</v>
      </c>
      <c r="E2214" s="20" t="str">
        <f t="shared" si="1"/>
        <v>1831@monlau.com</v>
      </c>
      <c r="F2214" s="21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</row>
    <row r="2215" ht="15.75" customHeight="1">
      <c r="A2215" s="18" t="str">
        <f>Descargas!A2215</f>
        <v>1832@mhindustrias.com</v>
      </c>
      <c r="B2215" s="19" t="str">
        <f>IFERROR(__xludf.DUMMYFUNCTION("IF(OR(regexmatch(A2215,"".*@simon.es$""),REGEXMATCH(A2215,"".*@simon.pt$""),REGEXMATCH(A2215,"".*@simonelectrica.com$""),REGEXMATCH(A2215,"".*@hiberus.com$""),REGEXMATCH(A2215,"".*@simonbrico.es$""),regexmatch(A2215,"".*@simonelectric.com$"")),""null"",A2"&amp;"215)"),"1832@mhindustrias.com")</f>
        <v>1832@mhindustrias.com</v>
      </c>
      <c r="C2215" s="5">
        <f>IF(B2215="null","null",Descargas!B2215)</f>
        <v>43950</v>
      </c>
      <c r="D2215" s="6" t="str">
        <f>Descargas!E2215</f>
        <v>https://resources.simonelectric.com/simon-catalogo-vehiculo-electrico</v>
      </c>
      <c r="E2215" s="20" t="str">
        <f t="shared" si="1"/>
        <v>1832@mhindustrias.com</v>
      </c>
      <c r="F2215" s="21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</row>
    <row r="2216" ht="15.75" customHeight="1">
      <c r="A2216" s="18" t="str">
        <f>Descargas!A2216</f>
        <v>1833@coitir.com</v>
      </c>
      <c r="B2216" s="19" t="str">
        <f>IFERROR(__xludf.DUMMYFUNCTION("IF(OR(regexmatch(A2216,"".*@simon.es$""),REGEXMATCH(A2216,"".*@simon.pt$""),REGEXMATCH(A2216,"".*@simonelectrica.com$""),REGEXMATCH(A2216,"".*@hiberus.com$""),REGEXMATCH(A2216,"".*@simonbrico.es$""),regexmatch(A2216,"".*@simonelectric.com$"")),""null"",A2"&amp;"216)"),"1833@coitir.com")</f>
        <v>1833@coitir.com</v>
      </c>
      <c r="C2216" s="5">
        <f>IF(B2216="null","null",Descargas!B2216)</f>
        <v>43950</v>
      </c>
      <c r="D2216" s="6" t="str">
        <f>Descargas!E2216</f>
        <v>https://resources.simonelectric.com/simon-catalogo-vehiculo-electrico</v>
      </c>
      <c r="E2216" s="20" t="str">
        <f t="shared" si="1"/>
        <v>1833@coitir.com</v>
      </c>
      <c r="F2216" s="21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</row>
    <row r="2217" ht="15.75" customHeight="1">
      <c r="A2217" s="18" t="str">
        <f>Descargas!A2217</f>
        <v>1834@valls.cat</v>
      </c>
      <c r="B2217" s="19" t="str">
        <f>IFERROR(__xludf.DUMMYFUNCTION("IF(OR(regexmatch(A2217,"".*@simon.es$""),REGEXMATCH(A2217,"".*@simon.pt$""),REGEXMATCH(A2217,"".*@simonelectrica.com$""),REGEXMATCH(A2217,"".*@hiberus.com$""),REGEXMATCH(A2217,"".*@simonbrico.es$""),regexmatch(A2217,"".*@simonelectric.com$"")),""null"",A2"&amp;"217)"),"1834@valls.cat")</f>
        <v>1834@valls.cat</v>
      </c>
      <c r="C2217" s="5">
        <f>IF(B2217="null","null",Descargas!B2217)</f>
        <v>43950</v>
      </c>
      <c r="D2217" s="6" t="str">
        <f>Descargas!E2217</f>
        <v>https://resources.simonelectric.com/simon-catalogo-vehiculo-electrico</v>
      </c>
      <c r="E2217" s="20" t="str">
        <f t="shared" si="1"/>
        <v>1834@valls.cat</v>
      </c>
      <c r="F2217" s="21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</row>
    <row r="2218" ht="15.75" customHeight="1">
      <c r="A2218" s="18" t="str">
        <f>Descargas!A2218</f>
        <v>1835@gmail.com</v>
      </c>
      <c r="B2218" s="19" t="str">
        <f>IFERROR(__xludf.DUMMYFUNCTION("IF(OR(regexmatch(A2218,"".*@simon.es$""),REGEXMATCH(A2218,"".*@simon.pt$""),REGEXMATCH(A2218,"".*@simonelectrica.com$""),REGEXMATCH(A2218,"".*@hiberus.com$""),REGEXMATCH(A2218,"".*@simonbrico.es$""),regexmatch(A2218,"".*@simonelectric.com$"")),""null"",A2"&amp;"218)"),"1835@gmail.com")</f>
        <v>1835@gmail.com</v>
      </c>
      <c r="C2218" s="5">
        <f>IF(B2218="null","null",Descargas!B2218)</f>
        <v>43950</v>
      </c>
      <c r="D2218" s="6" t="str">
        <f>Descargas!E2218</f>
        <v>https://resources.simonelectric.com/simon-catalogo-vehiculo-electrico</v>
      </c>
      <c r="E2218" s="20" t="str">
        <f t="shared" si="1"/>
        <v>1835@gmail.com</v>
      </c>
      <c r="F2218" s="21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</row>
    <row r="2219" ht="15.75" customHeight="1">
      <c r="A2219" s="18" t="str">
        <f>Descargas!A2219</f>
        <v>313@inelbo.eiffage.es</v>
      </c>
      <c r="B2219" s="19" t="str">
        <f>IFERROR(__xludf.DUMMYFUNCTION("IF(OR(regexmatch(A2219,"".*@simon.es$""),REGEXMATCH(A2219,"".*@simon.pt$""),REGEXMATCH(A2219,"".*@simonelectrica.com$""),REGEXMATCH(A2219,"".*@hiberus.com$""),REGEXMATCH(A2219,"".*@simonbrico.es$""),regexmatch(A2219,"".*@simonelectric.com$"")),""null"",A2"&amp;"219)"),"313@inelbo.eiffage.es")</f>
        <v>313@inelbo.eiffage.es</v>
      </c>
      <c r="C2219" s="5">
        <f>IF(B2219="null","null",Descargas!B2219)</f>
        <v>43950</v>
      </c>
      <c r="D2219" s="6" t="str">
        <f>Descargas!E2219</f>
        <v>https://resources.simonelectric.com/simon-catalogo-vehiculo-electrico</v>
      </c>
      <c r="E2219" s="20" t="str">
        <f t="shared" si="1"/>
        <v>313@inelbo.eiffage.es</v>
      </c>
      <c r="F2219" s="21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</row>
    <row r="2220" ht="15.75" customHeight="1">
      <c r="A2220" s="18" t="str">
        <f>Descargas!A2220</f>
        <v>1836@biper.es</v>
      </c>
      <c r="B2220" s="19" t="str">
        <f>IFERROR(__xludf.DUMMYFUNCTION("IF(OR(regexmatch(A2220,"".*@simon.es$""),REGEXMATCH(A2220,"".*@simon.pt$""),REGEXMATCH(A2220,"".*@simonelectrica.com$""),REGEXMATCH(A2220,"".*@hiberus.com$""),REGEXMATCH(A2220,"".*@simonbrico.es$""),regexmatch(A2220,"".*@simonelectric.com$"")),""null"",A2"&amp;"220)"),"1836@biper.es")</f>
        <v>1836@biper.es</v>
      </c>
      <c r="C2220" s="5">
        <f>IF(B2220="null","null",Descargas!B2220)</f>
        <v>43950</v>
      </c>
      <c r="D2220" s="6" t="str">
        <f>Descargas!E2220</f>
        <v>https://resources.simonelectric.com/simon-catalogo-vehiculo-electrico</v>
      </c>
      <c r="E2220" s="20" t="str">
        <f t="shared" si="1"/>
        <v>1836@biper.es</v>
      </c>
      <c r="F2220" s="21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</row>
    <row r="2221" ht="15.75" customHeight="1">
      <c r="A2221" s="18" t="str">
        <f>Descargas!A2221</f>
        <v>1837@cersanz.es</v>
      </c>
      <c r="B2221" s="19" t="str">
        <f>IFERROR(__xludf.DUMMYFUNCTION("IF(OR(regexmatch(A2221,"".*@simon.es$""),REGEXMATCH(A2221,"".*@simon.pt$""),REGEXMATCH(A2221,"".*@simonelectrica.com$""),REGEXMATCH(A2221,"".*@hiberus.com$""),REGEXMATCH(A2221,"".*@simonbrico.es$""),regexmatch(A2221,"".*@simonelectric.com$"")),""null"",A2"&amp;"221)"),"1837@cersanz.es")</f>
        <v>1837@cersanz.es</v>
      </c>
      <c r="C2221" s="5">
        <f>IF(B2221="null","null",Descargas!B2221)</f>
        <v>43950</v>
      </c>
      <c r="D2221" s="6" t="str">
        <f>Descargas!E2221</f>
        <v>https://resources.simonelectric.com/simon-catalogo-vehiculo-electrico</v>
      </c>
      <c r="E2221" s="20" t="str">
        <f t="shared" si="1"/>
        <v>1837@cersanz.es</v>
      </c>
      <c r="F2221" s="21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</row>
    <row r="2222" ht="15.75" customHeight="1">
      <c r="A2222" s="18" t="str">
        <f>Descargas!A2222</f>
        <v>1838@gruponovelec.com</v>
      </c>
      <c r="B2222" s="19" t="str">
        <f>IFERROR(__xludf.DUMMYFUNCTION("IF(OR(regexmatch(A2222,"".*@simon.es$""),REGEXMATCH(A2222,"".*@simon.pt$""),REGEXMATCH(A2222,"".*@simonelectrica.com$""),REGEXMATCH(A2222,"".*@hiberus.com$""),REGEXMATCH(A2222,"".*@simonbrico.es$""),regexmatch(A2222,"".*@simonelectric.com$"")),""null"",A2"&amp;"222)"),"1838@gruponovelec.com")</f>
        <v>1838@gruponovelec.com</v>
      </c>
      <c r="C2222" s="5">
        <f>IF(B2222="null","null",Descargas!B2222)</f>
        <v>43950</v>
      </c>
      <c r="D2222" s="6" t="str">
        <f>Descargas!E2222</f>
        <v>https://resources.simonelectric.com/simon-catalogo-vehiculo-electrico</v>
      </c>
      <c r="E2222" s="20" t="str">
        <f t="shared" si="1"/>
        <v>1838@gruponovelec.com</v>
      </c>
      <c r="F2222" s="21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</row>
    <row r="2223" ht="15.75" customHeight="1">
      <c r="A2223" s="18" t="str">
        <f>Descargas!A2223</f>
        <v>1839@gmail.com</v>
      </c>
      <c r="B2223" s="19" t="str">
        <f>IFERROR(__xludf.DUMMYFUNCTION("IF(OR(regexmatch(A2223,"".*@simon.es$""),REGEXMATCH(A2223,"".*@simon.pt$""),REGEXMATCH(A2223,"".*@simonelectrica.com$""),REGEXMATCH(A2223,"".*@hiberus.com$""),REGEXMATCH(A2223,"".*@simonbrico.es$""),regexmatch(A2223,"".*@simonelectric.com$"")),""null"",A2"&amp;"223)"),"1839@gmail.com")</f>
        <v>1839@gmail.com</v>
      </c>
      <c r="C2223" s="5">
        <f>IF(B2223="null","null",Descargas!B2223)</f>
        <v>43950</v>
      </c>
      <c r="D2223" s="6" t="str">
        <f>Descargas!E2223</f>
        <v>https://resources.simonelectric.com/simon-catalogo-vehiculo-electrico</v>
      </c>
      <c r="E2223" s="20" t="str">
        <f t="shared" si="1"/>
        <v>1839@gmail.com</v>
      </c>
      <c r="F2223" s="21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</row>
    <row r="2224" ht="15.75" customHeight="1">
      <c r="A2224" s="18" t="str">
        <f>Descargas!A2224</f>
        <v>1840@ingenierosvigo.com</v>
      </c>
      <c r="B2224" s="19" t="str">
        <f>IFERROR(__xludf.DUMMYFUNCTION("IF(OR(regexmatch(A2224,"".*@simon.es$""),REGEXMATCH(A2224,"".*@simon.pt$""),REGEXMATCH(A2224,"".*@simonelectrica.com$""),REGEXMATCH(A2224,"".*@hiberus.com$""),REGEXMATCH(A2224,"".*@simonbrico.es$""),regexmatch(A2224,"".*@simonelectric.com$"")),""null"",A2"&amp;"224)"),"1840@ingenierosvigo.com")</f>
        <v>1840@ingenierosvigo.com</v>
      </c>
      <c r="C2224" s="5">
        <f>IF(B2224="null","null",Descargas!B2224)</f>
        <v>43950</v>
      </c>
      <c r="D2224" s="6" t="str">
        <f>Descargas!E2224</f>
        <v>https://resources.simonelectric.com/simon-catalogo-vehiculo-electrico</v>
      </c>
      <c r="E2224" s="20" t="str">
        <f t="shared" si="1"/>
        <v>1840@ingenierosvigo.com</v>
      </c>
      <c r="F2224" s="21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</row>
    <row r="2225" ht="15.75" customHeight="1">
      <c r="A2225" s="18" t="str">
        <f>Descargas!A2225</f>
        <v>655@seproi.com</v>
      </c>
      <c r="B2225" s="19" t="str">
        <f>IFERROR(__xludf.DUMMYFUNCTION("IF(OR(regexmatch(A2225,"".*@simon.es$""),REGEXMATCH(A2225,"".*@simon.pt$""),REGEXMATCH(A2225,"".*@simonelectrica.com$""),REGEXMATCH(A2225,"".*@hiberus.com$""),REGEXMATCH(A2225,"".*@simonbrico.es$""),regexmatch(A2225,"".*@simonelectric.com$"")),""null"",A2"&amp;"225)"),"655@seproi.com")</f>
        <v>655@seproi.com</v>
      </c>
      <c r="C2225" s="5">
        <f>IF(B2225="null","null",Descargas!B2225)</f>
        <v>43950</v>
      </c>
      <c r="D2225" s="6" t="str">
        <f>Descargas!E2225</f>
        <v>https://resources.simonelectric.com/simon-catalogo-vehiculo-electrico</v>
      </c>
      <c r="E2225" s="20" t="str">
        <f t="shared" si="1"/>
        <v>655@seproi.com</v>
      </c>
      <c r="F2225" s="21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</row>
    <row r="2226" ht="15.75" customHeight="1">
      <c r="A2226" s="18" t="str">
        <f>Descargas!A2226</f>
        <v>1841@infova.es</v>
      </c>
      <c r="B2226" s="19" t="str">
        <f>IFERROR(__xludf.DUMMYFUNCTION("IF(OR(regexmatch(A2226,"".*@simon.es$""),REGEXMATCH(A2226,"".*@simon.pt$""),REGEXMATCH(A2226,"".*@simonelectrica.com$""),REGEXMATCH(A2226,"".*@hiberus.com$""),REGEXMATCH(A2226,"".*@simonbrico.es$""),regexmatch(A2226,"".*@simonelectric.com$"")),""null"",A2"&amp;"226)"),"1841@infova.es")</f>
        <v>1841@infova.es</v>
      </c>
      <c r="C2226" s="5">
        <f>IF(B2226="null","null",Descargas!B2226)</f>
        <v>43950</v>
      </c>
      <c r="D2226" s="6" t="str">
        <f>Descargas!E2226</f>
        <v>https://resources.simonelectric.com/simon-catalogo-vehiculo-electrico</v>
      </c>
      <c r="E2226" s="20" t="str">
        <f t="shared" si="1"/>
        <v>1841@infova.es</v>
      </c>
      <c r="F2226" s="21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</row>
    <row r="2227" ht="15.75" customHeight="1">
      <c r="A2227" s="18" t="str">
        <f>Descargas!A2227</f>
        <v>1842@simon.es</v>
      </c>
      <c r="B2227" s="19" t="str">
        <f>IFERROR(__xludf.DUMMYFUNCTION("IF(OR(regexmatch(A2227,"".*@simon.es$""),REGEXMATCH(A2227,"".*@simon.pt$""),REGEXMATCH(A2227,"".*@simonelectrica.com$""),REGEXMATCH(A2227,"".*@hiberus.com$""),REGEXMATCH(A2227,"".*@simonbrico.es$""),regexmatch(A2227,"".*@simonelectric.com$"")),""null"",A2"&amp;"227)"),"null")</f>
        <v>null</v>
      </c>
      <c r="C2227" s="5" t="str">
        <f>IF(B2227="null","null",Descargas!B2227)</f>
        <v>null</v>
      </c>
      <c r="D2227" s="6" t="str">
        <f>Descargas!E2227</f>
        <v>https://resources.simonelectric.com/simon-catalogo-vehiculo-electrico</v>
      </c>
      <c r="E2227" s="24" t="str">
        <f t="shared" si="1"/>
        <v/>
      </c>
      <c r="F2227" s="21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</row>
    <row r="2228" ht="15.75" customHeight="1">
      <c r="A2228" s="18" t="str">
        <f>Descargas!A2228</f>
        <v>1843@jovitel.com</v>
      </c>
      <c r="B2228" s="19" t="str">
        <f>IFERROR(__xludf.DUMMYFUNCTION("IF(OR(regexmatch(A2228,"".*@simon.es$""),REGEXMATCH(A2228,"".*@simon.pt$""),REGEXMATCH(A2228,"".*@simonelectrica.com$""),REGEXMATCH(A2228,"".*@hiberus.com$""),REGEXMATCH(A2228,"".*@simonbrico.es$""),regexmatch(A2228,"".*@simonelectric.com$"")),""null"",A2"&amp;"228)"),"1843@jovitel.com")</f>
        <v>1843@jovitel.com</v>
      </c>
      <c r="C2228" s="5">
        <f>IF(B2228="null","null",Descargas!B2228)</f>
        <v>43950</v>
      </c>
      <c r="D2228" s="6" t="str">
        <f>Descargas!E2228</f>
        <v>https://resources.simonelectric.com/simon-catalogo-vehiculo-electrico</v>
      </c>
      <c r="E2228" s="20" t="str">
        <f t="shared" si="1"/>
        <v>1843@jovitel.com</v>
      </c>
      <c r="F2228" s="21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</row>
    <row r="2229" ht="15.75" customHeight="1">
      <c r="A2229" s="18" t="str">
        <f>Descargas!A2229</f>
        <v>582@gmail.com</v>
      </c>
      <c r="B2229" s="19" t="str">
        <f>IFERROR(__xludf.DUMMYFUNCTION("IF(OR(regexmatch(A2229,"".*@simon.es$""),REGEXMATCH(A2229,"".*@simon.pt$""),REGEXMATCH(A2229,"".*@simonelectrica.com$""),REGEXMATCH(A2229,"".*@hiberus.com$""),REGEXMATCH(A2229,"".*@simonbrico.es$""),regexmatch(A2229,"".*@simonelectric.com$"")),""null"",A2"&amp;"229)"),"582@gmail.com")</f>
        <v>582@gmail.com</v>
      </c>
      <c r="C2229" s="5">
        <f>IF(B2229="null","null",Descargas!B2229)</f>
        <v>43950</v>
      </c>
      <c r="D2229" s="6" t="str">
        <f>Descargas!E2229</f>
        <v>https://resources.simonelectric.com/simon-catalogo-vehiculo-electrico</v>
      </c>
      <c r="E2229" s="20" t="str">
        <f t="shared" si="1"/>
        <v>582@gmail.com</v>
      </c>
      <c r="F2229" s="21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</row>
    <row r="2230" ht="15.75" customHeight="1">
      <c r="A2230" s="18" t="str">
        <f>Descargas!A2230</f>
        <v>1844@grupoelectrostocks.com</v>
      </c>
      <c r="B2230" s="19" t="str">
        <f>IFERROR(__xludf.DUMMYFUNCTION("IF(OR(regexmatch(A2230,"".*@simon.es$""),REGEXMATCH(A2230,"".*@simon.pt$""),REGEXMATCH(A2230,"".*@simonelectrica.com$""),REGEXMATCH(A2230,"".*@hiberus.com$""),REGEXMATCH(A2230,"".*@simonbrico.es$""),regexmatch(A2230,"".*@simonelectric.com$"")),""null"",A2"&amp;"230)"),"1844@grupoelectrostocks.com")</f>
        <v>1844@grupoelectrostocks.com</v>
      </c>
      <c r="C2230" s="5">
        <f>IF(B2230="null","null",Descargas!B2230)</f>
        <v>43950</v>
      </c>
      <c r="D2230" s="6" t="str">
        <f>Descargas!E2230</f>
        <v>https://resources.simonelectric.com/simon-catalogo-vehiculo-electrico</v>
      </c>
      <c r="E2230" s="20" t="str">
        <f t="shared" si="1"/>
        <v>1844@grupoelectrostocks.com</v>
      </c>
      <c r="F2230" s="21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</row>
    <row r="2231" ht="15.75" customHeight="1">
      <c r="A2231" s="18" t="str">
        <f>Descargas!A2231</f>
        <v>1845@hotmail.com</v>
      </c>
      <c r="B2231" s="19" t="str">
        <f>IFERROR(__xludf.DUMMYFUNCTION("IF(OR(regexmatch(A2231,"".*@simon.es$""),REGEXMATCH(A2231,"".*@simon.pt$""),REGEXMATCH(A2231,"".*@simonelectrica.com$""),REGEXMATCH(A2231,"".*@hiberus.com$""),REGEXMATCH(A2231,"".*@simonbrico.es$""),regexmatch(A2231,"".*@simonelectric.com$"")),""null"",A2"&amp;"231)"),"1845@hotmail.com")</f>
        <v>1845@hotmail.com</v>
      </c>
      <c r="C2231" s="5">
        <f>IF(B2231="null","null",Descargas!B2231)</f>
        <v>43950</v>
      </c>
      <c r="D2231" s="6" t="str">
        <f>Descargas!E2231</f>
        <v>https://resources.simonelectric.com/simon-catalogo-vehiculo-electrico</v>
      </c>
      <c r="E2231" s="20" t="str">
        <f t="shared" si="1"/>
        <v>1845@hotmail.com</v>
      </c>
      <c r="F2231" s="21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</row>
    <row r="2232" ht="15.75" customHeight="1">
      <c r="A2232" s="18" t="str">
        <f>Descargas!A2232</f>
        <v>1846@gmail.com</v>
      </c>
      <c r="B2232" s="19" t="str">
        <f>IFERROR(__xludf.DUMMYFUNCTION("IF(OR(regexmatch(A2232,"".*@simon.es$""),REGEXMATCH(A2232,"".*@simon.pt$""),REGEXMATCH(A2232,"".*@simonelectrica.com$""),REGEXMATCH(A2232,"".*@hiberus.com$""),REGEXMATCH(A2232,"".*@simonbrico.es$""),regexmatch(A2232,"".*@simonelectric.com$"")),""null"",A2"&amp;"232)"),"1846@gmail.com")</f>
        <v>1846@gmail.com</v>
      </c>
      <c r="C2232" s="5">
        <f>IF(B2232="null","null",Descargas!B2232)</f>
        <v>43950</v>
      </c>
      <c r="D2232" s="6" t="str">
        <f>Descargas!E2232</f>
        <v>https://resources.simonelectric.com/simon-catalogo-vehiculo-electrico</v>
      </c>
      <c r="E2232" s="20" t="str">
        <f t="shared" si="1"/>
        <v>1846@gmail.com</v>
      </c>
      <c r="F2232" s="21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</row>
    <row r="2233" ht="15.75" customHeight="1">
      <c r="A2233" s="18" t="str">
        <f>Descargas!A2233</f>
        <v>1847@viegasefilhos.pt</v>
      </c>
      <c r="B2233" s="19" t="str">
        <f>IFERROR(__xludf.DUMMYFUNCTION("IF(OR(regexmatch(A2233,"".*@simon.es$""),REGEXMATCH(A2233,"".*@simon.pt$""),REGEXMATCH(A2233,"".*@simonelectrica.com$""),REGEXMATCH(A2233,"".*@hiberus.com$""),REGEXMATCH(A2233,"".*@simonbrico.es$""),regexmatch(A2233,"".*@simonelectric.com$"")),""null"",A2"&amp;"233)"),"1847@viegasefilhos.pt")</f>
        <v>1847@viegasefilhos.pt</v>
      </c>
      <c r="C2233" s="5">
        <f>IF(B2233="null","null",Descargas!B2233)</f>
        <v>43950</v>
      </c>
      <c r="D2233" s="6" t="str">
        <f>Descargas!E2233</f>
        <v>https://resources.simonelectric.com/simon-catalogo-vehiculo-electrico</v>
      </c>
      <c r="E2233" s="20" t="str">
        <f t="shared" si="1"/>
        <v>1847@viegasefilhos.pt</v>
      </c>
      <c r="F2233" s="21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</row>
    <row r="2234" ht="15.75" customHeight="1">
      <c r="A2234" s="18" t="str">
        <f>Descargas!A2234</f>
        <v>1848@gmail.com</v>
      </c>
      <c r="B2234" s="19" t="str">
        <f>IFERROR(__xludf.DUMMYFUNCTION("IF(OR(regexmatch(A2234,"".*@simon.es$""),REGEXMATCH(A2234,"".*@simon.pt$""),REGEXMATCH(A2234,"".*@simonelectrica.com$""),REGEXMATCH(A2234,"".*@hiberus.com$""),REGEXMATCH(A2234,"".*@simonbrico.es$""),regexmatch(A2234,"".*@simonelectric.com$"")),""null"",A2"&amp;"234)"),"1848@gmail.com")</f>
        <v>1848@gmail.com</v>
      </c>
      <c r="C2234" s="5">
        <f>IF(B2234="null","null",Descargas!B2234)</f>
        <v>43950</v>
      </c>
      <c r="D2234" s="6" t="str">
        <f>Descargas!E2234</f>
        <v>https://resources.simonelectric.com/simon-catalogo-vehiculo-electrico</v>
      </c>
      <c r="E2234" s="20" t="str">
        <f t="shared" si="1"/>
        <v>1848@gmail.com</v>
      </c>
      <c r="F2234" s="21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</row>
    <row r="2235" ht="15.75" customHeight="1">
      <c r="A2235" s="18" t="str">
        <f>Descargas!A2235</f>
        <v>1849@minsait.com</v>
      </c>
      <c r="B2235" s="19" t="str">
        <f>IFERROR(__xludf.DUMMYFUNCTION("IF(OR(regexmatch(A2235,"".*@simon.es$""),REGEXMATCH(A2235,"".*@simon.pt$""),REGEXMATCH(A2235,"".*@simonelectrica.com$""),REGEXMATCH(A2235,"".*@hiberus.com$""),REGEXMATCH(A2235,"".*@simonbrico.es$""),regexmatch(A2235,"".*@simonelectric.com$"")),""null"",A2"&amp;"235)"),"1849@minsait.com")</f>
        <v>1849@minsait.com</v>
      </c>
      <c r="C2235" s="5">
        <f>IF(B2235="null","null",Descargas!B2235)</f>
        <v>43950</v>
      </c>
      <c r="D2235" s="6" t="str">
        <f>Descargas!E2235</f>
        <v>https://resources.simonelectric.com/simon-ebook-vehiculo-electrico</v>
      </c>
      <c r="E2235" s="20" t="str">
        <f t="shared" si="1"/>
        <v>1849@minsait.com</v>
      </c>
      <c r="F2235" s="21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</row>
    <row r="2236" ht="15.75" customHeight="1">
      <c r="A2236" s="18" t="str">
        <f>Descargas!A2236</f>
        <v>1850@yahoo.com</v>
      </c>
      <c r="B2236" s="19" t="str">
        <f>IFERROR(__xludf.DUMMYFUNCTION("IF(OR(regexmatch(A2236,"".*@simon.es$""),REGEXMATCH(A2236,"".*@simon.pt$""),REGEXMATCH(A2236,"".*@simonelectrica.com$""),REGEXMATCH(A2236,"".*@hiberus.com$""),REGEXMATCH(A2236,"".*@simonbrico.es$""),regexmatch(A2236,"".*@simonelectric.com$"")),""null"",A2"&amp;"236)"),"1850@yahoo.com")</f>
        <v>1850@yahoo.com</v>
      </c>
      <c r="C2236" s="5">
        <f>IF(B2236="null","null",Descargas!B2236)</f>
        <v>43950</v>
      </c>
      <c r="D2236" s="6" t="str">
        <f>Descargas!E2236</f>
        <v>https://resources.simonelectric.com/simon-ebook-vehiculo-electrico-0</v>
      </c>
      <c r="E2236" s="20" t="str">
        <f t="shared" si="1"/>
        <v>1850@yahoo.com</v>
      </c>
      <c r="F2236" s="21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</row>
    <row r="2237" ht="15.75" customHeight="1">
      <c r="A2237" s="18" t="str">
        <f>Descargas!A2237</f>
        <v>1851@gmail.com</v>
      </c>
      <c r="B2237" s="19" t="str">
        <f>IFERROR(__xludf.DUMMYFUNCTION("IF(OR(regexmatch(A2237,"".*@simon.es$""),REGEXMATCH(A2237,"".*@simon.pt$""),REGEXMATCH(A2237,"".*@simonelectrica.com$""),REGEXMATCH(A2237,"".*@hiberus.com$""),REGEXMATCH(A2237,"".*@simonbrico.es$""),regexmatch(A2237,"".*@simonelectric.com$"")),""null"",A2"&amp;"237)"),"1851@gmail.com")</f>
        <v>1851@gmail.com</v>
      </c>
      <c r="C2237" s="5">
        <f>IF(B2237="null","null",Descargas!B2237)</f>
        <v>43949</v>
      </c>
      <c r="D2237" s="6" t="str">
        <f>Descargas!E2237</f>
        <v>https://resources.simonelectric.com/simon-ebook-vehiculo-electrico</v>
      </c>
      <c r="E2237" s="20" t="str">
        <f t="shared" si="1"/>
        <v>1851@gmail.com</v>
      </c>
      <c r="F2237" s="21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</row>
    <row r="2238" ht="15.75" customHeight="1">
      <c r="A2238" s="18" t="str">
        <f>Descargas!A2238</f>
        <v>1852@gmail.com</v>
      </c>
      <c r="B2238" s="19" t="str">
        <f>IFERROR(__xludf.DUMMYFUNCTION("IF(OR(regexmatch(A2238,"".*@simon.es$""),REGEXMATCH(A2238,"".*@simon.pt$""),REGEXMATCH(A2238,"".*@simonelectrica.com$""),REGEXMATCH(A2238,"".*@hiberus.com$""),REGEXMATCH(A2238,"".*@simonbrico.es$""),regexmatch(A2238,"".*@simonelectric.com$"")),""null"",A2"&amp;"238)"),"1852@gmail.com")</f>
        <v>1852@gmail.com</v>
      </c>
      <c r="C2238" s="5">
        <f>IF(B2238="null","null",Descargas!B2238)</f>
        <v>43949</v>
      </c>
      <c r="D2238" s="6" t="str">
        <f>Descargas!E2238</f>
        <v>https://resources.simonelectric.com/simon-ebook-vehiculo-electrico</v>
      </c>
      <c r="E2238" s="20" t="str">
        <f t="shared" si="1"/>
        <v>1852@gmail.com</v>
      </c>
      <c r="F2238" s="21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</row>
    <row r="2239" ht="15.75" customHeight="1">
      <c r="A2239" s="18" t="str">
        <f>Descargas!A2239</f>
        <v>1853@hotmail.com</v>
      </c>
      <c r="B2239" s="19" t="str">
        <f>IFERROR(__xludf.DUMMYFUNCTION("IF(OR(regexmatch(A2239,"".*@simon.es$""),REGEXMATCH(A2239,"".*@simon.pt$""),REGEXMATCH(A2239,"".*@simonelectrica.com$""),REGEXMATCH(A2239,"".*@hiberus.com$""),REGEXMATCH(A2239,"".*@simonbrico.es$""),regexmatch(A2239,"".*@simonelectric.com$"")),""null"",A2"&amp;"239)"),"1853@hotmail.com")</f>
        <v>1853@hotmail.com</v>
      </c>
      <c r="C2239" s="5">
        <f>IF(B2239="null","null",Descargas!B2239)</f>
        <v>43949</v>
      </c>
      <c r="D2239" s="6" t="str">
        <f>Descargas!E2239</f>
        <v>https://resources.simonelectric.com/simon-ebook-vehiculo-electrico-ppc</v>
      </c>
      <c r="E2239" s="20" t="str">
        <f t="shared" si="1"/>
        <v>1853@hotmail.com</v>
      </c>
      <c r="F2239" s="21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</row>
    <row r="2240" ht="15.75" customHeight="1">
      <c r="A2240" s="18" t="str">
        <f>Descargas!A2240</f>
        <v>1854@hotmail.com</v>
      </c>
      <c r="B2240" s="19" t="str">
        <f>IFERROR(__xludf.DUMMYFUNCTION("IF(OR(regexmatch(A2240,"".*@simon.es$""),REGEXMATCH(A2240,"".*@simon.pt$""),REGEXMATCH(A2240,"".*@simonelectrica.com$""),REGEXMATCH(A2240,"".*@hiberus.com$""),REGEXMATCH(A2240,"".*@simonbrico.es$""),regexmatch(A2240,"".*@simonelectric.com$"")),""null"",A2"&amp;"240)"),"1854@hotmail.com")</f>
        <v>1854@hotmail.com</v>
      </c>
      <c r="C2240" s="5">
        <f>IF(B2240="null","null",Descargas!B2240)</f>
        <v>43949</v>
      </c>
      <c r="D2240" s="6" t="str">
        <f>Descargas!E2240</f>
        <v>https://resources.simonelectric.com/simon-ebook-vehiculo-electrico-0</v>
      </c>
      <c r="E2240" s="20" t="str">
        <f t="shared" si="1"/>
        <v>1854@hotmail.com</v>
      </c>
      <c r="F2240" s="21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</row>
    <row r="2241" ht="15.75" customHeight="1">
      <c r="A2241" s="18" t="str">
        <f>Descargas!A2241</f>
        <v>1855@inboundcycle.com</v>
      </c>
      <c r="B2241" s="19" t="str">
        <f>IFERROR(__xludf.DUMMYFUNCTION("IF(OR(regexmatch(A2241,"".*@simon.es$""),REGEXMATCH(A2241,"".*@simon.pt$""),REGEXMATCH(A2241,"".*@simonelectrica.com$""),REGEXMATCH(A2241,"".*@hiberus.com$""),REGEXMATCH(A2241,"".*@simonbrico.es$""),regexmatch(A2241,"".*@simonelectric.com$"")),""null"",A2"&amp;"241)"),"1855@inboundcycle.com")</f>
        <v>1855@inboundcycle.com</v>
      </c>
      <c r="C2241" s="5">
        <f>IF(B2241="null","null",Descargas!B2241)</f>
        <v>43949</v>
      </c>
      <c r="D2241" s="6" t="str">
        <f>Descargas!E2241</f>
        <v>https://resources.simonelectric.com/simon-catalogo-vehiculo-electrico</v>
      </c>
      <c r="E2241" s="20" t="str">
        <f t="shared" si="1"/>
        <v>1855@inboundcycle.com</v>
      </c>
      <c r="F2241" s="21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</row>
    <row r="2242" ht="15.75" customHeight="1">
      <c r="A2242" s="18" t="str">
        <f>Descargas!A2242</f>
        <v>1855@inboundcycle.com</v>
      </c>
      <c r="B2242" s="19" t="str">
        <f>IFERROR(__xludf.DUMMYFUNCTION("IF(OR(regexmatch(A2242,"".*@simon.es$""),REGEXMATCH(A2242,"".*@simon.pt$""),REGEXMATCH(A2242,"".*@simonelectrica.com$""),REGEXMATCH(A2242,"".*@hiberus.com$""),REGEXMATCH(A2242,"".*@simonbrico.es$""),regexmatch(A2242,"".*@simonelectric.com$"")),""null"",A2"&amp;"242)"),"1855@inboundcycle.com")</f>
        <v>1855@inboundcycle.com</v>
      </c>
      <c r="C2242" s="5">
        <f>IF(B2242="null","null",Descargas!B2242)</f>
        <v>43949</v>
      </c>
      <c r="D2242" s="6" t="str">
        <f>Descargas!E2242</f>
        <v>https://resources.simonelectric.com/simon-catalogo-vehiculo-electrico</v>
      </c>
      <c r="E2242" s="20" t="str">
        <f t="shared" si="1"/>
        <v>1855@inboundcycle.com</v>
      </c>
      <c r="F2242" s="21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</row>
    <row r="2243" ht="15.75" customHeight="1">
      <c r="A2243" s="18" t="str">
        <f>Descargas!A2243</f>
        <v>1856@hotmail.com</v>
      </c>
      <c r="B2243" s="19" t="str">
        <f>IFERROR(__xludf.DUMMYFUNCTION("IF(OR(regexmatch(A2243,"".*@simon.es$""),REGEXMATCH(A2243,"".*@simon.pt$""),REGEXMATCH(A2243,"".*@simonelectrica.com$""),REGEXMATCH(A2243,"".*@hiberus.com$""),REGEXMATCH(A2243,"".*@simonbrico.es$""),regexmatch(A2243,"".*@simonelectric.com$"")),""null"",A2"&amp;"243)"),"1856@hotmail.com")</f>
        <v>1856@hotmail.com</v>
      </c>
      <c r="C2243" s="5">
        <f>IF(B2243="null","null",Descargas!B2243)</f>
        <v>43949</v>
      </c>
      <c r="D2243" s="6" t="str">
        <f>Descargas!E2243</f>
        <v>https://resources.simonelectric.com/simon-ebook-vehiculo-electrico</v>
      </c>
      <c r="E2243" s="20" t="str">
        <f t="shared" si="1"/>
        <v>1856@hotmail.com</v>
      </c>
      <c r="F2243" s="21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</row>
    <row r="2244" ht="15.75" customHeight="1">
      <c r="A2244" s="18" t="str">
        <f>Descargas!A2244</f>
        <v>1857@mantise.com</v>
      </c>
      <c r="B2244" s="19" t="str">
        <f>IFERROR(__xludf.DUMMYFUNCTION("IF(OR(regexmatch(A2244,"".*@simon.es$""),REGEXMATCH(A2244,"".*@simon.pt$""),REGEXMATCH(A2244,"".*@simonelectrica.com$""),REGEXMATCH(A2244,"".*@hiberus.com$""),REGEXMATCH(A2244,"".*@simonbrico.es$""),regexmatch(A2244,"".*@simonelectric.com$"")),""null"",A2"&amp;"244)"),"1857@mantise.com")</f>
        <v>1857@mantise.com</v>
      </c>
      <c r="C2244" s="5">
        <f>IF(B2244="null","null",Descargas!B2244)</f>
        <v>43949</v>
      </c>
      <c r="D2244" s="6" t="str">
        <f>Descargas!E2244</f>
        <v>https://resources.simonelectric.com/simon-material-formativo-vehiculo-electrico</v>
      </c>
      <c r="E2244" s="20" t="str">
        <f t="shared" si="1"/>
        <v>1857@mantise.com</v>
      </c>
      <c r="F2244" s="21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</row>
    <row r="2245" ht="15.75" customHeight="1">
      <c r="A2245" s="18" t="str">
        <f>Descargas!A2245</f>
        <v>1858@yahoo.es</v>
      </c>
      <c r="B2245" s="19" t="str">
        <f>IFERROR(__xludf.DUMMYFUNCTION("IF(OR(regexmatch(A2245,"".*@simon.es$""),REGEXMATCH(A2245,"".*@simon.pt$""),REGEXMATCH(A2245,"".*@simonelectrica.com$""),REGEXMATCH(A2245,"".*@hiberus.com$""),REGEXMATCH(A2245,"".*@simonbrico.es$""),regexmatch(A2245,"".*@simonelectric.com$"")),""null"",A2"&amp;"245)"),"1858@yahoo.es")</f>
        <v>1858@yahoo.es</v>
      </c>
      <c r="C2245" s="5">
        <f>IF(B2245="null","null",Descargas!B2245)</f>
        <v>43949</v>
      </c>
      <c r="D2245" s="6" t="str">
        <f>Descargas!E2245</f>
        <v>https://resources.simonelectric.com/simon-ebook-vehiculo-electrico</v>
      </c>
      <c r="E2245" s="20" t="str">
        <f t="shared" si="1"/>
        <v>1858@yahoo.es</v>
      </c>
      <c r="F2245" s="21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</row>
    <row r="2246" ht="15.75" customHeight="1">
      <c r="A2246" s="18" t="str">
        <f>Descargas!A2246</f>
        <v>1533@gmail.com</v>
      </c>
      <c r="B2246" s="19" t="str">
        <f>IFERROR(__xludf.DUMMYFUNCTION("IF(OR(regexmatch(A2246,"".*@simon.es$""),REGEXMATCH(A2246,"".*@simon.pt$""),REGEXMATCH(A2246,"".*@simonelectrica.com$""),REGEXMATCH(A2246,"".*@hiberus.com$""),REGEXMATCH(A2246,"".*@simonbrico.es$""),regexmatch(A2246,"".*@simonelectric.com$"")),""null"",A2"&amp;"246)"),"1533@gmail.com")</f>
        <v>1533@gmail.com</v>
      </c>
      <c r="C2246" s="5">
        <f>IF(B2246="null","null",Descargas!B2246)</f>
        <v>43949</v>
      </c>
      <c r="D2246" s="6" t="str">
        <f>Descargas!E2246</f>
        <v>https://resources.simonelectric.com/simon-catalogo-vehiculo-electrico</v>
      </c>
      <c r="E2246" s="20" t="str">
        <f t="shared" si="1"/>
        <v>1533@gmail.com</v>
      </c>
      <c r="F2246" s="21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</row>
    <row r="2247" ht="15.75" customHeight="1">
      <c r="A2247" s="18" t="str">
        <f>Descargas!A2247</f>
        <v>1533@gmail.com</v>
      </c>
      <c r="B2247" s="19" t="str">
        <f>IFERROR(__xludf.DUMMYFUNCTION("IF(OR(regexmatch(A2247,"".*@simon.es$""),REGEXMATCH(A2247,"".*@simon.pt$""),REGEXMATCH(A2247,"".*@simonelectrica.com$""),REGEXMATCH(A2247,"".*@hiberus.com$""),REGEXMATCH(A2247,"".*@simonbrico.es$""),regexmatch(A2247,"".*@simonelectric.com$"")),""null"",A2"&amp;"247)"),"1533@gmail.com")</f>
        <v>1533@gmail.com</v>
      </c>
      <c r="C2247" s="5">
        <f>IF(B2247="null","null",Descargas!B2247)</f>
        <v>43949</v>
      </c>
      <c r="D2247" s="6" t="str">
        <f>Descargas!E2247</f>
        <v>https://resources.simonelectric.com/simon-ebook-vehiculo-electrico</v>
      </c>
      <c r="E2247" s="20" t="str">
        <f t="shared" si="1"/>
        <v>1533@gmail.com</v>
      </c>
      <c r="F2247" s="21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</row>
    <row r="2248" ht="15.75" customHeight="1">
      <c r="A2248" s="18" t="str">
        <f>Descargas!A2248</f>
        <v>1859@gmail.com</v>
      </c>
      <c r="B2248" s="19" t="str">
        <f>IFERROR(__xludf.DUMMYFUNCTION("IF(OR(regexmatch(A2248,"".*@simon.es$""),REGEXMATCH(A2248,"".*@simon.pt$""),REGEXMATCH(A2248,"".*@simonelectrica.com$""),REGEXMATCH(A2248,"".*@hiberus.com$""),REGEXMATCH(A2248,"".*@simonbrico.es$""),regexmatch(A2248,"".*@simonelectric.com$"")),""null"",A2"&amp;"248)"),"1859@gmail.com")</f>
        <v>1859@gmail.com</v>
      </c>
      <c r="C2248" s="5">
        <f>IF(B2248="null","null",Descargas!B2248)</f>
        <v>43949</v>
      </c>
      <c r="D2248" s="6" t="str">
        <f>Descargas!E2248</f>
        <v>https://resources.simonelectric.com/simon-ebook-vehiculo-electrico</v>
      </c>
      <c r="E2248" s="20" t="str">
        <f t="shared" si="1"/>
        <v>1859@gmail.com</v>
      </c>
      <c r="F2248" s="21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</row>
    <row r="2249" ht="15.75" customHeight="1">
      <c r="A2249" s="18" t="str">
        <f>Descargas!A2249</f>
        <v>1860@gmail.com</v>
      </c>
      <c r="B2249" s="19" t="str">
        <f>IFERROR(__xludf.DUMMYFUNCTION("IF(OR(regexmatch(A2249,"".*@simon.es$""),REGEXMATCH(A2249,"".*@simon.pt$""),REGEXMATCH(A2249,"".*@simonelectrica.com$""),REGEXMATCH(A2249,"".*@hiberus.com$""),REGEXMATCH(A2249,"".*@simonbrico.es$""),regexmatch(A2249,"".*@simonelectric.com$"")),""null"",A2"&amp;"249)"),"1860@gmail.com")</f>
        <v>1860@gmail.com</v>
      </c>
      <c r="C2249" s="5">
        <f>IF(B2249="null","null",Descargas!B2249)</f>
        <v>43948</v>
      </c>
      <c r="D2249" s="6" t="str">
        <f>Descargas!E2249</f>
        <v>https://resources.simonelectric.com/simon-ebook-vehiculo-electrico-0</v>
      </c>
      <c r="E2249" s="20" t="str">
        <f t="shared" si="1"/>
        <v>1860@gmail.com</v>
      </c>
      <c r="F2249" s="21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</row>
    <row r="2250" ht="15.75" customHeight="1">
      <c r="A2250" s="18" t="str">
        <f>Descargas!A2250</f>
        <v>1861@gmail.com</v>
      </c>
      <c r="B2250" s="19" t="str">
        <f>IFERROR(__xludf.DUMMYFUNCTION("IF(OR(regexmatch(A2250,"".*@simon.es$""),REGEXMATCH(A2250,"".*@simon.pt$""),REGEXMATCH(A2250,"".*@simonelectrica.com$""),REGEXMATCH(A2250,"".*@hiberus.com$""),REGEXMATCH(A2250,"".*@simonbrico.es$""),regexmatch(A2250,"".*@simonelectric.com$"")),""null"",A2"&amp;"250)"),"1861@gmail.com")</f>
        <v>1861@gmail.com</v>
      </c>
      <c r="C2250" s="5">
        <f>IF(B2250="null","null",Descargas!B2250)</f>
        <v>43948</v>
      </c>
      <c r="D2250" s="6" t="str">
        <f>Descargas!E2250</f>
        <v>https://resources.simonelectric.com/simon-ebook-vehiculo-electrico-ppc</v>
      </c>
      <c r="E2250" s="20" t="str">
        <f t="shared" si="1"/>
        <v>1861@gmail.com</v>
      </c>
      <c r="F2250" s="21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</row>
    <row r="2251" ht="15.75" customHeight="1">
      <c r="A2251" s="18" t="str">
        <f>Descargas!A2251</f>
        <v>1862@gmail.com</v>
      </c>
      <c r="B2251" s="19" t="str">
        <f>IFERROR(__xludf.DUMMYFUNCTION("IF(OR(regexmatch(A2251,"".*@simon.es$""),REGEXMATCH(A2251,"".*@simon.pt$""),REGEXMATCH(A2251,"".*@simonelectrica.com$""),REGEXMATCH(A2251,"".*@hiberus.com$""),REGEXMATCH(A2251,"".*@simonbrico.es$""),regexmatch(A2251,"".*@simonelectric.com$"")),""null"",A2"&amp;"251)"),"1862@gmail.com")</f>
        <v>1862@gmail.com</v>
      </c>
      <c r="C2251" s="5">
        <f>IF(B2251="null","null",Descargas!B2251)</f>
        <v>43948</v>
      </c>
      <c r="D2251" s="6" t="str">
        <f>Descargas!E2251</f>
        <v>https://resources.simonelectric.com/simon-ebook-vehiculo-electrico-ppc</v>
      </c>
      <c r="E2251" s="20" t="str">
        <f t="shared" si="1"/>
        <v>1862@gmail.com</v>
      </c>
      <c r="F2251" s="21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</row>
    <row r="2252" ht="15.75" customHeight="1">
      <c r="A2252" s="18" t="str">
        <f>Descargas!A2252</f>
        <v>1863@hotmail.com</v>
      </c>
      <c r="B2252" s="19" t="str">
        <f>IFERROR(__xludf.DUMMYFUNCTION("IF(OR(regexmatch(A2252,"".*@simon.es$""),REGEXMATCH(A2252,"".*@simon.pt$""),REGEXMATCH(A2252,"".*@simonelectrica.com$""),REGEXMATCH(A2252,"".*@hiberus.com$""),REGEXMATCH(A2252,"".*@simonbrico.es$""),regexmatch(A2252,"".*@simonelectric.com$"")),""null"",A2"&amp;"252)"),"1863@hotmail.com")</f>
        <v>1863@hotmail.com</v>
      </c>
      <c r="C2252" s="5">
        <f>IF(B2252="null","null",Descargas!B2252)</f>
        <v>43948</v>
      </c>
      <c r="D2252" s="6" t="str">
        <f>Descargas!E2252</f>
        <v>https://resources.simonelectric.com/simon-ebook-vehiculo-electrico</v>
      </c>
      <c r="E2252" s="20" t="str">
        <f t="shared" si="1"/>
        <v>1863@hotmail.com</v>
      </c>
      <c r="F2252" s="21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</row>
    <row r="2253" ht="15.75" customHeight="1">
      <c r="A2253" s="18" t="str">
        <f>Descargas!A2253</f>
        <v>1864@gmail.com</v>
      </c>
      <c r="B2253" s="19" t="str">
        <f>IFERROR(__xludf.DUMMYFUNCTION("IF(OR(regexmatch(A2253,"".*@simon.es$""),REGEXMATCH(A2253,"".*@simon.pt$""),REGEXMATCH(A2253,"".*@simonelectrica.com$""),REGEXMATCH(A2253,"".*@hiberus.com$""),REGEXMATCH(A2253,"".*@simonbrico.es$""),regexmatch(A2253,"".*@simonelectric.com$"")),""null"",A2"&amp;"253)"),"1864@gmail.com")</f>
        <v>1864@gmail.com</v>
      </c>
      <c r="C2253" s="5">
        <f>IF(B2253="null","null",Descargas!B2253)</f>
        <v>43948</v>
      </c>
      <c r="D2253" s="6" t="str">
        <f>Descargas!E2253</f>
        <v>https://resources.simonelectric.com/simon-ebook-vehiculo-electrico</v>
      </c>
      <c r="E2253" s="20" t="str">
        <f t="shared" si="1"/>
        <v>1864@gmail.com</v>
      </c>
      <c r="F2253" s="21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</row>
    <row r="2254" ht="15.75" customHeight="1">
      <c r="A2254" s="18" t="str">
        <f>Descargas!A2254</f>
        <v>1865@gmail.com</v>
      </c>
      <c r="B2254" s="19" t="str">
        <f>IFERROR(__xludf.DUMMYFUNCTION("IF(OR(regexmatch(A2254,"".*@simon.es$""),REGEXMATCH(A2254,"".*@simon.pt$""),REGEXMATCH(A2254,"".*@simonelectrica.com$""),REGEXMATCH(A2254,"".*@hiberus.com$""),REGEXMATCH(A2254,"".*@simonbrico.es$""),regexmatch(A2254,"".*@simonelectric.com$"")),""null"",A2"&amp;"254)"),"1865@gmail.com")</f>
        <v>1865@gmail.com</v>
      </c>
      <c r="C2254" s="5">
        <f>IF(B2254="null","null",Descargas!B2254)</f>
        <v>43948</v>
      </c>
      <c r="D2254" s="6" t="str">
        <f>Descargas!E2254</f>
        <v>https://resources.simonelectric.com/simon-ebook-vehiculo-electrico-ppc</v>
      </c>
      <c r="E2254" s="20" t="str">
        <f t="shared" si="1"/>
        <v>1865@gmail.com</v>
      </c>
      <c r="F2254" s="21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</row>
    <row r="2255" ht="15.75" customHeight="1">
      <c r="A2255" s="18" t="str">
        <f>Descargas!A2255</f>
        <v>1866@inrobadajoz.com</v>
      </c>
      <c r="B2255" s="19" t="str">
        <f>IFERROR(__xludf.DUMMYFUNCTION("IF(OR(regexmatch(A2255,"".*@simon.es$""),REGEXMATCH(A2255,"".*@simon.pt$""),REGEXMATCH(A2255,"".*@simonelectrica.com$""),REGEXMATCH(A2255,"".*@hiberus.com$""),REGEXMATCH(A2255,"".*@simonbrico.es$""),regexmatch(A2255,"".*@simonelectric.com$"")),""null"",A2"&amp;"255)"),"1866@inrobadajoz.com")</f>
        <v>1866@inrobadajoz.com</v>
      </c>
      <c r="C2255" s="5">
        <f>IF(B2255="null","null",Descargas!B2255)</f>
        <v>43948</v>
      </c>
      <c r="D2255" s="6" t="str">
        <f>Descargas!E2255</f>
        <v>https://resources.simonelectric.com/simon-ebook-vehiculo-electrico</v>
      </c>
      <c r="E2255" s="20" t="str">
        <f t="shared" si="1"/>
        <v>1866@inrobadajoz.com</v>
      </c>
      <c r="F2255" s="21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</row>
    <row r="2256" ht="15.75" customHeight="1">
      <c r="A2256" s="18" t="str">
        <f>Descargas!A2256</f>
        <v>1867@cbringenieria.es</v>
      </c>
      <c r="B2256" s="19" t="str">
        <f>IFERROR(__xludf.DUMMYFUNCTION("IF(OR(regexmatch(A2256,"".*@simon.es$""),REGEXMATCH(A2256,"".*@simon.pt$""),REGEXMATCH(A2256,"".*@simonelectrica.com$""),REGEXMATCH(A2256,"".*@hiberus.com$""),REGEXMATCH(A2256,"".*@simonbrico.es$""),regexmatch(A2256,"".*@simonelectric.com$"")),""null"",A2"&amp;"256)"),"1867@cbringenieria.es")</f>
        <v>1867@cbringenieria.es</v>
      </c>
      <c r="C2256" s="5">
        <f>IF(B2256="null","null",Descargas!B2256)</f>
        <v>43948</v>
      </c>
      <c r="D2256" s="6" t="str">
        <f>Descargas!E2256</f>
        <v>https://resources.simonelectric.com/simon-ebook-vehiculo-electrico-ppc</v>
      </c>
      <c r="E2256" s="20" t="str">
        <f t="shared" si="1"/>
        <v>1867@cbringenieria.es</v>
      </c>
      <c r="F2256" s="21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</row>
    <row r="2257" ht="15.75" customHeight="1">
      <c r="A2257" s="18" t="str">
        <f>Descargas!A2257</f>
        <v>1868@hotmail.com</v>
      </c>
      <c r="B2257" s="19" t="str">
        <f>IFERROR(__xludf.DUMMYFUNCTION("IF(OR(regexmatch(A2257,"".*@simon.es$""),REGEXMATCH(A2257,"".*@simon.pt$""),REGEXMATCH(A2257,"".*@simonelectrica.com$""),REGEXMATCH(A2257,"".*@hiberus.com$""),REGEXMATCH(A2257,"".*@simonbrico.es$""),regexmatch(A2257,"".*@simonelectric.com$"")),""null"",A2"&amp;"257)"),"1868@hotmail.com")</f>
        <v>1868@hotmail.com</v>
      </c>
      <c r="C2257" s="5">
        <f>IF(B2257="null","null",Descargas!B2257)</f>
        <v>43948</v>
      </c>
      <c r="D2257" s="6" t="str">
        <f>Descargas!E2257</f>
        <v>https://resources.simonelectric.com/simon-ebook-vehiculo-electrico-ppc</v>
      </c>
      <c r="E2257" s="20" t="str">
        <f t="shared" si="1"/>
        <v>1868@hotmail.com</v>
      </c>
      <c r="F2257" s="21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</row>
    <row r="2258" ht="15.75" customHeight="1">
      <c r="A2258" s="18" t="str">
        <f>Descargas!A2258</f>
        <v>1869@gmail.com</v>
      </c>
      <c r="B2258" s="19" t="str">
        <f>IFERROR(__xludf.DUMMYFUNCTION("IF(OR(regexmatch(A2258,"".*@simon.es$""),REGEXMATCH(A2258,"".*@simon.pt$""),REGEXMATCH(A2258,"".*@simonelectrica.com$""),REGEXMATCH(A2258,"".*@hiberus.com$""),REGEXMATCH(A2258,"".*@simonbrico.es$""),regexmatch(A2258,"".*@simonelectric.com$"")),""null"",A2"&amp;"258)"),"1869@gmail.com")</f>
        <v>1869@gmail.com</v>
      </c>
      <c r="C2258" s="5">
        <f>IF(B2258="null","null",Descargas!B2258)</f>
        <v>43948</v>
      </c>
      <c r="D2258" s="6" t="str">
        <f>Descargas!E2258</f>
        <v>https://resources.simonelectric.com/simon-ebook-vehiculo-electrico</v>
      </c>
      <c r="E2258" s="20" t="str">
        <f t="shared" si="1"/>
        <v>1869@gmail.com</v>
      </c>
      <c r="F2258" s="21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</row>
    <row r="2259" ht="15.75" customHeight="1">
      <c r="A2259" s="18" t="str">
        <f>Descargas!A2259</f>
        <v>1870@marlexingenieria.com</v>
      </c>
      <c r="B2259" s="19" t="str">
        <f>IFERROR(__xludf.DUMMYFUNCTION("IF(OR(regexmatch(A2259,"".*@simon.es$""),REGEXMATCH(A2259,"".*@simon.pt$""),REGEXMATCH(A2259,"".*@simonelectrica.com$""),REGEXMATCH(A2259,"".*@hiberus.com$""),REGEXMATCH(A2259,"".*@simonbrico.es$""),regexmatch(A2259,"".*@simonelectric.com$"")),""null"",A2"&amp;"259)"),"1870@marlexingenieria.com")</f>
        <v>1870@marlexingenieria.com</v>
      </c>
      <c r="C2259" s="5">
        <f>IF(B2259="null","null",Descargas!B2259)</f>
        <v>43948</v>
      </c>
      <c r="D2259" s="6" t="str">
        <f>Descargas!E2259</f>
        <v>https://resources.simonelectric.com/simon-ebook-vehiculo-electrico</v>
      </c>
      <c r="E2259" s="20" t="str">
        <f t="shared" si="1"/>
        <v>1870@marlexingenieria.com</v>
      </c>
      <c r="F2259" s="21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</row>
    <row r="2260" ht="15.75" customHeight="1">
      <c r="A2260" s="18" t="str">
        <f>Descargas!A2260</f>
        <v>1605@recargamostucoche.com</v>
      </c>
      <c r="B2260" s="19" t="str">
        <f>IFERROR(__xludf.DUMMYFUNCTION("IF(OR(regexmatch(A2260,"".*@simon.es$""),REGEXMATCH(A2260,"".*@simon.pt$""),REGEXMATCH(A2260,"".*@simonelectrica.com$""),REGEXMATCH(A2260,"".*@hiberus.com$""),REGEXMATCH(A2260,"".*@simonbrico.es$""),regexmatch(A2260,"".*@simonelectric.com$"")),""null"",A2"&amp;"260)"),"1605@recargamostucoche.com")</f>
        <v>1605@recargamostucoche.com</v>
      </c>
      <c r="C2260" s="5">
        <f>IF(B2260="null","null",Descargas!B2260)</f>
        <v>43948</v>
      </c>
      <c r="D2260" s="6" t="str">
        <f>Descargas!E2260</f>
        <v>https://resources.simonelectric.com/simon-catalogo-vehiculo-electrico</v>
      </c>
      <c r="E2260" s="20" t="str">
        <f t="shared" si="1"/>
        <v>1605@recargamostucoche.com</v>
      </c>
      <c r="F2260" s="21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</row>
    <row r="2261" ht="15.75" customHeight="1">
      <c r="A2261" s="18" t="str">
        <f>Descargas!A2261</f>
        <v>1605@recargamostucoche.com</v>
      </c>
      <c r="B2261" s="19" t="str">
        <f>IFERROR(__xludf.DUMMYFUNCTION("IF(OR(regexmatch(A2261,"".*@simon.es$""),REGEXMATCH(A2261,"".*@simon.pt$""),REGEXMATCH(A2261,"".*@simonelectrica.com$""),REGEXMATCH(A2261,"".*@hiberus.com$""),REGEXMATCH(A2261,"".*@simonbrico.es$""),regexmatch(A2261,"".*@simonelectric.com$"")),""null"",A2"&amp;"261)"),"1605@recargamostucoche.com")</f>
        <v>1605@recargamostucoche.com</v>
      </c>
      <c r="C2261" s="5">
        <f>IF(B2261="null","null",Descargas!B2261)</f>
        <v>43948</v>
      </c>
      <c r="D2261" s="6" t="str">
        <f>Descargas!E2261</f>
        <v>https://resources.simonelectric.com/simon-ebook-vehiculo-electrico</v>
      </c>
      <c r="E2261" s="20" t="str">
        <f t="shared" si="1"/>
        <v>1605@recargamostucoche.com</v>
      </c>
      <c r="F2261" s="21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</row>
    <row r="2262" ht="15.75" customHeight="1">
      <c r="A2262" s="18" t="str">
        <f>Descargas!A2262</f>
        <v>1871@abc.gob.ar</v>
      </c>
      <c r="B2262" s="19" t="str">
        <f>IFERROR(__xludf.DUMMYFUNCTION("IF(OR(regexmatch(A2262,"".*@simon.es$""),REGEXMATCH(A2262,"".*@simon.pt$""),REGEXMATCH(A2262,"".*@simonelectrica.com$""),REGEXMATCH(A2262,"".*@hiberus.com$""),REGEXMATCH(A2262,"".*@simonbrico.es$""),regexmatch(A2262,"".*@simonelectric.com$"")),""null"",A2"&amp;"262)"),"1871@abc.gob.ar")</f>
        <v>1871@abc.gob.ar</v>
      </c>
      <c r="C2262" s="5">
        <f>IF(B2262="null","null",Descargas!B2262)</f>
        <v>43948</v>
      </c>
      <c r="D2262" s="6" t="str">
        <f>Descargas!E2262</f>
        <v>https://resources.simonelectric.com/simon-ebook-vehiculo-electrico</v>
      </c>
      <c r="E2262" s="20" t="str">
        <f t="shared" si="1"/>
        <v>1871@abc.gob.ar</v>
      </c>
      <c r="F2262" s="21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</row>
    <row r="2263" ht="15.75" customHeight="1">
      <c r="A2263" s="18" t="str">
        <f>Descargas!A2263</f>
        <v>1872@gmail.com</v>
      </c>
      <c r="B2263" s="19" t="str">
        <f>IFERROR(__xludf.DUMMYFUNCTION("IF(OR(regexmatch(A2263,"".*@simon.es$""),REGEXMATCH(A2263,"".*@simon.pt$""),REGEXMATCH(A2263,"".*@simonelectrica.com$""),REGEXMATCH(A2263,"".*@hiberus.com$""),REGEXMATCH(A2263,"".*@simonbrico.es$""),regexmatch(A2263,"".*@simonelectric.com$"")),""null"",A2"&amp;"263)"),"1872@gmail.com")</f>
        <v>1872@gmail.com</v>
      </c>
      <c r="C2263" s="5">
        <f>IF(B2263="null","null",Descargas!B2263)</f>
        <v>43948</v>
      </c>
      <c r="D2263" s="6" t="str">
        <f>Descargas!E2263</f>
        <v>https://resources.simonelectric.com/simon-ebook-vehiculo-electrico</v>
      </c>
      <c r="E2263" s="20" t="str">
        <f t="shared" si="1"/>
        <v>1872@gmail.com</v>
      </c>
      <c r="F2263" s="21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</row>
    <row r="2264" ht="15.75" customHeight="1">
      <c r="A2264" s="18" t="str">
        <f>Descargas!A2264</f>
        <v>1355@gmail.com</v>
      </c>
      <c r="B2264" s="19" t="str">
        <f>IFERROR(__xludf.DUMMYFUNCTION("IF(OR(regexmatch(A2264,"".*@simon.es$""),REGEXMATCH(A2264,"".*@simon.pt$""),REGEXMATCH(A2264,"".*@simonelectrica.com$""),REGEXMATCH(A2264,"".*@hiberus.com$""),REGEXMATCH(A2264,"".*@simonbrico.es$""),regexmatch(A2264,"".*@simonelectric.com$"")),""null"",A2"&amp;"264)"),"1355@gmail.com")</f>
        <v>1355@gmail.com</v>
      </c>
      <c r="C2264" s="5">
        <f>IF(B2264="null","null",Descargas!B2264)</f>
        <v>43948</v>
      </c>
      <c r="D2264" s="6" t="str">
        <f>Descargas!E2264</f>
        <v>https://resources.simonelectric.com/simon-ebook-vehiculo-electrico</v>
      </c>
      <c r="E2264" s="20" t="str">
        <f t="shared" si="1"/>
        <v>1355@gmail.com</v>
      </c>
      <c r="F2264" s="21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</row>
    <row r="2265" ht="15.75" customHeight="1">
      <c r="A2265" s="18" t="str">
        <f>Descargas!A2265</f>
        <v>1873@rodosa.com</v>
      </c>
      <c r="B2265" s="19" t="str">
        <f>IFERROR(__xludf.DUMMYFUNCTION("IF(OR(regexmatch(A2265,"".*@simon.es$""),REGEXMATCH(A2265,"".*@simon.pt$""),REGEXMATCH(A2265,"".*@simonelectrica.com$""),REGEXMATCH(A2265,"".*@hiberus.com$""),REGEXMATCH(A2265,"".*@simonbrico.es$""),regexmatch(A2265,"".*@simonelectric.com$"")),""null"",A2"&amp;"265)"),"1873@rodosa.com")</f>
        <v>1873@rodosa.com</v>
      </c>
      <c r="C2265" s="5">
        <f>IF(B2265="null","null",Descargas!B2265)</f>
        <v>43948</v>
      </c>
      <c r="D2265" s="6" t="str">
        <f>Descargas!E2265</f>
        <v>https://resources.simonelectric.com/simon-ebook-vehiculo-electrico-ppc</v>
      </c>
      <c r="E2265" s="20" t="str">
        <f t="shared" si="1"/>
        <v>1873@rodosa.com</v>
      </c>
      <c r="F2265" s="21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</row>
    <row r="2266" ht="15.75" customHeight="1">
      <c r="A2266" s="18" t="str">
        <f>Descargas!A2266</f>
        <v>1696@gmail.com</v>
      </c>
      <c r="B2266" s="19" t="str">
        <f>IFERROR(__xludf.DUMMYFUNCTION("IF(OR(regexmatch(A2266,"".*@simon.es$""),REGEXMATCH(A2266,"".*@simon.pt$""),REGEXMATCH(A2266,"".*@simonelectrica.com$""),REGEXMATCH(A2266,"".*@hiberus.com$""),REGEXMATCH(A2266,"".*@simonbrico.es$""),regexmatch(A2266,"".*@simonelectric.com$"")),""null"",A2"&amp;"266)"),"1696@gmail.com")</f>
        <v>1696@gmail.com</v>
      </c>
      <c r="C2266" s="5">
        <f>IF(B2266="null","null",Descargas!B2266)</f>
        <v>43948</v>
      </c>
      <c r="D2266" s="6" t="str">
        <f>Descargas!E2266</f>
        <v>https://resources.simonelectric.com/simon-ebook-vehiculo-electrico</v>
      </c>
      <c r="E2266" s="20" t="str">
        <f t="shared" si="1"/>
        <v>1696@gmail.com</v>
      </c>
      <c r="F2266" s="21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</row>
    <row r="2267" ht="15.75" customHeight="1">
      <c r="A2267" s="18" t="str">
        <f>Descargas!A2267</f>
        <v>1874@gesel.ie.ufrj.br</v>
      </c>
      <c r="B2267" s="19" t="str">
        <f>IFERROR(__xludf.DUMMYFUNCTION("IF(OR(regexmatch(A2267,"".*@simon.es$""),REGEXMATCH(A2267,"".*@simon.pt$""),REGEXMATCH(A2267,"".*@simonelectrica.com$""),REGEXMATCH(A2267,"".*@hiberus.com$""),REGEXMATCH(A2267,"".*@simonbrico.es$""),regexmatch(A2267,"".*@simonelectric.com$"")),""null"",A2"&amp;"267)"),"1874@gesel.ie.ufrj.br")</f>
        <v>1874@gesel.ie.ufrj.br</v>
      </c>
      <c r="C2267" s="5">
        <f>IF(B2267="null","null",Descargas!B2267)</f>
        <v>43948</v>
      </c>
      <c r="D2267" s="6" t="str">
        <f>Descargas!E2267</f>
        <v>https://resources.simonelectric.com/simon-ebook-vehiculo-electrico</v>
      </c>
      <c r="E2267" s="20" t="str">
        <f t="shared" si="1"/>
        <v>1874@gesel.ie.ufrj.br</v>
      </c>
      <c r="F2267" s="21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</row>
    <row r="2268" ht="15.75" customHeight="1">
      <c r="A2268" s="18" t="str">
        <f>Descargas!A2268</f>
        <v>1875@gmail.com</v>
      </c>
      <c r="B2268" s="19" t="str">
        <f>IFERROR(__xludf.DUMMYFUNCTION("IF(OR(regexmatch(A2268,"".*@simon.es$""),REGEXMATCH(A2268,"".*@simon.pt$""),REGEXMATCH(A2268,"".*@simonelectrica.com$""),REGEXMATCH(A2268,"".*@hiberus.com$""),REGEXMATCH(A2268,"".*@simonbrico.es$""),regexmatch(A2268,"".*@simonelectric.com$"")),""null"",A2"&amp;"268)"),"1875@gmail.com")</f>
        <v>1875@gmail.com</v>
      </c>
      <c r="C2268" s="5">
        <f>IF(B2268="null","null",Descargas!B2268)</f>
        <v>43948</v>
      </c>
      <c r="D2268" s="6" t="str">
        <f>Descargas!E2268</f>
        <v>https://resources.simonelectric.com/simon-ebook-vehiculo-electrico-ppc</v>
      </c>
      <c r="E2268" s="20" t="str">
        <f t="shared" si="1"/>
        <v>1875@gmail.com</v>
      </c>
      <c r="F2268" s="21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</row>
    <row r="2269" ht="15.75" customHeight="1">
      <c r="A2269" s="18" t="str">
        <f>Descargas!A2269</f>
        <v>1876@gmail.com</v>
      </c>
      <c r="B2269" s="19" t="str">
        <f>IFERROR(__xludf.DUMMYFUNCTION("IF(OR(regexmatch(A2269,"".*@simon.es$""),REGEXMATCH(A2269,"".*@simon.pt$""),REGEXMATCH(A2269,"".*@simonelectrica.com$""),REGEXMATCH(A2269,"".*@hiberus.com$""),REGEXMATCH(A2269,"".*@simonbrico.es$""),regexmatch(A2269,"".*@simonelectric.com$"")),""null"",A2"&amp;"269)"),"1876@gmail.com")</f>
        <v>1876@gmail.com</v>
      </c>
      <c r="C2269" s="5">
        <f>IF(B2269="null","null",Descargas!B2269)</f>
        <v>43948</v>
      </c>
      <c r="D2269" s="6" t="str">
        <f>Descargas!E2269</f>
        <v>https://resources.simonelectric.com/simon-ebook-vehiculo-electrico</v>
      </c>
      <c r="E2269" s="20" t="str">
        <f t="shared" si="1"/>
        <v>1876@gmail.com</v>
      </c>
      <c r="F2269" s="21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</row>
    <row r="2270" ht="15.75" customHeight="1">
      <c r="A2270" s="18" t="str">
        <f>Descargas!A2270</f>
        <v>1877@gmail.com</v>
      </c>
      <c r="B2270" s="19" t="str">
        <f>IFERROR(__xludf.DUMMYFUNCTION("IF(OR(regexmatch(A2270,"".*@simon.es$""),REGEXMATCH(A2270,"".*@simon.pt$""),REGEXMATCH(A2270,"".*@simonelectrica.com$""),REGEXMATCH(A2270,"".*@hiberus.com$""),REGEXMATCH(A2270,"".*@simonbrico.es$""),regexmatch(A2270,"".*@simonelectric.com$"")),""null"",A2"&amp;"270)"),"1877@gmail.com")</f>
        <v>1877@gmail.com</v>
      </c>
      <c r="C2270" s="5">
        <f>IF(B2270="null","null",Descargas!B2270)</f>
        <v>43948</v>
      </c>
      <c r="D2270" s="6" t="str">
        <f>Descargas!E2270</f>
        <v>https://resources.simonelectric.com/simon-ebook-vehiculo-electrico</v>
      </c>
      <c r="E2270" s="20" t="str">
        <f t="shared" si="1"/>
        <v>1877@gmail.com</v>
      </c>
      <c r="F2270" s="21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</row>
    <row r="2271" ht="15.75" customHeight="1">
      <c r="A2271" s="18" t="str">
        <f>Descargas!A2271</f>
        <v>1878@gmail.com</v>
      </c>
      <c r="B2271" s="19" t="str">
        <f>IFERROR(__xludf.DUMMYFUNCTION("IF(OR(regexmatch(A2271,"".*@simon.es$""),REGEXMATCH(A2271,"".*@simon.pt$""),REGEXMATCH(A2271,"".*@simonelectrica.com$""),REGEXMATCH(A2271,"".*@hiberus.com$""),REGEXMATCH(A2271,"".*@simonbrico.es$""),regexmatch(A2271,"".*@simonelectric.com$"")),""null"",A2"&amp;"271)"),"1878@gmail.com")</f>
        <v>1878@gmail.com</v>
      </c>
      <c r="C2271" s="5">
        <f>IF(B2271="null","null",Descargas!B2271)</f>
        <v>43948</v>
      </c>
      <c r="D2271" s="6" t="str">
        <f>Descargas!E2271</f>
        <v>https://resources.simonelectric.com/simon-ebook-vehiculo-electrico</v>
      </c>
      <c r="E2271" s="20" t="str">
        <f t="shared" si="1"/>
        <v>1878@gmail.com</v>
      </c>
      <c r="F2271" s="21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</row>
    <row r="2272" ht="15.75" customHeight="1">
      <c r="A2272" s="18" t="str">
        <f>Descargas!A2272</f>
        <v>1027@leanteam.es</v>
      </c>
      <c r="B2272" s="19" t="str">
        <f>IFERROR(__xludf.DUMMYFUNCTION("IF(OR(regexmatch(A2272,"".*@simon.es$""),REGEXMATCH(A2272,"".*@simon.pt$""),REGEXMATCH(A2272,"".*@simonelectrica.com$""),REGEXMATCH(A2272,"".*@hiberus.com$""),REGEXMATCH(A2272,"".*@simonbrico.es$""),regexmatch(A2272,"".*@simonelectric.com$"")),""null"",A2"&amp;"272)"),"1027@leanteam.es")</f>
        <v>1027@leanteam.es</v>
      </c>
      <c r="C2272" s="5">
        <f>IF(B2272="null","null",Descargas!B2272)</f>
        <v>43948</v>
      </c>
      <c r="D2272" s="6" t="str">
        <f>Descargas!E2272</f>
        <v>https://resources.simonelectric.com/simon-ebook-vehiculo-electrico</v>
      </c>
      <c r="E2272" s="20" t="str">
        <f t="shared" si="1"/>
        <v>1027@leanteam.es</v>
      </c>
      <c r="F2272" s="21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</row>
    <row r="2273" ht="15.75" customHeight="1">
      <c r="A2273" s="18" t="str">
        <f>Descargas!A2273</f>
        <v>1879@jafenginyeria.cat</v>
      </c>
      <c r="B2273" s="19" t="str">
        <f>IFERROR(__xludf.DUMMYFUNCTION("IF(OR(regexmatch(A2273,"".*@simon.es$""),REGEXMATCH(A2273,"".*@simon.pt$""),REGEXMATCH(A2273,"".*@simonelectrica.com$""),REGEXMATCH(A2273,"".*@hiberus.com$""),REGEXMATCH(A2273,"".*@simonbrico.es$""),regexmatch(A2273,"".*@simonelectric.com$"")),""null"",A2"&amp;"273)"),"1879@jafenginyeria.cat")</f>
        <v>1879@jafenginyeria.cat</v>
      </c>
      <c r="C2273" s="5">
        <f>IF(B2273="null","null",Descargas!B2273)</f>
        <v>43948</v>
      </c>
      <c r="D2273" s="6" t="str">
        <f>Descargas!E2273</f>
        <v>https://resources.simonelectric.com/simon-ebook-vehiculo-electrico</v>
      </c>
      <c r="E2273" s="20" t="str">
        <f t="shared" si="1"/>
        <v>1879@jafenginyeria.cat</v>
      </c>
      <c r="F2273" s="21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</row>
    <row r="2274" ht="15.75" customHeight="1">
      <c r="A2274" s="18" t="str">
        <f>Descargas!A2274</f>
        <v>1329@gmail.com</v>
      </c>
      <c r="B2274" s="19" t="str">
        <f>IFERROR(__xludf.DUMMYFUNCTION("IF(OR(regexmatch(A2274,"".*@simon.es$""),REGEXMATCH(A2274,"".*@simon.pt$""),REGEXMATCH(A2274,"".*@simonelectrica.com$""),REGEXMATCH(A2274,"".*@hiberus.com$""),REGEXMATCH(A2274,"".*@simonbrico.es$""),regexmatch(A2274,"".*@simonelectric.com$"")),""null"",A2"&amp;"274)"),"1329@gmail.com")</f>
        <v>1329@gmail.com</v>
      </c>
      <c r="C2274" s="5">
        <f>IF(B2274="null","null",Descargas!B2274)</f>
        <v>43948</v>
      </c>
      <c r="D2274" s="6" t="str">
        <f>Descargas!E2274</f>
        <v>https://resources.simonelectric.com/simon-ebook-vehiculo-electrico</v>
      </c>
      <c r="E2274" s="20" t="str">
        <f t="shared" si="1"/>
        <v>1329@gmail.com</v>
      </c>
      <c r="F2274" s="21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</row>
    <row r="2275" ht="15.75" customHeight="1">
      <c r="A2275" s="18" t="str">
        <f>Descargas!A2275</f>
        <v>1696@gmail.com</v>
      </c>
      <c r="B2275" s="19" t="str">
        <f>IFERROR(__xludf.DUMMYFUNCTION("IF(OR(regexmatch(A2275,"".*@simon.es$""),REGEXMATCH(A2275,"".*@simon.pt$""),REGEXMATCH(A2275,"".*@simonelectrica.com$""),REGEXMATCH(A2275,"".*@hiberus.com$""),REGEXMATCH(A2275,"".*@simonbrico.es$""),regexmatch(A2275,"".*@simonelectric.com$"")),""null"",A2"&amp;"275)"),"1696@gmail.com")</f>
        <v>1696@gmail.com</v>
      </c>
      <c r="C2275" s="5">
        <f>IF(B2275="null","null",Descargas!B2275)</f>
        <v>43948</v>
      </c>
      <c r="D2275" s="6" t="str">
        <f>Descargas!E2275</f>
        <v>https://resources.simonelectric.com/simon-ebook-vehiculo-electrico</v>
      </c>
      <c r="E2275" s="20" t="str">
        <f t="shared" si="1"/>
        <v>1696@gmail.com</v>
      </c>
      <c r="F2275" s="21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</row>
    <row r="2276" ht="15.75" customHeight="1">
      <c r="A2276" s="18" t="str">
        <f>Descargas!A2276</f>
        <v>1880@dipta.cat</v>
      </c>
      <c r="B2276" s="19" t="str">
        <f>IFERROR(__xludf.DUMMYFUNCTION("IF(OR(regexmatch(A2276,"".*@simon.es$""),REGEXMATCH(A2276,"".*@simon.pt$""),REGEXMATCH(A2276,"".*@simonelectrica.com$""),REGEXMATCH(A2276,"".*@hiberus.com$""),REGEXMATCH(A2276,"".*@simonbrico.es$""),regexmatch(A2276,"".*@simonelectric.com$"")),""null"",A2"&amp;"276)"),"1880@dipta.cat")</f>
        <v>1880@dipta.cat</v>
      </c>
      <c r="C2276" s="5">
        <f>IF(B2276="null","null",Descargas!B2276)</f>
        <v>43948</v>
      </c>
      <c r="D2276" s="6" t="str">
        <f>Descargas!E2276</f>
        <v>https://resources.simonelectric.com/simon-ebook-vehiculo-electrico</v>
      </c>
      <c r="E2276" s="20" t="str">
        <f t="shared" si="1"/>
        <v>1880@dipta.cat</v>
      </c>
      <c r="F2276" s="21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</row>
    <row r="2277" ht="15.75" customHeight="1">
      <c r="A2277" s="18" t="str">
        <f>Descargas!A2277</f>
        <v>1837@cersanz.es</v>
      </c>
      <c r="B2277" s="19" t="str">
        <f>IFERROR(__xludf.DUMMYFUNCTION("IF(OR(regexmatch(A2277,"".*@simon.es$""),REGEXMATCH(A2277,"".*@simon.pt$""),REGEXMATCH(A2277,"".*@simonelectrica.com$""),REGEXMATCH(A2277,"".*@hiberus.com$""),REGEXMATCH(A2277,"".*@simonbrico.es$""),regexmatch(A2277,"".*@simonelectric.com$"")),""null"",A2"&amp;"277)"),"1837@cersanz.es")</f>
        <v>1837@cersanz.es</v>
      </c>
      <c r="C2277" s="5">
        <f>IF(B2277="null","null",Descargas!B2277)</f>
        <v>43948</v>
      </c>
      <c r="D2277" s="6" t="str">
        <f>Descargas!E2277</f>
        <v>https://resources.simonelectric.com/simon-ebook-vehiculo-electrico</v>
      </c>
      <c r="E2277" s="20" t="str">
        <f t="shared" si="1"/>
        <v>1837@cersanz.es</v>
      </c>
      <c r="F2277" s="21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</row>
    <row r="2278" ht="15.75" customHeight="1">
      <c r="A2278" s="18" t="str">
        <f>Descargas!A2278</f>
        <v>1881@simon.es</v>
      </c>
      <c r="B2278" s="19" t="str">
        <f>IFERROR(__xludf.DUMMYFUNCTION("IF(OR(regexmatch(A2278,"".*@simon.es$""),REGEXMATCH(A2278,"".*@simon.pt$""),REGEXMATCH(A2278,"".*@simonelectrica.com$""),REGEXMATCH(A2278,"".*@hiberus.com$""),REGEXMATCH(A2278,"".*@simonbrico.es$""),regexmatch(A2278,"".*@simonelectric.com$"")),""null"",A2"&amp;"278)"),"null")</f>
        <v>null</v>
      </c>
      <c r="C2278" s="5" t="str">
        <f>IF(B2278="null","null",Descargas!B2278)</f>
        <v>null</v>
      </c>
      <c r="D2278" s="6" t="str">
        <f>Descargas!E2278</f>
        <v>https://resources.simonelectric.com/simon-material-formativo-vehiculo-electrico</v>
      </c>
      <c r="E2278" s="24" t="str">
        <f t="shared" si="1"/>
        <v/>
      </c>
      <c r="F2278" s="21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</row>
    <row r="2279" ht="15.75" customHeight="1">
      <c r="A2279" s="18" t="str">
        <f>Descargas!A2279</f>
        <v>1882@gmail.com</v>
      </c>
      <c r="B2279" s="19" t="str">
        <f>IFERROR(__xludf.DUMMYFUNCTION("IF(OR(regexmatch(A2279,"".*@simon.es$""),REGEXMATCH(A2279,"".*@simon.pt$""),REGEXMATCH(A2279,"".*@simonelectrica.com$""),REGEXMATCH(A2279,"".*@hiberus.com$""),REGEXMATCH(A2279,"".*@simonbrico.es$""),regexmatch(A2279,"".*@simonelectric.com$"")),""null"",A2"&amp;"279)"),"1882@gmail.com")</f>
        <v>1882@gmail.com</v>
      </c>
      <c r="C2279" s="5">
        <f>IF(B2279="null","null",Descargas!B2279)</f>
        <v>43948</v>
      </c>
      <c r="D2279" s="6" t="str">
        <f>Descargas!E2279</f>
        <v>https://resources.simonelectric.com/simon-ebook-vehiculo-electrico</v>
      </c>
      <c r="E2279" s="20" t="str">
        <f t="shared" si="1"/>
        <v>1882@gmail.com</v>
      </c>
      <c r="F2279" s="21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</row>
    <row r="2280" ht="15.75" customHeight="1">
      <c r="A2280" s="18" t="str">
        <f>Descargas!A2280</f>
        <v>1845@hotmail.com</v>
      </c>
      <c r="B2280" s="19" t="str">
        <f>IFERROR(__xludf.DUMMYFUNCTION("IF(OR(regexmatch(A2280,"".*@simon.es$""),REGEXMATCH(A2280,"".*@simon.pt$""),REGEXMATCH(A2280,"".*@simonelectrica.com$""),REGEXMATCH(A2280,"".*@hiberus.com$""),REGEXMATCH(A2280,"".*@simonbrico.es$""),regexmatch(A2280,"".*@simonelectric.com$"")),""null"",A2"&amp;"280)"),"1845@hotmail.com")</f>
        <v>1845@hotmail.com</v>
      </c>
      <c r="C2280" s="5">
        <f>IF(B2280="null","null",Descargas!B2280)</f>
        <v>43948</v>
      </c>
      <c r="D2280" s="6" t="str">
        <f>Descargas!E2280</f>
        <v>https://resources.simonelectric.com/simon-catalogo-vehiculo-electrico</v>
      </c>
      <c r="E2280" s="20" t="str">
        <f t="shared" si="1"/>
        <v>1845@hotmail.com</v>
      </c>
      <c r="F2280" s="21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</row>
    <row r="2281" ht="15.75" customHeight="1">
      <c r="A2281" s="18" t="str">
        <f>Descargas!A2281</f>
        <v>1883@adingenieros.es</v>
      </c>
      <c r="B2281" s="19" t="str">
        <f>IFERROR(__xludf.DUMMYFUNCTION("IF(OR(regexmatch(A2281,"".*@simon.es$""),REGEXMATCH(A2281,"".*@simon.pt$""),REGEXMATCH(A2281,"".*@simonelectrica.com$""),REGEXMATCH(A2281,"".*@hiberus.com$""),REGEXMATCH(A2281,"".*@simonbrico.es$""),regexmatch(A2281,"".*@simonelectric.com$"")),""null"",A2"&amp;"281)"),"1883@adingenieros.es")</f>
        <v>1883@adingenieros.es</v>
      </c>
      <c r="C2281" s="5">
        <f>IF(B2281="null","null",Descargas!B2281)</f>
        <v>43948</v>
      </c>
      <c r="D2281" s="6" t="str">
        <f>Descargas!E2281</f>
        <v>https://resources.simonelectric.com/simon-ebook-vehiculo-electrico</v>
      </c>
      <c r="E2281" s="20" t="str">
        <f t="shared" si="1"/>
        <v>1883@adingenieros.es</v>
      </c>
      <c r="F2281" s="21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</row>
    <row r="2282" ht="15.75" customHeight="1">
      <c r="A2282" s="18" t="str">
        <f>Descargas!A2282</f>
        <v>1884@zuecoingenieria.com</v>
      </c>
      <c r="B2282" s="19" t="str">
        <f>IFERROR(__xludf.DUMMYFUNCTION("IF(OR(regexmatch(A2282,"".*@simon.es$""),REGEXMATCH(A2282,"".*@simon.pt$""),REGEXMATCH(A2282,"".*@simonelectrica.com$""),REGEXMATCH(A2282,"".*@hiberus.com$""),REGEXMATCH(A2282,"".*@simonbrico.es$""),regexmatch(A2282,"".*@simonelectric.com$"")),""null"",A2"&amp;"282)"),"1884@zuecoingenieria.com")</f>
        <v>1884@zuecoingenieria.com</v>
      </c>
      <c r="C2282" s="5">
        <f>IF(B2282="null","null",Descargas!B2282)</f>
        <v>43948</v>
      </c>
      <c r="D2282" s="6" t="str">
        <f>Descargas!E2282</f>
        <v>https://resources.simonelectric.com/simon-ebook-vehiculo-electrico</v>
      </c>
      <c r="E2282" s="20" t="str">
        <f t="shared" si="1"/>
        <v>1884@zuecoingenieria.com</v>
      </c>
      <c r="F2282" s="21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</row>
    <row r="2283" ht="15.75" customHeight="1">
      <c r="A2283" s="18" t="str">
        <f>Descargas!A2283</f>
        <v>1885@groupg4.com</v>
      </c>
      <c r="B2283" s="19" t="str">
        <f>IFERROR(__xludf.DUMMYFUNCTION("IF(OR(regexmatch(A2283,"".*@simon.es$""),REGEXMATCH(A2283,"".*@simon.pt$""),REGEXMATCH(A2283,"".*@simonelectrica.com$""),REGEXMATCH(A2283,"".*@hiberus.com$""),REGEXMATCH(A2283,"".*@simonbrico.es$""),regexmatch(A2283,"".*@simonelectric.com$"")),""null"",A2"&amp;"283)"),"1885@groupg4.com")</f>
        <v>1885@groupg4.com</v>
      </c>
      <c r="C2283" s="5">
        <f>IF(B2283="null","null",Descargas!B2283)</f>
        <v>43948</v>
      </c>
      <c r="D2283" s="6" t="str">
        <f>Descargas!E2283</f>
        <v>https://resources.simonelectric.com/simon-ebook-vehiculo-electrico</v>
      </c>
      <c r="E2283" s="20" t="str">
        <f t="shared" si="1"/>
        <v>1885@groupg4.com</v>
      </c>
      <c r="F2283" s="21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</row>
    <row r="2284" ht="15.75" customHeight="1">
      <c r="A2284" s="18" t="str">
        <f>Descargas!A2284</f>
        <v>1255@hotmail.com</v>
      </c>
      <c r="B2284" s="19" t="str">
        <f>IFERROR(__xludf.DUMMYFUNCTION("IF(OR(regexmatch(A2284,"".*@simon.es$""),REGEXMATCH(A2284,"".*@simon.pt$""),REGEXMATCH(A2284,"".*@simonelectrica.com$""),REGEXMATCH(A2284,"".*@hiberus.com$""),REGEXMATCH(A2284,"".*@simonbrico.es$""),regexmatch(A2284,"".*@simonelectric.com$"")),""null"",A2"&amp;"284)"),"1255@hotmail.com")</f>
        <v>1255@hotmail.com</v>
      </c>
      <c r="C2284" s="5">
        <f>IF(B2284="null","null",Descargas!B2284)</f>
        <v>43948</v>
      </c>
      <c r="D2284" s="6" t="str">
        <f>Descargas!E2284</f>
        <v>https://resources.simonelectric.com/simon-ebook-vehiculo-electrico</v>
      </c>
      <c r="E2284" s="20" t="str">
        <f t="shared" si="1"/>
        <v>1255@hotmail.com</v>
      </c>
      <c r="F2284" s="21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</row>
    <row r="2285" ht="15.75" customHeight="1">
      <c r="A2285" s="18" t="str">
        <f>Descargas!A2285</f>
        <v>1886@outlook.com</v>
      </c>
      <c r="B2285" s="19" t="str">
        <f>IFERROR(__xludf.DUMMYFUNCTION("IF(OR(regexmatch(A2285,"".*@simon.es$""),REGEXMATCH(A2285,"".*@simon.pt$""),REGEXMATCH(A2285,"".*@simonelectrica.com$""),REGEXMATCH(A2285,"".*@hiberus.com$""),REGEXMATCH(A2285,"".*@simonbrico.es$""),regexmatch(A2285,"".*@simonelectric.com$"")),""null"",A2"&amp;"285)"),"1886@outlook.com")</f>
        <v>1886@outlook.com</v>
      </c>
      <c r="C2285" s="5">
        <f>IF(B2285="null","null",Descargas!B2285)</f>
        <v>43948</v>
      </c>
      <c r="D2285" s="6" t="str">
        <f>Descargas!E2285</f>
        <v>https://resources.simonelectric.com/simon-ebook-vehiculo-electrico</v>
      </c>
      <c r="E2285" s="20" t="str">
        <f t="shared" si="1"/>
        <v>1886@outlook.com</v>
      </c>
      <c r="F2285" s="21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</row>
    <row r="2286" ht="15.75" customHeight="1">
      <c r="A2286" s="18" t="str">
        <f>Descargas!A2286</f>
        <v>1401@auditenergia.com</v>
      </c>
      <c r="B2286" s="19" t="str">
        <f>IFERROR(__xludf.DUMMYFUNCTION("IF(OR(regexmatch(A2286,"".*@simon.es$""),REGEXMATCH(A2286,"".*@simon.pt$""),REGEXMATCH(A2286,"".*@simonelectrica.com$""),REGEXMATCH(A2286,"".*@hiberus.com$""),REGEXMATCH(A2286,"".*@simonbrico.es$""),regexmatch(A2286,"".*@simonelectric.com$"")),""null"",A2"&amp;"286)"),"1401@auditenergia.com")</f>
        <v>1401@auditenergia.com</v>
      </c>
      <c r="C2286" s="5">
        <f>IF(B2286="null","null",Descargas!B2286)</f>
        <v>43948</v>
      </c>
      <c r="D2286" s="6" t="str">
        <f>Descargas!E2286</f>
        <v>https://resources.simonelectric.com/simon-ebook-vehiculo-electrico</v>
      </c>
      <c r="E2286" s="20" t="str">
        <f t="shared" si="1"/>
        <v>1401@auditenergia.com</v>
      </c>
      <c r="F2286" s="21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</row>
    <row r="2287" ht="15.75" customHeight="1">
      <c r="A2287" s="18" t="str">
        <f>Descargas!A2287</f>
        <v>1887@gmail.com</v>
      </c>
      <c r="B2287" s="19" t="str">
        <f>IFERROR(__xludf.DUMMYFUNCTION("IF(OR(regexmatch(A2287,"".*@simon.es$""),REGEXMATCH(A2287,"".*@simon.pt$""),REGEXMATCH(A2287,"".*@simonelectrica.com$""),REGEXMATCH(A2287,"".*@hiberus.com$""),REGEXMATCH(A2287,"".*@simonbrico.es$""),regexmatch(A2287,"".*@simonelectric.com$"")),""null"",A2"&amp;"287)"),"1887@gmail.com")</f>
        <v>1887@gmail.com</v>
      </c>
      <c r="C2287" s="5">
        <f>IF(B2287="null","null",Descargas!B2287)</f>
        <v>43948</v>
      </c>
      <c r="D2287" s="6" t="str">
        <f>Descargas!E2287</f>
        <v>https://resources.simonelectric.com/simon-ebook-vehiculo-electrico-ppc</v>
      </c>
      <c r="E2287" s="20" t="str">
        <f t="shared" si="1"/>
        <v>1887@gmail.com</v>
      </c>
      <c r="F2287" s="21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</row>
    <row r="2288" ht="15.75" customHeight="1">
      <c r="A2288" s="18" t="str">
        <f>Descargas!A2288</f>
        <v>1883@adingenieros.es</v>
      </c>
      <c r="B2288" s="19" t="str">
        <f>IFERROR(__xludf.DUMMYFUNCTION("IF(OR(regexmatch(A2288,"".*@simon.es$""),REGEXMATCH(A2288,"".*@simon.pt$""),REGEXMATCH(A2288,"".*@simonelectrica.com$""),REGEXMATCH(A2288,"".*@hiberus.com$""),REGEXMATCH(A2288,"".*@simonbrico.es$""),regexmatch(A2288,"".*@simonelectric.com$"")),""null"",A2"&amp;"288)"),"1883@adingenieros.es")</f>
        <v>1883@adingenieros.es</v>
      </c>
      <c r="C2288" s="5">
        <f>IF(B2288="null","null",Descargas!B2288)</f>
        <v>43948</v>
      </c>
      <c r="D2288" s="6" t="str">
        <f>Descargas!E2288</f>
        <v>https://resources.simonelectric.com/simon-ebook-vehiculo-electrico</v>
      </c>
      <c r="E2288" s="20" t="str">
        <f t="shared" si="1"/>
        <v>1883@adingenieros.es</v>
      </c>
      <c r="F2288" s="21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</row>
    <row r="2289" ht="15.75" customHeight="1">
      <c r="A2289" s="18" t="str">
        <f>Descargas!A2289</f>
        <v>1888@instalacionsgarmi.com</v>
      </c>
      <c r="B2289" s="19" t="str">
        <f>IFERROR(__xludf.DUMMYFUNCTION("IF(OR(regexmatch(A2289,"".*@simon.es$""),REGEXMATCH(A2289,"".*@simon.pt$""),REGEXMATCH(A2289,"".*@simonelectrica.com$""),REGEXMATCH(A2289,"".*@hiberus.com$""),REGEXMATCH(A2289,"".*@simonbrico.es$""),regexmatch(A2289,"".*@simonelectric.com$"")),""null"",A2"&amp;"289)"),"1888@instalacionsgarmi.com")</f>
        <v>1888@instalacionsgarmi.com</v>
      </c>
      <c r="C2289" s="5">
        <f>IF(B2289="null","null",Descargas!B2289)</f>
        <v>43948</v>
      </c>
      <c r="D2289" s="6" t="str">
        <f>Descargas!E2289</f>
        <v>https://resources.simonelectric.com/simon-ebook-vehiculo-electrico</v>
      </c>
      <c r="E2289" s="20" t="str">
        <f t="shared" si="1"/>
        <v>1888@instalacionsgarmi.com</v>
      </c>
      <c r="F2289" s="21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</row>
    <row r="2290" ht="15.75" customHeight="1">
      <c r="A2290" s="18" t="str">
        <f>Descargas!A2290</f>
        <v>1889@cetim.cat</v>
      </c>
      <c r="B2290" s="19" t="str">
        <f>IFERROR(__xludf.DUMMYFUNCTION("IF(OR(regexmatch(A2290,"".*@simon.es$""),REGEXMATCH(A2290,"".*@simon.pt$""),REGEXMATCH(A2290,"".*@simonelectrica.com$""),REGEXMATCH(A2290,"".*@hiberus.com$""),REGEXMATCH(A2290,"".*@simonbrico.es$""),regexmatch(A2290,"".*@simonelectric.com$"")),""null"",A2"&amp;"290)"),"1889@cetim.cat")</f>
        <v>1889@cetim.cat</v>
      </c>
      <c r="C2290" s="5">
        <f>IF(B2290="null","null",Descargas!B2290)</f>
        <v>43948</v>
      </c>
      <c r="D2290" s="6" t="str">
        <f>Descargas!E2290</f>
        <v>https://resources.simonelectric.com/simon-ebook-vehiculo-electrico</v>
      </c>
      <c r="E2290" s="20" t="str">
        <f t="shared" si="1"/>
        <v>1889@cetim.cat</v>
      </c>
      <c r="F2290" s="21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</row>
    <row r="2291" ht="15.75" customHeight="1">
      <c r="A2291" s="18" t="str">
        <f>Descargas!A2291</f>
        <v>1890@setenergia.com</v>
      </c>
      <c r="B2291" s="19" t="str">
        <f>IFERROR(__xludf.DUMMYFUNCTION("IF(OR(regexmatch(A2291,"".*@simon.es$""),REGEXMATCH(A2291,"".*@simon.pt$""),REGEXMATCH(A2291,"".*@simonelectrica.com$""),REGEXMATCH(A2291,"".*@hiberus.com$""),REGEXMATCH(A2291,"".*@simonbrico.es$""),regexmatch(A2291,"".*@simonelectric.com$"")),""null"",A2"&amp;"291)"),"1890@setenergia.com")</f>
        <v>1890@setenergia.com</v>
      </c>
      <c r="C2291" s="5">
        <f>IF(B2291="null","null",Descargas!B2291)</f>
        <v>43948</v>
      </c>
      <c r="D2291" s="6" t="str">
        <f>Descargas!E2291</f>
        <v>https://resources.simonelectric.com/simon-ebook-vehiculo-electrico</v>
      </c>
      <c r="E2291" s="20" t="str">
        <f t="shared" si="1"/>
        <v>1890@setenergia.com</v>
      </c>
      <c r="F2291" s="21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</row>
    <row r="2292" ht="15.75" customHeight="1">
      <c r="A2292" s="18" t="str">
        <f>Descargas!A2292</f>
        <v>1891@ciudaddelosmuchachos.com</v>
      </c>
      <c r="B2292" s="19" t="str">
        <f>IFERROR(__xludf.DUMMYFUNCTION("IF(OR(regexmatch(A2292,"".*@simon.es$""),REGEXMATCH(A2292,"".*@simon.pt$""),REGEXMATCH(A2292,"".*@simonelectrica.com$""),REGEXMATCH(A2292,"".*@hiberus.com$""),REGEXMATCH(A2292,"".*@simonbrico.es$""),regexmatch(A2292,"".*@simonelectric.com$"")),""null"",A2"&amp;"292)"),"1891@ciudaddelosmuchachos.com")</f>
        <v>1891@ciudaddelosmuchachos.com</v>
      </c>
      <c r="C2292" s="5">
        <f>IF(B2292="null","null",Descargas!B2292)</f>
        <v>43948</v>
      </c>
      <c r="D2292" s="6" t="str">
        <f>Descargas!E2292</f>
        <v>https://resources.simonelectric.com/simon-ebook-vehiculo-electrico</v>
      </c>
      <c r="E2292" s="20" t="str">
        <f t="shared" si="1"/>
        <v>1891@ciudaddelosmuchachos.com</v>
      </c>
      <c r="F2292" s="21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</row>
    <row r="2293" ht="15.75" customHeight="1">
      <c r="A2293" s="18" t="str">
        <f>Descargas!A2293</f>
        <v>1112@covama.es</v>
      </c>
      <c r="B2293" s="19" t="str">
        <f>IFERROR(__xludf.DUMMYFUNCTION("IF(OR(regexmatch(A2293,"".*@simon.es$""),REGEXMATCH(A2293,"".*@simon.pt$""),REGEXMATCH(A2293,"".*@simonelectrica.com$""),REGEXMATCH(A2293,"".*@hiberus.com$""),REGEXMATCH(A2293,"".*@simonbrico.es$""),regexmatch(A2293,"".*@simonelectric.com$"")),""null"",A2"&amp;"293)"),"1112@covama.es")</f>
        <v>1112@covama.es</v>
      </c>
      <c r="C2293" s="5">
        <f>IF(B2293="null","null",Descargas!B2293)</f>
        <v>43948</v>
      </c>
      <c r="D2293" s="6" t="str">
        <f>Descargas!E2293</f>
        <v>https://resources.simonelectric.com/simon-ebook-vehiculo-electrico</v>
      </c>
      <c r="E2293" s="20" t="str">
        <f t="shared" si="1"/>
        <v>1112@covama.es</v>
      </c>
      <c r="F2293" s="21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</row>
    <row r="2294" ht="15.75" customHeight="1">
      <c r="A2294" s="18" t="str">
        <f>Descargas!A2294</f>
        <v>1892@soltecingenieros.com</v>
      </c>
      <c r="B2294" s="19" t="str">
        <f>IFERROR(__xludf.DUMMYFUNCTION("IF(OR(regexmatch(A2294,"".*@simon.es$""),REGEXMATCH(A2294,"".*@simon.pt$""),REGEXMATCH(A2294,"".*@simonelectrica.com$""),REGEXMATCH(A2294,"".*@hiberus.com$""),REGEXMATCH(A2294,"".*@simonbrico.es$""),regexmatch(A2294,"".*@simonelectric.com$"")),""null"",A2"&amp;"294)"),"1892@soltecingenieros.com")</f>
        <v>1892@soltecingenieros.com</v>
      </c>
      <c r="C2294" s="5">
        <f>IF(B2294="null","null",Descargas!B2294)</f>
        <v>43948</v>
      </c>
      <c r="D2294" s="6" t="str">
        <f>Descargas!E2294</f>
        <v>https://resources.simonelectric.com/simon-ebook-vehiculo-electrico</v>
      </c>
      <c r="E2294" s="20" t="str">
        <f t="shared" si="1"/>
        <v>1892@soltecingenieros.com</v>
      </c>
      <c r="F2294" s="21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</row>
    <row r="2295" ht="15.75" customHeight="1">
      <c r="A2295" s="18" t="str">
        <f>Descargas!A2295</f>
        <v>1893@byguk.com</v>
      </c>
      <c r="B2295" s="19" t="str">
        <f>IFERROR(__xludf.DUMMYFUNCTION("IF(OR(regexmatch(A2295,"".*@simon.es$""),REGEXMATCH(A2295,"".*@simon.pt$""),REGEXMATCH(A2295,"".*@simonelectrica.com$""),REGEXMATCH(A2295,"".*@hiberus.com$""),REGEXMATCH(A2295,"".*@simonbrico.es$""),regexmatch(A2295,"".*@simonelectric.com$"")),""null"",A2"&amp;"295)"),"1893@byguk.com")</f>
        <v>1893@byguk.com</v>
      </c>
      <c r="C2295" s="5">
        <f>IF(B2295="null","null",Descargas!B2295)</f>
        <v>43948</v>
      </c>
      <c r="D2295" s="6" t="str">
        <f>Descargas!E2295</f>
        <v>https://resources.simonelectric.com/simon-ebook-vehiculo-electrico</v>
      </c>
      <c r="E2295" s="20" t="str">
        <f t="shared" si="1"/>
        <v>1893@byguk.com</v>
      </c>
      <c r="F2295" s="21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</row>
    <row r="2296" ht="15.75" customHeight="1">
      <c r="A2296" s="18" t="str">
        <f>Descargas!A2296</f>
        <v>1894@arasolutions.es</v>
      </c>
      <c r="B2296" s="19" t="str">
        <f>IFERROR(__xludf.DUMMYFUNCTION("IF(OR(regexmatch(A2296,"".*@simon.es$""),REGEXMATCH(A2296,"".*@simon.pt$""),REGEXMATCH(A2296,"".*@simonelectrica.com$""),REGEXMATCH(A2296,"".*@hiberus.com$""),REGEXMATCH(A2296,"".*@simonbrico.es$""),regexmatch(A2296,"".*@simonelectric.com$"")),""null"",A2"&amp;"296)"),"1894@arasolutions.es")</f>
        <v>1894@arasolutions.es</v>
      </c>
      <c r="C2296" s="5">
        <f>IF(B2296="null","null",Descargas!B2296)</f>
        <v>43948</v>
      </c>
      <c r="D2296" s="6" t="str">
        <f>Descargas!E2296</f>
        <v>https://resources.simonelectric.com/simon-ebook-vehiculo-electrico</v>
      </c>
      <c r="E2296" s="20" t="str">
        <f t="shared" si="1"/>
        <v>1894@arasolutions.es</v>
      </c>
      <c r="F2296" s="21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</row>
    <row r="2297" ht="15.75" customHeight="1">
      <c r="A2297" s="18" t="str">
        <f>Descargas!A2297</f>
        <v>1748@salesianosatocha.es</v>
      </c>
      <c r="B2297" s="19" t="str">
        <f>IFERROR(__xludf.DUMMYFUNCTION("IF(OR(regexmatch(A2297,"".*@simon.es$""),REGEXMATCH(A2297,"".*@simon.pt$""),REGEXMATCH(A2297,"".*@simonelectrica.com$""),REGEXMATCH(A2297,"".*@hiberus.com$""),REGEXMATCH(A2297,"".*@simonbrico.es$""),regexmatch(A2297,"".*@simonelectric.com$"")),""null"",A2"&amp;"297)"),"1748@salesianosatocha.es")</f>
        <v>1748@salesianosatocha.es</v>
      </c>
      <c r="C2297" s="5">
        <f>IF(B2297="null","null",Descargas!B2297)</f>
        <v>43948</v>
      </c>
      <c r="D2297" s="6" t="str">
        <f>Descargas!E2297</f>
        <v>https://resources.simonelectric.com/simon-ebook-vehiculo-electrico</v>
      </c>
      <c r="E2297" s="20" t="str">
        <f t="shared" si="1"/>
        <v>1748@salesianosatocha.es</v>
      </c>
      <c r="F2297" s="21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</row>
    <row r="2298" ht="15.75" customHeight="1">
      <c r="A2298" s="18" t="str">
        <f>Descargas!A2298</f>
        <v>1604@geinstal.com</v>
      </c>
      <c r="B2298" s="19" t="str">
        <f>IFERROR(__xludf.DUMMYFUNCTION("IF(OR(regexmatch(A2298,"".*@simon.es$""),REGEXMATCH(A2298,"".*@simon.pt$""),REGEXMATCH(A2298,"".*@simonelectrica.com$""),REGEXMATCH(A2298,"".*@hiberus.com$""),REGEXMATCH(A2298,"".*@simonbrico.es$""),regexmatch(A2298,"".*@simonelectric.com$"")),""null"",A2"&amp;"298)"),"1604@geinstal.com")</f>
        <v>1604@geinstal.com</v>
      </c>
      <c r="C2298" s="5">
        <f>IF(B2298="null","null",Descargas!B2298)</f>
        <v>43948</v>
      </c>
      <c r="D2298" s="6" t="str">
        <f>Descargas!E2298</f>
        <v>https://resources.simonelectric.com/simon-ebook-vehiculo-electrico</v>
      </c>
      <c r="E2298" s="20" t="str">
        <f t="shared" si="1"/>
        <v>1604@geinstal.com</v>
      </c>
      <c r="F2298" s="21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</row>
    <row r="2299" ht="15.75" customHeight="1">
      <c r="A2299" s="18" t="str">
        <f>Descargas!A2299</f>
        <v>1895@grupoarquitelia.com</v>
      </c>
      <c r="B2299" s="19" t="str">
        <f>IFERROR(__xludf.DUMMYFUNCTION("IF(OR(regexmatch(A2299,"".*@simon.es$""),REGEXMATCH(A2299,"".*@simon.pt$""),REGEXMATCH(A2299,"".*@simonelectrica.com$""),REGEXMATCH(A2299,"".*@hiberus.com$""),REGEXMATCH(A2299,"".*@simonbrico.es$""),regexmatch(A2299,"".*@simonelectric.com$"")),""null"",A2"&amp;"299)"),"1895@grupoarquitelia.com")</f>
        <v>1895@grupoarquitelia.com</v>
      </c>
      <c r="C2299" s="5">
        <f>IF(B2299="null","null",Descargas!B2299)</f>
        <v>43948</v>
      </c>
      <c r="D2299" s="6" t="str">
        <f>Descargas!E2299</f>
        <v>https://resources.simonelectric.com/simon-ebook-vehiculo-electrico</v>
      </c>
      <c r="E2299" s="20" t="str">
        <f t="shared" si="1"/>
        <v>1895@grupoarquitelia.com</v>
      </c>
      <c r="F2299" s="21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</row>
    <row r="2300" ht="15.75" customHeight="1">
      <c r="A2300" s="18" t="str">
        <f>Descargas!A2300</f>
        <v>1705@sanehogar.com</v>
      </c>
      <c r="B2300" s="19" t="str">
        <f>IFERROR(__xludf.DUMMYFUNCTION("IF(OR(regexmatch(A2300,"".*@simon.es$""),REGEXMATCH(A2300,"".*@simon.pt$""),REGEXMATCH(A2300,"".*@simonelectrica.com$""),REGEXMATCH(A2300,"".*@hiberus.com$""),REGEXMATCH(A2300,"".*@simonbrico.es$""),regexmatch(A2300,"".*@simonelectric.com$"")),""null"",A2"&amp;"300)"),"1705@sanehogar.com")</f>
        <v>1705@sanehogar.com</v>
      </c>
      <c r="C2300" s="5">
        <f>IF(B2300="null","null",Descargas!B2300)</f>
        <v>43948</v>
      </c>
      <c r="D2300" s="6" t="str">
        <f>Descargas!E2300</f>
        <v>https://resources.simonelectric.com/simon-catalogo-vehiculo-electrico</v>
      </c>
      <c r="E2300" s="20" t="str">
        <f t="shared" si="1"/>
        <v>1705@sanehogar.com</v>
      </c>
      <c r="F2300" s="21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</row>
    <row r="2301" ht="15.75" customHeight="1">
      <c r="A2301" s="18" t="str">
        <f>Descargas!A2301</f>
        <v>1896@gmail.com</v>
      </c>
      <c r="B2301" s="19" t="str">
        <f>IFERROR(__xludf.DUMMYFUNCTION("IF(OR(regexmatch(A2301,"".*@simon.es$""),REGEXMATCH(A2301,"".*@simon.pt$""),REGEXMATCH(A2301,"".*@simonelectrica.com$""),REGEXMATCH(A2301,"".*@hiberus.com$""),REGEXMATCH(A2301,"".*@simonbrico.es$""),regexmatch(A2301,"".*@simonelectric.com$"")),""null"",A2"&amp;"301)"),"1896@gmail.com")</f>
        <v>1896@gmail.com</v>
      </c>
      <c r="C2301" s="5">
        <f>IF(B2301="null","null",Descargas!B2301)</f>
        <v>43948</v>
      </c>
      <c r="D2301" s="6" t="str">
        <f>Descargas!E2301</f>
        <v>https://resources.simonelectric.com/simon-ebook-vehiculo-electrico</v>
      </c>
      <c r="E2301" s="20" t="str">
        <f t="shared" si="1"/>
        <v>1896@gmail.com</v>
      </c>
      <c r="F2301" s="21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</row>
    <row r="2302" ht="15.75" customHeight="1">
      <c r="A2302" s="18" t="str">
        <f>Descargas!A2302</f>
        <v>1897@hotmail.es</v>
      </c>
      <c r="B2302" s="19" t="str">
        <f>IFERROR(__xludf.DUMMYFUNCTION("IF(OR(regexmatch(A2302,"".*@simon.es$""),REGEXMATCH(A2302,"".*@simon.pt$""),REGEXMATCH(A2302,"".*@simonelectrica.com$""),REGEXMATCH(A2302,"".*@hiberus.com$""),REGEXMATCH(A2302,"".*@simonbrico.es$""),regexmatch(A2302,"".*@simonelectric.com$"")),""null"",A2"&amp;"302)"),"1897@hotmail.es")</f>
        <v>1897@hotmail.es</v>
      </c>
      <c r="C2302" s="5">
        <f>IF(B2302="null","null",Descargas!B2302)</f>
        <v>43947</v>
      </c>
      <c r="D2302" s="6" t="str">
        <f>Descargas!E2302</f>
        <v>https://resources.simonelectric.com/simon-ebook-vehiculo-electrico-ppc</v>
      </c>
      <c r="E2302" s="20" t="str">
        <f t="shared" si="1"/>
        <v>1897@hotmail.es</v>
      </c>
      <c r="F2302" s="21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</row>
    <row r="2303" ht="15.75" customHeight="1">
      <c r="A2303" s="18" t="str">
        <f>Descargas!A2303</f>
        <v>1898@navantia.es</v>
      </c>
      <c r="B2303" s="19" t="str">
        <f>IFERROR(__xludf.DUMMYFUNCTION("IF(OR(regexmatch(A2303,"".*@simon.es$""),REGEXMATCH(A2303,"".*@simon.pt$""),REGEXMATCH(A2303,"".*@simonelectrica.com$""),REGEXMATCH(A2303,"".*@hiberus.com$""),REGEXMATCH(A2303,"".*@simonbrico.es$""),regexmatch(A2303,"".*@simonelectric.com$"")),""null"",A2"&amp;"303)"),"1898@navantia.es")</f>
        <v>1898@navantia.es</v>
      </c>
      <c r="C2303" s="5">
        <f>IF(B2303="null","null",Descargas!B2303)</f>
        <v>43947</v>
      </c>
      <c r="D2303" s="6" t="str">
        <f>Descargas!E2303</f>
        <v>https://resources.simonelectric.com/simon-ebook-vehiculo-electrico</v>
      </c>
      <c r="E2303" s="20" t="str">
        <f t="shared" si="1"/>
        <v>1898@navantia.es</v>
      </c>
      <c r="F2303" s="21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</row>
    <row r="2304" ht="15.75" customHeight="1">
      <c r="A2304" s="18" t="str">
        <f>Descargas!A2304</f>
        <v>260@hotmail.com</v>
      </c>
      <c r="B2304" s="19" t="str">
        <f>IFERROR(__xludf.DUMMYFUNCTION("IF(OR(regexmatch(A2304,"".*@simon.es$""),REGEXMATCH(A2304,"".*@simon.pt$""),REGEXMATCH(A2304,"".*@simonelectrica.com$""),REGEXMATCH(A2304,"".*@hiberus.com$""),REGEXMATCH(A2304,"".*@simonbrico.es$""),regexmatch(A2304,"".*@simonelectric.com$"")),""null"",A2"&amp;"304)"),"260@hotmail.com")</f>
        <v>260@hotmail.com</v>
      </c>
      <c r="C2304" s="5">
        <f>IF(B2304="null","null",Descargas!B2304)</f>
        <v>43947</v>
      </c>
      <c r="D2304" s="6" t="str">
        <f>Descargas!E2304</f>
        <v>https://resources.simonelectric.com/simon-ebook-vehiculo-electrico-0</v>
      </c>
      <c r="E2304" s="20" t="str">
        <f t="shared" si="1"/>
        <v>260@hotmail.com</v>
      </c>
      <c r="F2304" s="21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</row>
    <row r="2305" ht="15.75" customHeight="1">
      <c r="A2305" s="18" t="str">
        <f>Descargas!A2305</f>
        <v>1899@gmail.com</v>
      </c>
      <c r="B2305" s="19" t="str">
        <f>IFERROR(__xludf.DUMMYFUNCTION("IF(OR(regexmatch(A2305,"".*@simon.es$""),REGEXMATCH(A2305,"".*@simon.pt$""),REGEXMATCH(A2305,"".*@simonelectrica.com$""),REGEXMATCH(A2305,"".*@hiberus.com$""),REGEXMATCH(A2305,"".*@simonbrico.es$""),regexmatch(A2305,"".*@simonelectric.com$"")),""null"",A2"&amp;"305)"),"1899@gmail.com")</f>
        <v>1899@gmail.com</v>
      </c>
      <c r="C2305" s="5">
        <f>IF(B2305="null","null",Descargas!B2305)</f>
        <v>43947</v>
      </c>
      <c r="D2305" s="6" t="str">
        <f>Descargas!E2305</f>
        <v>https://resources.simonelectric.com/simon-catalogo-vehiculo-electrico</v>
      </c>
      <c r="E2305" s="20" t="str">
        <f t="shared" si="1"/>
        <v>1899@gmail.com</v>
      </c>
      <c r="F2305" s="21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</row>
    <row r="2306" ht="15.75" customHeight="1">
      <c r="A2306" s="18" t="str">
        <f>Descargas!A2306</f>
        <v>1900@hotmail.com</v>
      </c>
      <c r="B2306" s="19" t="str">
        <f>IFERROR(__xludf.DUMMYFUNCTION("IF(OR(regexmatch(A2306,"".*@simon.es$""),REGEXMATCH(A2306,"".*@simon.pt$""),REGEXMATCH(A2306,"".*@simonelectrica.com$""),REGEXMATCH(A2306,"".*@hiberus.com$""),REGEXMATCH(A2306,"".*@simonbrico.es$""),regexmatch(A2306,"".*@simonelectric.com$"")),""null"",A2"&amp;"306)"),"1900@hotmail.com")</f>
        <v>1900@hotmail.com</v>
      </c>
      <c r="C2306" s="5">
        <f>IF(B2306="null","null",Descargas!B2306)</f>
        <v>43947</v>
      </c>
      <c r="D2306" s="6" t="str">
        <f>Descargas!E2306</f>
        <v>https://resources.simonelectric.com/simon-ebook-vehiculo-electrico-ppc</v>
      </c>
      <c r="E2306" s="20" t="str">
        <f t="shared" si="1"/>
        <v>1900@hotmail.com</v>
      </c>
      <c r="F2306" s="21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</row>
    <row r="2307" ht="15.75" customHeight="1">
      <c r="A2307" s="18" t="str">
        <f>Descargas!A2307</f>
        <v>1402@gmail.com</v>
      </c>
      <c r="B2307" s="19" t="str">
        <f>IFERROR(__xludf.DUMMYFUNCTION("IF(OR(regexmatch(A2307,"".*@simon.es$""),REGEXMATCH(A2307,"".*@simon.pt$""),REGEXMATCH(A2307,"".*@simonelectrica.com$""),REGEXMATCH(A2307,"".*@hiberus.com$""),REGEXMATCH(A2307,"".*@simonbrico.es$""),regexmatch(A2307,"".*@simonelectric.com$"")),""null"",A2"&amp;"307)"),"1402@gmail.com")</f>
        <v>1402@gmail.com</v>
      </c>
      <c r="C2307" s="5">
        <f>IF(B2307="null","null",Descargas!B2307)</f>
        <v>43947</v>
      </c>
      <c r="D2307" s="6" t="str">
        <f>Descargas!E2307</f>
        <v>https://resources.simonelectric.com/simon-ebook-vehiculo-electrico-0</v>
      </c>
      <c r="E2307" s="20" t="str">
        <f t="shared" si="1"/>
        <v>1402@gmail.com</v>
      </c>
      <c r="F2307" s="21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</row>
    <row r="2308" ht="15.75" customHeight="1">
      <c r="A2308" s="18" t="str">
        <f>Descargas!A2308</f>
        <v>1901@gmail.com</v>
      </c>
      <c r="B2308" s="19" t="str">
        <f>IFERROR(__xludf.DUMMYFUNCTION("IF(OR(regexmatch(A2308,"".*@simon.es$""),REGEXMATCH(A2308,"".*@simon.pt$""),REGEXMATCH(A2308,"".*@simonelectrica.com$""),REGEXMATCH(A2308,"".*@hiberus.com$""),REGEXMATCH(A2308,"".*@simonbrico.es$""),regexmatch(A2308,"".*@simonelectric.com$"")),""null"",A2"&amp;"308)"),"1901@gmail.com")</f>
        <v>1901@gmail.com</v>
      </c>
      <c r="C2308" s="5">
        <f>IF(B2308="null","null",Descargas!B2308)</f>
        <v>43947</v>
      </c>
      <c r="D2308" s="6" t="str">
        <f>Descargas!E2308</f>
        <v>https://resources.simonelectric.com/simon-ebook-vehiculo-electrico-ppc</v>
      </c>
      <c r="E2308" s="20" t="str">
        <f t="shared" si="1"/>
        <v>1901@gmail.com</v>
      </c>
      <c r="F2308" s="21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</row>
    <row r="2309" ht="15.75" customHeight="1">
      <c r="A2309" s="18" t="str">
        <f>Descargas!A2309</f>
        <v>1902@hotmail.com</v>
      </c>
      <c r="B2309" s="19" t="str">
        <f>IFERROR(__xludf.DUMMYFUNCTION("IF(OR(regexmatch(A2309,"".*@simon.es$""),REGEXMATCH(A2309,"".*@simon.pt$""),REGEXMATCH(A2309,"".*@simonelectrica.com$""),REGEXMATCH(A2309,"".*@hiberus.com$""),REGEXMATCH(A2309,"".*@simonbrico.es$""),regexmatch(A2309,"".*@simonelectric.com$"")),""null"",A2"&amp;"309)"),"1902@hotmail.com")</f>
        <v>1902@hotmail.com</v>
      </c>
      <c r="C2309" s="5">
        <f>IF(B2309="null","null",Descargas!B2309)</f>
        <v>43947</v>
      </c>
      <c r="D2309" s="6" t="str">
        <f>Descargas!E2309</f>
        <v>https://resources.simonelectric.com/simon-ebook-vehiculo-electrico-0</v>
      </c>
      <c r="E2309" s="20" t="str">
        <f t="shared" si="1"/>
        <v>1902@hotmail.com</v>
      </c>
      <c r="F2309" s="21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</row>
    <row r="2310" ht="15.75" customHeight="1">
      <c r="A2310" s="18" t="str">
        <f>Descargas!A2310</f>
        <v>1903@yahoo.es</v>
      </c>
      <c r="B2310" s="19" t="str">
        <f>IFERROR(__xludf.DUMMYFUNCTION("IF(OR(regexmatch(A2310,"".*@simon.es$""),REGEXMATCH(A2310,"".*@simon.pt$""),REGEXMATCH(A2310,"".*@simonelectrica.com$""),REGEXMATCH(A2310,"".*@hiberus.com$""),REGEXMATCH(A2310,"".*@simonbrico.es$""),regexmatch(A2310,"".*@simonelectric.com$"")),""null"",A2"&amp;"310)"),"1903@yahoo.es")</f>
        <v>1903@yahoo.es</v>
      </c>
      <c r="C2310" s="5">
        <f>IF(B2310="null","null",Descargas!B2310)</f>
        <v>43946</v>
      </c>
      <c r="D2310" s="6" t="str">
        <f>Descargas!E2310</f>
        <v>https://resources.simonelectric.com/simon-ebook-vehiculo-electrico-0</v>
      </c>
      <c r="E2310" s="20" t="str">
        <f t="shared" si="1"/>
        <v>1903@yahoo.es</v>
      </c>
      <c r="F2310" s="21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</row>
    <row r="2311" ht="15.75" customHeight="1">
      <c r="A2311" s="18" t="str">
        <f>Descargas!A2311</f>
        <v>1904@gmail.com</v>
      </c>
      <c r="B2311" s="19" t="str">
        <f>IFERROR(__xludf.DUMMYFUNCTION("IF(OR(regexmatch(A2311,"".*@simon.es$""),REGEXMATCH(A2311,"".*@simon.pt$""),REGEXMATCH(A2311,"".*@simonelectrica.com$""),REGEXMATCH(A2311,"".*@hiberus.com$""),REGEXMATCH(A2311,"".*@simonbrico.es$""),regexmatch(A2311,"".*@simonelectric.com$"")),""null"",A2"&amp;"311)"),"1904@gmail.com")</f>
        <v>1904@gmail.com</v>
      </c>
      <c r="C2311" s="5">
        <f>IF(B2311="null","null",Descargas!B2311)</f>
        <v>43946</v>
      </c>
      <c r="D2311" s="6" t="str">
        <f>Descargas!E2311</f>
        <v>https://resources.simonelectric.com/simon-catalogo-vehiculo-electrico</v>
      </c>
      <c r="E2311" s="20" t="str">
        <f t="shared" si="1"/>
        <v>1904@gmail.com</v>
      </c>
      <c r="F2311" s="21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</row>
    <row r="2312" ht="15.75" customHeight="1">
      <c r="A2312" s="18" t="str">
        <f>Descargas!A2312</f>
        <v>1905@gmail.com</v>
      </c>
      <c r="B2312" s="19" t="str">
        <f>IFERROR(__xludf.DUMMYFUNCTION("IF(OR(regexmatch(A2312,"".*@simon.es$""),REGEXMATCH(A2312,"".*@simon.pt$""),REGEXMATCH(A2312,"".*@simonelectrica.com$""),REGEXMATCH(A2312,"".*@hiberus.com$""),REGEXMATCH(A2312,"".*@simonbrico.es$""),regexmatch(A2312,"".*@simonelectric.com$"")),""null"",A2"&amp;"312)"),"1905@gmail.com")</f>
        <v>1905@gmail.com</v>
      </c>
      <c r="C2312" s="5">
        <f>IF(B2312="null","null",Descargas!B2312)</f>
        <v>43946</v>
      </c>
      <c r="D2312" s="6" t="str">
        <f>Descargas!E2312</f>
        <v>https://resources.simonelectric.com/simon-ebook-vehiculo-electrico-0</v>
      </c>
      <c r="E2312" s="20" t="str">
        <f t="shared" si="1"/>
        <v>1905@gmail.com</v>
      </c>
      <c r="F2312" s="21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</row>
    <row r="2313" ht="15.75" customHeight="1">
      <c r="A2313" s="18" t="str">
        <f>Descargas!A2313</f>
        <v>1906@gmail.com</v>
      </c>
      <c r="B2313" s="19" t="str">
        <f>IFERROR(__xludf.DUMMYFUNCTION("IF(OR(regexmatch(A2313,"".*@simon.es$""),REGEXMATCH(A2313,"".*@simon.pt$""),REGEXMATCH(A2313,"".*@simonelectrica.com$""),REGEXMATCH(A2313,"".*@hiberus.com$""),REGEXMATCH(A2313,"".*@simonbrico.es$""),regexmatch(A2313,"".*@simonelectric.com$"")),""null"",A2"&amp;"313)"),"1906@gmail.com")</f>
        <v>1906@gmail.com</v>
      </c>
      <c r="C2313" s="5">
        <f>IF(B2313="null","null",Descargas!B2313)</f>
        <v>43946</v>
      </c>
      <c r="D2313" s="6" t="str">
        <f>Descargas!E2313</f>
        <v>https://resources.simonelectric.com/simon-ebook-vehiculo-electrico-0</v>
      </c>
      <c r="E2313" s="20" t="str">
        <f t="shared" si="1"/>
        <v>1906@gmail.com</v>
      </c>
      <c r="F2313" s="21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</row>
    <row r="2314" ht="15.75" customHeight="1">
      <c r="A2314" s="18" t="str">
        <f>Descargas!A2314</f>
        <v>986@hotmail.com</v>
      </c>
      <c r="B2314" s="19" t="str">
        <f>IFERROR(__xludf.DUMMYFUNCTION("IF(OR(regexmatch(A2314,"".*@simon.es$""),REGEXMATCH(A2314,"".*@simon.pt$""),REGEXMATCH(A2314,"".*@simonelectrica.com$""),REGEXMATCH(A2314,"".*@hiberus.com$""),REGEXMATCH(A2314,"".*@simonbrico.es$""),regexmatch(A2314,"".*@simonelectric.com$"")),""null"",A2"&amp;"314)"),"986@hotmail.com")</f>
        <v>986@hotmail.com</v>
      </c>
      <c r="C2314" s="5">
        <f>IF(B2314="null","null",Descargas!B2314)</f>
        <v>43946</v>
      </c>
      <c r="D2314" s="6" t="str">
        <f>Descargas!E2314</f>
        <v>https://resources.simonelectric.com/simon-ebook-vehiculo-electrico-0</v>
      </c>
      <c r="E2314" s="20" t="str">
        <f t="shared" si="1"/>
        <v>986@hotmail.com</v>
      </c>
      <c r="F2314" s="21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</row>
    <row r="2315" ht="15.75" customHeight="1">
      <c r="A2315" s="18" t="str">
        <f>Descargas!A2315</f>
        <v>1907@yahoo.es</v>
      </c>
      <c r="B2315" s="19" t="str">
        <f>IFERROR(__xludf.DUMMYFUNCTION("IF(OR(regexmatch(A2315,"".*@simon.es$""),REGEXMATCH(A2315,"".*@simon.pt$""),REGEXMATCH(A2315,"".*@simonelectrica.com$""),REGEXMATCH(A2315,"".*@hiberus.com$""),REGEXMATCH(A2315,"".*@simonbrico.es$""),regexmatch(A2315,"".*@simonelectric.com$"")),""null"",A2"&amp;"315)"),"1907@yahoo.es")</f>
        <v>1907@yahoo.es</v>
      </c>
      <c r="C2315" s="5">
        <f>IF(B2315="null","null",Descargas!B2315)</f>
        <v>43946</v>
      </c>
      <c r="D2315" s="6" t="str">
        <f>Descargas!E2315</f>
        <v>https://resources.simonelectric.com/simon-ebook-vehiculo-electrico-0</v>
      </c>
      <c r="E2315" s="20" t="str">
        <f t="shared" si="1"/>
        <v>1907@yahoo.es</v>
      </c>
      <c r="F2315" s="21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</row>
    <row r="2316" ht="15.75" customHeight="1">
      <c r="A2316" s="18" t="str">
        <f>Descargas!A2316</f>
        <v>1735@gruponovelec.com</v>
      </c>
      <c r="B2316" s="19" t="str">
        <f>IFERROR(__xludf.DUMMYFUNCTION("IF(OR(regexmatch(A2316,"".*@simon.es$""),REGEXMATCH(A2316,"".*@simon.pt$""),REGEXMATCH(A2316,"".*@simonelectrica.com$""),REGEXMATCH(A2316,"".*@hiberus.com$""),REGEXMATCH(A2316,"".*@simonbrico.es$""),regexmatch(A2316,"".*@simonelectric.com$"")),""null"",A2"&amp;"316)"),"1735@gruponovelec.com")</f>
        <v>1735@gruponovelec.com</v>
      </c>
      <c r="C2316" s="5">
        <f>IF(B2316="null","null",Descargas!B2316)</f>
        <v>43946</v>
      </c>
      <c r="D2316" s="6" t="str">
        <f>Descargas!E2316</f>
        <v>https://resources.simonelectric.com/simon-ebook-vehiculo-electrico-ppc</v>
      </c>
      <c r="E2316" s="20" t="str">
        <f t="shared" si="1"/>
        <v>1735@gruponovelec.com</v>
      </c>
      <c r="F2316" s="21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</row>
    <row r="2317" ht="15.75" customHeight="1">
      <c r="A2317" s="18" t="str">
        <f>Descargas!A2317</f>
        <v>1908@enel.com</v>
      </c>
      <c r="B2317" s="19" t="str">
        <f>IFERROR(__xludf.DUMMYFUNCTION("IF(OR(regexmatch(A2317,"".*@simon.es$""),REGEXMATCH(A2317,"".*@simon.pt$""),REGEXMATCH(A2317,"".*@simonelectrica.com$""),REGEXMATCH(A2317,"".*@hiberus.com$""),REGEXMATCH(A2317,"".*@simonbrico.es$""),regexmatch(A2317,"".*@simonelectric.com$"")),""null"",A2"&amp;"317)"),"1908@enel.com")</f>
        <v>1908@enel.com</v>
      </c>
      <c r="C2317" s="5">
        <f>IF(B2317="null","null",Descargas!B2317)</f>
        <v>43946</v>
      </c>
      <c r="D2317" s="6" t="str">
        <f>Descargas!E2317</f>
        <v>https://resources.simonelectric.com/simon-ebook-vehiculo-electrico-ppc</v>
      </c>
      <c r="E2317" s="20" t="str">
        <f t="shared" si="1"/>
        <v>1908@enel.com</v>
      </c>
      <c r="F2317" s="21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</row>
    <row r="2318" ht="15.75" customHeight="1">
      <c r="A2318" s="18" t="str">
        <f>Descargas!A2318</f>
        <v>1909@gmail.com</v>
      </c>
      <c r="B2318" s="19" t="str">
        <f>IFERROR(__xludf.DUMMYFUNCTION("IF(OR(regexmatch(A2318,"".*@simon.es$""),REGEXMATCH(A2318,"".*@simon.pt$""),REGEXMATCH(A2318,"".*@simonelectrica.com$""),REGEXMATCH(A2318,"".*@hiberus.com$""),REGEXMATCH(A2318,"".*@simonbrico.es$""),regexmatch(A2318,"".*@simonelectric.com$"")),""null"",A2"&amp;"318)"),"1909@gmail.com")</f>
        <v>1909@gmail.com</v>
      </c>
      <c r="C2318" s="5">
        <f>IF(B2318="null","null",Descargas!B2318)</f>
        <v>43946</v>
      </c>
      <c r="D2318" s="6" t="str">
        <f>Descargas!E2318</f>
        <v>https://resources.simonelectric.com/simon-catalogo-vehiculo-electrico</v>
      </c>
      <c r="E2318" s="20" t="str">
        <f t="shared" si="1"/>
        <v>1909@gmail.com</v>
      </c>
      <c r="F2318" s="21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</row>
    <row r="2319" ht="15.75" customHeight="1">
      <c r="A2319" s="18" t="str">
        <f>Descargas!A2319</f>
        <v>1909@gmail.com</v>
      </c>
      <c r="B2319" s="19" t="str">
        <f>IFERROR(__xludf.DUMMYFUNCTION("IF(OR(regexmatch(A2319,"".*@simon.es$""),REGEXMATCH(A2319,"".*@simon.pt$""),REGEXMATCH(A2319,"".*@simonelectrica.com$""),REGEXMATCH(A2319,"".*@hiberus.com$""),REGEXMATCH(A2319,"".*@simonbrico.es$""),regexmatch(A2319,"".*@simonelectric.com$"")),""null"",A2"&amp;"319)"),"1909@gmail.com")</f>
        <v>1909@gmail.com</v>
      </c>
      <c r="C2319" s="5">
        <f>IF(B2319="null","null",Descargas!B2319)</f>
        <v>43946</v>
      </c>
      <c r="D2319" s="6" t="str">
        <f>Descargas!E2319</f>
        <v>https://resources.simonelectric.com/simon-material-formativo-vehiculo-electrico</v>
      </c>
      <c r="E2319" s="20" t="str">
        <f t="shared" si="1"/>
        <v>1909@gmail.com</v>
      </c>
      <c r="F2319" s="21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</row>
    <row r="2320" ht="15.75" customHeight="1">
      <c r="A2320" s="18" t="str">
        <f>Descargas!A2320</f>
        <v>1909@gmail.com</v>
      </c>
      <c r="B2320" s="19" t="str">
        <f>IFERROR(__xludf.DUMMYFUNCTION("IF(OR(regexmatch(A2320,"".*@simon.es$""),REGEXMATCH(A2320,"".*@simon.pt$""),REGEXMATCH(A2320,"".*@simonelectrica.com$""),REGEXMATCH(A2320,"".*@hiberus.com$""),REGEXMATCH(A2320,"".*@simonbrico.es$""),regexmatch(A2320,"".*@simonelectric.com$"")),""null"",A2"&amp;"320)"),"1909@gmail.com")</f>
        <v>1909@gmail.com</v>
      </c>
      <c r="C2320" s="5">
        <f>IF(B2320="null","null",Descargas!B2320)</f>
        <v>43946</v>
      </c>
      <c r="D2320" s="6" t="str">
        <f>Descargas!E2320</f>
        <v>https://resources.simonelectric.com/simon-ebook-vehiculo-electrico</v>
      </c>
      <c r="E2320" s="20" t="str">
        <f t="shared" si="1"/>
        <v>1909@gmail.com</v>
      </c>
      <c r="F2320" s="21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</row>
    <row r="2321" ht="15.75" customHeight="1">
      <c r="A2321" s="18" t="str">
        <f>Descargas!A2321</f>
        <v>1910@antelecat.com</v>
      </c>
      <c r="B2321" s="19" t="str">
        <f>IFERROR(__xludf.DUMMYFUNCTION("IF(OR(regexmatch(A2321,"".*@simon.es$""),REGEXMATCH(A2321,"".*@simon.pt$""),REGEXMATCH(A2321,"".*@simonelectrica.com$""),REGEXMATCH(A2321,"".*@hiberus.com$""),REGEXMATCH(A2321,"".*@simonbrico.es$""),regexmatch(A2321,"".*@simonelectric.com$"")),""null"",A2"&amp;"321)"),"1910@antelecat.com")</f>
        <v>1910@antelecat.com</v>
      </c>
      <c r="C2321" s="5">
        <f>IF(B2321="null","null",Descargas!B2321)</f>
        <v>43946</v>
      </c>
      <c r="D2321" s="6" t="str">
        <f>Descargas!E2321</f>
        <v>https://resources.simonelectric.com/simon-ebook-vehiculo-electrico</v>
      </c>
      <c r="E2321" s="20" t="str">
        <f t="shared" si="1"/>
        <v>1910@antelecat.com</v>
      </c>
      <c r="F2321" s="21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</row>
    <row r="2322" ht="15.75" customHeight="1">
      <c r="A2322" s="18" t="str">
        <f>Descargas!A2322</f>
        <v>1911@gmail.com</v>
      </c>
      <c r="B2322" s="19" t="str">
        <f>IFERROR(__xludf.DUMMYFUNCTION("IF(OR(regexmatch(A2322,"".*@simon.es$""),REGEXMATCH(A2322,"".*@simon.pt$""),REGEXMATCH(A2322,"".*@simonelectrica.com$""),REGEXMATCH(A2322,"".*@hiberus.com$""),REGEXMATCH(A2322,"".*@simonbrico.es$""),regexmatch(A2322,"".*@simonelectric.com$"")),""null"",A2"&amp;"322)"),"1911@gmail.com")</f>
        <v>1911@gmail.com</v>
      </c>
      <c r="C2322" s="5">
        <f>IF(B2322="null","null",Descargas!B2322)</f>
        <v>43946</v>
      </c>
      <c r="D2322" s="6" t="str">
        <f>Descargas!E2322</f>
        <v>https://resources.simonelectric.com/simon-ebook-vehiculo-electrico-ppc</v>
      </c>
      <c r="E2322" s="20" t="str">
        <f t="shared" si="1"/>
        <v>1911@gmail.com</v>
      </c>
      <c r="F2322" s="21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</row>
    <row r="2323" ht="15.75" customHeight="1">
      <c r="A2323" s="18" t="str">
        <f>Descargas!A2323</f>
        <v>1912@gmail.com</v>
      </c>
      <c r="B2323" s="19" t="str">
        <f>IFERROR(__xludf.DUMMYFUNCTION("IF(OR(regexmatch(A2323,"".*@simon.es$""),REGEXMATCH(A2323,"".*@simon.pt$""),REGEXMATCH(A2323,"".*@simonelectrica.com$""),REGEXMATCH(A2323,"".*@hiberus.com$""),REGEXMATCH(A2323,"".*@simonbrico.es$""),regexmatch(A2323,"".*@simonelectric.com$"")),""null"",A2"&amp;"323)"),"1912@gmail.com")</f>
        <v>1912@gmail.com</v>
      </c>
      <c r="C2323" s="5">
        <f>IF(B2323="null","null",Descargas!B2323)</f>
        <v>43946</v>
      </c>
      <c r="D2323" s="6" t="str">
        <f>Descargas!E2323</f>
        <v>https://resources.simonelectric.com/simon-ebook-vehiculo-electrico</v>
      </c>
      <c r="E2323" s="20" t="str">
        <f t="shared" si="1"/>
        <v>1912@gmail.com</v>
      </c>
      <c r="F2323" s="21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</row>
    <row r="2324" ht="15.75" customHeight="1">
      <c r="A2324" s="18" t="str">
        <f>Descargas!A2324</f>
        <v>1202@gmail.com</v>
      </c>
      <c r="B2324" s="19" t="str">
        <f>IFERROR(__xludf.DUMMYFUNCTION("IF(OR(regexmatch(A2324,"".*@simon.es$""),REGEXMATCH(A2324,"".*@simon.pt$""),REGEXMATCH(A2324,"".*@simonelectrica.com$""),REGEXMATCH(A2324,"".*@hiberus.com$""),REGEXMATCH(A2324,"".*@simonbrico.es$""),regexmatch(A2324,"".*@simonelectric.com$"")),""null"",A2"&amp;"324)"),"1202@gmail.com")</f>
        <v>1202@gmail.com</v>
      </c>
      <c r="C2324" s="5">
        <f>IF(B2324="null","null",Descargas!B2324)</f>
        <v>43945</v>
      </c>
      <c r="D2324" s="6" t="str">
        <f>Descargas!E2324</f>
        <v>https://resources.simonelectric.com/simon-ebook-vehiculo-electrico-0</v>
      </c>
      <c r="E2324" s="20" t="str">
        <f t="shared" si="1"/>
        <v>1202@gmail.com</v>
      </c>
      <c r="F2324" s="21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</row>
    <row r="2325" ht="15.75" customHeight="1">
      <c r="A2325" s="18" t="str">
        <f>Descargas!A2325</f>
        <v>1913@gmail.com</v>
      </c>
      <c r="B2325" s="19" t="str">
        <f>IFERROR(__xludf.DUMMYFUNCTION("IF(OR(regexmatch(A2325,"".*@simon.es$""),REGEXMATCH(A2325,"".*@simon.pt$""),REGEXMATCH(A2325,"".*@simonelectrica.com$""),REGEXMATCH(A2325,"".*@hiberus.com$""),REGEXMATCH(A2325,"".*@simonbrico.es$""),regexmatch(A2325,"".*@simonelectric.com$"")),""null"",A2"&amp;"325)"),"1913@gmail.com")</f>
        <v>1913@gmail.com</v>
      </c>
      <c r="C2325" s="5">
        <f>IF(B2325="null","null",Descargas!B2325)</f>
        <v>43945</v>
      </c>
      <c r="D2325" s="6" t="str">
        <f>Descargas!E2325</f>
        <v>https://resources.simonelectric.com/simon-ebook-vehiculo-electrico-0</v>
      </c>
      <c r="E2325" s="20" t="str">
        <f t="shared" si="1"/>
        <v>1913@gmail.com</v>
      </c>
      <c r="F2325" s="21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</row>
    <row r="2326" ht="15.75" customHeight="1">
      <c r="A2326" s="18" t="str">
        <f>Descargas!A2326</f>
        <v>1914@simon.es</v>
      </c>
      <c r="B2326" s="19" t="str">
        <f>IFERROR(__xludf.DUMMYFUNCTION("IF(OR(regexmatch(A2326,"".*@simon.es$""),REGEXMATCH(A2326,"".*@simon.pt$""),REGEXMATCH(A2326,"".*@simonelectrica.com$""),REGEXMATCH(A2326,"".*@hiberus.com$""),REGEXMATCH(A2326,"".*@simonbrico.es$""),regexmatch(A2326,"".*@simonelectric.com$"")),""null"",A2"&amp;"326)"),"null")</f>
        <v>null</v>
      </c>
      <c r="C2326" s="5" t="str">
        <f>IF(B2326="null","null",Descargas!B2326)</f>
        <v>null</v>
      </c>
      <c r="D2326" s="6" t="str">
        <f>Descargas!E2326</f>
        <v>https://resources.simonelectric.com/simon-material-formativo-vehiculo-electrico</v>
      </c>
      <c r="E2326" s="24" t="str">
        <f t="shared" si="1"/>
        <v/>
      </c>
      <c r="F2326" s="21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</row>
    <row r="2327" ht="15.75" customHeight="1">
      <c r="A2327" s="18" t="str">
        <f>Descargas!A2327</f>
        <v>1915@zmingenieros.com</v>
      </c>
      <c r="B2327" s="19" t="str">
        <f>IFERROR(__xludf.DUMMYFUNCTION("IF(OR(regexmatch(A2327,"".*@simon.es$""),REGEXMATCH(A2327,"".*@simon.pt$""),REGEXMATCH(A2327,"".*@simonelectrica.com$""),REGEXMATCH(A2327,"".*@hiberus.com$""),REGEXMATCH(A2327,"".*@simonbrico.es$""),regexmatch(A2327,"".*@simonelectric.com$"")),""null"",A2"&amp;"327)"),"1915@zmingenieros.com")</f>
        <v>1915@zmingenieros.com</v>
      </c>
      <c r="C2327" s="5">
        <f>IF(B2327="null","null",Descargas!B2327)</f>
        <v>43945</v>
      </c>
      <c r="D2327" s="6" t="str">
        <f>Descargas!E2327</f>
        <v>https://resources.simonelectric.com/simon-ebook-vehiculo-electrico</v>
      </c>
      <c r="E2327" s="20" t="str">
        <f t="shared" si="1"/>
        <v>1915@zmingenieros.com</v>
      </c>
      <c r="F2327" s="21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</row>
    <row r="2328" ht="15.75" customHeight="1">
      <c r="A2328" s="18" t="str">
        <f>Descargas!A2328</f>
        <v>1916@gmail.com</v>
      </c>
      <c r="B2328" s="19" t="str">
        <f>IFERROR(__xludf.DUMMYFUNCTION("IF(OR(regexmatch(A2328,"".*@simon.es$""),REGEXMATCH(A2328,"".*@simon.pt$""),REGEXMATCH(A2328,"".*@simonelectrica.com$""),REGEXMATCH(A2328,"".*@hiberus.com$""),REGEXMATCH(A2328,"".*@simonbrico.es$""),regexmatch(A2328,"".*@simonelectric.com$"")),""null"",A2"&amp;"328)"),"1916@gmail.com")</f>
        <v>1916@gmail.com</v>
      </c>
      <c r="C2328" s="5">
        <f>IF(B2328="null","null",Descargas!B2328)</f>
        <v>43945</v>
      </c>
      <c r="D2328" s="6" t="str">
        <f>Descargas!E2328</f>
        <v>https://resources.simonelectric.com/simon-ebook-vehiculo-electrico-0</v>
      </c>
      <c r="E2328" s="20" t="str">
        <f t="shared" si="1"/>
        <v>1916@gmail.com</v>
      </c>
      <c r="F2328" s="21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</row>
    <row r="2329" ht="15.75" customHeight="1">
      <c r="A2329" s="18" t="str">
        <f>Descargas!A2329</f>
        <v>1917@gmail.com</v>
      </c>
      <c r="B2329" s="19" t="str">
        <f>IFERROR(__xludf.DUMMYFUNCTION("IF(OR(regexmatch(A2329,"".*@simon.es$""),REGEXMATCH(A2329,"".*@simon.pt$""),REGEXMATCH(A2329,"".*@simonelectrica.com$""),REGEXMATCH(A2329,"".*@hiberus.com$""),REGEXMATCH(A2329,"".*@simonbrico.es$""),regexmatch(A2329,"".*@simonelectric.com$"")),""null"",A2"&amp;"329)"),"1917@gmail.com")</f>
        <v>1917@gmail.com</v>
      </c>
      <c r="C2329" s="5">
        <f>IF(B2329="null","null",Descargas!B2329)</f>
        <v>43945</v>
      </c>
      <c r="D2329" s="6" t="str">
        <f>Descargas!E2329</f>
        <v>https://resources.simonelectric.com/simon-ebook-vehiculo-electrico-0</v>
      </c>
      <c r="E2329" s="20" t="str">
        <f t="shared" si="1"/>
        <v>1917@gmail.com</v>
      </c>
      <c r="F2329" s="21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</row>
    <row r="2330" ht="15.75" customHeight="1">
      <c r="A2330" s="18" t="str">
        <f>Descargas!A2330</f>
        <v>1918@sgx.cat</v>
      </c>
      <c r="B2330" s="19" t="str">
        <f>IFERROR(__xludf.DUMMYFUNCTION("IF(OR(regexmatch(A2330,"".*@simon.es$""),REGEXMATCH(A2330,"".*@simon.pt$""),REGEXMATCH(A2330,"".*@simonelectrica.com$""),REGEXMATCH(A2330,"".*@hiberus.com$""),REGEXMATCH(A2330,"".*@simonbrico.es$""),regexmatch(A2330,"".*@simonelectric.com$"")),""null"",A2"&amp;"330)"),"1918@sgx.cat")</f>
        <v>1918@sgx.cat</v>
      </c>
      <c r="C2330" s="5">
        <f>IF(B2330="null","null",Descargas!B2330)</f>
        <v>43945</v>
      </c>
      <c r="D2330" s="6" t="str">
        <f>Descargas!E2330</f>
        <v>https://resources.simonelectric.com/simon-ebook-vehiculo-electrico-0</v>
      </c>
      <c r="E2330" s="20" t="str">
        <f t="shared" si="1"/>
        <v>1918@sgx.cat</v>
      </c>
      <c r="F2330" s="21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</row>
    <row r="2331" ht="15.75" customHeight="1">
      <c r="A2331" s="18" t="str">
        <f>Descargas!A2331</f>
        <v>1919@simon.pt</v>
      </c>
      <c r="B2331" s="19" t="str">
        <f>IFERROR(__xludf.DUMMYFUNCTION("IF(OR(regexmatch(A2331,"".*@simon.es$""),REGEXMATCH(A2331,"".*@simon.pt$""),REGEXMATCH(A2331,"".*@simonelectrica.com$""),REGEXMATCH(A2331,"".*@hiberus.com$""),REGEXMATCH(A2331,"".*@simonbrico.es$""),regexmatch(A2331,"".*@simonelectric.com$"")),""null"",A2"&amp;"331)"),"null")</f>
        <v>null</v>
      </c>
      <c r="C2331" s="5" t="str">
        <f>IF(B2331="null","null",Descargas!B2331)</f>
        <v>null</v>
      </c>
      <c r="D2331" s="6" t="str">
        <f>Descargas!E2331</f>
        <v>https://resources.simonelectric.com/simon-material-formativo-vehiculo-electrico</v>
      </c>
      <c r="E2331" s="24" t="str">
        <f t="shared" si="1"/>
        <v/>
      </c>
      <c r="F2331" s="21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</row>
    <row r="2332" ht="15.75" customHeight="1">
      <c r="A2332" s="18" t="str">
        <f>Descargas!A2332</f>
        <v>1920@gmail.com</v>
      </c>
      <c r="B2332" s="19" t="str">
        <f>IFERROR(__xludf.DUMMYFUNCTION("IF(OR(regexmatch(A2332,"".*@simon.es$""),REGEXMATCH(A2332,"".*@simon.pt$""),REGEXMATCH(A2332,"".*@simonelectrica.com$""),REGEXMATCH(A2332,"".*@hiberus.com$""),REGEXMATCH(A2332,"".*@simonbrico.es$""),regexmatch(A2332,"".*@simonelectric.com$"")),""null"",A2"&amp;"332)"),"1920@gmail.com")</f>
        <v>1920@gmail.com</v>
      </c>
      <c r="C2332" s="5">
        <f>IF(B2332="null","null",Descargas!B2332)</f>
        <v>43945</v>
      </c>
      <c r="D2332" s="6" t="str">
        <f>Descargas!E2332</f>
        <v>https://resources.simonelectric.com/simon-ebook-vehiculo-electrico-ppc</v>
      </c>
      <c r="E2332" s="20" t="str">
        <f t="shared" si="1"/>
        <v>1920@gmail.com</v>
      </c>
      <c r="F2332" s="21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</row>
    <row r="2333" ht="15.75" customHeight="1">
      <c r="A2333" s="18" t="str">
        <f>Descargas!A2333</f>
        <v>1921@msn.com</v>
      </c>
      <c r="B2333" s="19" t="str">
        <f>IFERROR(__xludf.DUMMYFUNCTION("IF(OR(regexmatch(A2333,"".*@simon.es$""),REGEXMATCH(A2333,"".*@simon.pt$""),REGEXMATCH(A2333,"".*@simonelectrica.com$""),REGEXMATCH(A2333,"".*@hiberus.com$""),REGEXMATCH(A2333,"".*@simonbrico.es$""),regexmatch(A2333,"".*@simonelectric.com$"")),""null"",A2"&amp;"333)"),"1921@msn.com")</f>
        <v>1921@msn.com</v>
      </c>
      <c r="C2333" s="5">
        <f>IF(B2333="null","null",Descargas!B2333)</f>
        <v>43945</v>
      </c>
      <c r="D2333" s="6" t="str">
        <f>Descargas!E2333</f>
        <v>https://resources.simonelectric.com/simon-ebook-vehiculo-electrico-ppc</v>
      </c>
      <c r="E2333" s="20" t="str">
        <f t="shared" si="1"/>
        <v>1921@msn.com</v>
      </c>
      <c r="F2333" s="21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</row>
    <row r="2334" ht="15.75" customHeight="1">
      <c r="A2334" s="18" t="str">
        <f>Descargas!A2334</f>
        <v>1922@simon.es</v>
      </c>
      <c r="B2334" s="19" t="str">
        <f>IFERROR(__xludf.DUMMYFUNCTION("IF(OR(regexmatch(A2334,"".*@simon.es$""),REGEXMATCH(A2334,"".*@simon.pt$""),REGEXMATCH(A2334,"".*@simonelectrica.com$""),REGEXMATCH(A2334,"".*@hiberus.com$""),REGEXMATCH(A2334,"".*@simonbrico.es$""),regexmatch(A2334,"".*@simonelectric.com$"")),""null"",A2"&amp;"334)"),"null")</f>
        <v>null</v>
      </c>
      <c r="C2334" s="5" t="str">
        <f>IF(B2334="null","null",Descargas!B2334)</f>
        <v>null</v>
      </c>
      <c r="D2334" s="6" t="str">
        <f>Descargas!E2334</f>
        <v>https://resources.simonelectric.com/simon-material-formativo-vehiculo-electrico</v>
      </c>
      <c r="E2334" s="24" t="str">
        <f t="shared" si="1"/>
        <v/>
      </c>
      <c r="F2334" s="21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</row>
    <row r="2335" ht="15.75" customHeight="1">
      <c r="A2335" s="18" t="str">
        <f>Descargas!A2335</f>
        <v>1401@auditenergia.com</v>
      </c>
      <c r="B2335" s="19" t="str">
        <f>IFERROR(__xludf.DUMMYFUNCTION("IF(OR(regexmatch(A2335,"".*@simon.es$""),REGEXMATCH(A2335,"".*@simon.pt$""),REGEXMATCH(A2335,"".*@simonelectrica.com$""),REGEXMATCH(A2335,"".*@hiberus.com$""),REGEXMATCH(A2335,"".*@simonbrico.es$""),regexmatch(A2335,"".*@simonelectric.com$"")),""null"",A2"&amp;"335)"),"1401@auditenergia.com")</f>
        <v>1401@auditenergia.com</v>
      </c>
      <c r="C2335" s="5">
        <f>IF(B2335="null","null",Descargas!B2335)</f>
        <v>43945</v>
      </c>
      <c r="D2335" s="6" t="str">
        <f>Descargas!E2335</f>
        <v>https://resources.simonelectric.com/simon-material-formativo-vehiculo-electrico</v>
      </c>
      <c r="E2335" s="20" t="str">
        <f t="shared" si="1"/>
        <v>1401@auditenergia.com</v>
      </c>
      <c r="F2335" s="21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</row>
    <row r="2336" ht="15.75" customHeight="1">
      <c r="A2336" s="18" t="str">
        <f>Descargas!A2336</f>
        <v>844@certis.cat</v>
      </c>
      <c r="B2336" s="19" t="str">
        <f>IFERROR(__xludf.DUMMYFUNCTION("IF(OR(regexmatch(A2336,"".*@simon.es$""),REGEXMATCH(A2336,"".*@simon.pt$""),REGEXMATCH(A2336,"".*@simonelectrica.com$""),REGEXMATCH(A2336,"".*@hiberus.com$""),REGEXMATCH(A2336,"".*@simonbrico.es$""),regexmatch(A2336,"".*@simonelectric.com$"")),""null"",A2"&amp;"336)"),"844@certis.cat")</f>
        <v>844@certis.cat</v>
      </c>
      <c r="C2336" s="5">
        <f>IF(B2336="null","null",Descargas!B2336)</f>
        <v>43945</v>
      </c>
      <c r="D2336" s="6" t="str">
        <f>Descargas!E2336</f>
        <v>https://resources.simonelectric.com/simon-material-formativo-vehiculo-electrico</v>
      </c>
      <c r="E2336" s="20" t="str">
        <f t="shared" si="1"/>
        <v>844@certis.cat</v>
      </c>
      <c r="F2336" s="21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</row>
    <row r="2337" ht="15.75" customHeight="1">
      <c r="A2337" s="18" t="str">
        <f>Descargas!A2337</f>
        <v>1923@agosa.es</v>
      </c>
      <c r="B2337" s="19" t="str">
        <f>IFERROR(__xludf.DUMMYFUNCTION("IF(OR(regexmatch(A2337,"".*@simon.es$""),REGEXMATCH(A2337,"".*@simon.pt$""),REGEXMATCH(A2337,"".*@simonelectrica.com$""),REGEXMATCH(A2337,"".*@hiberus.com$""),REGEXMATCH(A2337,"".*@simonbrico.es$""),regexmatch(A2337,"".*@simonelectric.com$"")),""null"",A2"&amp;"337)"),"1923@agosa.es")</f>
        <v>1923@agosa.es</v>
      </c>
      <c r="C2337" s="5">
        <f>IF(B2337="null","null",Descargas!B2337)</f>
        <v>43945</v>
      </c>
      <c r="D2337" s="6" t="str">
        <f>Descargas!E2337</f>
        <v>https://resources.simonelectric.com/simon-material-formativo-vehiculo-electrico</v>
      </c>
      <c r="E2337" s="20" t="str">
        <f t="shared" si="1"/>
        <v>1923@agosa.es</v>
      </c>
      <c r="F2337" s="21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</row>
    <row r="2338" ht="15.75" customHeight="1">
      <c r="A2338" s="18" t="str">
        <f>Descargas!A2338</f>
        <v>809@naturgy.com</v>
      </c>
      <c r="B2338" s="19" t="str">
        <f>IFERROR(__xludf.DUMMYFUNCTION("IF(OR(regexmatch(A2338,"".*@simon.es$""),REGEXMATCH(A2338,"".*@simon.pt$""),REGEXMATCH(A2338,"".*@simonelectrica.com$""),REGEXMATCH(A2338,"".*@hiberus.com$""),REGEXMATCH(A2338,"".*@simonbrico.es$""),regexmatch(A2338,"".*@simonelectric.com$"")),""null"",A2"&amp;"338)"),"809@naturgy.com")</f>
        <v>809@naturgy.com</v>
      </c>
      <c r="C2338" s="5">
        <f>IF(B2338="null","null",Descargas!B2338)</f>
        <v>43945</v>
      </c>
      <c r="D2338" s="6" t="str">
        <f>Descargas!E2338</f>
        <v>https://resources.simonelectric.com/simon-material-formativo-vehiculo-electrico</v>
      </c>
      <c r="E2338" s="20" t="str">
        <f t="shared" si="1"/>
        <v>809@naturgy.com</v>
      </c>
      <c r="F2338" s="21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</row>
    <row r="2339" ht="15.75" customHeight="1">
      <c r="A2339" s="18" t="str">
        <f>Descargas!A2339</f>
        <v>211@elgremi.cat</v>
      </c>
      <c r="B2339" s="19" t="str">
        <f>IFERROR(__xludf.DUMMYFUNCTION("IF(OR(regexmatch(A2339,"".*@simon.es$""),REGEXMATCH(A2339,"".*@simon.pt$""),REGEXMATCH(A2339,"".*@simonelectrica.com$""),REGEXMATCH(A2339,"".*@hiberus.com$""),REGEXMATCH(A2339,"".*@simonbrico.es$""),regexmatch(A2339,"".*@simonelectric.com$"")),""null"",A2"&amp;"339)"),"211@elgremi.cat")</f>
        <v>211@elgremi.cat</v>
      </c>
      <c r="C2339" s="5">
        <f>IF(B2339="null","null",Descargas!B2339)</f>
        <v>43945</v>
      </c>
      <c r="D2339" s="6" t="str">
        <f>Descargas!E2339</f>
        <v>https://resources.simonelectric.com/simon-material-formativo-vehiculo-electrico</v>
      </c>
      <c r="E2339" s="20" t="str">
        <f t="shared" si="1"/>
        <v>211@elgremi.cat</v>
      </c>
      <c r="F2339" s="21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</row>
    <row r="2340" ht="15.75" customHeight="1">
      <c r="A2340" s="18" t="str">
        <f>Descargas!A2340</f>
        <v>1924@merlosl.es</v>
      </c>
      <c r="B2340" s="19" t="str">
        <f>IFERROR(__xludf.DUMMYFUNCTION("IF(OR(regexmatch(A2340,"".*@simon.es$""),REGEXMATCH(A2340,"".*@simon.pt$""),REGEXMATCH(A2340,"".*@simonelectrica.com$""),REGEXMATCH(A2340,"".*@hiberus.com$""),REGEXMATCH(A2340,"".*@simonbrico.es$""),regexmatch(A2340,"".*@simonelectric.com$"")),""null"",A2"&amp;"340)"),"1924@merlosl.es")</f>
        <v>1924@merlosl.es</v>
      </c>
      <c r="C2340" s="5">
        <f>IF(B2340="null","null",Descargas!B2340)</f>
        <v>43945</v>
      </c>
      <c r="D2340" s="6" t="str">
        <f>Descargas!E2340</f>
        <v>https://resources.simonelectric.com/simon-material-formativo-vehiculo-electrico</v>
      </c>
      <c r="E2340" s="20" t="str">
        <f t="shared" si="1"/>
        <v>1924@merlosl.es</v>
      </c>
      <c r="F2340" s="21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</row>
    <row r="2341" ht="15.75" customHeight="1">
      <c r="A2341" s="18" t="str">
        <f>Descargas!A2341</f>
        <v>1925@elecnor.com</v>
      </c>
      <c r="B2341" s="19" t="str">
        <f>IFERROR(__xludf.DUMMYFUNCTION("IF(OR(regexmatch(A2341,"".*@simon.es$""),REGEXMATCH(A2341,"".*@simon.pt$""),REGEXMATCH(A2341,"".*@simonelectrica.com$""),REGEXMATCH(A2341,"".*@hiberus.com$""),REGEXMATCH(A2341,"".*@simonbrico.es$""),regexmatch(A2341,"".*@simonelectric.com$"")),""null"",A2"&amp;"341)"),"1925@elecnor.com")</f>
        <v>1925@elecnor.com</v>
      </c>
      <c r="C2341" s="5">
        <f>IF(B2341="null","null",Descargas!B2341)</f>
        <v>43945</v>
      </c>
      <c r="D2341" s="6" t="str">
        <f>Descargas!E2341</f>
        <v>https://resources.simonelectric.com/simon-material-formativo-vehiculo-electrico</v>
      </c>
      <c r="E2341" s="20" t="str">
        <f t="shared" si="1"/>
        <v>1925@elecnor.com</v>
      </c>
      <c r="F2341" s="21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</row>
    <row r="2342" ht="15.75" customHeight="1">
      <c r="A2342" s="18" t="str">
        <f>Descargas!A2342</f>
        <v>1926@elecam.com</v>
      </c>
      <c r="B2342" s="19" t="str">
        <f>IFERROR(__xludf.DUMMYFUNCTION("IF(OR(regexmatch(A2342,"".*@simon.es$""),REGEXMATCH(A2342,"".*@simon.pt$""),REGEXMATCH(A2342,"".*@simonelectrica.com$""),REGEXMATCH(A2342,"".*@hiberus.com$""),REGEXMATCH(A2342,"".*@simonbrico.es$""),regexmatch(A2342,"".*@simonelectric.com$"")),""null"",A2"&amp;"342)"),"1926@elecam.com")</f>
        <v>1926@elecam.com</v>
      </c>
      <c r="C2342" s="5">
        <f>IF(B2342="null","null",Descargas!B2342)</f>
        <v>43945</v>
      </c>
      <c r="D2342" s="6" t="str">
        <f>Descargas!E2342</f>
        <v>https://resources.simonelectric.com/simon-material-formativo-vehiculo-electrico</v>
      </c>
      <c r="E2342" s="20" t="str">
        <f t="shared" si="1"/>
        <v>1926@elecam.com</v>
      </c>
      <c r="F2342" s="21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</row>
    <row r="2343" ht="15.75" customHeight="1">
      <c r="A2343" s="18" t="str">
        <f>Descargas!A2343</f>
        <v>701@gmail.com</v>
      </c>
      <c r="B2343" s="19" t="str">
        <f>IFERROR(__xludf.DUMMYFUNCTION("IF(OR(regexmatch(A2343,"".*@simon.es$""),REGEXMATCH(A2343,"".*@simon.pt$""),REGEXMATCH(A2343,"".*@simonelectrica.com$""),REGEXMATCH(A2343,"".*@hiberus.com$""),REGEXMATCH(A2343,"".*@simonbrico.es$""),regexmatch(A2343,"".*@simonelectric.com$"")),""null"",A2"&amp;"343)"),"701@gmail.com")</f>
        <v>701@gmail.com</v>
      </c>
      <c r="C2343" s="5">
        <f>IF(B2343="null","null",Descargas!B2343)</f>
        <v>43945</v>
      </c>
      <c r="D2343" s="6" t="str">
        <f>Descargas!E2343</f>
        <v>https://resources.simonelectric.com/simon-material-formativo-vehiculo-electrico</v>
      </c>
      <c r="E2343" s="20" t="str">
        <f t="shared" si="1"/>
        <v>701@gmail.com</v>
      </c>
      <c r="F2343" s="21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</row>
    <row r="2344" ht="15.75" customHeight="1">
      <c r="A2344" s="18" t="str">
        <f>Descargas!A2344</f>
        <v>1031@grupoitesa.com</v>
      </c>
      <c r="B2344" s="19" t="str">
        <f>IFERROR(__xludf.DUMMYFUNCTION("IF(OR(regexmatch(A2344,"".*@simon.es$""),REGEXMATCH(A2344,"".*@simon.pt$""),REGEXMATCH(A2344,"".*@simonelectrica.com$""),REGEXMATCH(A2344,"".*@hiberus.com$""),REGEXMATCH(A2344,"".*@simonbrico.es$""),regexmatch(A2344,"".*@simonelectric.com$"")),""null"",A2"&amp;"344)"),"1031@grupoitesa.com")</f>
        <v>1031@grupoitesa.com</v>
      </c>
      <c r="C2344" s="5">
        <f>IF(B2344="null","null",Descargas!B2344)</f>
        <v>43945</v>
      </c>
      <c r="D2344" s="6" t="str">
        <f>Descargas!E2344</f>
        <v>https://resources.simonelectric.com/simon-ebook-vehiculo-electrico</v>
      </c>
      <c r="E2344" s="20" t="str">
        <f t="shared" si="1"/>
        <v>1031@grupoitesa.com</v>
      </c>
      <c r="F2344" s="21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</row>
    <row r="2345" ht="15.75" customHeight="1">
      <c r="A2345" s="18" t="str">
        <f>Descargas!A2345</f>
        <v>1927@anbatel.com</v>
      </c>
      <c r="B2345" s="19" t="str">
        <f>IFERROR(__xludf.DUMMYFUNCTION("IF(OR(regexmatch(A2345,"".*@simon.es$""),REGEXMATCH(A2345,"".*@simon.pt$""),REGEXMATCH(A2345,"".*@simonelectrica.com$""),REGEXMATCH(A2345,"".*@hiberus.com$""),REGEXMATCH(A2345,"".*@simonbrico.es$""),regexmatch(A2345,"".*@simonelectric.com$"")),""null"",A2"&amp;"345)"),"1927@anbatel.com")</f>
        <v>1927@anbatel.com</v>
      </c>
      <c r="C2345" s="5">
        <f>IF(B2345="null","null",Descargas!B2345)</f>
        <v>43945</v>
      </c>
      <c r="D2345" s="6" t="str">
        <f>Descargas!E2345</f>
        <v>https://resources.simonelectric.com/simon-ebook-vehiculo-electrico</v>
      </c>
      <c r="E2345" s="20" t="str">
        <f t="shared" si="1"/>
        <v>1927@anbatel.com</v>
      </c>
      <c r="F2345" s="21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</row>
    <row r="2346" ht="15.75" customHeight="1">
      <c r="A2346" s="18" t="str">
        <f>Descargas!A2346</f>
        <v>1928@gmail.com</v>
      </c>
      <c r="B2346" s="19" t="str">
        <f>IFERROR(__xludf.DUMMYFUNCTION("IF(OR(regexmatch(A2346,"".*@simon.es$""),REGEXMATCH(A2346,"".*@simon.pt$""),REGEXMATCH(A2346,"".*@simonelectrica.com$""),REGEXMATCH(A2346,"".*@hiberus.com$""),REGEXMATCH(A2346,"".*@simonbrico.es$""),regexmatch(A2346,"".*@simonelectric.com$"")),""null"",A2"&amp;"346)"),"1928@gmail.com")</f>
        <v>1928@gmail.com</v>
      </c>
      <c r="C2346" s="5">
        <f>IF(B2346="null","null",Descargas!B2346)</f>
        <v>43945</v>
      </c>
      <c r="D2346" s="6" t="str">
        <f>Descargas!E2346</f>
        <v>https://resources.simonelectric.com/simon-ebook-vehiculo-electrico-ppc</v>
      </c>
      <c r="E2346" s="20" t="str">
        <f t="shared" si="1"/>
        <v>1928@gmail.com</v>
      </c>
      <c r="F2346" s="21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</row>
    <row r="2347" ht="15.75" customHeight="1">
      <c r="A2347" s="18" t="str">
        <f>Descargas!A2347</f>
        <v>1929@hotmail.com</v>
      </c>
      <c r="B2347" s="19" t="str">
        <f>IFERROR(__xludf.DUMMYFUNCTION("IF(OR(regexmatch(A2347,"".*@simon.es$""),REGEXMATCH(A2347,"".*@simon.pt$""),REGEXMATCH(A2347,"".*@simonelectrica.com$""),REGEXMATCH(A2347,"".*@hiberus.com$""),REGEXMATCH(A2347,"".*@simonbrico.es$""),regexmatch(A2347,"".*@simonelectric.com$"")),""null"",A2"&amp;"347)"),"1929@hotmail.com")</f>
        <v>1929@hotmail.com</v>
      </c>
      <c r="C2347" s="5">
        <f>IF(B2347="null","null",Descargas!B2347)</f>
        <v>43945</v>
      </c>
      <c r="D2347" s="6" t="str">
        <f>Descargas!E2347</f>
        <v>https://resources.simonelectric.com/simon-ebook-vehiculo-electrico-ppc</v>
      </c>
      <c r="E2347" s="20" t="str">
        <f t="shared" si="1"/>
        <v>1929@hotmail.com</v>
      </c>
      <c r="F2347" s="21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</row>
    <row r="2348" ht="15.75" customHeight="1">
      <c r="A2348" s="18" t="str">
        <f>Descargas!A2348</f>
        <v>1930@gmail.com</v>
      </c>
      <c r="B2348" s="19" t="str">
        <f>IFERROR(__xludf.DUMMYFUNCTION("IF(OR(regexmatch(A2348,"".*@simon.es$""),REGEXMATCH(A2348,"".*@simon.pt$""),REGEXMATCH(A2348,"".*@simonelectrica.com$""),REGEXMATCH(A2348,"".*@hiberus.com$""),REGEXMATCH(A2348,"".*@simonbrico.es$""),regexmatch(A2348,"".*@simonelectric.com$"")),""null"",A2"&amp;"348)"),"1930@gmail.com")</f>
        <v>1930@gmail.com</v>
      </c>
      <c r="C2348" s="5">
        <f>IF(B2348="null","null",Descargas!B2348)</f>
        <v>43944</v>
      </c>
      <c r="D2348" s="6" t="str">
        <f>Descargas!E2348</f>
        <v>https://resources.simonelectric.com/simon-material-formativo-vehiculo-electrico</v>
      </c>
      <c r="E2348" s="20" t="str">
        <f t="shared" si="1"/>
        <v>1930@gmail.com</v>
      </c>
      <c r="F2348" s="21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</row>
    <row r="2349" ht="15.75" customHeight="1">
      <c r="A2349" s="18" t="str">
        <f>Descargas!A2349</f>
        <v>1931@gmail.com</v>
      </c>
      <c r="B2349" s="19" t="str">
        <f>IFERROR(__xludf.DUMMYFUNCTION("IF(OR(regexmatch(A2349,"".*@simon.es$""),REGEXMATCH(A2349,"".*@simon.pt$""),REGEXMATCH(A2349,"".*@simonelectrica.com$""),REGEXMATCH(A2349,"".*@hiberus.com$""),REGEXMATCH(A2349,"".*@simonbrico.es$""),regexmatch(A2349,"".*@simonelectric.com$"")),""null"",A2"&amp;"349)"),"1931@gmail.com")</f>
        <v>1931@gmail.com</v>
      </c>
      <c r="C2349" s="5">
        <f>IF(B2349="null","null",Descargas!B2349)</f>
        <v>43944</v>
      </c>
      <c r="D2349" s="6" t="str">
        <f>Descargas!E2349</f>
        <v>https://resources.simonelectric.com/simon-catalogo-vehiculo-electrico</v>
      </c>
      <c r="E2349" s="20" t="str">
        <f t="shared" si="1"/>
        <v>1931@gmail.com</v>
      </c>
      <c r="F2349" s="21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</row>
    <row r="2350" ht="15.75" customHeight="1">
      <c r="A2350" s="18" t="str">
        <f>Descargas!A2350</f>
        <v>1882@gmail.com</v>
      </c>
      <c r="B2350" s="19" t="str">
        <f>IFERROR(__xludf.DUMMYFUNCTION("IF(OR(regexmatch(A2350,"".*@simon.es$""),REGEXMATCH(A2350,"".*@simon.pt$""),REGEXMATCH(A2350,"".*@simonelectrica.com$""),REGEXMATCH(A2350,"".*@hiberus.com$""),REGEXMATCH(A2350,"".*@simonbrico.es$""),regexmatch(A2350,"".*@simonelectric.com$"")),""null"",A2"&amp;"350)"),"1882@gmail.com")</f>
        <v>1882@gmail.com</v>
      </c>
      <c r="C2350" s="5">
        <f>IF(B2350="null","null",Descargas!B2350)</f>
        <v>43944</v>
      </c>
      <c r="D2350" s="6" t="str">
        <f>Descargas!E2350</f>
        <v>https://resources.simonelectric.com/simon-material-formativo-vehiculo-electrico</v>
      </c>
      <c r="E2350" s="20" t="str">
        <f t="shared" si="1"/>
        <v>1882@gmail.com</v>
      </c>
      <c r="F2350" s="21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</row>
    <row r="2351" ht="15.75" customHeight="1">
      <c r="A2351" s="18" t="str">
        <f>Descargas!A2351</f>
        <v>1931@gmail.com</v>
      </c>
      <c r="B2351" s="19" t="str">
        <f>IFERROR(__xludf.DUMMYFUNCTION("IF(OR(regexmatch(A2351,"".*@simon.es$""),REGEXMATCH(A2351,"".*@simon.pt$""),REGEXMATCH(A2351,"".*@simonelectrica.com$""),REGEXMATCH(A2351,"".*@hiberus.com$""),REGEXMATCH(A2351,"".*@simonbrico.es$""),regexmatch(A2351,"".*@simonelectric.com$"")),""null"",A2"&amp;"351)"),"1931@gmail.com")</f>
        <v>1931@gmail.com</v>
      </c>
      <c r="C2351" s="5">
        <f>IF(B2351="null","null",Descargas!B2351)</f>
        <v>43944</v>
      </c>
      <c r="D2351" s="6" t="str">
        <f>Descargas!E2351</f>
        <v>https://resources.simonelectric.com/simon-ebook-vehiculo-electrico</v>
      </c>
      <c r="E2351" s="20" t="str">
        <f t="shared" si="1"/>
        <v>1931@gmail.com</v>
      </c>
      <c r="F2351" s="21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</row>
    <row r="2352" ht="15.75" customHeight="1">
      <c r="A2352" s="18" t="str">
        <f>Descargas!A2352</f>
        <v>1932@cotelsa.com</v>
      </c>
      <c r="B2352" s="19" t="str">
        <f>IFERROR(__xludf.DUMMYFUNCTION("IF(OR(regexmatch(A2352,"".*@simon.es$""),REGEXMATCH(A2352,"".*@simon.pt$""),REGEXMATCH(A2352,"".*@simonelectrica.com$""),REGEXMATCH(A2352,"".*@hiberus.com$""),REGEXMATCH(A2352,"".*@simonbrico.es$""),regexmatch(A2352,"".*@simonelectric.com$"")),""null"",A2"&amp;"352)"),"1932@cotelsa.com")</f>
        <v>1932@cotelsa.com</v>
      </c>
      <c r="C2352" s="5">
        <f>IF(B2352="null","null",Descargas!B2352)</f>
        <v>43944</v>
      </c>
      <c r="D2352" s="6" t="str">
        <f>Descargas!E2352</f>
        <v>https://resources.simonelectric.com/simon-material-formativo-vehiculo-electrico</v>
      </c>
      <c r="E2352" s="20" t="str">
        <f t="shared" si="1"/>
        <v>1932@cotelsa.com</v>
      </c>
      <c r="F2352" s="21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</row>
    <row r="2353" ht="15.75" customHeight="1">
      <c r="A2353" s="18" t="str">
        <f>Descargas!A2353</f>
        <v>1487@gmail.com</v>
      </c>
      <c r="B2353" s="19" t="str">
        <f>IFERROR(__xludf.DUMMYFUNCTION("IF(OR(regexmatch(A2353,"".*@simon.es$""),REGEXMATCH(A2353,"".*@simon.pt$""),REGEXMATCH(A2353,"".*@simonelectrica.com$""),REGEXMATCH(A2353,"".*@hiberus.com$""),REGEXMATCH(A2353,"".*@simonbrico.es$""),regexmatch(A2353,"".*@simonelectric.com$"")),""null"",A2"&amp;"353)"),"1487@gmail.com")</f>
        <v>1487@gmail.com</v>
      </c>
      <c r="C2353" s="5">
        <f>IF(B2353="null","null",Descargas!B2353)</f>
        <v>43944</v>
      </c>
      <c r="D2353" s="6" t="str">
        <f>Descargas!E2353</f>
        <v>https://resources.simonelectric.com/simon-material-formativo-vehiculo-electrico</v>
      </c>
      <c r="E2353" s="20" t="str">
        <f t="shared" si="1"/>
        <v>1487@gmail.com</v>
      </c>
      <c r="F2353" s="21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</row>
    <row r="2354" ht="15.75" customHeight="1">
      <c r="A2354" s="18" t="str">
        <f>Descargas!A2354</f>
        <v>1880@dipta.cat</v>
      </c>
      <c r="B2354" s="19" t="str">
        <f>IFERROR(__xludf.DUMMYFUNCTION("IF(OR(regexmatch(A2354,"".*@simon.es$""),REGEXMATCH(A2354,"".*@simon.pt$""),REGEXMATCH(A2354,"".*@simonelectrica.com$""),REGEXMATCH(A2354,"".*@hiberus.com$""),REGEXMATCH(A2354,"".*@simonbrico.es$""),regexmatch(A2354,"".*@simonelectric.com$"")),""null"",A2"&amp;"354)"),"1880@dipta.cat")</f>
        <v>1880@dipta.cat</v>
      </c>
      <c r="C2354" s="5">
        <f>IF(B2354="null","null",Descargas!B2354)</f>
        <v>43944</v>
      </c>
      <c r="D2354" s="6" t="str">
        <f>Descargas!E2354</f>
        <v>https://resources.simonelectric.com/simon-material-formativo-vehiculo-electrico</v>
      </c>
      <c r="E2354" s="20" t="str">
        <f t="shared" si="1"/>
        <v>1880@dipta.cat</v>
      </c>
      <c r="F2354" s="21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</row>
    <row r="2355" ht="15.75" customHeight="1">
      <c r="A2355" s="18" t="str">
        <f>Descargas!A2355</f>
        <v>1933@lujama.com</v>
      </c>
      <c r="B2355" s="19" t="str">
        <f>IFERROR(__xludf.DUMMYFUNCTION("IF(OR(regexmatch(A2355,"".*@simon.es$""),REGEXMATCH(A2355,"".*@simon.pt$""),REGEXMATCH(A2355,"".*@simonelectrica.com$""),REGEXMATCH(A2355,"".*@hiberus.com$""),REGEXMATCH(A2355,"".*@simonbrico.es$""),regexmatch(A2355,"".*@simonelectric.com$"")),""null"",A2"&amp;"355)"),"1933@lujama.com")</f>
        <v>1933@lujama.com</v>
      </c>
      <c r="C2355" s="5">
        <f>IF(B2355="null","null",Descargas!B2355)</f>
        <v>43944</v>
      </c>
      <c r="D2355" s="6" t="str">
        <f>Descargas!E2355</f>
        <v>https://resources.simonelectric.com/simon-material-formativo-vehiculo-electrico</v>
      </c>
      <c r="E2355" s="20" t="str">
        <f t="shared" si="1"/>
        <v>1933@lujama.com</v>
      </c>
      <c r="F2355" s="21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</row>
    <row r="2356" ht="15.75" customHeight="1">
      <c r="A2356" s="18" t="str">
        <f>Descargas!A2356</f>
        <v>1934@ferrovial.com</v>
      </c>
      <c r="B2356" s="19" t="str">
        <f>IFERROR(__xludf.DUMMYFUNCTION("IF(OR(regexmatch(A2356,"".*@simon.es$""),REGEXMATCH(A2356,"".*@simon.pt$""),REGEXMATCH(A2356,"".*@simonelectrica.com$""),REGEXMATCH(A2356,"".*@hiberus.com$""),REGEXMATCH(A2356,"".*@simonbrico.es$""),regexmatch(A2356,"".*@simonelectric.com$"")),""null"",A2"&amp;"356)"),"1934@ferrovial.com")</f>
        <v>1934@ferrovial.com</v>
      </c>
      <c r="C2356" s="5">
        <f>IF(B2356="null","null",Descargas!B2356)</f>
        <v>43944</v>
      </c>
      <c r="D2356" s="6" t="str">
        <f>Descargas!E2356</f>
        <v>https://resources.simonelectric.com/simon-material-formativo-vehiculo-electrico</v>
      </c>
      <c r="E2356" s="20" t="str">
        <f t="shared" si="1"/>
        <v>1934@ferrovial.com</v>
      </c>
      <c r="F2356" s="21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</row>
    <row r="2357" ht="15.75" customHeight="1">
      <c r="A2357" s="18" t="str">
        <f>Descargas!A2357</f>
        <v>1935@telefonica.net</v>
      </c>
      <c r="B2357" s="19" t="str">
        <f>IFERROR(__xludf.DUMMYFUNCTION("IF(OR(regexmatch(A2357,"".*@simon.es$""),REGEXMATCH(A2357,"".*@simon.pt$""),REGEXMATCH(A2357,"".*@simonelectrica.com$""),REGEXMATCH(A2357,"".*@hiberus.com$""),REGEXMATCH(A2357,"".*@simonbrico.es$""),regexmatch(A2357,"".*@simonelectric.com$"")),""null"",A2"&amp;"357)"),"1935@telefonica.net")</f>
        <v>1935@telefonica.net</v>
      </c>
      <c r="C2357" s="5">
        <f>IF(B2357="null","null",Descargas!B2357)</f>
        <v>43944</v>
      </c>
      <c r="D2357" s="6" t="str">
        <f>Descargas!E2357</f>
        <v>https://resources.simonelectric.com/simon-material-formativo-vehiculo-electrico</v>
      </c>
      <c r="E2357" s="20" t="str">
        <f t="shared" si="1"/>
        <v>1935@telefonica.net</v>
      </c>
      <c r="F2357" s="21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</row>
    <row r="2358" ht="15.75" customHeight="1">
      <c r="A2358" s="18" t="str">
        <f>Descargas!A2358</f>
        <v>1936@e2enginyeria.com</v>
      </c>
      <c r="B2358" s="19" t="str">
        <f>IFERROR(__xludf.DUMMYFUNCTION("IF(OR(regexmatch(A2358,"".*@simon.es$""),REGEXMATCH(A2358,"".*@simon.pt$""),REGEXMATCH(A2358,"".*@simonelectrica.com$""),REGEXMATCH(A2358,"".*@hiberus.com$""),REGEXMATCH(A2358,"".*@simonbrico.es$""),regexmatch(A2358,"".*@simonelectric.com$"")),""null"",A2"&amp;"358)"),"1936@e2enginyeria.com")</f>
        <v>1936@e2enginyeria.com</v>
      </c>
      <c r="C2358" s="5">
        <f>IF(B2358="null","null",Descargas!B2358)</f>
        <v>43944</v>
      </c>
      <c r="D2358" s="6" t="str">
        <f>Descargas!E2358</f>
        <v>https://resources.simonelectric.com/simon-material-formativo-vehiculo-electrico</v>
      </c>
      <c r="E2358" s="20" t="str">
        <f t="shared" si="1"/>
        <v>1936@e2enginyeria.com</v>
      </c>
      <c r="F2358" s="21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</row>
    <row r="2359" ht="15.75" customHeight="1">
      <c r="A2359" s="18" t="str">
        <f>Descargas!A2359</f>
        <v>1937@gmail.com</v>
      </c>
      <c r="B2359" s="19" t="str">
        <f>IFERROR(__xludf.DUMMYFUNCTION("IF(OR(regexmatch(A2359,"".*@simon.es$""),REGEXMATCH(A2359,"".*@simon.pt$""),REGEXMATCH(A2359,"".*@simonelectrica.com$""),REGEXMATCH(A2359,"".*@hiberus.com$""),REGEXMATCH(A2359,"".*@simonbrico.es$""),regexmatch(A2359,"".*@simonelectric.com$"")),""null"",A2"&amp;"359)"),"1937@gmail.com")</f>
        <v>1937@gmail.com</v>
      </c>
      <c r="C2359" s="5">
        <f>IF(B2359="null","null",Descargas!B2359)</f>
        <v>43944</v>
      </c>
      <c r="D2359" s="6" t="str">
        <f>Descargas!E2359</f>
        <v>https://resources.simonelectric.com/simon-material-formativo-vehiculo-electrico</v>
      </c>
      <c r="E2359" s="20" t="str">
        <f t="shared" si="1"/>
        <v>1937@gmail.com</v>
      </c>
      <c r="F2359" s="21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</row>
    <row r="2360" ht="15.75" customHeight="1">
      <c r="A2360" s="18" t="str">
        <f>Descargas!A2360</f>
        <v>1938@gmail.com</v>
      </c>
      <c r="B2360" s="19" t="str">
        <f>IFERROR(__xludf.DUMMYFUNCTION("IF(OR(regexmatch(A2360,"".*@simon.es$""),REGEXMATCH(A2360,"".*@simon.pt$""),REGEXMATCH(A2360,"".*@simonelectrica.com$""),REGEXMATCH(A2360,"".*@hiberus.com$""),REGEXMATCH(A2360,"".*@simonbrico.es$""),regexmatch(A2360,"".*@simonelectric.com$"")),""null"",A2"&amp;"360)"),"1938@gmail.com")</f>
        <v>1938@gmail.com</v>
      </c>
      <c r="C2360" s="5">
        <f>IF(B2360="null","null",Descargas!B2360)</f>
        <v>43944</v>
      </c>
      <c r="D2360" s="6" t="str">
        <f>Descargas!E2360</f>
        <v>https://resources.simonelectric.com/simon-material-formativo-vehiculo-electrico</v>
      </c>
      <c r="E2360" s="20" t="str">
        <f t="shared" si="1"/>
        <v>1938@gmail.com</v>
      </c>
      <c r="F2360" s="21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</row>
    <row r="2361" ht="15.75" customHeight="1">
      <c r="A2361" s="18" t="str">
        <f>Descargas!A2361</f>
        <v>398@ciudaddelosmuchachos.com</v>
      </c>
      <c r="B2361" s="19" t="str">
        <f>IFERROR(__xludf.DUMMYFUNCTION("IF(OR(regexmatch(A2361,"".*@simon.es$""),REGEXMATCH(A2361,"".*@simon.pt$""),REGEXMATCH(A2361,"".*@simonelectrica.com$""),REGEXMATCH(A2361,"".*@hiberus.com$""),REGEXMATCH(A2361,"".*@simonbrico.es$""),regexmatch(A2361,"".*@simonelectric.com$"")),""null"",A2"&amp;"361)"),"398@ciudaddelosmuchachos.com")</f>
        <v>398@ciudaddelosmuchachos.com</v>
      </c>
      <c r="C2361" s="5">
        <f>IF(B2361="null","null",Descargas!B2361)</f>
        <v>43944</v>
      </c>
      <c r="D2361" s="6" t="str">
        <f>Descargas!E2361</f>
        <v>https://resources.simonelectric.com/simon-material-formativo-vehiculo-electrico</v>
      </c>
      <c r="E2361" s="20" t="str">
        <f t="shared" si="1"/>
        <v>398@ciudaddelosmuchachos.com</v>
      </c>
      <c r="F2361" s="21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</row>
    <row r="2362" ht="15.75" customHeight="1">
      <c r="A2362" s="18" t="str">
        <f>Descargas!A2362</f>
        <v>1939@simon.es</v>
      </c>
      <c r="B2362" s="19" t="str">
        <f>IFERROR(__xludf.DUMMYFUNCTION("IF(OR(regexmatch(A2362,"".*@simon.es$""),REGEXMATCH(A2362,"".*@simon.pt$""),REGEXMATCH(A2362,"".*@simonelectrica.com$""),REGEXMATCH(A2362,"".*@hiberus.com$""),REGEXMATCH(A2362,"".*@simonbrico.es$""),regexmatch(A2362,"".*@simonelectric.com$"")),""null"",A2"&amp;"362)"),"null")</f>
        <v>null</v>
      </c>
      <c r="C2362" s="5" t="str">
        <f>IF(B2362="null","null",Descargas!B2362)</f>
        <v>null</v>
      </c>
      <c r="D2362" s="6" t="str">
        <f>Descargas!E2362</f>
        <v>https://resources.simonelectric.com/simon-material-formativo-vehiculo-electrico</v>
      </c>
      <c r="E2362" s="24" t="str">
        <f t="shared" si="1"/>
        <v/>
      </c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</row>
    <row r="2363" ht="15.75" customHeight="1">
      <c r="A2363" s="18" t="str">
        <f>Descargas!A2363</f>
        <v>1675@exinor.com</v>
      </c>
      <c r="B2363" s="19" t="str">
        <f>IFERROR(__xludf.DUMMYFUNCTION("IF(OR(regexmatch(A2363,"".*@simon.es$""),REGEXMATCH(A2363,"".*@simon.pt$""),REGEXMATCH(A2363,"".*@simonelectrica.com$""),REGEXMATCH(A2363,"".*@hiberus.com$""),REGEXMATCH(A2363,"".*@simonbrico.es$""),regexmatch(A2363,"".*@simonelectric.com$"")),""null"",A2"&amp;"363)"),"1675@exinor.com")</f>
        <v>1675@exinor.com</v>
      </c>
      <c r="C2363" s="5">
        <f>IF(B2363="null","null",Descargas!B2363)</f>
        <v>43944</v>
      </c>
      <c r="D2363" s="6" t="str">
        <f>Descargas!E2363</f>
        <v>https://resources.simonelectric.com/simon-material-formativo-vehiculo-electrico</v>
      </c>
      <c r="E2363" s="20" t="str">
        <f t="shared" si="1"/>
        <v>1675@exinor.com</v>
      </c>
      <c r="F2363" s="21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</row>
    <row r="2364" ht="15.75" customHeight="1">
      <c r="A2364" s="18" t="str">
        <f>Descargas!A2364</f>
        <v>1940@electromercantil.es</v>
      </c>
      <c r="B2364" s="19" t="str">
        <f>IFERROR(__xludf.DUMMYFUNCTION("IF(OR(regexmatch(A2364,"".*@simon.es$""),REGEXMATCH(A2364,"".*@simon.pt$""),REGEXMATCH(A2364,"".*@simonelectrica.com$""),REGEXMATCH(A2364,"".*@hiberus.com$""),REGEXMATCH(A2364,"".*@simonbrico.es$""),regexmatch(A2364,"".*@simonelectric.com$"")),""null"",A2"&amp;"364)"),"1940@electromercantil.es")</f>
        <v>1940@electromercantil.es</v>
      </c>
      <c r="C2364" s="5">
        <f>IF(B2364="null","null",Descargas!B2364)</f>
        <v>43944</v>
      </c>
      <c r="D2364" s="6" t="str">
        <f>Descargas!E2364</f>
        <v>https://resources.simonelectric.com/simon-material-formativo-vehiculo-electrico</v>
      </c>
      <c r="E2364" s="20" t="str">
        <f t="shared" si="1"/>
        <v>1940@electromercantil.es</v>
      </c>
      <c r="F2364" s="21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</row>
    <row r="2365" ht="15.75" customHeight="1">
      <c r="A2365" s="18" t="str">
        <f>Descargas!A2365</f>
        <v>1941@hotmail.com</v>
      </c>
      <c r="B2365" s="19" t="str">
        <f>IFERROR(__xludf.DUMMYFUNCTION("IF(OR(regexmatch(A2365,"".*@simon.es$""),REGEXMATCH(A2365,"".*@simon.pt$""),REGEXMATCH(A2365,"".*@simonelectrica.com$""),REGEXMATCH(A2365,"".*@hiberus.com$""),REGEXMATCH(A2365,"".*@simonbrico.es$""),regexmatch(A2365,"".*@simonelectric.com$"")),""null"",A2"&amp;"365)"),"1941@hotmail.com")</f>
        <v>1941@hotmail.com</v>
      </c>
      <c r="C2365" s="5">
        <f>IF(B2365="null","null",Descargas!B2365)</f>
        <v>43944</v>
      </c>
      <c r="D2365" s="6" t="str">
        <f>Descargas!E2365</f>
        <v>https://resources.simonelectric.com/simon-material-formativo-vehiculo-electrico</v>
      </c>
      <c r="E2365" s="20" t="str">
        <f t="shared" si="1"/>
        <v>1941@hotmail.com</v>
      </c>
      <c r="F2365" s="21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</row>
    <row r="2366" ht="15.75" customHeight="1">
      <c r="A2366" s="18" t="str">
        <f>Descargas!A2366</f>
        <v>1604@geinstal.com</v>
      </c>
      <c r="B2366" s="19" t="str">
        <f>IFERROR(__xludf.DUMMYFUNCTION("IF(OR(regexmatch(A2366,"".*@simon.es$""),REGEXMATCH(A2366,"".*@simon.pt$""),REGEXMATCH(A2366,"".*@simonelectrica.com$""),REGEXMATCH(A2366,"".*@hiberus.com$""),REGEXMATCH(A2366,"".*@simonbrico.es$""),regexmatch(A2366,"".*@simonelectric.com$"")),""null"",A2"&amp;"366)"),"1604@geinstal.com")</f>
        <v>1604@geinstal.com</v>
      </c>
      <c r="C2366" s="5">
        <f>IF(B2366="null","null",Descargas!B2366)</f>
        <v>43944</v>
      </c>
      <c r="D2366" s="6" t="str">
        <f>Descargas!E2366</f>
        <v>https://resources.simonelectric.com/simon-material-formativo-vehiculo-electrico</v>
      </c>
      <c r="E2366" s="20" t="str">
        <f t="shared" si="1"/>
        <v>1604@geinstal.com</v>
      </c>
      <c r="F2366" s="21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</row>
    <row r="2367" ht="15.75" customHeight="1">
      <c r="A2367" s="18" t="str">
        <f>Descargas!A2367</f>
        <v>1228@entax.es</v>
      </c>
      <c r="B2367" s="19" t="str">
        <f>IFERROR(__xludf.DUMMYFUNCTION("IF(OR(regexmatch(A2367,"".*@simon.es$""),REGEXMATCH(A2367,"".*@simon.pt$""),REGEXMATCH(A2367,"".*@simonelectrica.com$""),REGEXMATCH(A2367,"".*@hiberus.com$""),REGEXMATCH(A2367,"".*@simonbrico.es$""),regexmatch(A2367,"".*@simonelectric.com$"")),""null"",A2"&amp;"367)"),"1228@entax.es")</f>
        <v>1228@entax.es</v>
      </c>
      <c r="C2367" s="5">
        <f>IF(B2367="null","null",Descargas!B2367)</f>
        <v>43944</v>
      </c>
      <c r="D2367" s="6" t="str">
        <f>Descargas!E2367</f>
        <v>https://resources.simonelectric.com/simon-ebook-vehiculo-electrico</v>
      </c>
      <c r="E2367" s="20" t="str">
        <f t="shared" si="1"/>
        <v>1228@entax.es</v>
      </c>
      <c r="F2367" s="21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</row>
    <row r="2368" ht="15.75" customHeight="1">
      <c r="A2368" s="18" t="str">
        <f>Descargas!A2368</f>
        <v>1942@ciudaddelosmuchachos.com</v>
      </c>
      <c r="B2368" s="19" t="str">
        <f>IFERROR(__xludf.DUMMYFUNCTION("IF(OR(regexmatch(A2368,"".*@simon.es$""),REGEXMATCH(A2368,"".*@simon.pt$""),REGEXMATCH(A2368,"".*@simonelectrica.com$""),REGEXMATCH(A2368,"".*@hiberus.com$""),REGEXMATCH(A2368,"".*@simonbrico.es$""),regexmatch(A2368,"".*@simonelectric.com$"")),""null"",A2"&amp;"368)"),"1942@ciudaddelosmuchachos.com")</f>
        <v>1942@ciudaddelosmuchachos.com</v>
      </c>
      <c r="C2368" s="5">
        <f>IF(B2368="null","null",Descargas!B2368)</f>
        <v>43944</v>
      </c>
      <c r="D2368" s="6" t="str">
        <f>Descargas!E2368</f>
        <v>https://resources.simonelectric.com/simon-material-formativo-vehiculo-electrico</v>
      </c>
      <c r="E2368" s="20" t="str">
        <f t="shared" si="1"/>
        <v>1942@ciudaddelosmuchachos.com</v>
      </c>
      <c r="F2368" s="21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</row>
    <row r="2369" ht="15.75" customHeight="1">
      <c r="A2369" s="18" t="str">
        <f>Descargas!A2369</f>
        <v>1943@gmail.com</v>
      </c>
      <c r="B2369" s="19" t="str">
        <f>IFERROR(__xludf.DUMMYFUNCTION("IF(OR(regexmatch(A2369,"".*@simon.es$""),REGEXMATCH(A2369,"".*@simon.pt$""),REGEXMATCH(A2369,"".*@simonelectrica.com$""),REGEXMATCH(A2369,"".*@hiberus.com$""),REGEXMATCH(A2369,"".*@simonbrico.es$""),regexmatch(A2369,"".*@simonelectric.com$"")),""null"",A2"&amp;"369)"),"1943@gmail.com")</f>
        <v>1943@gmail.com</v>
      </c>
      <c r="C2369" s="5">
        <f>IF(B2369="null","null",Descargas!B2369)</f>
        <v>43944</v>
      </c>
      <c r="D2369" s="6" t="str">
        <f>Descargas!E2369</f>
        <v>https://resources.simonelectric.com/simon-ebook-vehiculo-electrico</v>
      </c>
      <c r="E2369" s="20" t="str">
        <f t="shared" si="1"/>
        <v>1943@gmail.com</v>
      </c>
      <c r="F2369" s="21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</row>
    <row r="2370" ht="15.75" customHeight="1">
      <c r="A2370" s="18" t="str">
        <f>Descargas!A2370</f>
        <v>1944@didacticaformacion.es</v>
      </c>
      <c r="B2370" s="19" t="str">
        <f>IFERROR(__xludf.DUMMYFUNCTION("IF(OR(regexmatch(A2370,"".*@simon.es$""),REGEXMATCH(A2370,"".*@simon.pt$""),REGEXMATCH(A2370,"".*@simonelectrica.com$""),REGEXMATCH(A2370,"".*@hiberus.com$""),REGEXMATCH(A2370,"".*@simonbrico.es$""),regexmatch(A2370,"".*@simonelectric.com$"")),""null"",A2"&amp;"370)"),"1944@didacticaformacion.es")</f>
        <v>1944@didacticaformacion.es</v>
      </c>
      <c r="C2370" s="5">
        <f>IF(B2370="null","null",Descargas!B2370)</f>
        <v>43944</v>
      </c>
      <c r="D2370" s="6" t="str">
        <f>Descargas!E2370</f>
        <v>https://resources.simonelectric.com/simon-material-formativo-vehiculo-electrico</v>
      </c>
      <c r="E2370" s="20" t="str">
        <f t="shared" si="1"/>
        <v>1944@didacticaformacion.es</v>
      </c>
      <c r="F2370" s="21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</row>
    <row r="2371" ht="15.75" customHeight="1">
      <c r="A2371" s="18" t="str">
        <f>Descargas!A2371</f>
        <v>1945@ip21ingenieria.com</v>
      </c>
      <c r="B2371" s="19" t="str">
        <f>IFERROR(__xludf.DUMMYFUNCTION("IF(OR(regexmatch(A2371,"".*@simon.es$""),REGEXMATCH(A2371,"".*@simon.pt$""),REGEXMATCH(A2371,"".*@simonelectrica.com$""),REGEXMATCH(A2371,"".*@hiberus.com$""),REGEXMATCH(A2371,"".*@simonbrico.es$""),regexmatch(A2371,"".*@simonelectric.com$"")),""null"",A2"&amp;"371)"),"1945@ip21ingenieria.com")</f>
        <v>1945@ip21ingenieria.com</v>
      </c>
      <c r="C2371" s="5">
        <f>IF(B2371="null","null",Descargas!B2371)</f>
        <v>43944</v>
      </c>
      <c r="D2371" s="6" t="str">
        <f>Descargas!E2371</f>
        <v>https://resources.simonelectric.com/simon-material-formativo-vehiculo-electrico</v>
      </c>
      <c r="E2371" s="20" t="str">
        <f t="shared" si="1"/>
        <v>1945@ip21ingenieria.com</v>
      </c>
      <c r="F2371" s="21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</row>
    <row r="2372" ht="15.75" customHeight="1">
      <c r="A2372" s="18" t="str">
        <f>Descargas!A2372</f>
        <v>1946@gmail.com</v>
      </c>
      <c r="B2372" s="19" t="str">
        <f>IFERROR(__xludf.DUMMYFUNCTION("IF(OR(regexmatch(A2372,"".*@simon.es$""),REGEXMATCH(A2372,"".*@simon.pt$""),REGEXMATCH(A2372,"".*@simonelectrica.com$""),REGEXMATCH(A2372,"".*@hiberus.com$""),REGEXMATCH(A2372,"".*@simonbrico.es$""),regexmatch(A2372,"".*@simonelectric.com$"")),""null"",A2"&amp;"372)"),"1946@gmail.com")</f>
        <v>1946@gmail.com</v>
      </c>
      <c r="C2372" s="5">
        <f>IF(B2372="null","null",Descargas!B2372)</f>
        <v>43944</v>
      </c>
      <c r="D2372" s="6" t="str">
        <f>Descargas!E2372</f>
        <v>https://resources.simonelectric.com/simon-material-formativo-vehiculo-electrico</v>
      </c>
      <c r="E2372" s="20" t="str">
        <f t="shared" si="1"/>
        <v>1946@gmail.com</v>
      </c>
      <c r="F2372" s="21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</row>
    <row r="2373" ht="15.75" customHeight="1">
      <c r="A2373" s="18" t="str">
        <f>Descargas!A2373</f>
        <v>1943@gmail.com</v>
      </c>
      <c r="B2373" s="19" t="str">
        <f>IFERROR(__xludf.DUMMYFUNCTION("IF(OR(regexmatch(A2373,"".*@simon.es$""),REGEXMATCH(A2373,"".*@simon.pt$""),REGEXMATCH(A2373,"".*@simonelectrica.com$""),REGEXMATCH(A2373,"".*@hiberus.com$""),REGEXMATCH(A2373,"".*@simonbrico.es$""),regexmatch(A2373,"".*@simonelectric.com$"")),""null"",A2"&amp;"373)"),"1943@gmail.com")</f>
        <v>1943@gmail.com</v>
      </c>
      <c r="C2373" s="5">
        <f>IF(B2373="null","null",Descargas!B2373)</f>
        <v>43944</v>
      </c>
      <c r="D2373" s="6" t="str">
        <f>Descargas!E2373</f>
        <v>https://resources.simonelectric.com/simon-material-formativo-vehiculo-electrico</v>
      </c>
      <c r="E2373" s="20" t="str">
        <f t="shared" si="1"/>
        <v>1943@gmail.com</v>
      </c>
      <c r="F2373" s="21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</row>
    <row r="2374" ht="15.75" customHeight="1">
      <c r="A2374" s="18" t="str">
        <f>Descargas!A2374</f>
        <v>1947@gmail.com</v>
      </c>
      <c r="B2374" s="19" t="str">
        <f>IFERROR(__xludf.DUMMYFUNCTION("IF(OR(regexmatch(A2374,"".*@simon.es$""),REGEXMATCH(A2374,"".*@simon.pt$""),REGEXMATCH(A2374,"".*@simonelectrica.com$""),REGEXMATCH(A2374,"".*@hiberus.com$""),REGEXMATCH(A2374,"".*@simonbrico.es$""),regexmatch(A2374,"".*@simonelectric.com$"")),""null"",A2"&amp;"374)"),"1947@gmail.com")</f>
        <v>1947@gmail.com</v>
      </c>
      <c r="C2374" s="5">
        <f>IF(B2374="null","null",Descargas!B2374)</f>
        <v>43944</v>
      </c>
      <c r="D2374" s="6" t="str">
        <f>Descargas!E2374</f>
        <v>https://resources.simonelectric.com/simon-material-formativo-vehiculo-electrico</v>
      </c>
      <c r="E2374" s="20" t="str">
        <f t="shared" si="1"/>
        <v>1947@gmail.com</v>
      </c>
      <c r="F2374" s="21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</row>
    <row r="2375" ht="15.75" customHeight="1">
      <c r="A2375" s="18" t="str">
        <f>Descargas!A2375</f>
        <v>1228@entax.es</v>
      </c>
      <c r="B2375" s="19" t="str">
        <f>IFERROR(__xludf.DUMMYFUNCTION("IF(OR(regexmatch(A2375,"".*@simon.es$""),REGEXMATCH(A2375,"".*@simon.pt$""),REGEXMATCH(A2375,"".*@simonelectrica.com$""),REGEXMATCH(A2375,"".*@hiberus.com$""),REGEXMATCH(A2375,"".*@simonbrico.es$""),regexmatch(A2375,"".*@simonelectric.com$"")),""null"",A2"&amp;"375)"),"1228@entax.es")</f>
        <v>1228@entax.es</v>
      </c>
      <c r="C2375" s="5">
        <f>IF(B2375="null","null",Descargas!B2375)</f>
        <v>43944</v>
      </c>
      <c r="D2375" s="6" t="str">
        <f>Descargas!E2375</f>
        <v>https://resources.simonelectric.com/simon-material-formativo-vehiculo-electrico</v>
      </c>
      <c r="E2375" s="20" t="str">
        <f t="shared" si="1"/>
        <v>1228@entax.es</v>
      </c>
      <c r="F2375" s="21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</row>
    <row r="2376" ht="15.75" customHeight="1">
      <c r="A2376" s="18" t="str">
        <f>Descargas!A2376</f>
        <v>1948@culmar.net</v>
      </c>
      <c r="B2376" s="19" t="str">
        <f>IFERROR(__xludf.DUMMYFUNCTION("IF(OR(regexmatch(A2376,"".*@simon.es$""),REGEXMATCH(A2376,"".*@simon.pt$""),REGEXMATCH(A2376,"".*@simonelectrica.com$""),REGEXMATCH(A2376,"".*@hiberus.com$""),REGEXMATCH(A2376,"".*@simonbrico.es$""),regexmatch(A2376,"".*@simonelectric.com$"")),""null"",A2"&amp;"376)"),"1948@culmar.net")</f>
        <v>1948@culmar.net</v>
      </c>
      <c r="C2376" s="5">
        <f>IF(B2376="null","null",Descargas!B2376)</f>
        <v>43944</v>
      </c>
      <c r="D2376" s="6" t="str">
        <f>Descargas!E2376</f>
        <v>https://resources.simonelectric.com/simon-material-formativo-vehiculo-electrico</v>
      </c>
      <c r="E2376" s="20" t="str">
        <f t="shared" si="1"/>
        <v>1948@culmar.net</v>
      </c>
      <c r="F2376" s="21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</row>
    <row r="2377" ht="15.75" customHeight="1">
      <c r="A2377" s="18" t="str">
        <f>Descargas!A2377</f>
        <v>1949@suno.cat</v>
      </c>
      <c r="B2377" s="19" t="str">
        <f>IFERROR(__xludf.DUMMYFUNCTION("IF(OR(regexmatch(A2377,"".*@simon.es$""),REGEXMATCH(A2377,"".*@simon.pt$""),REGEXMATCH(A2377,"".*@simonelectrica.com$""),REGEXMATCH(A2377,"".*@hiberus.com$""),REGEXMATCH(A2377,"".*@simonbrico.es$""),regexmatch(A2377,"".*@simonelectric.com$"")),""null"",A2"&amp;"377)"),"1949@suno.cat")</f>
        <v>1949@suno.cat</v>
      </c>
      <c r="C2377" s="5">
        <f>IF(B2377="null","null",Descargas!B2377)</f>
        <v>43944</v>
      </c>
      <c r="D2377" s="6" t="str">
        <f>Descargas!E2377</f>
        <v>https://resources.simonelectric.com/simon-material-formativo-vehiculo-electrico</v>
      </c>
      <c r="E2377" s="20" t="str">
        <f t="shared" si="1"/>
        <v>1949@suno.cat</v>
      </c>
      <c r="F2377" s="21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</row>
    <row r="2378" ht="15.75" customHeight="1">
      <c r="A2378" s="18" t="str">
        <f>Descargas!A2378</f>
        <v>1950@yahoo.es</v>
      </c>
      <c r="B2378" s="19" t="str">
        <f>IFERROR(__xludf.DUMMYFUNCTION("IF(OR(regexmatch(A2378,"".*@simon.es$""),REGEXMATCH(A2378,"".*@simon.pt$""),REGEXMATCH(A2378,"".*@simonelectrica.com$""),REGEXMATCH(A2378,"".*@hiberus.com$""),REGEXMATCH(A2378,"".*@simonbrico.es$""),regexmatch(A2378,"".*@simonelectric.com$"")),""null"",A2"&amp;"378)"),"1950@yahoo.es")</f>
        <v>1950@yahoo.es</v>
      </c>
      <c r="C2378" s="5">
        <f>IF(B2378="null","null",Descargas!B2378)</f>
        <v>43944</v>
      </c>
      <c r="D2378" s="6" t="str">
        <f>Descargas!E2378</f>
        <v>https://resources.simonelectric.com/simon-material-formativo-vehiculo-electrico</v>
      </c>
      <c r="E2378" s="20" t="str">
        <f t="shared" si="1"/>
        <v>1950@yahoo.es</v>
      </c>
      <c r="F2378" s="21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</row>
    <row r="2379" ht="15.75" customHeight="1">
      <c r="A2379" s="18" t="str">
        <f>Descargas!A2379</f>
        <v>1951@engimatica.com</v>
      </c>
      <c r="B2379" s="19" t="str">
        <f>IFERROR(__xludf.DUMMYFUNCTION("IF(OR(regexmatch(A2379,"".*@simon.es$""),REGEXMATCH(A2379,"".*@simon.pt$""),REGEXMATCH(A2379,"".*@simonelectrica.com$""),REGEXMATCH(A2379,"".*@hiberus.com$""),REGEXMATCH(A2379,"".*@simonbrico.es$""),regexmatch(A2379,"".*@simonelectric.com$"")),""null"",A2"&amp;"379)"),"1951@engimatica.com")</f>
        <v>1951@engimatica.com</v>
      </c>
      <c r="C2379" s="5">
        <f>IF(B2379="null","null",Descargas!B2379)</f>
        <v>43944</v>
      </c>
      <c r="D2379" s="6" t="str">
        <f>Descargas!E2379</f>
        <v>https://resources.simonelectric.com/simon-material-formativo-vehiculo-electrico</v>
      </c>
      <c r="E2379" s="20" t="str">
        <f t="shared" si="1"/>
        <v>1951@engimatica.com</v>
      </c>
      <c r="F2379" s="21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</row>
    <row r="2380" ht="15.75" customHeight="1">
      <c r="A2380" s="18" t="str">
        <f>Descargas!A2380</f>
        <v>1952@tinet.cat</v>
      </c>
      <c r="B2380" s="19" t="str">
        <f>IFERROR(__xludf.DUMMYFUNCTION("IF(OR(regexmatch(A2380,"".*@simon.es$""),REGEXMATCH(A2380,"".*@simon.pt$""),REGEXMATCH(A2380,"".*@simonelectrica.com$""),REGEXMATCH(A2380,"".*@hiberus.com$""),REGEXMATCH(A2380,"".*@simonbrico.es$""),regexmatch(A2380,"".*@simonelectric.com$"")),""null"",A2"&amp;"380)"),"1952@tinet.cat")</f>
        <v>1952@tinet.cat</v>
      </c>
      <c r="C2380" s="5">
        <f>IF(B2380="null","null",Descargas!B2380)</f>
        <v>43944</v>
      </c>
      <c r="D2380" s="6" t="str">
        <f>Descargas!E2380</f>
        <v>https://resources.simonelectric.com/simon-material-formativo-vehiculo-electrico</v>
      </c>
      <c r="E2380" s="20" t="str">
        <f t="shared" si="1"/>
        <v>1952@tinet.cat</v>
      </c>
      <c r="F2380" s="21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</row>
    <row r="2381" ht="15.75" customHeight="1">
      <c r="A2381" s="18" t="str">
        <f>Descargas!A2381</f>
        <v>1953@proyteczaragoza.com</v>
      </c>
      <c r="B2381" s="19" t="str">
        <f>IFERROR(__xludf.DUMMYFUNCTION("IF(OR(regexmatch(A2381,"".*@simon.es$""),REGEXMATCH(A2381,"".*@simon.pt$""),REGEXMATCH(A2381,"".*@simonelectrica.com$""),REGEXMATCH(A2381,"".*@hiberus.com$""),REGEXMATCH(A2381,"".*@simonbrico.es$""),regexmatch(A2381,"".*@simonelectric.com$"")),""null"",A2"&amp;"381)"),"1953@proyteczaragoza.com")</f>
        <v>1953@proyteczaragoza.com</v>
      </c>
      <c r="C2381" s="5">
        <f>IF(B2381="null","null",Descargas!B2381)</f>
        <v>43944</v>
      </c>
      <c r="D2381" s="6" t="str">
        <f>Descargas!E2381</f>
        <v>https://resources.simonelectric.com/simon-material-formativo-vehiculo-electrico</v>
      </c>
      <c r="E2381" s="20" t="str">
        <f t="shared" si="1"/>
        <v>1953@proyteczaragoza.com</v>
      </c>
      <c r="F2381" s="21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</row>
    <row r="2382" ht="15.75" customHeight="1">
      <c r="A2382" s="18" t="str">
        <f>Descargas!A2382</f>
        <v>1954@dicsl.com</v>
      </c>
      <c r="B2382" s="19" t="str">
        <f>IFERROR(__xludf.DUMMYFUNCTION("IF(OR(regexmatch(A2382,"".*@simon.es$""),REGEXMATCH(A2382,"".*@simon.pt$""),REGEXMATCH(A2382,"".*@simonelectrica.com$""),REGEXMATCH(A2382,"".*@hiberus.com$""),REGEXMATCH(A2382,"".*@simonbrico.es$""),regexmatch(A2382,"".*@simonelectric.com$"")),""null"",A2"&amp;"382)"),"1954@dicsl.com")</f>
        <v>1954@dicsl.com</v>
      </c>
      <c r="C2382" s="5">
        <f>IF(B2382="null","null",Descargas!B2382)</f>
        <v>43944</v>
      </c>
      <c r="D2382" s="6" t="str">
        <f>Descargas!E2382</f>
        <v>https://resources.simonelectric.com/simon-material-formativo-vehiculo-electrico</v>
      </c>
      <c r="E2382" s="20" t="str">
        <f t="shared" si="1"/>
        <v>1954@dicsl.com</v>
      </c>
      <c r="F2382" s="21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</row>
    <row r="2383" ht="15.75" customHeight="1">
      <c r="A2383" s="18" t="str">
        <f>Descargas!A2383</f>
        <v>1108@enginyerstarragona.cat</v>
      </c>
      <c r="B2383" s="19" t="str">
        <f>IFERROR(__xludf.DUMMYFUNCTION("IF(OR(regexmatch(A2383,"".*@simon.es$""),REGEXMATCH(A2383,"".*@simon.pt$""),REGEXMATCH(A2383,"".*@simonelectrica.com$""),REGEXMATCH(A2383,"".*@hiberus.com$""),REGEXMATCH(A2383,"".*@simonbrico.es$""),regexmatch(A2383,"".*@simonelectric.com$"")),""null"",A2"&amp;"383)"),"1108@enginyerstarragona.cat")</f>
        <v>1108@enginyerstarragona.cat</v>
      </c>
      <c r="C2383" s="5">
        <f>IF(B2383="null","null",Descargas!B2383)</f>
        <v>43944</v>
      </c>
      <c r="D2383" s="6" t="str">
        <f>Descargas!E2383</f>
        <v>https://resources.simonelectric.com/simon-material-formativo-vehiculo-electrico</v>
      </c>
      <c r="E2383" s="20" t="str">
        <f t="shared" si="1"/>
        <v>1108@enginyerstarragona.cat</v>
      </c>
      <c r="F2383" s="21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</row>
    <row r="2384" ht="15.75" customHeight="1">
      <c r="A2384" s="18" t="str">
        <f>Descargas!A2384</f>
        <v>1955@salesianos.edu</v>
      </c>
      <c r="B2384" s="19" t="str">
        <f>IFERROR(__xludf.DUMMYFUNCTION("IF(OR(regexmatch(A2384,"".*@simon.es$""),REGEXMATCH(A2384,"".*@simon.pt$""),REGEXMATCH(A2384,"".*@simonelectrica.com$""),REGEXMATCH(A2384,"".*@hiberus.com$""),REGEXMATCH(A2384,"".*@simonbrico.es$""),regexmatch(A2384,"".*@simonelectric.com$"")),""null"",A2"&amp;"384)"),"1955@salesianos.edu")</f>
        <v>1955@salesianos.edu</v>
      </c>
      <c r="C2384" s="5">
        <f>IF(B2384="null","null",Descargas!B2384)</f>
        <v>43944</v>
      </c>
      <c r="D2384" s="6" t="str">
        <f>Descargas!E2384</f>
        <v>https://resources.simonelectric.com/simon-material-formativo-vehiculo-electrico</v>
      </c>
      <c r="E2384" s="20" t="str">
        <f t="shared" si="1"/>
        <v>1955@salesianos.edu</v>
      </c>
      <c r="F2384" s="21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</row>
    <row r="2385" ht="15.75" customHeight="1">
      <c r="A2385" s="18" t="str">
        <f>Descargas!A2385</f>
        <v>1696@gmail.com</v>
      </c>
      <c r="B2385" s="19" t="str">
        <f>IFERROR(__xludf.DUMMYFUNCTION("IF(OR(regexmatch(A2385,"".*@simon.es$""),REGEXMATCH(A2385,"".*@simon.pt$""),REGEXMATCH(A2385,"".*@simonelectrica.com$""),REGEXMATCH(A2385,"".*@hiberus.com$""),REGEXMATCH(A2385,"".*@simonbrico.es$""),regexmatch(A2385,"".*@simonelectric.com$"")),""null"",A2"&amp;"385)"),"1696@gmail.com")</f>
        <v>1696@gmail.com</v>
      </c>
      <c r="C2385" s="5">
        <f>IF(B2385="null","null",Descargas!B2385)</f>
        <v>43944</v>
      </c>
      <c r="D2385" s="6" t="str">
        <f>Descargas!E2385</f>
        <v>https://resources.simonelectric.com/simon-material-formativo-vehiculo-electrico</v>
      </c>
      <c r="E2385" s="20" t="str">
        <f t="shared" si="1"/>
        <v>1696@gmail.com</v>
      </c>
      <c r="F2385" s="21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</row>
    <row r="2386" ht="15.75" customHeight="1">
      <c r="A2386" s="18" t="str">
        <f>Descargas!A2386</f>
        <v>1956@gmail.com</v>
      </c>
      <c r="B2386" s="19" t="str">
        <f>IFERROR(__xludf.DUMMYFUNCTION("IF(OR(regexmatch(A2386,"".*@simon.es$""),REGEXMATCH(A2386,"".*@simon.pt$""),REGEXMATCH(A2386,"".*@simonelectrica.com$""),REGEXMATCH(A2386,"".*@hiberus.com$""),REGEXMATCH(A2386,"".*@simonbrico.es$""),regexmatch(A2386,"".*@simonelectric.com$"")),""null"",A2"&amp;"386)"),"1956@gmail.com")</f>
        <v>1956@gmail.com</v>
      </c>
      <c r="C2386" s="5">
        <f>IF(B2386="null","null",Descargas!B2386)</f>
        <v>43944</v>
      </c>
      <c r="D2386" s="6" t="str">
        <f>Descargas!E2386</f>
        <v>https://resources.simonelectric.com/simon-material-formativo-vehiculo-electrico</v>
      </c>
      <c r="E2386" s="20" t="str">
        <f t="shared" si="1"/>
        <v>1956@gmail.com</v>
      </c>
      <c r="F2386" s="21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</row>
    <row r="2387" ht="15.75" customHeight="1">
      <c r="A2387" s="18" t="str">
        <f>Descargas!A2387</f>
        <v>1957@msn.com</v>
      </c>
      <c r="B2387" s="19" t="str">
        <f>IFERROR(__xludf.DUMMYFUNCTION("IF(OR(regexmatch(A2387,"".*@simon.es$""),REGEXMATCH(A2387,"".*@simon.pt$""),REGEXMATCH(A2387,"".*@simonelectrica.com$""),REGEXMATCH(A2387,"".*@hiberus.com$""),REGEXMATCH(A2387,"".*@simonbrico.es$""),regexmatch(A2387,"".*@simonelectric.com$"")),""null"",A2"&amp;"387)"),"1957@msn.com")</f>
        <v>1957@msn.com</v>
      </c>
      <c r="C2387" s="5">
        <f>IF(B2387="null","null",Descargas!B2387)</f>
        <v>43944</v>
      </c>
      <c r="D2387" s="6" t="str">
        <f>Descargas!E2387</f>
        <v>https://resources.simonelectric.com/simon-material-formativo-vehiculo-electrico</v>
      </c>
      <c r="E2387" s="20" t="str">
        <f t="shared" si="1"/>
        <v>1957@msn.com</v>
      </c>
      <c r="F2387" s="21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</row>
    <row r="2388" ht="15.75" customHeight="1">
      <c r="A2388" s="18" t="str">
        <f>Descargas!A2388</f>
        <v>1036@grupoelectrostocks.com</v>
      </c>
      <c r="B2388" s="19" t="str">
        <f>IFERROR(__xludf.DUMMYFUNCTION("IF(OR(regexmatch(A2388,"".*@simon.es$""),REGEXMATCH(A2388,"".*@simon.pt$""),REGEXMATCH(A2388,"".*@simonelectrica.com$""),REGEXMATCH(A2388,"".*@hiberus.com$""),REGEXMATCH(A2388,"".*@simonbrico.es$""),regexmatch(A2388,"".*@simonelectric.com$"")),""null"",A2"&amp;"388)"),"1036@grupoelectrostocks.com")</f>
        <v>1036@grupoelectrostocks.com</v>
      </c>
      <c r="C2388" s="5">
        <f>IF(B2388="null","null",Descargas!B2388)</f>
        <v>43944</v>
      </c>
      <c r="D2388" s="6" t="str">
        <f>Descargas!E2388</f>
        <v>https://resources.simonelectric.com/simon-material-formativo-vehiculo-electrico</v>
      </c>
      <c r="E2388" s="20" t="str">
        <f t="shared" si="1"/>
        <v>1036@grupoelectrostocks.com</v>
      </c>
      <c r="F2388" s="21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</row>
    <row r="2389" ht="15.75" customHeight="1">
      <c r="A2389" s="18" t="str">
        <f>Descargas!A2389</f>
        <v>1958@iebsl.com</v>
      </c>
      <c r="B2389" s="19" t="str">
        <f>IFERROR(__xludf.DUMMYFUNCTION("IF(OR(regexmatch(A2389,"".*@simon.es$""),REGEXMATCH(A2389,"".*@simon.pt$""),REGEXMATCH(A2389,"".*@simonelectrica.com$""),REGEXMATCH(A2389,"".*@hiberus.com$""),REGEXMATCH(A2389,"".*@simonbrico.es$""),regexmatch(A2389,"".*@simonelectric.com$"")),""null"",A2"&amp;"389)"),"1958@iebsl.com")</f>
        <v>1958@iebsl.com</v>
      </c>
      <c r="C2389" s="5">
        <f>IF(B2389="null","null",Descargas!B2389)</f>
        <v>43944</v>
      </c>
      <c r="D2389" s="6" t="str">
        <f>Descargas!E2389</f>
        <v>https://resources.simonelectric.com/simon-material-formativo-vehiculo-electrico</v>
      </c>
      <c r="E2389" s="20" t="str">
        <f t="shared" si="1"/>
        <v>1958@iebsl.com</v>
      </c>
      <c r="F2389" s="21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</row>
    <row r="2390" ht="15.75" customHeight="1">
      <c r="A2390" s="18" t="str">
        <f>Descargas!A2390</f>
        <v>1959@gmail.com</v>
      </c>
      <c r="B2390" s="19" t="str">
        <f>IFERROR(__xludf.DUMMYFUNCTION("IF(OR(regexmatch(A2390,"".*@simon.es$""),REGEXMATCH(A2390,"".*@simon.pt$""),REGEXMATCH(A2390,"".*@simonelectrica.com$""),REGEXMATCH(A2390,"".*@hiberus.com$""),REGEXMATCH(A2390,"".*@simonbrico.es$""),regexmatch(A2390,"".*@simonelectric.com$"")),""null"",A2"&amp;"390)"),"1959@gmail.com")</f>
        <v>1959@gmail.com</v>
      </c>
      <c r="C2390" s="5">
        <f>IF(B2390="null","null",Descargas!B2390)</f>
        <v>43944</v>
      </c>
      <c r="D2390" s="6" t="str">
        <f>Descargas!E2390</f>
        <v>https://resources.simonelectric.com/simon-material-formativo-vehiculo-electrico</v>
      </c>
      <c r="E2390" s="20" t="str">
        <f t="shared" si="1"/>
        <v>1959@gmail.com</v>
      </c>
      <c r="F2390" s="21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</row>
    <row r="2391" ht="15.75" customHeight="1">
      <c r="A2391" s="18" t="str">
        <f>Descargas!A2391</f>
        <v>1960@ic3sl.com</v>
      </c>
      <c r="B2391" s="19" t="str">
        <f>IFERROR(__xludf.DUMMYFUNCTION("IF(OR(regexmatch(A2391,"".*@simon.es$""),REGEXMATCH(A2391,"".*@simon.pt$""),REGEXMATCH(A2391,"".*@simonelectrica.com$""),REGEXMATCH(A2391,"".*@hiberus.com$""),REGEXMATCH(A2391,"".*@simonbrico.es$""),regexmatch(A2391,"".*@simonelectric.com$"")),""null"",A2"&amp;"391)"),"1960@ic3sl.com")</f>
        <v>1960@ic3sl.com</v>
      </c>
      <c r="C2391" s="5">
        <f>IF(B2391="null","null",Descargas!B2391)</f>
        <v>43944</v>
      </c>
      <c r="D2391" s="6" t="str">
        <f>Descargas!E2391</f>
        <v>https://resources.simonelectric.com/simon-material-formativo-vehiculo-electrico</v>
      </c>
      <c r="E2391" s="20" t="str">
        <f t="shared" si="1"/>
        <v>1960@ic3sl.com</v>
      </c>
      <c r="F2391" s="21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</row>
    <row r="2392" ht="15.75" customHeight="1">
      <c r="A2392" s="18" t="str">
        <f>Descargas!A2392</f>
        <v>1961@hotmail.com</v>
      </c>
      <c r="B2392" s="19" t="str">
        <f>IFERROR(__xludf.DUMMYFUNCTION("IF(OR(regexmatch(A2392,"".*@simon.es$""),REGEXMATCH(A2392,"".*@simon.pt$""),REGEXMATCH(A2392,"".*@simonelectrica.com$""),REGEXMATCH(A2392,"".*@hiberus.com$""),REGEXMATCH(A2392,"".*@simonbrico.es$""),regexmatch(A2392,"".*@simonelectric.com$"")),""null"",A2"&amp;"392)"),"1961@hotmail.com")</f>
        <v>1961@hotmail.com</v>
      </c>
      <c r="C2392" s="5">
        <f>IF(B2392="null","null",Descargas!B2392)</f>
        <v>43944</v>
      </c>
      <c r="D2392" s="6" t="str">
        <f>Descargas!E2392</f>
        <v>https://resources.simonelectric.com/simon-material-formativo-vehiculo-electrico</v>
      </c>
      <c r="E2392" s="20" t="str">
        <f t="shared" si="1"/>
        <v>1961@hotmail.com</v>
      </c>
      <c r="F2392" s="21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</row>
    <row r="2393" ht="15.75" customHeight="1">
      <c r="A2393" s="18" t="str">
        <f>Descargas!A2393</f>
        <v>1962@lliro.com</v>
      </c>
      <c r="B2393" s="19" t="str">
        <f>IFERROR(__xludf.DUMMYFUNCTION("IF(OR(regexmatch(A2393,"".*@simon.es$""),REGEXMATCH(A2393,"".*@simon.pt$""),REGEXMATCH(A2393,"".*@simonelectrica.com$""),REGEXMATCH(A2393,"".*@hiberus.com$""),REGEXMATCH(A2393,"".*@simonbrico.es$""),regexmatch(A2393,"".*@simonelectric.com$"")),""null"",A2"&amp;"393)"),"1962@lliro.com")</f>
        <v>1962@lliro.com</v>
      </c>
      <c r="C2393" s="5">
        <f>IF(B2393="null","null",Descargas!B2393)</f>
        <v>43944</v>
      </c>
      <c r="D2393" s="6" t="str">
        <f>Descargas!E2393</f>
        <v>https://resources.simonelectric.com/simon-material-formativo-vehiculo-electrico</v>
      </c>
      <c r="E2393" s="20" t="str">
        <f t="shared" si="1"/>
        <v>1962@lliro.com</v>
      </c>
      <c r="F2393" s="21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</row>
    <row r="2394" ht="15.75" customHeight="1">
      <c r="A2394" s="18" t="str">
        <f>Descargas!A2394</f>
        <v>1963@atisistemas.com</v>
      </c>
      <c r="B2394" s="19" t="str">
        <f>IFERROR(__xludf.DUMMYFUNCTION("IF(OR(regexmatch(A2394,"".*@simon.es$""),REGEXMATCH(A2394,"".*@simon.pt$""),REGEXMATCH(A2394,"".*@simonelectrica.com$""),REGEXMATCH(A2394,"".*@hiberus.com$""),REGEXMATCH(A2394,"".*@simonbrico.es$""),regexmatch(A2394,"".*@simonelectric.com$"")),""null"",A2"&amp;"394)"),"1963@atisistemas.com")</f>
        <v>1963@atisistemas.com</v>
      </c>
      <c r="C2394" s="5">
        <f>IF(B2394="null","null",Descargas!B2394)</f>
        <v>43944</v>
      </c>
      <c r="D2394" s="6" t="str">
        <f>Descargas!E2394</f>
        <v>https://resources.simonelectric.com/simon-material-formativo-vehiculo-electrico</v>
      </c>
      <c r="E2394" s="20" t="str">
        <f t="shared" si="1"/>
        <v>1963@atisistemas.com</v>
      </c>
      <c r="F2394" s="21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</row>
    <row r="2395" ht="15.75" customHeight="1">
      <c r="A2395" s="18" t="str">
        <f>Descargas!A2395</f>
        <v>1433@apeme.es</v>
      </c>
      <c r="B2395" s="19" t="str">
        <f>IFERROR(__xludf.DUMMYFUNCTION("IF(OR(regexmatch(A2395,"".*@simon.es$""),REGEXMATCH(A2395,"".*@simon.pt$""),REGEXMATCH(A2395,"".*@simonelectrica.com$""),REGEXMATCH(A2395,"".*@hiberus.com$""),REGEXMATCH(A2395,"".*@simonbrico.es$""),regexmatch(A2395,"".*@simonelectric.com$"")),""null"",A2"&amp;"395)"),"1433@apeme.es")</f>
        <v>1433@apeme.es</v>
      </c>
      <c r="C2395" s="5">
        <f>IF(B2395="null","null",Descargas!B2395)</f>
        <v>43944</v>
      </c>
      <c r="D2395" s="6" t="str">
        <f>Descargas!E2395</f>
        <v>https://resources.simonelectric.com/simon-material-formativo-vehiculo-electrico</v>
      </c>
      <c r="E2395" s="20" t="str">
        <f t="shared" si="1"/>
        <v>1433@apeme.es</v>
      </c>
      <c r="F2395" s="21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</row>
    <row r="2396" ht="15.75" customHeight="1">
      <c r="A2396" s="18" t="str">
        <f>Descargas!A2396</f>
        <v>1964@hotmail.com</v>
      </c>
      <c r="B2396" s="19" t="str">
        <f>IFERROR(__xludf.DUMMYFUNCTION("IF(OR(regexmatch(A2396,"".*@simon.es$""),REGEXMATCH(A2396,"".*@simon.pt$""),REGEXMATCH(A2396,"".*@simonelectrica.com$""),REGEXMATCH(A2396,"".*@hiberus.com$""),REGEXMATCH(A2396,"".*@simonbrico.es$""),regexmatch(A2396,"".*@simonelectric.com$"")),""null"",A2"&amp;"396)"),"1964@hotmail.com")</f>
        <v>1964@hotmail.com</v>
      </c>
      <c r="C2396" s="5">
        <f>IF(B2396="null","null",Descargas!B2396)</f>
        <v>43944</v>
      </c>
      <c r="D2396" s="6" t="str">
        <f>Descargas!E2396</f>
        <v>https://resources.simonelectric.com/simon-material-formativo-vehiculo-electrico</v>
      </c>
      <c r="E2396" s="20" t="str">
        <f t="shared" si="1"/>
        <v>1964@hotmail.com</v>
      </c>
      <c r="F2396" s="21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</row>
    <row r="2397" ht="15.75" customHeight="1">
      <c r="A2397" s="18" t="str">
        <f>Descargas!A2397</f>
        <v>1644@tevigrup.com</v>
      </c>
      <c r="B2397" s="19" t="str">
        <f>IFERROR(__xludf.DUMMYFUNCTION("IF(OR(regexmatch(A2397,"".*@simon.es$""),REGEXMATCH(A2397,"".*@simon.pt$""),REGEXMATCH(A2397,"".*@simonelectrica.com$""),REGEXMATCH(A2397,"".*@hiberus.com$""),REGEXMATCH(A2397,"".*@simonbrico.es$""),regexmatch(A2397,"".*@simonelectric.com$"")),""null"",A2"&amp;"397)"),"1644@tevigrup.com")</f>
        <v>1644@tevigrup.com</v>
      </c>
      <c r="C2397" s="5">
        <f>IF(B2397="null","null",Descargas!B2397)</f>
        <v>43944</v>
      </c>
      <c r="D2397" s="6" t="str">
        <f>Descargas!E2397</f>
        <v>https://resources.simonelectric.com/simon-material-formativo-vehiculo-electrico</v>
      </c>
      <c r="E2397" s="20" t="str">
        <f t="shared" si="1"/>
        <v>1644@tevigrup.com</v>
      </c>
      <c r="F2397" s="21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</row>
    <row r="2398" ht="15.75" customHeight="1">
      <c r="A2398" s="18" t="str">
        <f>Descargas!A2398</f>
        <v>1872@gmail.com</v>
      </c>
      <c r="B2398" s="19" t="str">
        <f>IFERROR(__xludf.DUMMYFUNCTION("IF(OR(regexmatch(A2398,"".*@simon.es$""),REGEXMATCH(A2398,"".*@simon.pt$""),REGEXMATCH(A2398,"".*@simonelectrica.com$""),REGEXMATCH(A2398,"".*@hiberus.com$""),REGEXMATCH(A2398,"".*@simonbrico.es$""),regexmatch(A2398,"".*@simonelectric.com$"")),""null"",A2"&amp;"398)"),"1872@gmail.com")</f>
        <v>1872@gmail.com</v>
      </c>
      <c r="C2398" s="5">
        <f>IF(B2398="null","null",Descargas!B2398)</f>
        <v>43944</v>
      </c>
      <c r="D2398" s="6" t="str">
        <f>Descargas!E2398</f>
        <v>https://resources.simonelectric.com/simon-material-formativo-vehiculo-electrico</v>
      </c>
      <c r="E2398" s="20" t="str">
        <f t="shared" si="1"/>
        <v>1872@gmail.com</v>
      </c>
      <c r="F2398" s="21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</row>
    <row r="2399" ht="15.75" customHeight="1">
      <c r="A2399" s="18" t="str">
        <f>Descargas!A2399</f>
        <v>1943@gmail.com</v>
      </c>
      <c r="B2399" s="19" t="str">
        <f>IFERROR(__xludf.DUMMYFUNCTION("IF(OR(regexmatch(A2399,"".*@simon.es$""),REGEXMATCH(A2399,"".*@simon.pt$""),REGEXMATCH(A2399,"".*@simonelectrica.com$""),REGEXMATCH(A2399,"".*@hiberus.com$""),REGEXMATCH(A2399,"".*@simonbrico.es$""),regexmatch(A2399,"".*@simonelectric.com$"")),""null"",A2"&amp;"399)"),"1943@gmail.com")</f>
        <v>1943@gmail.com</v>
      </c>
      <c r="C2399" s="5">
        <f>IF(B2399="null","null",Descargas!B2399)</f>
        <v>43944</v>
      </c>
      <c r="D2399" s="6" t="str">
        <f>Descargas!E2399</f>
        <v>https://resources.simonelectric.com/simon-material-formativo-vehiculo-electrico</v>
      </c>
      <c r="E2399" s="20" t="str">
        <f t="shared" si="1"/>
        <v>1943@gmail.com</v>
      </c>
      <c r="F2399" s="21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</row>
    <row r="2400" ht="15.75" customHeight="1">
      <c r="A2400" s="18" t="str">
        <f>Descargas!A2400</f>
        <v>1858@yahoo.es</v>
      </c>
      <c r="B2400" s="19" t="str">
        <f>IFERROR(__xludf.DUMMYFUNCTION("IF(OR(regexmatch(A2400,"".*@simon.es$""),REGEXMATCH(A2400,"".*@simon.pt$""),REGEXMATCH(A2400,"".*@simonelectrica.com$""),REGEXMATCH(A2400,"".*@hiberus.com$""),REGEXMATCH(A2400,"".*@simonbrico.es$""),regexmatch(A2400,"".*@simonelectric.com$"")),""null"",A2"&amp;"400)"),"1858@yahoo.es")</f>
        <v>1858@yahoo.es</v>
      </c>
      <c r="C2400" s="5">
        <f>IF(B2400="null","null",Descargas!B2400)</f>
        <v>43944</v>
      </c>
      <c r="D2400" s="6" t="str">
        <f>Descargas!E2400</f>
        <v>https://resources.simonelectric.com/simon-material-formativo-vehiculo-electrico</v>
      </c>
      <c r="E2400" s="20" t="str">
        <f t="shared" si="1"/>
        <v>1858@yahoo.es</v>
      </c>
      <c r="F2400" s="21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</row>
    <row r="2401" ht="15.75" customHeight="1">
      <c r="A2401" s="18" t="str">
        <f>Descargas!A2401</f>
        <v>954@aiguesmanresa.cat</v>
      </c>
      <c r="B2401" s="19" t="str">
        <f>IFERROR(__xludf.DUMMYFUNCTION("IF(OR(regexmatch(A2401,"".*@simon.es$""),REGEXMATCH(A2401,"".*@simon.pt$""),REGEXMATCH(A2401,"".*@simonelectrica.com$""),REGEXMATCH(A2401,"".*@hiberus.com$""),REGEXMATCH(A2401,"".*@simonbrico.es$""),regexmatch(A2401,"".*@simonelectric.com$"")),""null"",A2"&amp;"401)"),"954@aiguesmanresa.cat")</f>
        <v>954@aiguesmanresa.cat</v>
      </c>
      <c r="C2401" s="5">
        <f>IF(B2401="null","null",Descargas!B2401)</f>
        <v>43944</v>
      </c>
      <c r="D2401" s="6" t="str">
        <f>Descargas!E2401</f>
        <v>https://resources.simonelectric.com/simon-material-formativo-vehiculo-electrico</v>
      </c>
      <c r="E2401" s="20" t="str">
        <f t="shared" si="1"/>
        <v>954@aiguesmanresa.cat</v>
      </c>
      <c r="F2401" s="21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</row>
    <row r="2402" ht="15.75" customHeight="1">
      <c r="A2402" s="18" t="str">
        <f>Descargas!A2402</f>
        <v>1811@ansiel.eu</v>
      </c>
      <c r="B2402" s="19" t="str">
        <f>IFERROR(__xludf.DUMMYFUNCTION("IF(OR(regexmatch(A2402,"".*@simon.es$""),REGEXMATCH(A2402,"".*@simon.pt$""),REGEXMATCH(A2402,"".*@simonelectrica.com$""),REGEXMATCH(A2402,"".*@hiberus.com$""),REGEXMATCH(A2402,"".*@simonbrico.es$""),regexmatch(A2402,"".*@simonelectric.com$"")),""null"",A2"&amp;"402)"),"1811@ansiel.eu")</f>
        <v>1811@ansiel.eu</v>
      </c>
      <c r="C2402" s="5">
        <f>IF(B2402="null","null",Descargas!B2402)</f>
        <v>43944</v>
      </c>
      <c r="D2402" s="6" t="str">
        <f>Descargas!E2402</f>
        <v>https://resources.simonelectric.com/simon-material-formativo-vehiculo-electrico</v>
      </c>
      <c r="E2402" s="20" t="str">
        <f t="shared" si="1"/>
        <v>1811@ansiel.eu</v>
      </c>
      <c r="F2402" s="21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</row>
    <row r="2403" ht="15.75" customHeight="1">
      <c r="A2403" s="18" t="str">
        <f>Descargas!A2403</f>
        <v>1965@tienda-gasnatural.com</v>
      </c>
      <c r="B2403" s="19" t="str">
        <f>IFERROR(__xludf.DUMMYFUNCTION("IF(OR(regexmatch(A2403,"".*@simon.es$""),REGEXMATCH(A2403,"".*@simon.pt$""),REGEXMATCH(A2403,"".*@simonelectrica.com$""),REGEXMATCH(A2403,"".*@hiberus.com$""),REGEXMATCH(A2403,"".*@simonbrico.es$""),regexmatch(A2403,"".*@simonelectric.com$"")),""null"",A2"&amp;"403)"),"1965@tienda-gasnatural.com")</f>
        <v>1965@tienda-gasnatural.com</v>
      </c>
      <c r="C2403" s="5">
        <f>IF(B2403="null","null",Descargas!B2403)</f>
        <v>43944</v>
      </c>
      <c r="D2403" s="6" t="str">
        <f>Descargas!E2403</f>
        <v>https://resources.simonelectric.com/simon-ebook-vehiculo-electrico</v>
      </c>
      <c r="E2403" s="20" t="str">
        <f t="shared" si="1"/>
        <v>1965@tienda-gasnatural.com</v>
      </c>
      <c r="F2403" s="21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</row>
    <row r="2404" ht="15.75" customHeight="1">
      <c r="A2404" s="18" t="str">
        <f>Descargas!A2404</f>
        <v>1876@gmail.com</v>
      </c>
      <c r="B2404" s="19" t="str">
        <f>IFERROR(__xludf.DUMMYFUNCTION("IF(OR(regexmatch(A2404,"".*@simon.es$""),REGEXMATCH(A2404,"".*@simon.pt$""),REGEXMATCH(A2404,"".*@simonelectrica.com$""),REGEXMATCH(A2404,"".*@hiberus.com$""),REGEXMATCH(A2404,"".*@simonbrico.es$""),regexmatch(A2404,"".*@simonelectric.com$"")),""null"",A2"&amp;"404)"),"1876@gmail.com")</f>
        <v>1876@gmail.com</v>
      </c>
      <c r="C2404" s="5">
        <f>IF(B2404="null","null",Descargas!B2404)</f>
        <v>43944</v>
      </c>
      <c r="D2404" s="6" t="str">
        <f>Descargas!E2404</f>
        <v>https://resources.simonelectric.com/simon-material-formativo-vehiculo-electrico</v>
      </c>
      <c r="E2404" s="20" t="str">
        <f t="shared" si="1"/>
        <v>1876@gmail.com</v>
      </c>
      <c r="F2404" s="21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</row>
    <row r="2405" ht="15.75" customHeight="1">
      <c r="A2405" s="18" t="str">
        <f>Descargas!A2405</f>
        <v>1966@gmail.com</v>
      </c>
      <c r="B2405" s="19" t="str">
        <f>IFERROR(__xludf.DUMMYFUNCTION("IF(OR(regexmatch(A2405,"".*@simon.es$""),REGEXMATCH(A2405,"".*@simon.pt$""),REGEXMATCH(A2405,"".*@simonelectrica.com$""),REGEXMATCH(A2405,"".*@hiberus.com$""),REGEXMATCH(A2405,"".*@simonbrico.es$""),regexmatch(A2405,"".*@simonelectric.com$"")),""null"",A2"&amp;"405)"),"1966@gmail.com")</f>
        <v>1966@gmail.com</v>
      </c>
      <c r="C2405" s="5">
        <f>IF(B2405="null","null",Descargas!B2405)</f>
        <v>43944</v>
      </c>
      <c r="D2405" s="6" t="str">
        <f>Descargas!E2405</f>
        <v>https://resources.simonelectric.com/simon-material-formativo-vehiculo-electrico</v>
      </c>
      <c r="E2405" s="20" t="str">
        <f t="shared" si="1"/>
        <v>1966@gmail.com</v>
      </c>
      <c r="F2405" s="21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</row>
    <row r="2406" ht="15.75" customHeight="1">
      <c r="A2406" s="18" t="str">
        <f>Descargas!A2406</f>
        <v>1967@ferrovial.com</v>
      </c>
      <c r="B2406" s="19" t="str">
        <f>IFERROR(__xludf.DUMMYFUNCTION("IF(OR(regexmatch(A2406,"".*@simon.es$""),REGEXMATCH(A2406,"".*@simon.pt$""),REGEXMATCH(A2406,"".*@simonelectrica.com$""),REGEXMATCH(A2406,"".*@hiberus.com$""),REGEXMATCH(A2406,"".*@simonbrico.es$""),regexmatch(A2406,"".*@simonelectric.com$"")),""null"",A2"&amp;"406)"),"1967@ferrovial.com")</f>
        <v>1967@ferrovial.com</v>
      </c>
      <c r="C2406" s="5">
        <f>IF(B2406="null","null",Descargas!B2406)</f>
        <v>43944</v>
      </c>
      <c r="D2406" s="6" t="str">
        <f>Descargas!E2406</f>
        <v>https://resources.simonelectric.com/simon-material-formativo-vehiculo-electrico</v>
      </c>
      <c r="E2406" s="20" t="str">
        <f t="shared" si="1"/>
        <v>1967@ferrovial.com</v>
      </c>
      <c r="F2406" s="21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</row>
    <row r="2407" ht="15.75" customHeight="1">
      <c r="A2407" s="18" t="str">
        <f>Descargas!A2407</f>
        <v>1878@gmail.com</v>
      </c>
      <c r="B2407" s="19" t="str">
        <f>IFERROR(__xludf.DUMMYFUNCTION("IF(OR(regexmatch(A2407,"".*@simon.es$""),REGEXMATCH(A2407,"".*@simon.pt$""),REGEXMATCH(A2407,"".*@simonelectrica.com$""),REGEXMATCH(A2407,"".*@hiberus.com$""),REGEXMATCH(A2407,"".*@simonbrico.es$""),regexmatch(A2407,"".*@simonelectric.com$"")),""null"",A2"&amp;"407)"),"1878@gmail.com")</f>
        <v>1878@gmail.com</v>
      </c>
      <c r="C2407" s="5">
        <f>IF(B2407="null","null",Descargas!B2407)</f>
        <v>43944</v>
      </c>
      <c r="D2407" s="6" t="str">
        <f>Descargas!E2407</f>
        <v>https://resources.simonelectric.com/simon-material-formativo-vehiculo-electrico</v>
      </c>
      <c r="E2407" s="20" t="str">
        <f t="shared" si="1"/>
        <v>1878@gmail.com</v>
      </c>
      <c r="F2407" s="21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</row>
    <row r="2408" ht="15.75" customHeight="1">
      <c r="A2408" s="18" t="str">
        <f>Descargas!A2408</f>
        <v>1888@instalacionsgarmi.com</v>
      </c>
      <c r="B2408" s="19" t="str">
        <f>IFERROR(__xludf.DUMMYFUNCTION("IF(OR(regexmatch(A2408,"".*@simon.es$""),REGEXMATCH(A2408,"".*@simon.pt$""),REGEXMATCH(A2408,"".*@simonelectrica.com$""),REGEXMATCH(A2408,"".*@hiberus.com$""),REGEXMATCH(A2408,"".*@simonbrico.es$""),regexmatch(A2408,"".*@simonelectric.com$"")),""null"",A2"&amp;"408)"),"1888@instalacionsgarmi.com")</f>
        <v>1888@instalacionsgarmi.com</v>
      </c>
      <c r="C2408" s="5">
        <f>IF(B2408="null","null",Descargas!B2408)</f>
        <v>43944</v>
      </c>
      <c r="D2408" s="6" t="str">
        <f>Descargas!E2408</f>
        <v>https://resources.simonelectric.com/simon-material-formativo-vehiculo-electrico</v>
      </c>
      <c r="E2408" s="20" t="str">
        <f t="shared" si="1"/>
        <v>1888@instalacionsgarmi.com</v>
      </c>
      <c r="F2408" s="21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</row>
    <row r="2409" ht="15.75" customHeight="1">
      <c r="A2409" s="18" t="str">
        <f>Descargas!A2409</f>
        <v>1164@projecat.com</v>
      </c>
      <c r="B2409" s="19" t="str">
        <f>IFERROR(__xludf.DUMMYFUNCTION("IF(OR(regexmatch(A2409,"".*@simon.es$""),REGEXMATCH(A2409,"".*@simon.pt$""),REGEXMATCH(A2409,"".*@simonelectrica.com$""),REGEXMATCH(A2409,"".*@hiberus.com$""),REGEXMATCH(A2409,"".*@simonbrico.es$""),regexmatch(A2409,"".*@simonelectric.com$"")),""null"",A2"&amp;"409)"),"1164@projecat.com")</f>
        <v>1164@projecat.com</v>
      </c>
      <c r="C2409" s="5">
        <f>IF(B2409="null","null",Descargas!B2409)</f>
        <v>43944</v>
      </c>
      <c r="D2409" s="6" t="str">
        <f>Descargas!E2409</f>
        <v>https://resources.simonelectric.com/simon-ebook-vehiculo-electrico</v>
      </c>
      <c r="E2409" s="20" t="str">
        <f t="shared" si="1"/>
        <v>1164@projecat.com</v>
      </c>
      <c r="F2409" s="21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</row>
    <row r="2410" ht="15.75" customHeight="1">
      <c r="A2410" s="18" t="str">
        <f>Descargas!A2410</f>
        <v>1968@gmail.com</v>
      </c>
      <c r="B2410" s="19" t="str">
        <f>IFERROR(__xludf.DUMMYFUNCTION("IF(OR(regexmatch(A2410,"".*@simon.es$""),REGEXMATCH(A2410,"".*@simon.pt$""),REGEXMATCH(A2410,"".*@simonelectrica.com$""),REGEXMATCH(A2410,"".*@hiberus.com$""),REGEXMATCH(A2410,"".*@simonbrico.es$""),regexmatch(A2410,"".*@simonelectric.com$"")),""null"",A2"&amp;"410)"),"1968@gmail.com")</f>
        <v>1968@gmail.com</v>
      </c>
      <c r="C2410" s="5">
        <f>IF(B2410="null","null",Descargas!B2410)</f>
        <v>43944</v>
      </c>
      <c r="D2410" s="6" t="str">
        <f>Descargas!E2410</f>
        <v>https://resources.simonelectric.com/simon-material-formativo-vehiculo-electrico</v>
      </c>
      <c r="E2410" s="20" t="str">
        <f t="shared" si="1"/>
        <v>1968@gmail.com</v>
      </c>
      <c r="F2410" s="21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</row>
    <row r="2411" ht="15.75" customHeight="1">
      <c r="A2411" s="18" t="str">
        <f>Descargas!A2411</f>
        <v>1969@fundacionmasaveu.com</v>
      </c>
      <c r="B2411" s="19" t="str">
        <f>IFERROR(__xludf.DUMMYFUNCTION("IF(OR(regexmatch(A2411,"".*@simon.es$""),REGEXMATCH(A2411,"".*@simon.pt$""),REGEXMATCH(A2411,"".*@simonelectrica.com$""),REGEXMATCH(A2411,"".*@hiberus.com$""),REGEXMATCH(A2411,"".*@simonbrico.es$""),regexmatch(A2411,"".*@simonelectric.com$"")),""null"",A2"&amp;"411)"),"1969@fundacionmasaveu.com")</f>
        <v>1969@fundacionmasaveu.com</v>
      </c>
      <c r="C2411" s="5">
        <f>IF(B2411="null","null",Descargas!B2411)</f>
        <v>43944</v>
      </c>
      <c r="D2411" s="6" t="str">
        <f>Descargas!E2411</f>
        <v>https://resources.simonelectric.com/simon-material-formativo-vehiculo-electrico</v>
      </c>
      <c r="E2411" s="20" t="str">
        <f t="shared" si="1"/>
        <v>1969@fundacionmasaveu.com</v>
      </c>
      <c r="F2411" s="21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</row>
    <row r="2412" ht="15.75" customHeight="1">
      <c r="A2412" s="18" t="str">
        <f>Descargas!A2412</f>
        <v>1886@outlook.com</v>
      </c>
      <c r="B2412" s="19" t="str">
        <f>IFERROR(__xludf.DUMMYFUNCTION("IF(OR(regexmatch(A2412,"".*@simon.es$""),REGEXMATCH(A2412,"".*@simon.pt$""),REGEXMATCH(A2412,"".*@simonelectrica.com$""),REGEXMATCH(A2412,"".*@hiberus.com$""),REGEXMATCH(A2412,"".*@simonbrico.es$""),regexmatch(A2412,"".*@simonelectric.com$"")),""null"",A2"&amp;"412)"),"1886@outlook.com")</f>
        <v>1886@outlook.com</v>
      </c>
      <c r="C2412" s="5">
        <f>IF(B2412="null","null",Descargas!B2412)</f>
        <v>43944</v>
      </c>
      <c r="D2412" s="6" t="str">
        <f>Descargas!E2412</f>
        <v>https://resources.simonelectric.com/simon-material-formativo-vehiculo-electrico</v>
      </c>
      <c r="E2412" s="20" t="str">
        <f t="shared" si="1"/>
        <v>1886@outlook.com</v>
      </c>
      <c r="F2412" s="21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</row>
    <row r="2413" ht="15.75" customHeight="1">
      <c r="A2413" s="18" t="str">
        <f>Descargas!A2413</f>
        <v>1970@electrificacionesparra.es</v>
      </c>
      <c r="B2413" s="19" t="str">
        <f>IFERROR(__xludf.DUMMYFUNCTION("IF(OR(regexmatch(A2413,"".*@simon.es$""),REGEXMATCH(A2413,"".*@simon.pt$""),REGEXMATCH(A2413,"".*@simonelectrica.com$""),REGEXMATCH(A2413,"".*@hiberus.com$""),REGEXMATCH(A2413,"".*@simonbrico.es$""),regexmatch(A2413,"".*@simonelectric.com$"")),""null"",A2"&amp;"413)"),"1970@electrificacionesparra.es")</f>
        <v>1970@electrificacionesparra.es</v>
      </c>
      <c r="C2413" s="5">
        <f>IF(B2413="null","null",Descargas!B2413)</f>
        <v>43944</v>
      </c>
      <c r="D2413" s="6" t="str">
        <f>Descargas!E2413</f>
        <v>https://resources.simonelectric.com/simon-material-formativo-vehiculo-electrico</v>
      </c>
      <c r="E2413" s="20" t="str">
        <f t="shared" si="1"/>
        <v>1970@electrificacionesparra.es</v>
      </c>
      <c r="F2413" s="21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</row>
    <row r="2414" ht="15.75" customHeight="1">
      <c r="A2414" s="18" t="str">
        <f>Descargas!A2414</f>
        <v>1118@coitiar.es</v>
      </c>
      <c r="B2414" s="19" t="str">
        <f>IFERROR(__xludf.DUMMYFUNCTION("IF(OR(regexmatch(A2414,"".*@simon.es$""),REGEXMATCH(A2414,"".*@simon.pt$""),REGEXMATCH(A2414,"".*@simonelectrica.com$""),REGEXMATCH(A2414,"".*@hiberus.com$""),REGEXMATCH(A2414,"".*@simonbrico.es$""),regexmatch(A2414,"".*@simonelectric.com$"")),""null"",A2"&amp;"414)"),"1118@coitiar.es")</f>
        <v>1118@coitiar.es</v>
      </c>
      <c r="C2414" s="5">
        <f>IF(B2414="null","null",Descargas!B2414)</f>
        <v>43944</v>
      </c>
      <c r="D2414" s="6" t="str">
        <f>Descargas!E2414</f>
        <v>https://resources.simonelectric.com/simon-material-formativo-vehiculo-electrico</v>
      </c>
      <c r="E2414" s="20" t="str">
        <f t="shared" si="1"/>
        <v>1118@coitiar.es</v>
      </c>
      <c r="F2414" s="21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</row>
    <row r="2415" ht="15.75" customHeight="1">
      <c r="A2415" s="18" t="str">
        <f>Descargas!A2415</f>
        <v>1971@tienda-gasnatural.com</v>
      </c>
      <c r="B2415" s="19" t="str">
        <f>IFERROR(__xludf.DUMMYFUNCTION("IF(OR(regexmatch(A2415,"".*@simon.es$""),REGEXMATCH(A2415,"".*@simon.pt$""),REGEXMATCH(A2415,"".*@simonelectrica.com$""),REGEXMATCH(A2415,"".*@hiberus.com$""),REGEXMATCH(A2415,"".*@simonbrico.es$""),regexmatch(A2415,"".*@simonelectric.com$"")),""null"",A2"&amp;"415)"),"1971@tienda-gasnatural.com")</f>
        <v>1971@tienda-gasnatural.com</v>
      </c>
      <c r="C2415" s="5">
        <f>IF(B2415="null","null",Descargas!B2415)</f>
        <v>43944</v>
      </c>
      <c r="D2415" s="6" t="str">
        <f>Descargas!E2415</f>
        <v>https://resources.simonelectric.com/simon-material-formativo-vehiculo-electrico</v>
      </c>
      <c r="E2415" s="20" t="str">
        <f t="shared" si="1"/>
        <v>1971@tienda-gasnatural.com</v>
      </c>
      <c r="F2415" s="21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</row>
    <row r="2416" ht="15.75" customHeight="1">
      <c r="A2416" s="18" t="str">
        <f>Descargas!A2416</f>
        <v>1972@projecal.com</v>
      </c>
      <c r="B2416" s="19" t="str">
        <f>IFERROR(__xludf.DUMMYFUNCTION("IF(OR(regexmatch(A2416,"".*@simon.es$""),REGEXMATCH(A2416,"".*@simon.pt$""),REGEXMATCH(A2416,"".*@simonelectrica.com$""),REGEXMATCH(A2416,"".*@hiberus.com$""),REGEXMATCH(A2416,"".*@simonbrico.es$""),regexmatch(A2416,"".*@simonelectric.com$"")),""null"",A2"&amp;"416)"),"1972@projecal.com")</f>
        <v>1972@projecal.com</v>
      </c>
      <c r="C2416" s="5">
        <f>IF(B2416="null","null",Descargas!B2416)</f>
        <v>43944</v>
      </c>
      <c r="D2416" s="6" t="str">
        <f>Descargas!E2416</f>
        <v>https://resources.simonelectric.com/simon-material-formativo-vehiculo-electrico</v>
      </c>
      <c r="E2416" s="20" t="str">
        <f t="shared" si="1"/>
        <v>1972@projecal.com</v>
      </c>
      <c r="F2416" s="21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</row>
    <row r="2417" ht="15.75" customHeight="1">
      <c r="A2417" s="18" t="str">
        <f>Descargas!A2417</f>
        <v>1883@adingenieros.es</v>
      </c>
      <c r="B2417" s="19" t="str">
        <f>IFERROR(__xludf.DUMMYFUNCTION("IF(OR(regexmatch(A2417,"".*@simon.es$""),REGEXMATCH(A2417,"".*@simon.pt$""),REGEXMATCH(A2417,"".*@simonelectrica.com$""),REGEXMATCH(A2417,"".*@hiberus.com$""),REGEXMATCH(A2417,"".*@simonbrico.es$""),regexmatch(A2417,"".*@simonelectric.com$"")),""null"",A2"&amp;"417)"),"1883@adingenieros.es")</f>
        <v>1883@adingenieros.es</v>
      </c>
      <c r="C2417" s="5">
        <f>IF(B2417="null","null",Descargas!B2417)</f>
        <v>43944</v>
      </c>
      <c r="D2417" s="6" t="str">
        <f>Descargas!E2417</f>
        <v>https://resources.simonelectric.com/simon-material-formativo-vehiculo-electrico</v>
      </c>
      <c r="E2417" s="20" t="str">
        <f t="shared" si="1"/>
        <v>1883@adingenieros.es</v>
      </c>
      <c r="F2417" s="21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</row>
    <row r="2418" ht="15.75" customHeight="1">
      <c r="A2418" s="18" t="str">
        <f>Descargas!A2418</f>
        <v>1973@ingekor.com</v>
      </c>
      <c r="B2418" s="19" t="str">
        <f>IFERROR(__xludf.DUMMYFUNCTION("IF(OR(regexmatch(A2418,"".*@simon.es$""),REGEXMATCH(A2418,"".*@simon.pt$""),REGEXMATCH(A2418,"".*@simonelectrica.com$""),REGEXMATCH(A2418,"".*@hiberus.com$""),REGEXMATCH(A2418,"".*@simonbrico.es$""),regexmatch(A2418,"".*@simonelectric.com$"")),""null"",A2"&amp;"418)"),"1973@ingekor.com")</f>
        <v>1973@ingekor.com</v>
      </c>
      <c r="C2418" s="5">
        <f>IF(B2418="null","null",Descargas!B2418)</f>
        <v>43944</v>
      </c>
      <c r="D2418" s="6" t="str">
        <f>Descargas!E2418</f>
        <v>https://resources.simonelectric.com/simon-material-formativo-vehiculo-electrico</v>
      </c>
      <c r="E2418" s="20" t="str">
        <f t="shared" si="1"/>
        <v>1973@ingekor.com</v>
      </c>
      <c r="F2418" s="21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</row>
    <row r="2419" ht="15.75" customHeight="1">
      <c r="A2419" s="18" t="str">
        <f>Descargas!A2419</f>
        <v>1974@proluxingenieros.com</v>
      </c>
      <c r="B2419" s="19" t="str">
        <f>IFERROR(__xludf.DUMMYFUNCTION("IF(OR(regexmatch(A2419,"".*@simon.es$""),REGEXMATCH(A2419,"".*@simon.pt$""),REGEXMATCH(A2419,"".*@simonelectrica.com$""),REGEXMATCH(A2419,"".*@hiberus.com$""),REGEXMATCH(A2419,"".*@simonbrico.es$""),regexmatch(A2419,"".*@simonelectric.com$"")),""null"",A2"&amp;"419)"),"1974@proluxingenieros.com")</f>
        <v>1974@proluxingenieros.com</v>
      </c>
      <c r="C2419" s="5">
        <f>IF(B2419="null","null",Descargas!B2419)</f>
        <v>43944</v>
      </c>
      <c r="D2419" s="6" t="str">
        <f>Descargas!E2419</f>
        <v>https://resources.simonelectric.com/simon-catalogo-vehiculo-electrico</v>
      </c>
      <c r="E2419" s="20" t="str">
        <f t="shared" si="1"/>
        <v>1974@proluxingenieros.com</v>
      </c>
      <c r="F2419" s="21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</row>
    <row r="2420" ht="15.75" customHeight="1">
      <c r="A2420" s="18" t="str">
        <f>Descargas!A2420</f>
        <v>1974@proluxingenieros.com</v>
      </c>
      <c r="B2420" s="19" t="str">
        <f>IFERROR(__xludf.DUMMYFUNCTION("IF(OR(regexmatch(A2420,"".*@simon.es$""),REGEXMATCH(A2420,"".*@simon.pt$""),REGEXMATCH(A2420,"".*@simonelectrica.com$""),REGEXMATCH(A2420,"".*@hiberus.com$""),REGEXMATCH(A2420,"".*@simonbrico.es$""),regexmatch(A2420,"".*@simonelectric.com$"")),""null"",A2"&amp;"420)"),"1974@proluxingenieros.com")</f>
        <v>1974@proluxingenieros.com</v>
      </c>
      <c r="C2420" s="5">
        <f>IF(B2420="null","null",Descargas!B2420)</f>
        <v>43944</v>
      </c>
      <c r="D2420" s="6" t="str">
        <f>Descargas!E2420</f>
        <v>https://resources.simonelectric.com/simon-ebook-vehiculo-electrico</v>
      </c>
      <c r="E2420" s="20" t="str">
        <f t="shared" si="1"/>
        <v>1974@proluxingenieros.com</v>
      </c>
      <c r="F2420" s="21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</row>
    <row r="2421" ht="15.75" customHeight="1">
      <c r="A2421" s="18" t="str">
        <f>Descargas!A2421</f>
        <v>1118@coitiar.es</v>
      </c>
      <c r="B2421" s="19" t="str">
        <f>IFERROR(__xludf.DUMMYFUNCTION("IF(OR(regexmatch(A2421,"".*@simon.es$""),REGEXMATCH(A2421,"".*@simon.pt$""),REGEXMATCH(A2421,"".*@simonelectrica.com$""),REGEXMATCH(A2421,"".*@hiberus.com$""),REGEXMATCH(A2421,"".*@simonbrico.es$""),regexmatch(A2421,"".*@simonelectric.com$"")),""null"",A2"&amp;"421)"),"1118@coitiar.es")</f>
        <v>1118@coitiar.es</v>
      </c>
      <c r="C2421" s="5">
        <f>IF(B2421="null","null",Descargas!B2421)</f>
        <v>43944</v>
      </c>
      <c r="D2421" s="6" t="str">
        <f>Descargas!E2421</f>
        <v>https://resources.simonelectric.com/simon-ebook-vehiculo-electrico</v>
      </c>
      <c r="E2421" s="20" t="str">
        <f t="shared" si="1"/>
        <v>1118@coitiar.es</v>
      </c>
      <c r="F2421" s="21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</row>
    <row r="2422" ht="15.75" customHeight="1">
      <c r="A2422" s="18" t="str">
        <f>Descargas!A2422</f>
        <v>1118@coitiar.es</v>
      </c>
      <c r="B2422" s="19" t="str">
        <f>IFERROR(__xludf.DUMMYFUNCTION("IF(OR(regexmatch(A2422,"".*@simon.es$""),REGEXMATCH(A2422,"".*@simon.pt$""),REGEXMATCH(A2422,"".*@simonelectrica.com$""),REGEXMATCH(A2422,"".*@hiberus.com$""),REGEXMATCH(A2422,"".*@simonbrico.es$""),regexmatch(A2422,"".*@simonelectric.com$"")),""null"",A2"&amp;"422)"),"1118@coitiar.es")</f>
        <v>1118@coitiar.es</v>
      </c>
      <c r="C2422" s="5">
        <f>IF(B2422="null","null",Descargas!B2422)</f>
        <v>43944</v>
      </c>
      <c r="D2422" s="6" t="str">
        <f>Descargas!E2422</f>
        <v>https://resources.simonelectric.com/simon-catalogo-vehiculo-electrico</v>
      </c>
      <c r="E2422" s="20" t="str">
        <f t="shared" si="1"/>
        <v>1118@coitiar.es</v>
      </c>
      <c r="F2422" s="21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</row>
    <row r="2423" ht="15.75" customHeight="1">
      <c r="A2423" s="18" t="str">
        <f>Descargas!A2423</f>
        <v>685@climava.com</v>
      </c>
      <c r="B2423" s="19" t="str">
        <f>IFERROR(__xludf.DUMMYFUNCTION("IF(OR(regexmatch(A2423,"".*@simon.es$""),REGEXMATCH(A2423,"".*@simon.pt$""),REGEXMATCH(A2423,"".*@simonelectrica.com$""),REGEXMATCH(A2423,"".*@hiberus.com$""),REGEXMATCH(A2423,"".*@simonbrico.es$""),regexmatch(A2423,"".*@simonelectric.com$"")),""null"",A2"&amp;"423)"),"685@climava.com")</f>
        <v>685@climava.com</v>
      </c>
      <c r="C2423" s="5">
        <f>IF(B2423="null","null",Descargas!B2423)</f>
        <v>43944</v>
      </c>
      <c r="D2423" s="6" t="str">
        <f>Descargas!E2423</f>
        <v>https://resources.simonelectric.com/simon-catalogo-vehiculo-electrico</v>
      </c>
      <c r="E2423" s="20" t="str">
        <f t="shared" si="1"/>
        <v>685@climava.com</v>
      </c>
      <c r="F2423" s="21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</row>
    <row r="2424" ht="15.75" customHeight="1">
      <c r="A2424" s="18" t="str">
        <f>Descargas!A2424</f>
        <v>1974@proluxingenieros.com</v>
      </c>
      <c r="B2424" s="19" t="str">
        <f>IFERROR(__xludf.DUMMYFUNCTION("IF(OR(regexmatch(A2424,"".*@simon.es$""),REGEXMATCH(A2424,"".*@simon.pt$""),REGEXMATCH(A2424,"".*@simonelectrica.com$""),REGEXMATCH(A2424,"".*@hiberus.com$""),REGEXMATCH(A2424,"".*@simonbrico.es$""),regexmatch(A2424,"".*@simonelectric.com$"")),""null"",A2"&amp;"424)"),"1974@proluxingenieros.com")</f>
        <v>1974@proluxingenieros.com</v>
      </c>
      <c r="C2424" s="5">
        <f>IF(B2424="null","null",Descargas!B2424)</f>
        <v>43944</v>
      </c>
      <c r="D2424" s="6" t="str">
        <f>Descargas!E2424</f>
        <v>https://resources.simonelectric.com/simon-ebook-vehiculo-electrico</v>
      </c>
      <c r="E2424" s="20" t="str">
        <f t="shared" si="1"/>
        <v>1974@proluxingenieros.com</v>
      </c>
      <c r="F2424" s="21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</row>
    <row r="2425" ht="15.75" customHeight="1">
      <c r="A2425" s="18" t="str">
        <f>Descargas!A2425</f>
        <v>685@climava.com</v>
      </c>
      <c r="B2425" s="19" t="str">
        <f>IFERROR(__xludf.DUMMYFUNCTION("IF(OR(regexmatch(A2425,"".*@simon.es$""),REGEXMATCH(A2425,"".*@simon.pt$""),REGEXMATCH(A2425,"".*@simonelectrica.com$""),REGEXMATCH(A2425,"".*@hiberus.com$""),REGEXMATCH(A2425,"".*@simonbrico.es$""),regexmatch(A2425,"".*@simonelectric.com$"")),""null"",A2"&amp;"425)"),"685@climava.com")</f>
        <v>685@climava.com</v>
      </c>
      <c r="C2425" s="5">
        <f>IF(B2425="null","null",Descargas!B2425)</f>
        <v>43944</v>
      </c>
      <c r="D2425" s="6" t="str">
        <f>Descargas!E2425</f>
        <v>https://resources.simonelectric.com/simon-ebook-vehiculo-electrico</v>
      </c>
      <c r="E2425" s="20" t="str">
        <f t="shared" si="1"/>
        <v>685@climava.com</v>
      </c>
      <c r="F2425" s="21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</row>
    <row r="2426" ht="15.75" customHeight="1">
      <c r="A2426" s="18" t="str">
        <f>Descargas!A2426</f>
        <v>1975@outlook.es</v>
      </c>
      <c r="B2426" s="19" t="str">
        <f>IFERROR(__xludf.DUMMYFUNCTION("IF(OR(regexmatch(A2426,"".*@simon.es$""),REGEXMATCH(A2426,"".*@simon.pt$""),REGEXMATCH(A2426,"".*@simonelectrica.com$""),REGEXMATCH(A2426,"".*@hiberus.com$""),REGEXMATCH(A2426,"".*@simonbrico.es$""),regexmatch(A2426,"".*@simonelectric.com$"")),""null"",A2"&amp;"426)"),"1975@outlook.es")</f>
        <v>1975@outlook.es</v>
      </c>
      <c r="C2426" s="5">
        <f>IF(B2426="null","null",Descargas!B2426)</f>
        <v>43944</v>
      </c>
      <c r="D2426" s="6" t="str">
        <f>Descargas!E2426</f>
        <v>https://resources.simonelectric.com/simon-catalogo-vehiculo-electrico</v>
      </c>
      <c r="E2426" s="20" t="str">
        <f t="shared" si="1"/>
        <v>1975@outlook.es</v>
      </c>
      <c r="F2426" s="21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</row>
    <row r="2427" ht="15.75" customHeight="1">
      <c r="A2427" s="18" t="str">
        <f>Descargas!A2427</f>
        <v>1965@tienda-gasnatural.com</v>
      </c>
      <c r="B2427" s="19" t="str">
        <f>IFERROR(__xludf.DUMMYFUNCTION("IF(OR(regexmatch(A2427,"".*@simon.es$""),REGEXMATCH(A2427,"".*@simon.pt$""),REGEXMATCH(A2427,"".*@simonelectrica.com$""),REGEXMATCH(A2427,"".*@hiberus.com$""),REGEXMATCH(A2427,"".*@simonbrico.es$""),regexmatch(A2427,"".*@simonelectric.com$"")),""null"",A2"&amp;"427)"),"1965@tienda-gasnatural.com")</f>
        <v>1965@tienda-gasnatural.com</v>
      </c>
      <c r="C2427" s="5">
        <f>IF(B2427="null","null",Descargas!B2427)</f>
        <v>43944</v>
      </c>
      <c r="D2427" s="6" t="str">
        <f>Descargas!E2427</f>
        <v>https://resources.simonelectric.com/simon-material-formativo-vehiculo-electrico</v>
      </c>
      <c r="E2427" s="20" t="str">
        <f t="shared" si="1"/>
        <v>1965@tienda-gasnatural.com</v>
      </c>
      <c r="F2427" s="21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</row>
    <row r="2428" ht="15.75" customHeight="1">
      <c r="A2428" s="18" t="str">
        <f>Descargas!A2428</f>
        <v>1859@gmail.com</v>
      </c>
      <c r="B2428" s="19" t="str">
        <f>IFERROR(__xludf.DUMMYFUNCTION("IF(OR(regexmatch(A2428,"".*@simon.es$""),REGEXMATCH(A2428,"".*@simon.pt$""),REGEXMATCH(A2428,"".*@simonelectrica.com$""),REGEXMATCH(A2428,"".*@hiberus.com$""),REGEXMATCH(A2428,"".*@simonbrico.es$""),regexmatch(A2428,"".*@simonelectric.com$"")),""null"",A2"&amp;"428)"),"1859@gmail.com")</f>
        <v>1859@gmail.com</v>
      </c>
      <c r="C2428" s="5">
        <f>IF(B2428="null","null",Descargas!B2428)</f>
        <v>43944</v>
      </c>
      <c r="D2428" s="6" t="str">
        <f>Descargas!E2428</f>
        <v>https://resources.simonelectric.com/simon-material-formativo-vehiculo-electrico</v>
      </c>
      <c r="E2428" s="20" t="str">
        <f t="shared" si="1"/>
        <v>1859@gmail.com</v>
      </c>
      <c r="F2428" s="21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</row>
    <row r="2429" ht="15.75" customHeight="1">
      <c r="A2429" s="18" t="str">
        <f>Descargas!A2429</f>
        <v>1976@electronavia.com</v>
      </c>
      <c r="B2429" s="19" t="str">
        <f>IFERROR(__xludf.DUMMYFUNCTION("IF(OR(regexmatch(A2429,"".*@simon.es$""),REGEXMATCH(A2429,"".*@simon.pt$""),REGEXMATCH(A2429,"".*@simonelectrica.com$""),REGEXMATCH(A2429,"".*@hiberus.com$""),REGEXMATCH(A2429,"".*@simonbrico.es$""),regexmatch(A2429,"".*@simonelectric.com$"")),""null"",A2"&amp;"429)"),"1976@electronavia.com")</f>
        <v>1976@electronavia.com</v>
      </c>
      <c r="C2429" s="5">
        <f>IF(B2429="null","null",Descargas!B2429)</f>
        <v>43944</v>
      </c>
      <c r="D2429" s="6" t="str">
        <f>Descargas!E2429</f>
        <v>https://resources.simonelectric.com/simon-material-formativo-vehiculo-electrico</v>
      </c>
      <c r="E2429" s="20" t="str">
        <f t="shared" si="1"/>
        <v>1976@electronavia.com</v>
      </c>
      <c r="F2429" s="21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</row>
    <row r="2430" ht="15.75" customHeight="1">
      <c r="A2430" s="18" t="str">
        <f>Descargas!A2430</f>
        <v>1884@zuecoingenieria.com</v>
      </c>
      <c r="B2430" s="19" t="str">
        <f>IFERROR(__xludf.DUMMYFUNCTION("IF(OR(regexmatch(A2430,"".*@simon.es$""),REGEXMATCH(A2430,"".*@simon.pt$""),REGEXMATCH(A2430,"".*@simonelectrica.com$""),REGEXMATCH(A2430,"".*@hiberus.com$""),REGEXMATCH(A2430,"".*@simonbrico.es$""),regexmatch(A2430,"".*@simonelectric.com$"")),""null"",A2"&amp;"430)"),"1884@zuecoingenieria.com")</f>
        <v>1884@zuecoingenieria.com</v>
      </c>
      <c r="C2430" s="5">
        <f>IF(B2430="null","null",Descargas!B2430)</f>
        <v>43944</v>
      </c>
      <c r="D2430" s="6" t="str">
        <f>Descargas!E2430</f>
        <v>https://resources.simonelectric.com/simon-material-formativo-vehiculo-electrico</v>
      </c>
      <c r="E2430" s="20" t="str">
        <f t="shared" si="1"/>
        <v>1884@zuecoingenieria.com</v>
      </c>
      <c r="F2430" s="21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</row>
    <row r="2431" ht="15.75" customHeight="1">
      <c r="A2431" s="18" t="str">
        <f>Descargas!A2431</f>
        <v>1036@grupoelectrostocks.com</v>
      </c>
      <c r="B2431" s="19" t="str">
        <f>IFERROR(__xludf.DUMMYFUNCTION("IF(OR(regexmatch(A2431,"".*@simon.es$""),REGEXMATCH(A2431,"".*@simon.pt$""),REGEXMATCH(A2431,"".*@simonelectrica.com$""),REGEXMATCH(A2431,"".*@hiberus.com$""),REGEXMATCH(A2431,"".*@simonbrico.es$""),regexmatch(A2431,"".*@simonelectric.com$"")),""null"",A2"&amp;"431)"),"1036@grupoelectrostocks.com")</f>
        <v>1036@grupoelectrostocks.com</v>
      </c>
      <c r="C2431" s="5">
        <f>IF(B2431="null","null",Descargas!B2431)</f>
        <v>43944</v>
      </c>
      <c r="D2431" s="6" t="str">
        <f>Descargas!E2431</f>
        <v>https://resources.simonelectric.com/simon-ebook-vehiculo-electrico</v>
      </c>
      <c r="E2431" s="20" t="str">
        <f t="shared" si="1"/>
        <v>1036@grupoelectrostocks.com</v>
      </c>
      <c r="F2431" s="21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</row>
    <row r="2432" ht="15.75" customHeight="1">
      <c r="A2432" s="18" t="str">
        <f>Descargas!A2432</f>
        <v>1977@gmail.com</v>
      </c>
      <c r="B2432" s="19" t="str">
        <f>IFERROR(__xludf.DUMMYFUNCTION("IF(OR(regexmatch(A2432,"".*@simon.es$""),REGEXMATCH(A2432,"".*@simon.pt$""),REGEXMATCH(A2432,"".*@simonelectrica.com$""),REGEXMATCH(A2432,"".*@hiberus.com$""),REGEXMATCH(A2432,"".*@simonbrico.es$""),regexmatch(A2432,"".*@simonelectric.com$"")),""null"",A2"&amp;"432)"),"1977@gmail.com")</f>
        <v>1977@gmail.com</v>
      </c>
      <c r="C2432" s="5">
        <f>IF(B2432="null","null",Descargas!B2432)</f>
        <v>43944</v>
      </c>
      <c r="D2432" s="6" t="str">
        <f>Descargas!E2432</f>
        <v>https://resources.simonelectric.com/simon-material-formativo-vehiculo-electrico</v>
      </c>
      <c r="E2432" s="20" t="str">
        <f t="shared" si="1"/>
        <v>1977@gmail.com</v>
      </c>
      <c r="F2432" s="21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</row>
    <row r="2433" ht="15.75" customHeight="1">
      <c r="A2433" s="18" t="str">
        <f>Descargas!A2433</f>
        <v>1978@hotmail.com</v>
      </c>
      <c r="B2433" s="19" t="str">
        <f>IFERROR(__xludf.DUMMYFUNCTION("IF(OR(regexmatch(A2433,"".*@simon.es$""),REGEXMATCH(A2433,"".*@simon.pt$""),REGEXMATCH(A2433,"".*@simonelectrica.com$""),REGEXMATCH(A2433,"".*@hiberus.com$""),REGEXMATCH(A2433,"".*@simonbrico.es$""),regexmatch(A2433,"".*@simonelectric.com$"")),""null"",A2"&amp;"433)"),"1978@hotmail.com")</f>
        <v>1978@hotmail.com</v>
      </c>
      <c r="C2433" s="5">
        <f>IF(B2433="null","null",Descargas!B2433)</f>
        <v>43944</v>
      </c>
      <c r="D2433" s="6" t="str">
        <f>Descargas!E2433</f>
        <v>https://resources.simonelectric.com/simon-ebook-vehiculo-electrico</v>
      </c>
      <c r="E2433" s="20" t="str">
        <f t="shared" si="1"/>
        <v>1978@hotmail.com</v>
      </c>
      <c r="F2433" s="21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</row>
    <row r="2434" ht="15.75" customHeight="1">
      <c r="A2434" s="18" t="str">
        <f>Descargas!A2434</f>
        <v>406@gmail.com</v>
      </c>
      <c r="B2434" s="19" t="str">
        <f>IFERROR(__xludf.DUMMYFUNCTION("IF(OR(regexmatch(A2434,"".*@simon.es$""),REGEXMATCH(A2434,"".*@simon.pt$""),REGEXMATCH(A2434,"".*@simonelectrica.com$""),REGEXMATCH(A2434,"".*@hiberus.com$""),REGEXMATCH(A2434,"".*@simonbrico.es$""),regexmatch(A2434,"".*@simonelectric.com$"")),""null"",A2"&amp;"434)"),"406@gmail.com")</f>
        <v>406@gmail.com</v>
      </c>
      <c r="C2434" s="5">
        <f>IF(B2434="null","null",Descargas!B2434)</f>
        <v>43944</v>
      </c>
      <c r="D2434" s="6" t="str">
        <f>Descargas!E2434</f>
        <v>https://resources.simonelectric.com/simon-material-formativo-vehiculo-electrico</v>
      </c>
      <c r="E2434" s="20" t="str">
        <f t="shared" si="1"/>
        <v>406@gmail.com</v>
      </c>
      <c r="F2434" s="21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</row>
    <row r="2435" ht="15.75" customHeight="1">
      <c r="A2435" s="18" t="str">
        <f>Descargas!A2435</f>
        <v>1866@inrobadajoz.com</v>
      </c>
      <c r="B2435" s="19" t="str">
        <f>IFERROR(__xludf.DUMMYFUNCTION("IF(OR(regexmatch(A2435,"".*@simon.es$""),REGEXMATCH(A2435,"".*@simon.pt$""),REGEXMATCH(A2435,"".*@simonelectrica.com$""),REGEXMATCH(A2435,"".*@hiberus.com$""),REGEXMATCH(A2435,"".*@simonbrico.es$""),regexmatch(A2435,"".*@simonelectric.com$"")),""null"",A2"&amp;"435)"),"1866@inrobadajoz.com")</f>
        <v>1866@inrobadajoz.com</v>
      </c>
      <c r="C2435" s="5">
        <f>IF(B2435="null","null",Descargas!B2435)</f>
        <v>43944</v>
      </c>
      <c r="D2435" s="6" t="str">
        <f>Descargas!E2435</f>
        <v>https://resources.simonelectric.com/simon-material-formativo-vehiculo-electrico</v>
      </c>
      <c r="E2435" s="20" t="str">
        <f t="shared" si="1"/>
        <v>1866@inrobadajoz.com</v>
      </c>
      <c r="F2435" s="21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</row>
    <row r="2436" ht="15.75" customHeight="1">
      <c r="A2436" s="18" t="str">
        <f>Descargas!A2436</f>
        <v>1979@matcas.es</v>
      </c>
      <c r="B2436" s="19" t="str">
        <f>IFERROR(__xludf.DUMMYFUNCTION("IF(OR(regexmatch(A2436,"".*@simon.es$""),REGEXMATCH(A2436,"".*@simon.pt$""),REGEXMATCH(A2436,"".*@simonelectrica.com$""),REGEXMATCH(A2436,"".*@hiberus.com$""),REGEXMATCH(A2436,"".*@simonbrico.es$""),regexmatch(A2436,"".*@simonelectric.com$"")),""null"",A2"&amp;"436)"),"1979@matcas.es")</f>
        <v>1979@matcas.es</v>
      </c>
      <c r="C2436" s="5">
        <f>IF(B2436="null","null",Descargas!B2436)</f>
        <v>43944</v>
      </c>
      <c r="D2436" s="6" t="str">
        <f>Descargas!E2436</f>
        <v>https://resources.simonelectric.com/simon-material-formativo-vehiculo-electrico</v>
      </c>
      <c r="E2436" s="20" t="str">
        <f t="shared" si="1"/>
        <v>1979@matcas.es</v>
      </c>
      <c r="F2436" s="21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</row>
    <row r="2437" ht="15.75" customHeight="1">
      <c r="A2437" s="18" t="str">
        <f>Descargas!A2437</f>
        <v>1980@hotmail.com</v>
      </c>
      <c r="B2437" s="19" t="str">
        <f>IFERROR(__xludf.DUMMYFUNCTION("IF(OR(regexmatch(A2437,"".*@simon.es$""),REGEXMATCH(A2437,"".*@simon.pt$""),REGEXMATCH(A2437,"".*@simonelectrica.com$""),REGEXMATCH(A2437,"".*@hiberus.com$""),REGEXMATCH(A2437,"".*@simonbrico.es$""),regexmatch(A2437,"".*@simonelectric.com$"")),""null"",A2"&amp;"437)"),"1980@hotmail.com")</f>
        <v>1980@hotmail.com</v>
      </c>
      <c r="C2437" s="5">
        <f>IF(B2437="null","null",Descargas!B2437)</f>
        <v>43944</v>
      </c>
      <c r="D2437" s="6" t="str">
        <f>Descargas!E2437</f>
        <v>https://resources.simonelectric.com/simon-material-formativo-vehiculo-electrico</v>
      </c>
      <c r="E2437" s="20" t="str">
        <f t="shared" si="1"/>
        <v>1980@hotmail.com</v>
      </c>
      <c r="F2437" s="21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</row>
    <row r="2438" ht="15.75" customHeight="1">
      <c r="A2438" s="18" t="str">
        <f>Descargas!A2438</f>
        <v>1970@electrificacionesparra.es</v>
      </c>
      <c r="B2438" s="19" t="str">
        <f>IFERROR(__xludf.DUMMYFUNCTION("IF(OR(regexmatch(A2438,"".*@simon.es$""),REGEXMATCH(A2438,"".*@simon.pt$""),REGEXMATCH(A2438,"".*@simonelectrica.com$""),REGEXMATCH(A2438,"".*@hiberus.com$""),REGEXMATCH(A2438,"".*@simonbrico.es$""),regexmatch(A2438,"".*@simonelectric.com$"")),""null"",A2"&amp;"438)"),"1970@electrificacionesparra.es")</f>
        <v>1970@electrificacionesparra.es</v>
      </c>
      <c r="C2438" s="5">
        <f>IF(B2438="null","null",Descargas!B2438)</f>
        <v>43944</v>
      </c>
      <c r="D2438" s="6" t="str">
        <f>Descargas!E2438</f>
        <v>https://resources.simonelectric.com/simon-material-formativo-vehiculo-electrico</v>
      </c>
      <c r="E2438" s="20" t="str">
        <f t="shared" si="1"/>
        <v>1970@electrificacionesparra.es</v>
      </c>
      <c r="F2438" s="21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</row>
    <row r="2439" ht="15.75" customHeight="1">
      <c r="A2439" s="18" t="str">
        <f>Descargas!A2439</f>
        <v>1327@tinet.org</v>
      </c>
      <c r="B2439" s="19" t="str">
        <f>IFERROR(__xludf.DUMMYFUNCTION("IF(OR(regexmatch(A2439,"".*@simon.es$""),REGEXMATCH(A2439,"".*@simon.pt$""),REGEXMATCH(A2439,"".*@simonelectrica.com$""),REGEXMATCH(A2439,"".*@hiberus.com$""),REGEXMATCH(A2439,"".*@simonbrico.es$""),regexmatch(A2439,"".*@simonelectric.com$"")),""null"",A2"&amp;"439)"),"1327@tinet.org")</f>
        <v>1327@tinet.org</v>
      </c>
      <c r="C2439" s="5">
        <f>IF(B2439="null","null",Descargas!B2439)</f>
        <v>43944</v>
      </c>
      <c r="D2439" s="6" t="str">
        <f>Descargas!E2439</f>
        <v>https://resources.simonelectric.com/simon-material-formativo-vehiculo-electrico</v>
      </c>
      <c r="E2439" s="20" t="str">
        <f t="shared" si="1"/>
        <v>1327@tinet.org</v>
      </c>
      <c r="F2439" s="21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</row>
    <row r="2440" ht="15.75" customHeight="1">
      <c r="A2440" s="18" t="str">
        <f>Descargas!A2440</f>
        <v>1981@gmail.com</v>
      </c>
      <c r="B2440" s="19" t="str">
        <f>IFERROR(__xludf.DUMMYFUNCTION("IF(OR(regexmatch(A2440,"".*@simon.es$""),REGEXMATCH(A2440,"".*@simon.pt$""),REGEXMATCH(A2440,"".*@simonelectrica.com$""),REGEXMATCH(A2440,"".*@hiberus.com$""),REGEXMATCH(A2440,"".*@simonbrico.es$""),regexmatch(A2440,"".*@simonelectric.com$"")),""null"",A2"&amp;"440)"),"1981@gmail.com")</f>
        <v>1981@gmail.com</v>
      </c>
      <c r="C2440" s="5">
        <f>IF(B2440="null","null",Descargas!B2440)</f>
        <v>43944</v>
      </c>
      <c r="D2440" s="6" t="str">
        <f>Descargas!E2440</f>
        <v>https://resources.simonelectric.com/simon-material-formativo-vehiculo-electrico</v>
      </c>
      <c r="E2440" s="20" t="str">
        <f t="shared" si="1"/>
        <v>1981@gmail.com</v>
      </c>
      <c r="F2440" s="21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</row>
    <row r="2441" ht="15.75" customHeight="1">
      <c r="A2441" s="18" t="str">
        <f>Descargas!A2441</f>
        <v>1883@adingenieros.es</v>
      </c>
      <c r="B2441" s="19" t="str">
        <f>IFERROR(__xludf.DUMMYFUNCTION("IF(OR(regexmatch(A2441,"".*@simon.es$""),REGEXMATCH(A2441,"".*@simon.pt$""),REGEXMATCH(A2441,"".*@simonelectrica.com$""),REGEXMATCH(A2441,"".*@hiberus.com$""),REGEXMATCH(A2441,"".*@simonbrico.es$""),regexmatch(A2441,"".*@simonelectric.com$"")),""null"",A2"&amp;"441)"),"1883@adingenieros.es")</f>
        <v>1883@adingenieros.es</v>
      </c>
      <c r="C2441" s="5">
        <f>IF(B2441="null","null",Descargas!B2441)</f>
        <v>43944</v>
      </c>
      <c r="D2441" s="6" t="str">
        <f>Descargas!E2441</f>
        <v>https://resources.simonelectric.com/simon-material-formativo-vehiculo-electrico</v>
      </c>
      <c r="E2441" s="20" t="str">
        <f t="shared" si="1"/>
        <v>1883@adingenieros.es</v>
      </c>
      <c r="F2441" s="21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</row>
    <row r="2442" ht="15.75" customHeight="1">
      <c r="A2442" s="18" t="str">
        <f>Descargas!A2442</f>
        <v>1877@gmail.com</v>
      </c>
      <c r="B2442" s="19" t="str">
        <f>IFERROR(__xludf.DUMMYFUNCTION("IF(OR(regexmatch(A2442,"".*@simon.es$""),REGEXMATCH(A2442,"".*@simon.pt$""),REGEXMATCH(A2442,"".*@simonelectrica.com$""),REGEXMATCH(A2442,"".*@hiberus.com$""),REGEXMATCH(A2442,"".*@simonbrico.es$""),regexmatch(A2442,"".*@simonelectric.com$"")),""null"",A2"&amp;"442)"),"1877@gmail.com")</f>
        <v>1877@gmail.com</v>
      </c>
      <c r="C2442" s="5">
        <f>IF(B2442="null","null",Descargas!B2442)</f>
        <v>43944</v>
      </c>
      <c r="D2442" s="6" t="str">
        <f>Descargas!E2442</f>
        <v>https://resources.simonelectric.com/simon-material-formativo-vehiculo-electrico</v>
      </c>
      <c r="E2442" s="20" t="str">
        <f t="shared" si="1"/>
        <v>1877@gmail.com</v>
      </c>
      <c r="F2442" s="21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</row>
    <row r="2443" ht="15.75" customHeight="1">
      <c r="A2443" s="18" t="str">
        <f>Descargas!A2443</f>
        <v>1982@hotmail.com</v>
      </c>
      <c r="B2443" s="19" t="str">
        <f>IFERROR(__xludf.DUMMYFUNCTION("IF(OR(regexmatch(A2443,"".*@simon.es$""),REGEXMATCH(A2443,"".*@simon.pt$""),REGEXMATCH(A2443,"".*@simonelectrica.com$""),REGEXMATCH(A2443,"".*@hiberus.com$""),REGEXMATCH(A2443,"".*@simonbrico.es$""),regexmatch(A2443,"".*@simonelectric.com$"")),""null"",A2"&amp;"443)"),"1982@hotmail.com")</f>
        <v>1982@hotmail.com</v>
      </c>
      <c r="C2443" s="5">
        <f>IF(B2443="null","null",Descargas!B2443)</f>
        <v>43944</v>
      </c>
      <c r="D2443" s="6" t="str">
        <f>Descargas!E2443</f>
        <v>https://resources.simonelectric.com/simon-material-formativo-vehiculo-electrico</v>
      </c>
      <c r="E2443" s="20" t="str">
        <f t="shared" si="1"/>
        <v>1982@hotmail.com</v>
      </c>
      <c r="F2443" s="21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</row>
    <row r="2444" ht="15.75" customHeight="1">
      <c r="A2444" s="18" t="str">
        <f>Descargas!A2444</f>
        <v>1881@simon.es</v>
      </c>
      <c r="B2444" s="19" t="str">
        <f>IFERROR(__xludf.DUMMYFUNCTION("IF(OR(regexmatch(A2444,"".*@simon.es$""),REGEXMATCH(A2444,"".*@simon.pt$""),REGEXMATCH(A2444,"".*@simonelectrica.com$""),REGEXMATCH(A2444,"".*@hiberus.com$""),REGEXMATCH(A2444,"".*@simonbrico.es$""),regexmatch(A2444,"".*@simonelectric.com$"")),""null"",A2"&amp;"444)"),"null")</f>
        <v>null</v>
      </c>
      <c r="C2444" s="5" t="str">
        <f>IF(B2444="null","null",Descargas!B2444)</f>
        <v>null</v>
      </c>
      <c r="D2444" s="6" t="str">
        <f>Descargas!E2444</f>
        <v>https://resources.simonelectric.com/simon-material-formativo-vehiculo-electrico</v>
      </c>
      <c r="E2444" s="24" t="str">
        <f t="shared" si="1"/>
        <v/>
      </c>
      <c r="F2444" s="21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</row>
    <row r="2445" ht="15.75" customHeight="1">
      <c r="A2445" s="18" t="str">
        <f>Descargas!A2445</f>
        <v>1983@suno.cat</v>
      </c>
      <c r="B2445" s="19" t="str">
        <f>IFERROR(__xludf.DUMMYFUNCTION("IF(OR(regexmatch(A2445,"".*@simon.es$""),REGEXMATCH(A2445,"".*@simon.pt$""),REGEXMATCH(A2445,"".*@simonelectrica.com$""),REGEXMATCH(A2445,"".*@hiberus.com$""),REGEXMATCH(A2445,"".*@simonbrico.es$""),regexmatch(A2445,"".*@simonelectric.com$"")),""null"",A2"&amp;"445)"),"1983@suno.cat")</f>
        <v>1983@suno.cat</v>
      </c>
      <c r="C2445" s="5">
        <f>IF(B2445="null","null",Descargas!B2445)</f>
        <v>43944</v>
      </c>
      <c r="D2445" s="6" t="str">
        <f>Descargas!E2445</f>
        <v>https://resources.simonelectric.com/simon-material-formativo-vehiculo-electrico</v>
      </c>
      <c r="E2445" s="20" t="str">
        <f t="shared" si="1"/>
        <v>1983@suno.cat</v>
      </c>
      <c r="F2445" s="21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</row>
    <row r="2446" ht="15.75" customHeight="1">
      <c r="A2446" s="18" t="str">
        <f>Descargas!A2446</f>
        <v>1984@hotmail.com</v>
      </c>
      <c r="B2446" s="19" t="str">
        <f>IFERROR(__xludf.DUMMYFUNCTION("IF(OR(regexmatch(A2446,"".*@simon.es$""),REGEXMATCH(A2446,"".*@simon.pt$""),REGEXMATCH(A2446,"".*@simonelectrica.com$""),REGEXMATCH(A2446,"".*@hiberus.com$""),REGEXMATCH(A2446,"".*@simonbrico.es$""),regexmatch(A2446,"".*@simonelectric.com$"")),""null"",A2"&amp;"446)"),"1984@hotmail.com")</f>
        <v>1984@hotmail.com</v>
      </c>
      <c r="C2446" s="5">
        <f>IF(B2446="null","null",Descargas!B2446)</f>
        <v>43944</v>
      </c>
      <c r="D2446" s="6" t="str">
        <f>Descargas!E2446</f>
        <v>https://resources.simonelectric.com/simon-material-formativo-vehiculo-electrico</v>
      </c>
      <c r="E2446" s="20" t="str">
        <f t="shared" si="1"/>
        <v>1984@hotmail.com</v>
      </c>
      <c r="F2446" s="21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</row>
    <row r="2447" ht="15.75" customHeight="1">
      <c r="A2447" s="18" t="str">
        <f>Descargas!A2447</f>
        <v>1971@tienda-gasnatural.com</v>
      </c>
      <c r="B2447" s="19" t="str">
        <f>IFERROR(__xludf.DUMMYFUNCTION("IF(OR(regexmatch(A2447,"".*@simon.es$""),REGEXMATCH(A2447,"".*@simon.pt$""),REGEXMATCH(A2447,"".*@simonelectrica.com$""),REGEXMATCH(A2447,"".*@hiberus.com$""),REGEXMATCH(A2447,"".*@simonbrico.es$""),regexmatch(A2447,"".*@simonelectric.com$"")),""null"",A2"&amp;"447)"),"1971@tienda-gasnatural.com")</f>
        <v>1971@tienda-gasnatural.com</v>
      </c>
      <c r="C2447" s="5">
        <f>IF(B2447="null","null",Descargas!B2447)</f>
        <v>43944</v>
      </c>
      <c r="D2447" s="6" t="str">
        <f>Descargas!E2447</f>
        <v>https://resources.simonelectric.com/simon-material-formativo-vehiculo-electrico</v>
      </c>
      <c r="E2447" s="20" t="str">
        <f t="shared" si="1"/>
        <v>1971@tienda-gasnatural.com</v>
      </c>
      <c r="F2447" s="21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</row>
    <row r="2448" ht="15.75" customHeight="1">
      <c r="A2448" s="18" t="str">
        <f>Descargas!A2448</f>
        <v>1985@tinet.org</v>
      </c>
      <c r="B2448" s="19" t="str">
        <f>IFERROR(__xludf.DUMMYFUNCTION("IF(OR(regexmatch(A2448,"".*@simon.es$""),REGEXMATCH(A2448,"".*@simon.pt$""),REGEXMATCH(A2448,"".*@simonelectrica.com$""),REGEXMATCH(A2448,"".*@hiberus.com$""),REGEXMATCH(A2448,"".*@simonbrico.es$""),regexmatch(A2448,"".*@simonelectric.com$"")),""null"",A2"&amp;"448)"),"1985@tinet.org")</f>
        <v>1985@tinet.org</v>
      </c>
      <c r="C2448" s="5">
        <f>IF(B2448="null","null",Descargas!B2448)</f>
        <v>43944</v>
      </c>
      <c r="D2448" s="6" t="str">
        <f>Descargas!E2448</f>
        <v>https://resources.simonelectric.com/simon-material-formativo-vehiculo-electrico</v>
      </c>
      <c r="E2448" s="20" t="str">
        <f t="shared" si="1"/>
        <v>1985@tinet.org</v>
      </c>
      <c r="F2448" s="21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</row>
    <row r="2449" ht="15.75" customHeight="1">
      <c r="A2449" s="18" t="str">
        <f>Descargas!A2449</f>
        <v>1786@simon.es</v>
      </c>
      <c r="B2449" s="19" t="str">
        <f>IFERROR(__xludf.DUMMYFUNCTION("IF(OR(regexmatch(A2449,"".*@simon.es$""),REGEXMATCH(A2449,"".*@simon.pt$""),REGEXMATCH(A2449,"".*@simonelectrica.com$""),REGEXMATCH(A2449,"".*@hiberus.com$""),REGEXMATCH(A2449,"".*@simonbrico.es$""),regexmatch(A2449,"".*@simonelectric.com$"")),""null"",A2"&amp;"449)"),"null")</f>
        <v>null</v>
      </c>
      <c r="C2449" s="5" t="str">
        <f>IF(B2449="null","null",Descargas!B2449)</f>
        <v>null</v>
      </c>
      <c r="D2449" s="6" t="str">
        <f>Descargas!E2449</f>
        <v>https://resources.simonelectric.com/simon-material-formativo-vehiculo-electrico</v>
      </c>
      <c r="E2449" s="24" t="str">
        <f t="shared" si="1"/>
        <v/>
      </c>
      <c r="F2449" s="21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</row>
    <row r="2450" ht="15.75" customHeight="1">
      <c r="A2450" s="18" t="str">
        <f>Descargas!A2450</f>
        <v>1986@martipala.com</v>
      </c>
      <c r="B2450" s="19" t="str">
        <f>IFERROR(__xludf.DUMMYFUNCTION("IF(OR(regexmatch(A2450,"".*@simon.es$""),REGEXMATCH(A2450,"".*@simon.pt$""),REGEXMATCH(A2450,"".*@simonelectrica.com$""),REGEXMATCH(A2450,"".*@hiberus.com$""),REGEXMATCH(A2450,"".*@simonbrico.es$""),regexmatch(A2450,"".*@simonelectric.com$"")),""null"",A2"&amp;"450)"),"1986@martipala.com")</f>
        <v>1986@martipala.com</v>
      </c>
      <c r="C2450" s="5">
        <f>IF(B2450="null","null",Descargas!B2450)</f>
        <v>43944</v>
      </c>
      <c r="D2450" s="6" t="str">
        <f>Descargas!E2450</f>
        <v>https://resources.simonelectric.com/simon-material-formativo-vehiculo-electrico</v>
      </c>
      <c r="E2450" s="20" t="str">
        <f t="shared" si="1"/>
        <v>1986@martipala.com</v>
      </c>
      <c r="F2450" s="21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</row>
    <row r="2451" ht="15.75" customHeight="1">
      <c r="A2451" s="18" t="str">
        <f>Descargas!A2451</f>
        <v>1987@simon.es</v>
      </c>
      <c r="B2451" s="19" t="str">
        <f>IFERROR(__xludf.DUMMYFUNCTION("IF(OR(regexmatch(A2451,"".*@simon.es$""),REGEXMATCH(A2451,"".*@simon.pt$""),REGEXMATCH(A2451,"".*@simonelectrica.com$""),REGEXMATCH(A2451,"".*@hiberus.com$""),REGEXMATCH(A2451,"".*@simonbrico.es$""),regexmatch(A2451,"".*@simonelectric.com$"")),""null"",A2"&amp;"451)"),"null")</f>
        <v>null</v>
      </c>
      <c r="C2451" s="5" t="str">
        <f>IF(B2451="null","null",Descargas!B2451)</f>
        <v>null</v>
      </c>
      <c r="D2451" s="6" t="str">
        <f>Descargas!E2451</f>
        <v>https://resources.simonelectric.com/simon-material-formativo-vehiculo-electrico</v>
      </c>
      <c r="E2451" s="24" t="str">
        <f t="shared" si="1"/>
        <v/>
      </c>
      <c r="F2451" s="21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</row>
    <row r="2452" ht="15.75" customHeight="1">
      <c r="A2452" s="18" t="str">
        <f>Descargas!A2452</f>
        <v>1988@lusorede.pt</v>
      </c>
      <c r="B2452" s="19" t="str">
        <f>IFERROR(__xludf.DUMMYFUNCTION("IF(OR(regexmatch(A2452,"".*@simon.es$""),REGEXMATCH(A2452,"".*@simon.pt$""),REGEXMATCH(A2452,"".*@simonelectrica.com$""),REGEXMATCH(A2452,"".*@hiberus.com$""),REGEXMATCH(A2452,"".*@simonbrico.es$""),regexmatch(A2452,"".*@simonelectric.com$"")),""null"",A2"&amp;"452)"),"1988@lusorede.pt")</f>
        <v>1988@lusorede.pt</v>
      </c>
      <c r="C2452" s="5">
        <f>IF(B2452="null","null",Descargas!B2452)</f>
        <v>43944</v>
      </c>
      <c r="D2452" s="6" t="str">
        <f>Descargas!E2452</f>
        <v>https://resources.simonelectric.com/simon-material-formativo-vehiculo-electrico</v>
      </c>
      <c r="E2452" s="20" t="str">
        <f t="shared" si="1"/>
        <v>1988@lusorede.pt</v>
      </c>
      <c r="F2452" s="21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</row>
    <row r="2453" ht="15.75" customHeight="1">
      <c r="A2453" s="18" t="str">
        <f>Descargas!A2453</f>
        <v>1859@gmail.com</v>
      </c>
      <c r="B2453" s="19" t="str">
        <f>IFERROR(__xludf.DUMMYFUNCTION("IF(OR(regexmatch(A2453,"".*@simon.es$""),REGEXMATCH(A2453,"".*@simon.pt$""),REGEXMATCH(A2453,"".*@simonelectrica.com$""),REGEXMATCH(A2453,"".*@hiberus.com$""),REGEXMATCH(A2453,"".*@simonbrico.es$""),regexmatch(A2453,"".*@simonelectric.com$"")),""null"",A2"&amp;"453)"),"1859@gmail.com")</f>
        <v>1859@gmail.com</v>
      </c>
      <c r="C2453" s="5">
        <f>IF(B2453="null","null",Descargas!B2453)</f>
        <v>43944</v>
      </c>
      <c r="D2453" s="6" t="str">
        <f>Descargas!E2453</f>
        <v>https://resources.simonelectric.com/simon-material-formativo-vehiculo-electrico</v>
      </c>
      <c r="E2453" s="20" t="str">
        <f t="shared" si="1"/>
        <v>1859@gmail.com</v>
      </c>
      <c r="F2453" s="21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</row>
    <row r="2454" ht="15.75" customHeight="1">
      <c r="A2454" s="18" t="str">
        <f>Descargas!A2454</f>
        <v>1883@adingenieros.es</v>
      </c>
      <c r="B2454" s="19" t="str">
        <f>IFERROR(__xludf.DUMMYFUNCTION("IF(OR(regexmatch(A2454,"".*@simon.es$""),REGEXMATCH(A2454,"".*@simon.pt$""),REGEXMATCH(A2454,"".*@simonelectrica.com$""),REGEXMATCH(A2454,"".*@hiberus.com$""),REGEXMATCH(A2454,"".*@simonbrico.es$""),regexmatch(A2454,"".*@simonelectric.com$"")),""null"",A2"&amp;"454)"),"1883@adingenieros.es")</f>
        <v>1883@adingenieros.es</v>
      </c>
      <c r="C2454" s="5">
        <f>IF(B2454="null","null",Descargas!B2454)</f>
        <v>43944</v>
      </c>
      <c r="D2454" s="6" t="str">
        <f>Descargas!E2454</f>
        <v>https://resources.simonelectric.com/simon-material-formativo-vehiculo-electrico</v>
      </c>
      <c r="E2454" s="20" t="str">
        <f t="shared" si="1"/>
        <v>1883@adingenieros.es</v>
      </c>
      <c r="F2454" s="21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</row>
    <row r="2455" ht="15.75" customHeight="1">
      <c r="A2455" s="18" t="str">
        <f>Descargas!A2455</f>
        <v>1989@elecdomo.com</v>
      </c>
      <c r="B2455" s="19" t="str">
        <f>IFERROR(__xludf.DUMMYFUNCTION("IF(OR(regexmatch(A2455,"".*@simon.es$""),REGEXMATCH(A2455,"".*@simon.pt$""),REGEXMATCH(A2455,"".*@simonelectrica.com$""),REGEXMATCH(A2455,"".*@hiberus.com$""),REGEXMATCH(A2455,"".*@simonbrico.es$""),regexmatch(A2455,"".*@simonelectric.com$"")),""null"",A2"&amp;"455)"),"1989@elecdomo.com")</f>
        <v>1989@elecdomo.com</v>
      </c>
      <c r="C2455" s="5">
        <f>IF(B2455="null","null",Descargas!B2455)</f>
        <v>43944</v>
      </c>
      <c r="D2455" s="6" t="str">
        <f>Descargas!E2455</f>
        <v>https://resources.simonelectric.com/simon-material-formativo-vehiculo-electrico</v>
      </c>
      <c r="E2455" s="20" t="str">
        <f t="shared" si="1"/>
        <v>1989@elecdomo.com</v>
      </c>
      <c r="F2455" s="21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</row>
    <row r="2456" ht="15.75" customHeight="1">
      <c r="A2456" s="18" t="str">
        <f>Descargas!A2456</f>
        <v>1990@gmail.com</v>
      </c>
      <c r="B2456" s="19" t="str">
        <f>IFERROR(__xludf.DUMMYFUNCTION("IF(OR(regexmatch(A2456,"".*@simon.es$""),REGEXMATCH(A2456,"".*@simon.pt$""),REGEXMATCH(A2456,"".*@simonelectrica.com$""),REGEXMATCH(A2456,"".*@hiberus.com$""),REGEXMATCH(A2456,"".*@simonbrico.es$""),regexmatch(A2456,"".*@simonelectric.com$"")),""null"",A2"&amp;"456)"),"1990@gmail.com")</f>
        <v>1990@gmail.com</v>
      </c>
      <c r="C2456" s="5">
        <f>IF(B2456="null","null",Descargas!B2456)</f>
        <v>43944</v>
      </c>
      <c r="D2456" s="6" t="str">
        <f>Descargas!E2456</f>
        <v>https://resources.simonelectric.com/simon-material-formativo-vehiculo-electrico</v>
      </c>
      <c r="E2456" s="20" t="str">
        <f t="shared" si="1"/>
        <v>1990@gmail.com</v>
      </c>
      <c r="F2456" s="21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</row>
    <row r="2457" ht="15.75" customHeight="1">
      <c r="A2457" s="18" t="str">
        <f>Descargas!A2457</f>
        <v>1991@gmail.com</v>
      </c>
      <c r="B2457" s="19" t="str">
        <f>IFERROR(__xludf.DUMMYFUNCTION("IF(OR(regexmatch(A2457,"".*@simon.es$""),REGEXMATCH(A2457,"".*@simon.pt$""),REGEXMATCH(A2457,"".*@simonelectrica.com$""),REGEXMATCH(A2457,"".*@hiberus.com$""),REGEXMATCH(A2457,"".*@simonbrico.es$""),regexmatch(A2457,"".*@simonelectric.com$"")),""null"",A2"&amp;"457)"),"1991@gmail.com")</f>
        <v>1991@gmail.com</v>
      </c>
      <c r="C2457" s="5">
        <f>IF(B2457="null","null",Descargas!B2457)</f>
        <v>43944</v>
      </c>
      <c r="D2457" s="6" t="str">
        <f>Descargas!E2457</f>
        <v>https://resources.simonelectric.com/simon-material-formativo-vehiculo-electrico</v>
      </c>
      <c r="E2457" s="20" t="str">
        <f t="shared" si="1"/>
        <v>1991@gmail.com</v>
      </c>
      <c r="F2457" s="21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</row>
    <row r="2458" ht="15.75" customHeight="1">
      <c r="A2458" s="18" t="str">
        <f>Descargas!A2458</f>
        <v>1748@salesianosatocha.es</v>
      </c>
      <c r="B2458" s="19" t="str">
        <f>IFERROR(__xludf.DUMMYFUNCTION("IF(OR(regexmatch(A2458,"".*@simon.es$""),REGEXMATCH(A2458,"".*@simon.pt$""),REGEXMATCH(A2458,"".*@simonelectrica.com$""),REGEXMATCH(A2458,"".*@hiberus.com$""),REGEXMATCH(A2458,"".*@simonbrico.es$""),regexmatch(A2458,"".*@simonelectric.com$"")),""null"",A2"&amp;"458)"),"1748@salesianosatocha.es")</f>
        <v>1748@salesianosatocha.es</v>
      </c>
      <c r="C2458" s="5">
        <f>IF(B2458="null","null",Descargas!B2458)</f>
        <v>43944</v>
      </c>
      <c r="D2458" s="6" t="str">
        <f>Descargas!E2458</f>
        <v>https://resources.simonelectric.com/simon-material-formativo-vehiculo-electrico</v>
      </c>
      <c r="E2458" s="20" t="str">
        <f t="shared" si="1"/>
        <v>1748@salesianosatocha.es</v>
      </c>
      <c r="F2458" s="21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</row>
    <row r="2459" ht="15.75" customHeight="1">
      <c r="A2459" s="18" t="str">
        <f>Descargas!A2459</f>
        <v>1992@proecoingenieria.com</v>
      </c>
      <c r="B2459" s="19" t="str">
        <f>IFERROR(__xludf.DUMMYFUNCTION("IF(OR(regexmatch(A2459,"".*@simon.es$""),REGEXMATCH(A2459,"".*@simon.pt$""),REGEXMATCH(A2459,"".*@simonelectrica.com$""),REGEXMATCH(A2459,"".*@hiberus.com$""),REGEXMATCH(A2459,"".*@simonbrico.es$""),regexmatch(A2459,"".*@simonelectric.com$"")),""null"",A2"&amp;"459)"),"1992@proecoingenieria.com")</f>
        <v>1992@proecoingenieria.com</v>
      </c>
      <c r="C2459" s="5">
        <f>IF(B2459="null","null",Descargas!B2459)</f>
        <v>43944</v>
      </c>
      <c r="D2459" s="6" t="str">
        <f>Descargas!E2459</f>
        <v>https://resources.simonelectric.com/simon-material-formativo-vehiculo-electrico</v>
      </c>
      <c r="E2459" s="20" t="str">
        <f t="shared" si="1"/>
        <v>1992@proecoingenieria.com</v>
      </c>
      <c r="F2459" s="21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</row>
    <row r="2460" ht="15.75" customHeight="1">
      <c r="A2460" s="18" t="str">
        <f>Descargas!A2460</f>
        <v>1986@martipala.com</v>
      </c>
      <c r="B2460" s="19" t="str">
        <f>IFERROR(__xludf.DUMMYFUNCTION("IF(OR(regexmatch(A2460,"".*@simon.es$""),REGEXMATCH(A2460,"".*@simon.pt$""),REGEXMATCH(A2460,"".*@simonelectrica.com$""),REGEXMATCH(A2460,"".*@hiberus.com$""),REGEXMATCH(A2460,"".*@simonbrico.es$""),regexmatch(A2460,"".*@simonelectric.com$"")),""null"",A2"&amp;"460)"),"1986@martipala.com")</f>
        <v>1986@martipala.com</v>
      </c>
      <c r="C2460" s="5">
        <f>IF(B2460="null","null",Descargas!B2460)</f>
        <v>43944</v>
      </c>
      <c r="D2460" s="6" t="str">
        <f>Descargas!E2460</f>
        <v>https://resources.simonelectric.com/simon-material-formativo-vehiculo-electrico</v>
      </c>
      <c r="E2460" s="20" t="str">
        <f t="shared" si="1"/>
        <v>1986@martipala.com</v>
      </c>
      <c r="F2460" s="21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</row>
    <row r="2461" ht="15.75" customHeight="1">
      <c r="A2461" s="18" t="str">
        <f>Descargas!A2461</f>
        <v>1881@simon.es</v>
      </c>
      <c r="B2461" s="19" t="str">
        <f>IFERROR(__xludf.DUMMYFUNCTION("IF(OR(regexmatch(A2461,"".*@simon.es$""),REGEXMATCH(A2461,"".*@simon.pt$""),REGEXMATCH(A2461,"".*@simonelectrica.com$""),REGEXMATCH(A2461,"".*@hiberus.com$""),REGEXMATCH(A2461,"".*@simonbrico.es$""),regexmatch(A2461,"".*@simonelectric.com$"")),""null"",A2"&amp;"461)"),"null")</f>
        <v>null</v>
      </c>
      <c r="C2461" s="5" t="str">
        <f>IF(B2461="null","null",Descargas!B2461)</f>
        <v>null</v>
      </c>
      <c r="D2461" s="6" t="str">
        <f>Descargas!E2461</f>
        <v>https://resources.simonelectric.com/simon-material-formativo-vehiculo-electrico</v>
      </c>
      <c r="E2461" s="24" t="str">
        <f t="shared" si="1"/>
        <v/>
      </c>
      <c r="F2461" s="21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</row>
    <row r="2462" ht="15.75" customHeight="1">
      <c r="A2462" s="18" t="str">
        <f>Descargas!A2462</f>
        <v>1990@gmail.com</v>
      </c>
      <c r="B2462" s="19" t="str">
        <f>IFERROR(__xludf.DUMMYFUNCTION("IF(OR(regexmatch(A2462,"".*@simon.es$""),REGEXMATCH(A2462,"".*@simon.pt$""),REGEXMATCH(A2462,"".*@simonelectrica.com$""),REGEXMATCH(A2462,"".*@hiberus.com$""),REGEXMATCH(A2462,"".*@simonbrico.es$""),regexmatch(A2462,"".*@simonelectric.com$"")),""null"",A2"&amp;"462)"),"1990@gmail.com")</f>
        <v>1990@gmail.com</v>
      </c>
      <c r="C2462" s="5">
        <f>IF(B2462="null","null",Descargas!B2462)</f>
        <v>43944</v>
      </c>
      <c r="D2462" s="6" t="str">
        <f>Descargas!E2462</f>
        <v>https://resources.simonelectric.com/simon-material-formativo-vehiculo-electrico</v>
      </c>
      <c r="E2462" s="20" t="str">
        <f t="shared" si="1"/>
        <v>1990@gmail.com</v>
      </c>
      <c r="F2462" s="21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</row>
    <row r="2463" ht="15.75" customHeight="1">
      <c r="A2463" s="18" t="str">
        <f>Descargas!A2463</f>
        <v>1993@simon.es</v>
      </c>
      <c r="B2463" s="19" t="str">
        <f>IFERROR(__xludf.DUMMYFUNCTION("IF(OR(regexmatch(A2463,"".*@simon.es$""),REGEXMATCH(A2463,"".*@simon.pt$""),REGEXMATCH(A2463,"".*@simonelectrica.com$""),REGEXMATCH(A2463,"".*@hiberus.com$""),REGEXMATCH(A2463,"".*@simonbrico.es$""),regexmatch(A2463,"".*@simonelectric.com$"")),""null"",A2"&amp;"463)"),"null")</f>
        <v>null</v>
      </c>
      <c r="C2463" s="5" t="str">
        <f>IF(B2463="null","null",Descargas!B2463)</f>
        <v>null</v>
      </c>
      <c r="D2463" s="6" t="str">
        <f>Descargas!E2463</f>
        <v>https://resources.simonelectric.com/simon-material-formativo-vehiculo-electrico</v>
      </c>
      <c r="E2463" s="24" t="str">
        <f t="shared" si="1"/>
        <v/>
      </c>
      <c r="F2463" s="21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</row>
    <row r="2464" ht="15.75" customHeight="1">
      <c r="A2464" s="18" t="str">
        <f>Descargas!A2464</f>
        <v>1982@hotmail.com</v>
      </c>
      <c r="B2464" s="19" t="str">
        <f>IFERROR(__xludf.DUMMYFUNCTION("IF(OR(regexmatch(A2464,"".*@simon.es$""),REGEXMATCH(A2464,"".*@simon.pt$""),REGEXMATCH(A2464,"".*@simonelectrica.com$""),REGEXMATCH(A2464,"".*@hiberus.com$""),REGEXMATCH(A2464,"".*@simonbrico.es$""),regexmatch(A2464,"".*@simonelectric.com$"")),""null"",A2"&amp;"464)"),"1982@hotmail.com")</f>
        <v>1982@hotmail.com</v>
      </c>
      <c r="C2464" s="5">
        <f>IF(B2464="null","null",Descargas!B2464)</f>
        <v>43944</v>
      </c>
      <c r="D2464" s="6" t="str">
        <f>Descargas!E2464</f>
        <v>https://resources.simonelectric.com/simon-material-formativo-vehiculo-electrico</v>
      </c>
      <c r="E2464" s="20" t="str">
        <f t="shared" si="1"/>
        <v>1982@hotmail.com</v>
      </c>
      <c r="F2464" s="21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</row>
    <row r="2465" ht="15.75" customHeight="1">
      <c r="A2465" s="18" t="str">
        <f>Descargas!A2465</f>
        <v>1994@gmail.com</v>
      </c>
      <c r="B2465" s="19" t="str">
        <f>IFERROR(__xludf.DUMMYFUNCTION("IF(OR(regexmatch(A2465,"".*@simon.es$""),REGEXMATCH(A2465,"".*@simon.pt$""),REGEXMATCH(A2465,"".*@simonelectrica.com$""),REGEXMATCH(A2465,"".*@hiberus.com$""),REGEXMATCH(A2465,"".*@simonbrico.es$""),regexmatch(A2465,"".*@simonelectric.com$"")),""null"",A2"&amp;"465)"),"1994@gmail.com")</f>
        <v>1994@gmail.com</v>
      </c>
      <c r="C2465" s="5">
        <f>IF(B2465="null","null",Descargas!B2465)</f>
        <v>43944</v>
      </c>
      <c r="D2465" s="6" t="str">
        <f>Descargas!E2465</f>
        <v>https://resources.simonelectric.com/simon-material-formativo-vehiculo-electrico</v>
      </c>
      <c r="E2465" s="20" t="str">
        <f t="shared" si="1"/>
        <v>1994@gmail.com</v>
      </c>
      <c r="F2465" s="21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</row>
    <row r="2466" ht="15.75" customHeight="1">
      <c r="A2466" s="18" t="str">
        <f>Descargas!A2466</f>
        <v>1995@gmail.com</v>
      </c>
      <c r="B2466" s="19" t="str">
        <f>IFERROR(__xludf.DUMMYFUNCTION("IF(OR(regexmatch(A2466,"".*@simon.es$""),REGEXMATCH(A2466,"".*@simon.pt$""),REGEXMATCH(A2466,"".*@simonelectrica.com$""),REGEXMATCH(A2466,"".*@hiberus.com$""),REGEXMATCH(A2466,"".*@simonbrico.es$""),regexmatch(A2466,"".*@simonelectric.com$"")),""null"",A2"&amp;"466)"),"1995@gmail.com")</f>
        <v>1995@gmail.com</v>
      </c>
      <c r="C2466" s="5">
        <f>IF(B2466="null","null",Descargas!B2466)</f>
        <v>43944</v>
      </c>
      <c r="D2466" s="6" t="str">
        <f>Descargas!E2466</f>
        <v>https://resources.simonelectric.com/simon-material-formativo-vehiculo-electrico</v>
      </c>
      <c r="E2466" s="20" t="str">
        <f t="shared" si="1"/>
        <v>1995@gmail.com</v>
      </c>
      <c r="F2466" s="21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</row>
    <row r="2467" ht="15.75" customHeight="1">
      <c r="A2467" s="18" t="str">
        <f>Descargas!A2467</f>
        <v>1996@gmail.com</v>
      </c>
      <c r="B2467" s="19" t="str">
        <f>IFERROR(__xludf.DUMMYFUNCTION("IF(OR(regexmatch(A2467,"".*@simon.es$""),REGEXMATCH(A2467,"".*@simon.pt$""),REGEXMATCH(A2467,"".*@simonelectrica.com$""),REGEXMATCH(A2467,"".*@hiberus.com$""),REGEXMATCH(A2467,"".*@simonbrico.es$""),regexmatch(A2467,"".*@simonelectric.com$"")),""null"",A2"&amp;"467)"),"1996@gmail.com")</f>
        <v>1996@gmail.com</v>
      </c>
      <c r="C2467" s="5">
        <f>IF(B2467="null","null",Descargas!B2467)</f>
        <v>43944</v>
      </c>
      <c r="D2467" s="6" t="str">
        <f>Descargas!E2467</f>
        <v>https://resources.simonelectric.com/simon-ebook-vehiculo-electrico-ppc</v>
      </c>
      <c r="E2467" s="20" t="str">
        <f t="shared" si="1"/>
        <v>1996@gmail.com</v>
      </c>
      <c r="F2467" s="21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</row>
    <row r="2468" ht="15.75" customHeight="1">
      <c r="A2468" s="18" t="str">
        <f>Descargas!A2468</f>
        <v>1877@gmail.com</v>
      </c>
      <c r="B2468" s="19" t="str">
        <f>IFERROR(__xludf.DUMMYFUNCTION("IF(OR(regexmatch(A2468,"".*@simon.es$""),REGEXMATCH(A2468,"".*@simon.pt$""),REGEXMATCH(A2468,"".*@simonelectrica.com$""),REGEXMATCH(A2468,"".*@hiberus.com$""),REGEXMATCH(A2468,"".*@simonbrico.es$""),regexmatch(A2468,"".*@simonelectric.com$"")),""null"",A2"&amp;"468)"),"1877@gmail.com")</f>
        <v>1877@gmail.com</v>
      </c>
      <c r="C2468" s="5">
        <f>IF(B2468="null","null",Descargas!B2468)</f>
        <v>43944</v>
      </c>
      <c r="D2468" s="6" t="str">
        <f>Descargas!E2468</f>
        <v>https://resources.simonelectric.com/simon-material-formativo-vehiculo-electrico</v>
      </c>
      <c r="E2468" s="20" t="str">
        <f t="shared" si="1"/>
        <v>1877@gmail.com</v>
      </c>
      <c r="F2468" s="21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</row>
    <row r="2469" ht="15.75" customHeight="1">
      <c r="A2469" s="18" t="str">
        <f>Descargas!A2469</f>
        <v>910@sogesa.es</v>
      </c>
      <c r="B2469" s="19" t="str">
        <f>IFERROR(__xludf.DUMMYFUNCTION("IF(OR(regexmatch(A2469,"".*@simon.es$""),REGEXMATCH(A2469,"".*@simon.pt$""),REGEXMATCH(A2469,"".*@simonelectrica.com$""),REGEXMATCH(A2469,"".*@hiberus.com$""),REGEXMATCH(A2469,"".*@simonbrico.es$""),regexmatch(A2469,"".*@simonelectric.com$"")),""null"",A2"&amp;"469)"),"910@sogesa.es")</f>
        <v>910@sogesa.es</v>
      </c>
      <c r="C2469" s="5">
        <f>IF(B2469="null","null",Descargas!B2469)</f>
        <v>43944</v>
      </c>
      <c r="D2469" s="6" t="str">
        <f>Descargas!E2469</f>
        <v>https://resources.simonelectric.com/simon-material-formativo-vehiculo-electrico</v>
      </c>
      <c r="E2469" s="20" t="str">
        <f t="shared" si="1"/>
        <v>910@sogesa.es</v>
      </c>
      <c r="F2469" s="21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</row>
    <row r="2470" ht="15.75" customHeight="1">
      <c r="A2470" s="18" t="str">
        <f>Descargas!A2470</f>
        <v>1997@comi-sl.com</v>
      </c>
      <c r="B2470" s="19" t="str">
        <f>IFERROR(__xludf.DUMMYFUNCTION("IF(OR(regexmatch(A2470,"".*@simon.es$""),REGEXMATCH(A2470,"".*@simon.pt$""),REGEXMATCH(A2470,"".*@simonelectrica.com$""),REGEXMATCH(A2470,"".*@hiberus.com$""),REGEXMATCH(A2470,"".*@simonbrico.es$""),regexmatch(A2470,"".*@simonelectric.com$"")),""null"",A2"&amp;"470)"),"1997@comi-sl.com")</f>
        <v>1997@comi-sl.com</v>
      </c>
      <c r="C2470" s="5">
        <f>IF(B2470="null","null",Descargas!B2470)</f>
        <v>43944</v>
      </c>
      <c r="D2470" s="6" t="str">
        <f>Descargas!E2470</f>
        <v>https://resources.simonelectric.com/simon-material-formativo-vehiculo-electrico</v>
      </c>
      <c r="E2470" s="20" t="str">
        <f t="shared" si="1"/>
        <v>1997@comi-sl.com</v>
      </c>
      <c r="F2470" s="21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</row>
    <row r="2471" ht="15.75" customHeight="1">
      <c r="A2471" s="18" t="str">
        <f>Descargas!A2471</f>
        <v>1989@elecdomo.com</v>
      </c>
      <c r="B2471" s="19" t="str">
        <f>IFERROR(__xludf.DUMMYFUNCTION("IF(OR(regexmatch(A2471,"".*@simon.es$""),REGEXMATCH(A2471,"".*@simon.pt$""),REGEXMATCH(A2471,"".*@simonelectrica.com$""),REGEXMATCH(A2471,"".*@hiberus.com$""),REGEXMATCH(A2471,"".*@simonbrico.es$""),regexmatch(A2471,"".*@simonelectric.com$"")),""null"",A2"&amp;"471)"),"1989@elecdomo.com")</f>
        <v>1989@elecdomo.com</v>
      </c>
      <c r="C2471" s="5">
        <f>IF(B2471="null","null",Descargas!B2471)</f>
        <v>43944</v>
      </c>
      <c r="D2471" s="6" t="str">
        <f>Descargas!E2471</f>
        <v>https://resources.simonelectric.com/simon-material-formativo-vehiculo-electrico</v>
      </c>
      <c r="E2471" s="20" t="str">
        <f t="shared" si="1"/>
        <v>1989@elecdomo.com</v>
      </c>
      <c r="F2471" s="21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</row>
    <row r="2472" ht="15.75" customHeight="1">
      <c r="A2472" s="18" t="str">
        <f>Descargas!A2472</f>
        <v>1998@gmail.com</v>
      </c>
      <c r="B2472" s="19" t="str">
        <f>IFERROR(__xludf.DUMMYFUNCTION("IF(OR(regexmatch(A2472,"".*@simon.es$""),REGEXMATCH(A2472,"".*@simon.pt$""),REGEXMATCH(A2472,"".*@simonelectrica.com$""),REGEXMATCH(A2472,"".*@hiberus.com$""),REGEXMATCH(A2472,"".*@simonbrico.es$""),regexmatch(A2472,"".*@simonelectric.com$"")),""null"",A2"&amp;"472)"),"1998@gmail.com")</f>
        <v>1998@gmail.com</v>
      </c>
      <c r="C2472" s="5">
        <f>IF(B2472="null","null",Descargas!B2472)</f>
        <v>43944</v>
      </c>
      <c r="D2472" s="6" t="str">
        <f>Descargas!E2472</f>
        <v>https://resources.simonelectric.com/simon-material-formativo-vehiculo-electrico</v>
      </c>
      <c r="E2472" s="20" t="str">
        <f t="shared" si="1"/>
        <v>1998@gmail.com</v>
      </c>
      <c r="F2472" s="21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</row>
    <row r="2473" ht="15.75" customHeight="1">
      <c r="A2473" s="18" t="str">
        <f>Descargas!A2473</f>
        <v>1883@adingenieros.es</v>
      </c>
      <c r="B2473" s="19" t="str">
        <f>IFERROR(__xludf.DUMMYFUNCTION("IF(OR(regexmatch(A2473,"".*@simon.es$""),REGEXMATCH(A2473,"".*@simon.pt$""),REGEXMATCH(A2473,"".*@simonelectrica.com$""),REGEXMATCH(A2473,"".*@hiberus.com$""),REGEXMATCH(A2473,"".*@simonbrico.es$""),regexmatch(A2473,"".*@simonelectric.com$"")),""null"",A2"&amp;"473)"),"1883@adingenieros.es")</f>
        <v>1883@adingenieros.es</v>
      </c>
      <c r="C2473" s="5">
        <f>IF(B2473="null","null",Descargas!B2473)</f>
        <v>43944</v>
      </c>
      <c r="D2473" s="6" t="str">
        <f>Descargas!E2473</f>
        <v>https://resources.simonelectric.com/simon-material-formativo-vehiculo-electrico</v>
      </c>
      <c r="E2473" s="20" t="str">
        <f t="shared" si="1"/>
        <v>1883@adingenieros.es</v>
      </c>
      <c r="F2473" s="21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</row>
    <row r="2474" ht="15.75" customHeight="1">
      <c r="A2474" s="18" t="str">
        <f>Descargas!A2474</f>
        <v>1999@obrelsa.com</v>
      </c>
      <c r="B2474" s="19" t="str">
        <f>IFERROR(__xludf.DUMMYFUNCTION("IF(OR(regexmatch(A2474,"".*@simon.es$""),REGEXMATCH(A2474,"".*@simon.pt$""),REGEXMATCH(A2474,"".*@simonelectrica.com$""),REGEXMATCH(A2474,"".*@hiberus.com$""),REGEXMATCH(A2474,"".*@simonbrico.es$""),regexmatch(A2474,"".*@simonelectric.com$"")),""null"",A2"&amp;"474)"),"1999@obrelsa.com")</f>
        <v>1999@obrelsa.com</v>
      </c>
      <c r="C2474" s="5">
        <f>IF(B2474="null","null",Descargas!B2474)</f>
        <v>43944</v>
      </c>
      <c r="D2474" s="6" t="str">
        <f>Descargas!E2474</f>
        <v>https://resources.simonelectric.com/simon-material-formativo-vehiculo-electrico</v>
      </c>
      <c r="E2474" s="20" t="str">
        <f t="shared" si="1"/>
        <v>1999@obrelsa.com</v>
      </c>
      <c r="F2474" s="21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</row>
    <row r="2475" ht="15.75" customHeight="1">
      <c r="A2475" s="18" t="str">
        <f>Descargas!A2475</f>
        <v>2000@hotmail.com</v>
      </c>
      <c r="B2475" s="19" t="str">
        <f>IFERROR(__xludf.DUMMYFUNCTION("IF(OR(regexmatch(A2475,"".*@simon.es$""),REGEXMATCH(A2475,"".*@simon.pt$""),REGEXMATCH(A2475,"".*@simonelectrica.com$""),REGEXMATCH(A2475,"".*@hiberus.com$""),REGEXMATCH(A2475,"".*@simonbrico.es$""),regexmatch(A2475,"".*@simonelectric.com$"")),""null"",A2"&amp;"475)"),"2000@hotmail.com")</f>
        <v>2000@hotmail.com</v>
      </c>
      <c r="C2475" s="5">
        <f>IF(B2475="null","null",Descargas!B2475)</f>
        <v>43944</v>
      </c>
      <c r="D2475" s="6" t="str">
        <f>Descargas!E2475</f>
        <v>https://resources.simonelectric.com/simon-material-formativo-vehiculo-electrico</v>
      </c>
      <c r="E2475" s="20" t="str">
        <f t="shared" si="1"/>
        <v>2000@hotmail.com</v>
      </c>
      <c r="F2475" s="21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</row>
    <row r="2476" ht="15.75" customHeight="1">
      <c r="A2476" s="18" t="str">
        <f>Descargas!A2476</f>
        <v>1970@electrificacionesparra.es</v>
      </c>
      <c r="B2476" s="19" t="str">
        <f>IFERROR(__xludf.DUMMYFUNCTION("IF(OR(regexmatch(A2476,"".*@simon.es$""),REGEXMATCH(A2476,"".*@simon.pt$""),REGEXMATCH(A2476,"".*@simonelectrica.com$""),REGEXMATCH(A2476,"".*@hiberus.com$""),REGEXMATCH(A2476,"".*@simonbrico.es$""),regexmatch(A2476,"".*@simonelectric.com$"")),""null"",A2"&amp;"476)"),"1970@electrificacionesparra.es")</f>
        <v>1970@electrificacionesparra.es</v>
      </c>
      <c r="C2476" s="5">
        <f>IF(B2476="null","null",Descargas!B2476)</f>
        <v>43944</v>
      </c>
      <c r="D2476" s="6" t="str">
        <f>Descargas!E2476</f>
        <v>https://resources.simonelectric.com/simon-material-formativo-vehiculo-electrico</v>
      </c>
      <c r="E2476" s="20" t="str">
        <f t="shared" si="1"/>
        <v>1970@electrificacionesparra.es</v>
      </c>
      <c r="F2476" s="21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</row>
    <row r="2477" ht="15.75" customHeight="1">
      <c r="A2477" s="18" t="str">
        <f>Descargas!A2477</f>
        <v>2001@alainsa.com</v>
      </c>
      <c r="B2477" s="19" t="str">
        <f>IFERROR(__xludf.DUMMYFUNCTION("IF(OR(regexmatch(A2477,"".*@simon.es$""),REGEXMATCH(A2477,"".*@simon.pt$""),REGEXMATCH(A2477,"".*@simonelectrica.com$""),REGEXMATCH(A2477,"".*@hiberus.com$""),REGEXMATCH(A2477,"".*@simonbrico.es$""),regexmatch(A2477,"".*@simonelectric.com$"")),""null"",A2"&amp;"477)"),"2001@alainsa.com")</f>
        <v>2001@alainsa.com</v>
      </c>
      <c r="C2477" s="5">
        <f>IF(B2477="null","null",Descargas!B2477)</f>
        <v>43944</v>
      </c>
      <c r="D2477" s="6" t="str">
        <f>Descargas!E2477</f>
        <v>https://resources.simonelectric.com/simon-material-formativo-vehiculo-electrico</v>
      </c>
      <c r="E2477" s="20" t="str">
        <f t="shared" si="1"/>
        <v>2001@alainsa.com</v>
      </c>
      <c r="F2477" s="21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</row>
    <row r="2478" ht="15.75" customHeight="1">
      <c r="A2478" s="18" t="str">
        <f>Descargas!A2478</f>
        <v>563@salesianospamplona.net</v>
      </c>
      <c r="B2478" s="19" t="str">
        <f>IFERROR(__xludf.DUMMYFUNCTION("IF(OR(regexmatch(A2478,"".*@simon.es$""),REGEXMATCH(A2478,"".*@simon.pt$""),REGEXMATCH(A2478,"".*@simonelectrica.com$""),REGEXMATCH(A2478,"".*@hiberus.com$""),REGEXMATCH(A2478,"".*@simonbrico.es$""),regexmatch(A2478,"".*@simonelectric.com$"")),""null"",A2"&amp;"478)"),"563@salesianospamplona.net")</f>
        <v>563@salesianospamplona.net</v>
      </c>
      <c r="C2478" s="5">
        <f>IF(B2478="null","null",Descargas!B2478)</f>
        <v>43944</v>
      </c>
      <c r="D2478" s="6" t="str">
        <f>Descargas!E2478</f>
        <v>https://resources.simonelectric.com/simon-material-formativo-vehiculo-electrico</v>
      </c>
      <c r="E2478" s="20" t="str">
        <f t="shared" si="1"/>
        <v>563@salesianospamplona.net</v>
      </c>
      <c r="F2478" s="21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</row>
    <row r="2479" ht="15.75" customHeight="1">
      <c r="A2479" s="18" t="str">
        <f>Descargas!A2479</f>
        <v>2002@camarasaragon.com</v>
      </c>
      <c r="B2479" s="19" t="str">
        <f>IFERROR(__xludf.DUMMYFUNCTION("IF(OR(regexmatch(A2479,"".*@simon.es$""),REGEXMATCH(A2479,"".*@simon.pt$""),REGEXMATCH(A2479,"".*@simonelectrica.com$""),REGEXMATCH(A2479,"".*@hiberus.com$""),REGEXMATCH(A2479,"".*@simonbrico.es$""),regexmatch(A2479,"".*@simonelectric.com$"")),""null"",A2"&amp;"479)"),"2002@camarasaragon.com")</f>
        <v>2002@camarasaragon.com</v>
      </c>
      <c r="C2479" s="5">
        <f>IF(B2479="null","null",Descargas!B2479)</f>
        <v>43944</v>
      </c>
      <c r="D2479" s="6" t="str">
        <f>Descargas!E2479</f>
        <v>https://resources.simonelectric.com/simon-material-formativo-vehiculo-electrico</v>
      </c>
      <c r="E2479" s="20" t="str">
        <f t="shared" si="1"/>
        <v>2002@camarasaragon.com</v>
      </c>
      <c r="F2479" s="21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</row>
    <row r="2480" ht="15.75" customHeight="1">
      <c r="A2480" s="18" t="str">
        <f>Descargas!A2480</f>
        <v>1992@proecoingenieria.com</v>
      </c>
      <c r="B2480" s="19" t="str">
        <f>IFERROR(__xludf.DUMMYFUNCTION("IF(OR(regexmatch(A2480,"".*@simon.es$""),REGEXMATCH(A2480,"".*@simon.pt$""),REGEXMATCH(A2480,"".*@simonelectrica.com$""),REGEXMATCH(A2480,"".*@hiberus.com$""),REGEXMATCH(A2480,"".*@simonbrico.es$""),regexmatch(A2480,"".*@simonelectric.com$"")),""null"",A2"&amp;"480)"),"1992@proecoingenieria.com")</f>
        <v>1992@proecoingenieria.com</v>
      </c>
      <c r="C2480" s="5">
        <f>IF(B2480="null","null",Descargas!B2480)</f>
        <v>43944</v>
      </c>
      <c r="D2480" s="6" t="str">
        <f>Descargas!E2480</f>
        <v>https://resources.simonelectric.com/simon-material-formativo-vehiculo-electrico</v>
      </c>
      <c r="E2480" s="20" t="str">
        <f t="shared" si="1"/>
        <v>1992@proecoingenieria.com</v>
      </c>
      <c r="F2480" s="21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</row>
    <row r="2481" ht="15.75" customHeight="1">
      <c r="A2481" s="18" t="str">
        <f>Descargas!A2481</f>
        <v>2003@alainsa.com</v>
      </c>
      <c r="B2481" s="19" t="str">
        <f>IFERROR(__xludf.DUMMYFUNCTION("IF(OR(regexmatch(A2481,"".*@simon.es$""),REGEXMATCH(A2481,"".*@simon.pt$""),REGEXMATCH(A2481,"".*@simonelectrica.com$""),REGEXMATCH(A2481,"".*@hiberus.com$""),REGEXMATCH(A2481,"".*@simonbrico.es$""),regexmatch(A2481,"".*@simonelectric.com$"")),""null"",A2"&amp;"481)"),"2003@alainsa.com")</f>
        <v>2003@alainsa.com</v>
      </c>
      <c r="C2481" s="5">
        <f>IF(B2481="null","null",Descargas!B2481)</f>
        <v>43944</v>
      </c>
      <c r="D2481" s="6" t="str">
        <f>Descargas!E2481</f>
        <v>https://resources.simonelectric.com/simon-ebook-vehiculo-electrico</v>
      </c>
      <c r="E2481" s="20" t="str">
        <f t="shared" si="1"/>
        <v>2003@alainsa.com</v>
      </c>
      <c r="F2481" s="21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</row>
    <row r="2482" ht="15.75" customHeight="1">
      <c r="A2482" s="18" t="str">
        <f>Descargas!A2482</f>
        <v>1859@gmail.com</v>
      </c>
      <c r="B2482" s="19" t="str">
        <f>IFERROR(__xludf.DUMMYFUNCTION("IF(OR(regexmatch(A2482,"".*@simon.es$""),REGEXMATCH(A2482,"".*@simon.pt$""),REGEXMATCH(A2482,"".*@simonelectrica.com$""),REGEXMATCH(A2482,"".*@hiberus.com$""),REGEXMATCH(A2482,"".*@simonbrico.es$""),regexmatch(A2482,"".*@simonelectric.com$"")),""null"",A2"&amp;"482)"),"1859@gmail.com")</f>
        <v>1859@gmail.com</v>
      </c>
      <c r="C2482" s="5">
        <f>IF(B2482="null","null",Descargas!B2482)</f>
        <v>43944</v>
      </c>
      <c r="D2482" s="6" t="str">
        <f>Descargas!E2482</f>
        <v>https://resources.simonelectric.com/simon-material-formativo-vehiculo-electrico</v>
      </c>
      <c r="E2482" s="20" t="str">
        <f t="shared" si="1"/>
        <v>1859@gmail.com</v>
      </c>
      <c r="F2482" s="21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</row>
    <row r="2483" ht="15.75" customHeight="1">
      <c r="A2483" s="18" t="str">
        <f>Descargas!A2483</f>
        <v>1786@simon.es</v>
      </c>
      <c r="B2483" s="19" t="str">
        <f>IFERROR(__xludf.DUMMYFUNCTION("IF(OR(regexmatch(A2483,"".*@simon.es$""),REGEXMATCH(A2483,"".*@simon.pt$""),REGEXMATCH(A2483,"".*@simonelectrica.com$""),REGEXMATCH(A2483,"".*@hiberus.com$""),REGEXMATCH(A2483,"".*@simonbrico.es$""),regexmatch(A2483,"".*@simonelectric.com$"")),""null"",A2"&amp;"483)"),"null")</f>
        <v>null</v>
      </c>
      <c r="C2483" s="5" t="str">
        <f>IF(B2483="null","null",Descargas!B2483)</f>
        <v>null</v>
      </c>
      <c r="D2483" s="6" t="str">
        <f>Descargas!E2483</f>
        <v>https://resources.simonelectric.com/simon-material-formativo-vehiculo-electrico</v>
      </c>
      <c r="E2483" s="24" t="str">
        <f t="shared" si="1"/>
        <v/>
      </c>
      <c r="F2483" s="21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</row>
    <row r="2484" ht="15.75" customHeight="1">
      <c r="A2484" s="18" t="str">
        <f>Descargas!A2484</f>
        <v>1971@tienda-gasnatural.com</v>
      </c>
      <c r="B2484" s="19" t="str">
        <f>IFERROR(__xludf.DUMMYFUNCTION("IF(OR(regexmatch(A2484,"".*@simon.es$""),REGEXMATCH(A2484,"".*@simon.pt$""),REGEXMATCH(A2484,"".*@simonelectrica.com$""),REGEXMATCH(A2484,"".*@hiberus.com$""),REGEXMATCH(A2484,"".*@simonbrico.es$""),regexmatch(A2484,"".*@simonelectric.com$"")),""null"",A2"&amp;"484)"),"1971@tienda-gasnatural.com")</f>
        <v>1971@tienda-gasnatural.com</v>
      </c>
      <c r="C2484" s="5">
        <f>IF(B2484="null","null",Descargas!B2484)</f>
        <v>43944</v>
      </c>
      <c r="D2484" s="6" t="str">
        <f>Descargas!E2484</f>
        <v>https://resources.simonelectric.com/simon-material-formativo-vehiculo-electrico</v>
      </c>
      <c r="E2484" s="20" t="str">
        <f t="shared" si="1"/>
        <v>1971@tienda-gasnatural.com</v>
      </c>
      <c r="F2484" s="21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</row>
    <row r="2485" ht="15.75" customHeight="1">
      <c r="A2485" s="18" t="str">
        <f>Descargas!A2485</f>
        <v>1980@hotmail.com</v>
      </c>
      <c r="B2485" s="19" t="str">
        <f>IFERROR(__xludf.DUMMYFUNCTION("IF(OR(regexmatch(A2485,"".*@simon.es$""),REGEXMATCH(A2485,"".*@simon.pt$""),REGEXMATCH(A2485,"".*@simonelectrica.com$""),REGEXMATCH(A2485,"".*@hiberus.com$""),REGEXMATCH(A2485,"".*@simonbrico.es$""),regexmatch(A2485,"".*@simonelectric.com$"")),""null"",A2"&amp;"485)"),"1980@hotmail.com")</f>
        <v>1980@hotmail.com</v>
      </c>
      <c r="C2485" s="5">
        <f>IF(B2485="null","null",Descargas!B2485)</f>
        <v>43944</v>
      </c>
      <c r="D2485" s="6" t="str">
        <f>Descargas!E2485</f>
        <v>https://resources.simonelectric.com/simon-material-formativo-vehiculo-electrico</v>
      </c>
      <c r="E2485" s="20" t="str">
        <f t="shared" si="1"/>
        <v>1980@hotmail.com</v>
      </c>
      <c r="F2485" s="21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</row>
    <row r="2486" ht="15.75" customHeight="1">
      <c r="A2486" s="18" t="str">
        <f>Descargas!A2486</f>
        <v>1979@matcas.es</v>
      </c>
      <c r="B2486" s="19" t="str">
        <f>IFERROR(__xludf.DUMMYFUNCTION("IF(OR(regexmatch(A2486,"".*@simon.es$""),REGEXMATCH(A2486,"".*@simon.pt$""),REGEXMATCH(A2486,"".*@simonelectrica.com$""),REGEXMATCH(A2486,"".*@hiberus.com$""),REGEXMATCH(A2486,"".*@simonbrico.es$""),regexmatch(A2486,"".*@simonelectric.com$"")),""null"",A2"&amp;"486)"),"1979@matcas.es")</f>
        <v>1979@matcas.es</v>
      </c>
      <c r="C2486" s="5">
        <f>IF(B2486="null","null",Descargas!B2486)</f>
        <v>43944</v>
      </c>
      <c r="D2486" s="6" t="str">
        <f>Descargas!E2486</f>
        <v>https://resources.simonelectric.com/simon-material-formativo-vehiculo-electrico</v>
      </c>
      <c r="E2486" s="20" t="str">
        <f t="shared" si="1"/>
        <v>1979@matcas.es</v>
      </c>
      <c r="F2486" s="21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</row>
    <row r="2487" ht="15.75" customHeight="1">
      <c r="A2487" s="18" t="str">
        <f>Descargas!A2487</f>
        <v>2004@mcamps.es</v>
      </c>
      <c r="B2487" s="19" t="str">
        <f>IFERROR(__xludf.DUMMYFUNCTION("IF(OR(regexmatch(A2487,"".*@simon.es$""),REGEXMATCH(A2487,"".*@simon.pt$""),REGEXMATCH(A2487,"".*@simonelectrica.com$""),REGEXMATCH(A2487,"".*@hiberus.com$""),REGEXMATCH(A2487,"".*@simonbrico.es$""),regexmatch(A2487,"".*@simonelectric.com$"")),""null"",A2"&amp;"487)"),"2004@mcamps.es")</f>
        <v>2004@mcamps.es</v>
      </c>
      <c r="C2487" s="5">
        <f>IF(B2487="null","null",Descargas!B2487)</f>
        <v>43944</v>
      </c>
      <c r="D2487" s="6" t="str">
        <f>Descargas!E2487</f>
        <v>https://resources.simonelectric.com/simon-material-formativo-vehiculo-electrico</v>
      </c>
      <c r="E2487" s="20" t="str">
        <f t="shared" si="1"/>
        <v>2004@mcamps.es</v>
      </c>
      <c r="F2487" s="21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</row>
    <row r="2488" ht="15.75" customHeight="1">
      <c r="A2488" s="18" t="str">
        <f>Descargas!A2488</f>
        <v>1894@arasolutions.es</v>
      </c>
      <c r="B2488" s="19" t="str">
        <f>IFERROR(__xludf.DUMMYFUNCTION("IF(OR(regexmatch(A2488,"".*@simon.es$""),REGEXMATCH(A2488,"".*@simon.pt$""),REGEXMATCH(A2488,"".*@simonelectrica.com$""),REGEXMATCH(A2488,"".*@hiberus.com$""),REGEXMATCH(A2488,"".*@simonbrico.es$""),regexmatch(A2488,"".*@simonelectric.com$"")),""null"",A2"&amp;"488)"),"1894@arasolutions.es")</f>
        <v>1894@arasolutions.es</v>
      </c>
      <c r="C2488" s="5">
        <f>IF(B2488="null","null",Descargas!B2488)</f>
        <v>43944</v>
      </c>
      <c r="D2488" s="6" t="str">
        <f>Descargas!E2488</f>
        <v>https://resources.simonelectric.com/simon-material-formativo-vehiculo-electrico</v>
      </c>
      <c r="E2488" s="20" t="str">
        <f t="shared" si="1"/>
        <v>1894@arasolutions.es</v>
      </c>
      <c r="F2488" s="21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</row>
    <row r="2489" ht="15.75" customHeight="1">
      <c r="A2489" s="18" t="str">
        <f>Descargas!A2489</f>
        <v>2003@alainsa.com</v>
      </c>
      <c r="B2489" s="19" t="str">
        <f>IFERROR(__xludf.DUMMYFUNCTION("IF(OR(regexmatch(A2489,"".*@simon.es$""),REGEXMATCH(A2489,"".*@simon.pt$""),REGEXMATCH(A2489,"".*@simonelectrica.com$""),REGEXMATCH(A2489,"".*@hiberus.com$""),REGEXMATCH(A2489,"".*@simonbrico.es$""),regexmatch(A2489,"".*@simonelectric.com$"")),""null"",A2"&amp;"489)"),"2003@alainsa.com")</f>
        <v>2003@alainsa.com</v>
      </c>
      <c r="C2489" s="5">
        <f>IF(B2489="null","null",Descargas!B2489)</f>
        <v>43944</v>
      </c>
      <c r="D2489" s="6" t="str">
        <f>Descargas!E2489</f>
        <v>https://resources.simonelectric.com/simon-material-formativo-vehiculo-electrico</v>
      </c>
      <c r="E2489" s="20" t="str">
        <f t="shared" si="1"/>
        <v>2003@alainsa.com</v>
      </c>
      <c r="F2489" s="21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</row>
    <row r="2490" ht="15.75" customHeight="1">
      <c r="A2490" s="18" t="str">
        <f>Descargas!A2490</f>
        <v>1327@tinet.org</v>
      </c>
      <c r="B2490" s="19" t="str">
        <f>IFERROR(__xludf.DUMMYFUNCTION("IF(OR(regexmatch(A2490,"".*@simon.es$""),REGEXMATCH(A2490,"".*@simon.pt$""),REGEXMATCH(A2490,"".*@simonelectrica.com$""),REGEXMATCH(A2490,"".*@hiberus.com$""),REGEXMATCH(A2490,"".*@simonbrico.es$""),regexmatch(A2490,"".*@simonelectric.com$"")),""null"",A2"&amp;"490)"),"1327@tinet.org")</f>
        <v>1327@tinet.org</v>
      </c>
      <c r="C2490" s="5">
        <f>IF(B2490="null","null",Descargas!B2490)</f>
        <v>43944</v>
      </c>
      <c r="D2490" s="6" t="str">
        <f>Descargas!E2490</f>
        <v>https://resources.simonelectric.com/simon-ebook-vehiculo-electrico</v>
      </c>
      <c r="E2490" s="20" t="str">
        <f t="shared" si="1"/>
        <v>1327@tinet.org</v>
      </c>
      <c r="F2490" s="21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</row>
    <row r="2491" ht="15.75" customHeight="1">
      <c r="A2491" s="18" t="str">
        <f>Descargas!A2491</f>
        <v>2005@hotmail.com</v>
      </c>
      <c r="B2491" s="19" t="str">
        <f>IFERROR(__xludf.DUMMYFUNCTION("IF(OR(regexmatch(A2491,"".*@simon.es$""),REGEXMATCH(A2491,"".*@simon.pt$""),REGEXMATCH(A2491,"".*@simonelectrica.com$""),REGEXMATCH(A2491,"".*@hiberus.com$""),REGEXMATCH(A2491,"".*@simonbrico.es$""),regexmatch(A2491,"".*@simonelectric.com$"")),""null"",A2"&amp;"491)"),"2005@hotmail.com")</f>
        <v>2005@hotmail.com</v>
      </c>
      <c r="C2491" s="5">
        <f>IF(B2491="null","null",Descargas!B2491)</f>
        <v>43944</v>
      </c>
      <c r="D2491" s="6" t="str">
        <f>Descargas!E2491</f>
        <v>https://resources.simonelectric.com/simon-material-formativo-vehiculo-electrico</v>
      </c>
      <c r="E2491" s="20" t="str">
        <f t="shared" si="1"/>
        <v>2005@hotmail.com</v>
      </c>
      <c r="F2491" s="21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</row>
    <row r="2492" ht="15.75" customHeight="1">
      <c r="A2492" s="18" t="str">
        <f>Descargas!A2492</f>
        <v>2006@masteringenieria.com</v>
      </c>
      <c r="B2492" s="19" t="str">
        <f>IFERROR(__xludf.DUMMYFUNCTION("IF(OR(regexmatch(A2492,"".*@simon.es$""),REGEXMATCH(A2492,"".*@simon.pt$""),REGEXMATCH(A2492,"".*@simonelectrica.com$""),REGEXMATCH(A2492,"".*@hiberus.com$""),REGEXMATCH(A2492,"".*@simonbrico.es$""),regexmatch(A2492,"".*@simonelectric.com$"")),""null"",A2"&amp;"492)"),"2006@masteringenieria.com")</f>
        <v>2006@masteringenieria.com</v>
      </c>
      <c r="C2492" s="5">
        <f>IF(B2492="null","null",Descargas!B2492)</f>
        <v>43944</v>
      </c>
      <c r="D2492" s="6" t="str">
        <f>Descargas!E2492</f>
        <v>https://resources.simonelectric.com/simon-material-formativo-vehiculo-electrico</v>
      </c>
      <c r="E2492" s="20" t="str">
        <f t="shared" si="1"/>
        <v>2006@masteringenieria.com</v>
      </c>
      <c r="F2492" s="21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</row>
    <row r="2493" ht="15.75" customHeight="1">
      <c r="A2493" s="18" t="str">
        <f>Descargas!A2493</f>
        <v>2007@simon.es</v>
      </c>
      <c r="B2493" s="19" t="str">
        <f>IFERROR(__xludf.DUMMYFUNCTION("IF(OR(regexmatch(A2493,"".*@simon.es$""),REGEXMATCH(A2493,"".*@simon.pt$""),REGEXMATCH(A2493,"".*@simonelectrica.com$""),REGEXMATCH(A2493,"".*@hiberus.com$""),REGEXMATCH(A2493,"".*@simonbrico.es$""),regexmatch(A2493,"".*@simonelectric.com$"")),""null"",A2"&amp;"493)"),"null")</f>
        <v>null</v>
      </c>
      <c r="C2493" s="5" t="str">
        <f>IF(B2493="null","null",Descargas!B2493)</f>
        <v>null</v>
      </c>
      <c r="D2493" s="6" t="str">
        <f>Descargas!E2493</f>
        <v>https://resources.simonelectric.com/simon-material-formativo-vehiculo-electrico</v>
      </c>
      <c r="E2493" s="24" t="str">
        <f t="shared" si="1"/>
        <v/>
      </c>
      <c r="F2493" s="21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</row>
    <row r="2494" ht="15.75" customHeight="1">
      <c r="A2494" s="18" t="str">
        <f>Descargas!A2494</f>
        <v>2008@yahoo.es</v>
      </c>
      <c r="B2494" s="19" t="str">
        <f>IFERROR(__xludf.DUMMYFUNCTION("IF(OR(regexmatch(A2494,"".*@simon.es$""),REGEXMATCH(A2494,"".*@simon.pt$""),REGEXMATCH(A2494,"".*@simonelectrica.com$""),REGEXMATCH(A2494,"".*@hiberus.com$""),REGEXMATCH(A2494,"".*@simonbrico.es$""),regexmatch(A2494,"".*@simonelectric.com$"")),""null"",A2"&amp;"494)"),"2008@yahoo.es")</f>
        <v>2008@yahoo.es</v>
      </c>
      <c r="C2494" s="5">
        <f>IF(B2494="null","null",Descargas!B2494)</f>
        <v>43944</v>
      </c>
      <c r="D2494" s="6" t="str">
        <f>Descargas!E2494</f>
        <v>https://resources.simonelectric.com/simon-material-formativo-vehiculo-electrico</v>
      </c>
      <c r="E2494" s="20" t="str">
        <f t="shared" si="1"/>
        <v>2008@yahoo.es</v>
      </c>
      <c r="F2494" s="21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</row>
    <row r="2495" ht="15.75" customHeight="1">
      <c r="A2495" s="18" t="str">
        <f>Descargas!A2495</f>
        <v>2009@gmail.com</v>
      </c>
      <c r="B2495" s="19" t="str">
        <f>IFERROR(__xludf.DUMMYFUNCTION("IF(OR(regexmatch(A2495,"".*@simon.es$""),REGEXMATCH(A2495,"".*@simon.pt$""),REGEXMATCH(A2495,"".*@simonelectrica.com$""),REGEXMATCH(A2495,"".*@hiberus.com$""),REGEXMATCH(A2495,"".*@simonbrico.es$""),regexmatch(A2495,"".*@simonelectric.com$"")),""null"",A2"&amp;"495)"),"2009@gmail.com")</f>
        <v>2009@gmail.com</v>
      </c>
      <c r="C2495" s="5">
        <f>IF(B2495="null","null",Descargas!B2495)</f>
        <v>43944</v>
      </c>
      <c r="D2495" s="6" t="str">
        <f>Descargas!E2495</f>
        <v>https://resources.simonelectric.com/simon-material-formativo-vehiculo-electrico</v>
      </c>
      <c r="E2495" s="20" t="str">
        <f t="shared" si="1"/>
        <v>2009@gmail.com</v>
      </c>
      <c r="F2495" s="21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</row>
    <row r="2496" ht="15.75" customHeight="1">
      <c r="A2496" s="18" t="str">
        <f>Descargas!A2496</f>
        <v>563@salesianospamplona.net</v>
      </c>
      <c r="B2496" s="19" t="str">
        <f>IFERROR(__xludf.DUMMYFUNCTION("IF(OR(regexmatch(A2496,"".*@simon.es$""),REGEXMATCH(A2496,"".*@simon.pt$""),REGEXMATCH(A2496,"".*@simonelectrica.com$""),REGEXMATCH(A2496,"".*@hiberus.com$""),REGEXMATCH(A2496,"".*@simonbrico.es$""),regexmatch(A2496,"".*@simonelectric.com$"")),""null"",A2"&amp;"496)"),"563@salesianospamplona.net")</f>
        <v>563@salesianospamplona.net</v>
      </c>
      <c r="C2496" s="5">
        <f>IF(B2496="null","null",Descargas!B2496)</f>
        <v>43944</v>
      </c>
      <c r="D2496" s="6" t="str">
        <f>Descargas!E2496</f>
        <v>https://resources.simonelectric.com/simon-material-formativo-vehiculo-electrico</v>
      </c>
      <c r="E2496" s="20" t="str">
        <f t="shared" si="1"/>
        <v>563@salesianospamplona.net</v>
      </c>
      <c r="F2496" s="21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</row>
    <row r="2497" ht="15.75" customHeight="1">
      <c r="A2497" s="18" t="str">
        <f>Descargas!A2497</f>
        <v>2010@incasl.com</v>
      </c>
      <c r="B2497" s="19" t="str">
        <f>IFERROR(__xludf.DUMMYFUNCTION("IF(OR(regexmatch(A2497,"".*@simon.es$""),REGEXMATCH(A2497,"".*@simon.pt$""),REGEXMATCH(A2497,"".*@simonelectrica.com$""),REGEXMATCH(A2497,"".*@hiberus.com$""),REGEXMATCH(A2497,"".*@simonbrico.es$""),regexmatch(A2497,"".*@simonelectric.com$"")),""null"",A2"&amp;"497)"),"2010@incasl.com")</f>
        <v>2010@incasl.com</v>
      </c>
      <c r="C2497" s="5">
        <f>IF(B2497="null","null",Descargas!B2497)</f>
        <v>43944</v>
      </c>
      <c r="D2497" s="6" t="str">
        <f>Descargas!E2497</f>
        <v>https://resources.simonelectric.com/simon-material-formativo-vehiculo-electrico</v>
      </c>
      <c r="E2497" s="20" t="str">
        <f t="shared" si="1"/>
        <v>2010@incasl.com</v>
      </c>
      <c r="F2497" s="21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</row>
    <row r="2498" ht="15.75" customHeight="1">
      <c r="A2498" s="18" t="str">
        <f>Descargas!A2498</f>
        <v>2011@gmail.com</v>
      </c>
      <c r="B2498" s="19" t="str">
        <f>IFERROR(__xludf.DUMMYFUNCTION("IF(OR(regexmatch(A2498,"".*@simon.es$""),REGEXMATCH(A2498,"".*@simon.pt$""),REGEXMATCH(A2498,"".*@simonelectrica.com$""),REGEXMATCH(A2498,"".*@hiberus.com$""),REGEXMATCH(A2498,"".*@simonbrico.es$""),regexmatch(A2498,"".*@simonelectric.com$"")),""null"",A2"&amp;"498)"),"2011@gmail.com")</f>
        <v>2011@gmail.com</v>
      </c>
      <c r="C2498" s="5">
        <f>IF(B2498="null","null",Descargas!B2498)</f>
        <v>43944</v>
      </c>
      <c r="D2498" s="6" t="str">
        <f>Descargas!E2498</f>
        <v>https://resources.simonelectric.com/simon-ebook-vehiculo-electrico</v>
      </c>
      <c r="E2498" s="20" t="str">
        <f t="shared" si="1"/>
        <v>2011@gmail.com</v>
      </c>
      <c r="F2498" s="21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</row>
    <row r="2499" ht="15.75" customHeight="1">
      <c r="A2499" s="18" t="str">
        <f>Descargas!A2499</f>
        <v>2012@gmail.com</v>
      </c>
      <c r="B2499" s="19" t="str">
        <f>IFERROR(__xludf.DUMMYFUNCTION("IF(OR(regexmatch(A2499,"".*@simon.es$""),REGEXMATCH(A2499,"".*@simon.pt$""),REGEXMATCH(A2499,"".*@simonelectrica.com$""),REGEXMATCH(A2499,"".*@hiberus.com$""),REGEXMATCH(A2499,"".*@simonbrico.es$""),regexmatch(A2499,"".*@simonelectric.com$"")),""null"",A2"&amp;"499)"),"2012@gmail.com")</f>
        <v>2012@gmail.com</v>
      </c>
      <c r="C2499" s="5">
        <f>IF(B2499="null","null",Descargas!B2499)</f>
        <v>43944</v>
      </c>
      <c r="D2499" s="6" t="str">
        <f>Descargas!E2499</f>
        <v>https://resources.simonelectric.com/simon-material-formativo-vehiculo-electrico</v>
      </c>
      <c r="E2499" s="20" t="str">
        <f t="shared" si="1"/>
        <v>2012@gmail.com</v>
      </c>
      <c r="F2499" s="21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</row>
    <row r="2500" ht="15.75" customHeight="1">
      <c r="A2500" s="18" t="str">
        <f>Descargas!A2500</f>
        <v>1327@tinet.org</v>
      </c>
      <c r="B2500" s="19" t="str">
        <f>IFERROR(__xludf.DUMMYFUNCTION("IF(OR(regexmatch(A2500,"".*@simon.es$""),REGEXMATCH(A2500,"".*@simon.pt$""),REGEXMATCH(A2500,"".*@simonelectrica.com$""),REGEXMATCH(A2500,"".*@hiberus.com$""),REGEXMATCH(A2500,"".*@simonbrico.es$""),regexmatch(A2500,"".*@simonelectric.com$"")),""null"",A2"&amp;"500)"),"1327@tinet.org")</f>
        <v>1327@tinet.org</v>
      </c>
      <c r="C2500" s="5">
        <f>IF(B2500="null","null",Descargas!B2500)</f>
        <v>43944</v>
      </c>
      <c r="D2500" s="6" t="str">
        <f>Descargas!E2500</f>
        <v>https://resources.simonelectric.com/simon-material-formativo-vehiculo-electrico</v>
      </c>
      <c r="E2500" s="20" t="str">
        <f t="shared" si="1"/>
        <v>1327@tinet.org</v>
      </c>
      <c r="F2500" s="21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</row>
    <row r="2501" ht="15.75" customHeight="1">
      <c r="A2501" s="18" t="str">
        <f>Descargas!A2501</f>
        <v>2013@ecopimeprojects.com</v>
      </c>
      <c r="B2501" s="19" t="str">
        <f>IFERROR(__xludf.DUMMYFUNCTION("IF(OR(regexmatch(A2501,"".*@simon.es$""),REGEXMATCH(A2501,"".*@simon.pt$""),REGEXMATCH(A2501,"".*@simonelectrica.com$""),REGEXMATCH(A2501,"".*@hiberus.com$""),REGEXMATCH(A2501,"".*@simonbrico.es$""),regexmatch(A2501,"".*@simonelectric.com$"")),""null"",A2"&amp;"501)"),"2013@ecopimeprojects.com")</f>
        <v>2013@ecopimeprojects.com</v>
      </c>
      <c r="C2501" s="5">
        <f>IF(B2501="null","null",Descargas!B2501)</f>
        <v>43944</v>
      </c>
      <c r="D2501" s="6" t="str">
        <f>Descargas!E2501</f>
        <v>https://resources.simonelectric.com/simon-material-formativo-vehiculo-electrico</v>
      </c>
      <c r="E2501" s="20" t="str">
        <f t="shared" si="1"/>
        <v>2013@ecopimeprojects.com</v>
      </c>
      <c r="F2501" s="21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</row>
    <row r="2502" ht="15.75" customHeight="1">
      <c r="A2502" s="18" t="str">
        <f>Descargas!A2502</f>
        <v>2014@gmail.com</v>
      </c>
      <c r="B2502" s="19" t="str">
        <f>IFERROR(__xludf.DUMMYFUNCTION("IF(OR(regexmatch(A2502,"".*@simon.es$""),REGEXMATCH(A2502,"".*@simon.pt$""),REGEXMATCH(A2502,"".*@simonelectrica.com$""),REGEXMATCH(A2502,"".*@hiberus.com$""),REGEXMATCH(A2502,"".*@simonbrico.es$""),regexmatch(A2502,"".*@simonelectric.com$"")),""null"",A2"&amp;"502)"),"2014@gmail.com")</f>
        <v>2014@gmail.com</v>
      </c>
      <c r="C2502" s="5">
        <f>IF(B2502="null","null",Descargas!B2502)</f>
        <v>43944</v>
      </c>
      <c r="D2502" s="6" t="str">
        <f>Descargas!E2502</f>
        <v>https://resources.simonelectric.com/simon-material-formativo-vehiculo-electrico</v>
      </c>
      <c r="E2502" s="20" t="str">
        <f t="shared" si="1"/>
        <v>2014@gmail.com</v>
      </c>
      <c r="F2502" s="21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</row>
    <row r="2503" ht="15.75" customHeight="1">
      <c r="A2503" s="18" t="str">
        <f>Descargas!A2503</f>
        <v>1975@outlook.es</v>
      </c>
      <c r="B2503" s="19" t="str">
        <f>IFERROR(__xludf.DUMMYFUNCTION("IF(OR(regexmatch(A2503,"".*@simon.es$""),REGEXMATCH(A2503,"".*@simon.pt$""),REGEXMATCH(A2503,"".*@simonelectrica.com$""),REGEXMATCH(A2503,"".*@hiberus.com$""),REGEXMATCH(A2503,"".*@simonbrico.es$""),regexmatch(A2503,"".*@simonelectric.com$"")),""null"",A2"&amp;"503)"),"1975@outlook.es")</f>
        <v>1975@outlook.es</v>
      </c>
      <c r="C2503" s="5">
        <f>IF(B2503="null","null",Descargas!B2503)</f>
        <v>43944</v>
      </c>
      <c r="D2503" s="6" t="str">
        <f>Descargas!E2503</f>
        <v>https://resources.simonelectric.com/simon-material-formativo-vehiculo-electrico</v>
      </c>
      <c r="E2503" s="20" t="str">
        <f t="shared" si="1"/>
        <v>1975@outlook.es</v>
      </c>
      <c r="F2503" s="21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</row>
    <row r="2504" ht="15.75" customHeight="1">
      <c r="A2504" s="18" t="str">
        <f>Descargas!A2504</f>
        <v>406@gmail.com</v>
      </c>
      <c r="B2504" s="19" t="str">
        <f>IFERROR(__xludf.DUMMYFUNCTION("IF(OR(regexmatch(A2504,"".*@simon.es$""),REGEXMATCH(A2504,"".*@simon.pt$""),REGEXMATCH(A2504,"".*@simonelectrica.com$""),REGEXMATCH(A2504,"".*@hiberus.com$""),REGEXMATCH(A2504,"".*@simonbrico.es$""),regexmatch(A2504,"".*@simonelectric.com$"")),""null"",A2"&amp;"504)"),"406@gmail.com")</f>
        <v>406@gmail.com</v>
      </c>
      <c r="C2504" s="5">
        <f>IF(B2504="null","null",Descargas!B2504)</f>
        <v>43944</v>
      </c>
      <c r="D2504" s="6" t="str">
        <f>Descargas!E2504</f>
        <v>https://resources.simonelectric.com/simon-material-formativo-vehiculo-electrico</v>
      </c>
      <c r="E2504" s="20" t="str">
        <f t="shared" si="1"/>
        <v>406@gmail.com</v>
      </c>
      <c r="F2504" s="21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</row>
    <row r="2505" ht="15.75" customHeight="1">
      <c r="A2505" s="18" t="str">
        <f>Descargas!A2505</f>
        <v>2000@hotmail.com</v>
      </c>
      <c r="B2505" s="19" t="str">
        <f>IFERROR(__xludf.DUMMYFUNCTION("IF(OR(regexmatch(A2505,"".*@simon.es$""),REGEXMATCH(A2505,"".*@simon.pt$""),REGEXMATCH(A2505,"".*@simonelectrica.com$""),REGEXMATCH(A2505,"".*@hiberus.com$""),REGEXMATCH(A2505,"".*@simonbrico.es$""),regexmatch(A2505,"".*@simonelectric.com$"")),""null"",A2"&amp;"505)"),"2000@hotmail.com")</f>
        <v>2000@hotmail.com</v>
      </c>
      <c r="C2505" s="5">
        <f>IF(B2505="null","null",Descargas!B2505)</f>
        <v>43944</v>
      </c>
      <c r="D2505" s="6" t="str">
        <f>Descargas!E2505</f>
        <v>https://resources.simonelectric.com/simon-material-formativo-vehiculo-electrico</v>
      </c>
      <c r="E2505" s="20" t="str">
        <f t="shared" si="1"/>
        <v>2000@hotmail.com</v>
      </c>
      <c r="F2505" s="21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</row>
    <row r="2506" ht="15.75" customHeight="1">
      <c r="A2506" s="18" t="str">
        <f>Descargas!A2506</f>
        <v>2015@hotmail.com</v>
      </c>
      <c r="B2506" s="19" t="str">
        <f>IFERROR(__xludf.DUMMYFUNCTION("IF(OR(regexmatch(A2506,"".*@simon.es$""),REGEXMATCH(A2506,"".*@simon.pt$""),REGEXMATCH(A2506,"".*@simonelectrica.com$""),REGEXMATCH(A2506,"".*@hiberus.com$""),REGEXMATCH(A2506,"".*@simonbrico.es$""),regexmatch(A2506,"".*@simonelectric.com$"")),""null"",A2"&amp;"506)"),"2015@hotmail.com")</f>
        <v>2015@hotmail.com</v>
      </c>
      <c r="C2506" s="5">
        <f>IF(B2506="null","null",Descargas!B2506)</f>
        <v>43944</v>
      </c>
      <c r="D2506" s="6" t="str">
        <f>Descargas!E2506</f>
        <v>https://resources.simonelectric.com/simon-material-formativo-vehiculo-electrico</v>
      </c>
      <c r="E2506" s="20" t="str">
        <f t="shared" si="1"/>
        <v>2015@hotmail.com</v>
      </c>
      <c r="F2506" s="21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</row>
    <row r="2507" ht="15.75" customHeight="1">
      <c r="A2507" s="18" t="str">
        <f>Descargas!A2507</f>
        <v>1970@electrificacionesparra.es</v>
      </c>
      <c r="B2507" s="19" t="str">
        <f>IFERROR(__xludf.DUMMYFUNCTION("IF(OR(regexmatch(A2507,"".*@simon.es$""),REGEXMATCH(A2507,"".*@simon.pt$""),REGEXMATCH(A2507,"".*@simonelectrica.com$""),REGEXMATCH(A2507,"".*@hiberus.com$""),REGEXMATCH(A2507,"".*@simonbrico.es$""),regexmatch(A2507,"".*@simonelectric.com$"")),""null"",A2"&amp;"507)"),"1970@electrificacionesparra.es")</f>
        <v>1970@electrificacionesparra.es</v>
      </c>
      <c r="C2507" s="5">
        <f>IF(B2507="null","null",Descargas!B2507)</f>
        <v>43944</v>
      </c>
      <c r="D2507" s="6" t="str">
        <f>Descargas!E2507</f>
        <v>https://resources.simonelectric.com/simon-material-formativo-vehiculo-electrico</v>
      </c>
      <c r="E2507" s="20" t="str">
        <f t="shared" si="1"/>
        <v>1970@electrificacionesparra.es</v>
      </c>
      <c r="F2507" s="21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</row>
    <row r="2508" ht="15.75" customHeight="1">
      <c r="A2508" s="18" t="str">
        <f>Descargas!A2508</f>
        <v>2016@simon.es</v>
      </c>
      <c r="B2508" s="19" t="str">
        <f>IFERROR(__xludf.DUMMYFUNCTION("IF(OR(regexmatch(A2508,"".*@simon.es$""),REGEXMATCH(A2508,"".*@simon.pt$""),REGEXMATCH(A2508,"".*@simonelectrica.com$""),REGEXMATCH(A2508,"".*@hiberus.com$""),REGEXMATCH(A2508,"".*@simonbrico.es$""),regexmatch(A2508,"".*@simonelectric.com$"")),""null"",A2"&amp;"508)"),"null")</f>
        <v>null</v>
      </c>
      <c r="C2508" s="5" t="str">
        <f>IF(B2508="null","null",Descargas!B2508)</f>
        <v>null</v>
      </c>
      <c r="D2508" s="6" t="str">
        <f>Descargas!E2508</f>
        <v>https://resources.simonelectric.com/simon-material-formativo-vehiculo-electrico</v>
      </c>
      <c r="E2508" s="24" t="str">
        <f t="shared" si="1"/>
        <v/>
      </c>
      <c r="F2508" s="21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</row>
    <row r="2509" ht="15.75" customHeight="1">
      <c r="A2509" s="18" t="str">
        <f>Descargas!A2509</f>
        <v>2017@sogesa.es</v>
      </c>
      <c r="B2509" s="19" t="str">
        <f>IFERROR(__xludf.DUMMYFUNCTION("IF(OR(regexmatch(A2509,"".*@simon.es$""),REGEXMATCH(A2509,"".*@simon.pt$""),REGEXMATCH(A2509,"".*@simonelectrica.com$""),REGEXMATCH(A2509,"".*@hiberus.com$""),REGEXMATCH(A2509,"".*@simonbrico.es$""),regexmatch(A2509,"".*@simonelectric.com$"")),""null"",A2"&amp;"509)"),"2017@sogesa.es")</f>
        <v>2017@sogesa.es</v>
      </c>
      <c r="C2509" s="5">
        <f>IF(B2509="null","null",Descargas!B2509)</f>
        <v>43944</v>
      </c>
      <c r="D2509" s="6" t="str">
        <f>Descargas!E2509</f>
        <v>https://resources.simonelectric.com/simon-material-formativo-vehiculo-electrico</v>
      </c>
      <c r="E2509" s="20" t="str">
        <f t="shared" si="1"/>
        <v>2017@sogesa.es</v>
      </c>
      <c r="F2509" s="21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</row>
    <row r="2510" ht="15.75" customHeight="1">
      <c r="A2510" s="18" t="str">
        <f>Descargas!A2510</f>
        <v>2018@mantise.com</v>
      </c>
      <c r="B2510" s="19" t="str">
        <f>IFERROR(__xludf.DUMMYFUNCTION("IF(OR(regexmatch(A2510,"".*@simon.es$""),REGEXMATCH(A2510,"".*@simon.pt$""),REGEXMATCH(A2510,"".*@simonelectrica.com$""),REGEXMATCH(A2510,"".*@hiberus.com$""),REGEXMATCH(A2510,"".*@simonbrico.es$""),regexmatch(A2510,"".*@simonelectric.com$"")),""null"",A2"&amp;"510)"),"2018@mantise.com")</f>
        <v>2018@mantise.com</v>
      </c>
      <c r="C2510" s="5">
        <f>IF(B2510="null","null",Descargas!B2510)</f>
        <v>43944</v>
      </c>
      <c r="D2510" s="6" t="str">
        <f>Descargas!E2510</f>
        <v>https://resources.simonelectric.com/simon-material-formativo-vehiculo-electrico</v>
      </c>
      <c r="E2510" s="20" t="str">
        <f t="shared" si="1"/>
        <v>2018@mantise.com</v>
      </c>
      <c r="F2510" s="21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</row>
    <row r="2511" ht="15.75" customHeight="1">
      <c r="A2511" s="18" t="str">
        <f>Descargas!A2511</f>
        <v>1988@lusorede.pt</v>
      </c>
      <c r="B2511" s="19" t="str">
        <f>IFERROR(__xludf.DUMMYFUNCTION("IF(OR(regexmatch(A2511,"".*@simon.es$""),REGEXMATCH(A2511,"".*@simon.pt$""),REGEXMATCH(A2511,"".*@simonelectrica.com$""),REGEXMATCH(A2511,"".*@hiberus.com$""),REGEXMATCH(A2511,"".*@simonbrico.es$""),regexmatch(A2511,"".*@simonelectric.com$"")),""null"",A2"&amp;"511)"),"1988@lusorede.pt")</f>
        <v>1988@lusorede.pt</v>
      </c>
      <c r="C2511" s="5">
        <f>IF(B2511="null","null",Descargas!B2511)</f>
        <v>43944</v>
      </c>
      <c r="D2511" s="6" t="str">
        <f>Descargas!E2511</f>
        <v>https://resources.simonelectric.com/simon-material-formativo-vehiculo-electrico</v>
      </c>
      <c r="E2511" s="20" t="str">
        <f t="shared" si="1"/>
        <v>1988@lusorede.pt</v>
      </c>
      <c r="F2511" s="21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</row>
    <row r="2512" ht="15.75" customHeight="1">
      <c r="A2512" s="18" t="str">
        <f>Descargas!A2512</f>
        <v>2011@gmail.com</v>
      </c>
      <c r="B2512" s="19" t="str">
        <f>IFERROR(__xludf.DUMMYFUNCTION("IF(OR(regexmatch(A2512,"".*@simon.es$""),REGEXMATCH(A2512,"".*@simon.pt$""),REGEXMATCH(A2512,"".*@simonelectrica.com$""),REGEXMATCH(A2512,"".*@hiberus.com$""),REGEXMATCH(A2512,"".*@simonbrico.es$""),regexmatch(A2512,"".*@simonelectric.com$"")),""null"",A2"&amp;"512)"),"2011@gmail.com")</f>
        <v>2011@gmail.com</v>
      </c>
      <c r="C2512" s="5">
        <f>IF(B2512="null","null",Descargas!B2512)</f>
        <v>43944</v>
      </c>
      <c r="D2512" s="6" t="str">
        <f>Descargas!E2512</f>
        <v>https://resources.simonelectric.com/simon-material-formativo-vehiculo-electrico</v>
      </c>
      <c r="E2512" s="20" t="str">
        <f t="shared" si="1"/>
        <v>2011@gmail.com</v>
      </c>
      <c r="F2512" s="21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</row>
    <row r="2513" ht="15.75" customHeight="1">
      <c r="A2513" s="18" t="str">
        <f>Descargas!A2513</f>
        <v>2019@didacticaformacion.es</v>
      </c>
      <c r="B2513" s="19" t="str">
        <f>IFERROR(__xludf.DUMMYFUNCTION("IF(OR(regexmatch(A2513,"".*@simon.es$""),REGEXMATCH(A2513,"".*@simon.pt$""),REGEXMATCH(A2513,"".*@simonelectrica.com$""),REGEXMATCH(A2513,"".*@hiberus.com$""),REGEXMATCH(A2513,"".*@simonbrico.es$""),regexmatch(A2513,"".*@simonelectric.com$"")),""null"",A2"&amp;"513)"),"2019@didacticaformacion.es")</f>
        <v>2019@didacticaformacion.es</v>
      </c>
      <c r="C2513" s="5">
        <f>IF(B2513="null","null",Descargas!B2513)</f>
        <v>43944</v>
      </c>
      <c r="D2513" s="6" t="str">
        <f>Descargas!E2513</f>
        <v>https://resources.simonelectric.com/simon-ebook-vehiculo-electrico</v>
      </c>
      <c r="E2513" s="20" t="str">
        <f t="shared" si="1"/>
        <v>2019@didacticaformacion.es</v>
      </c>
      <c r="F2513" s="21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</row>
    <row r="2514" ht="15.75" customHeight="1">
      <c r="A2514" s="18" t="str">
        <f>Descargas!A2514</f>
        <v>1112@covama.es</v>
      </c>
      <c r="B2514" s="19" t="str">
        <f>IFERROR(__xludf.DUMMYFUNCTION("IF(OR(regexmatch(A2514,"".*@simon.es$""),REGEXMATCH(A2514,"".*@simon.pt$""),REGEXMATCH(A2514,"".*@simonelectrica.com$""),REGEXMATCH(A2514,"".*@hiberus.com$""),REGEXMATCH(A2514,"".*@simonbrico.es$""),regexmatch(A2514,"".*@simonelectric.com$"")),""null"",A2"&amp;"514)"),"1112@covama.es")</f>
        <v>1112@covama.es</v>
      </c>
      <c r="C2514" s="5">
        <f>IF(B2514="null","null",Descargas!B2514)</f>
        <v>43944</v>
      </c>
      <c r="D2514" s="6" t="str">
        <f>Descargas!E2514</f>
        <v>https://resources.simonelectric.com/simon-material-formativo-vehiculo-electrico</v>
      </c>
      <c r="E2514" s="20" t="str">
        <f t="shared" si="1"/>
        <v>1112@covama.es</v>
      </c>
      <c r="F2514" s="21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</row>
    <row r="2515" ht="15.75" customHeight="1">
      <c r="A2515" s="18" t="str">
        <f>Descargas!A2515</f>
        <v>2019@didacticaformacion.es</v>
      </c>
      <c r="B2515" s="19" t="str">
        <f>IFERROR(__xludf.DUMMYFUNCTION("IF(OR(regexmatch(A2515,"".*@simon.es$""),REGEXMATCH(A2515,"".*@simon.pt$""),REGEXMATCH(A2515,"".*@simonelectrica.com$""),REGEXMATCH(A2515,"".*@hiberus.com$""),REGEXMATCH(A2515,"".*@simonbrico.es$""),regexmatch(A2515,"".*@simonelectric.com$"")),""null"",A2"&amp;"515)"),"2019@didacticaformacion.es")</f>
        <v>2019@didacticaformacion.es</v>
      </c>
      <c r="C2515" s="5">
        <f>IF(B2515="null","null",Descargas!B2515)</f>
        <v>43944</v>
      </c>
      <c r="D2515" s="6" t="str">
        <f>Descargas!E2515</f>
        <v>https://resources.simonelectric.com/simon-material-formativo-vehiculo-electrico</v>
      </c>
      <c r="E2515" s="20" t="str">
        <f t="shared" si="1"/>
        <v>2019@didacticaformacion.es</v>
      </c>
      <c r="F2515" s="21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</row>
    <row r="2516" ht="15.75" customHeight="1">
      <c r="A2516" s="18" t="str">
        <f>Descargas!A2516</f>
        <v>1986@martipala.com</v>
      </c>
      <c r="B2516" s="19" t="str">
        <f>IFERROR(__xludf.DUMMYFUNCTION("IF(OR(regexmatch(A2516,"".*@simon.es$""),REGEXMATCH(A2516,"".*@simon.pt$""),REGEXMATCH(A2516,"".*@simonelectrica.com$""),REGEXMATCH(A2516,"".*@hiberus.com$""),REGEXMATCH(A2516,"".*@simonbrico.es$""),regexmatch(A2516,"".*@simonelectric.com$"")),""null"",A2"&amp;"516)"),"1986@martipala.com")</f>
        <v>1986@martipala.com</v>
      </c>
      <c r="C2516" s="5">
        <f>IF(B2516="null","null",Descargas!B2516)</f>
        <v>43944</v>
      </c>
      <c r="D2516" s="6" t="str">
        <f>Descargas!E2516</f>
        <v>https://resources.simonelectric.com/simon-material-formativo-vehiculo-electrico</v>
      </c>
      <c r="E2516" s="20" t="str">
        <f t="shared" si="1"/>
        <v>1986@martipala.com</v>
      </c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</row>
    <row r="2517" ht="15.75" customHeight="1">
      <c r="A2517" s="18" t="str">
        <f>Descargas!A2517</f>
        <v>1886@outlook.com</v>
      </c>
      <c r="B2517" s="19" t="str">
        <f>IFERROR(__xludf.DUMMYFUNCTION("IF(OR(regexmatch(A2517,"".*@simon.es$""),REGEXMATCH(A2517,"".*@simon.pt$""),REGEXMATCH(A2517,"".*@simonelectrica.com$""),REGEXMATCH(A2517,"".*@hiberus.com$""),REGEXMATCH(A2517,"".*@simonbrico.es$""),regexmatch(A2517,"".*@simonelectric.com$"")),""null"",A2"&amp;"517)"),"1886@outlook.com")</f>
        <v>1886@outlook.com</v>
      </c>
      <c r="C2517" s="5">
        <f>IF(B2517="null","null",Descargas!B2517)</f>
        <v>43944</v>
      </c>
      <c r="D2517" s="6" t="str">
        <f>Descargas!E2517</f>
        <v>https://resources.simonelectric.com/simon-material-formativo-vehiculo-electrico</v>
      </c>
      <c r="E2517" s="20" t="str">
        <f t="shared" si="1"/>
        <v>1886@outlook.com</v>
      </c>
      <c r="F2517" s="21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</row>
    <row r="2518" ht="15.75" customHeight="1">
      <c r="A2518" s="18" t="str">
        <f>Descargas!A2518</f>
        <v>1324@hotmail.com</v>
      </c>
      <c r="B2518" s="19" t="str">
        <f>IFERROR(__xludf.DUMMYFUNCTION("IF(OR(regexmatch(A2518,"".*@simon.es$""),REGEXMATCH(A2518,"".*@simon.pt$""),REGEXMATCH(A2518,"".*@simonelectrica.com$""),REGEXMATCH(A2518,"".*@hiberus.com$""),REGEXMATCH(A2518,"".*@simonbrico.es$""),regexmatch(A2518,"".*@simonelectric.com$"")),""null"",A2"&amp;"518)"),"1324@hotmail.com")</f>
        <v>1324@hotmail.com</v>
      </c>
      <c r="C2518" s="5">
        <f>IF(B2518="null","null",Descargas!B2518)</f>
        <v>43944</v>
      </c>
      <c r="D2518" s="6" t="str">
        <f>Descargas!E2518</f>
        <v>https://resources.simonelectric.com/simon-material-formativo-vehiculo-electrico</v>
      </c>
      <c r="E2518" s="20" t="str">
        <f t="shared" si="1"/>
        <v>1324@hotmail.com</v>
      </c>
      <c r="F2518" s="21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</row>
    <row r="2519" ht="15.75" customHeight="1">
      <c r="A2519" s="18" t="str">
        <f>Descargas!A2519</f>
        <v>1565@simon.es</v>
      </c>
      <c r="B2519" s="19" t="str">
        <f>IFERROR(__xludf.DUMMYFUNCTION("IF(OR(regexmatch(A2519,"".*@simon.es$""),REGEXMATCH(A2519,"".*@simon.pt$""),REGEXMATCH(A2519,"".*@simonelectrica.com$""),REGEXMATCH(A2519,"".*@hiberus.com$""),REGEXMATCH(A2519,"".*@simonbrico.es$""),regexmatch(A2519,"".*@simonelectric.com$"")),""null"",A2"&amp;"519)"),"null")</f>
        <v>null</v>
      </c>
      <c r="C2519" s="5" t="str">
        <f>IF(B2519="null","null",Descargas!B2519)</f>
        <v>null</v>
      </c>
      <c r="D2519" s="6" t="str">
        <f>Descargas!E2519</f>
        <v>https://resources.simonelectric.com/simon-material-formativo-vehiculo-electrico</v>
      </c>
      <c r="E2519" s="24" t="str">
        <f t="shared" si="1"/>
        <v/>
      </c>
      <c r="F2519" s="21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</row>
    <row r="2520" ht="15.75" customHeight="1">
      <c r="A2520" s="18" t="str">
        <f>Descargas!A2520</f>
        <v>1891@ciudaddelosmuchachos.com</v>
      </c>
      <c r="B2520" s="19" t="str">
        <f>IFERROR(__xludf.DUMMYFUNCTION("IF(OR(regexmatch(A2520,"".*@simon.es$""),REGEXMATCH(A2520,"".*@simon.pt$""),REGEXMATCH(A2520,"".*@simonelectrica.com$""),REGEXMATCH(A2520,"".*@hiberus.com$""),REGEXMATCH(A2520,"".*@simonbrico.es$""),regexmatch(A2520,"".*@simonelectric.com$"")),""null"",A2"&amp;"520)"),"1891@ciudaddelosmuchachos.com")</f>
        <v>1891@ciudaddelosmuchachos.com</v>
      </c>
      <c r="C2520" s="5">
        <f>IF(B2520="null","null",Descargas!B2520)</f>
        <v>43944</v>
      </c>
      <c r="D2520" s="6" t="str">
        <f>Descargas!E2520</f>
        <v>https://resources.simonelectric.com/simon-material-formativo-vehiculo-electrico</v>
      </c>
      <c r="E2520" s="20" t="str">
        <f t="shared" si="1"/>
        <v>1891@ciudaddelosmuchachos.com</v>
      </c>
      <c r="F2520" s="21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</row>
    <row r="2521" ht="15.75" customHeight="1">
      <c r="A2521" s="18" t="str">
        <f>Descargas!A2521</f>
        <v>1108@enginyerstarragona.cat</v>
      </c>
      <c r="B2521" s="19" t="str">
        <f>IFERROR(__xludf.DUMMYFUNCTION("IF(OR(regexmatch(A2521,"".*@simon.es$""),REGEXMATCH(A2521,"".*@simon.pt$""),REGEXMATCH(A2521,"".*@simonelectrica.com$""),REGEXMATCH(A2521,"".*@hiberus.com$""),REGEXMATCH(A2521,"".*@simonbrico.es$""),regexmatch(A2521,"".*@simonelectric.com$"")),""null"",A2"&amp;"521)"),"1108@enginyerstarragona.cat")</f>
        <v>1108@enginyerstarragona.cat</v>
      </c>
      <c r="C2521" s="5">
        <f>IF(B2521="null","null",Descargas!B2521)</f>
        <v>43944</v>
      </c>
      <c r="D2521" s="6" t="str">
        <f>Descargas!E2521</f>
        <v>https://resources.simonelectric.com/simon-material-formativo-vehiculo-electrico</v>
      </c>
      <c r="E2521" s="20" t="str">
        <f t="shared" si="1"/>
        <v>1108@enginyerstarragona.cat</v>
      </c>
      <c r="F2521" s="21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</row>
    <row r="2522" ht="15.75" customHeight="1">
      <c r="A2522" s="18" t="str">
        <f>Descargas!A2522</f>
        <v>1145@miretelectricidad.com</v>
      </c>
      <c r="B2522" s="19" t="str">
        <f>IFERROR(__xludf.DUMMYFUNCTION("IF(OR(regexmatch(A2522,"".*@simon.es$""),REGEXMATCH(A2522,"".*@simon.pt$""),REGEXMATCH(A2522,"".*@simonelectrica.com$""),REGEXMATCH(A2522,"".*@hiberus.com$""),REGEXMATCH(A2522,"".*@simonbrico.es$""),regexmatch(A2522,"".*@simonelectric.com$"")),""null"",A2"&amp;"522)"),"1145@miretelectricidad.com")</f>
        <v>1145@miretelectricidad.com</v>
      </c>
      <c r="C2522" s="5">
        <f>IF(B2522="null","null",Descargas!B2522)</f>
        <v>43944</v>
      </c>
      <c r="D2522" s="6" t="str">
        <f>Descargas!E2522</f>
        <v>https://resources.simonelectric.com/simon-material-formativo-vehiculo-electrico</v>
      </c>
      <c r="E2522" s="20" t="str">
        <f t="shared" si="1"/>
        <v>1145@miretelectricidad.com</v>
      </c>
      <c r="F2522" s="21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</row>
    <row r="2523" ht="15.75" customHeight="1">
      <c r="A2523" s="18" t="str">
        <f>Descargas!A2523</f>
        <v>2020@forestaldelatlantico.com</v>
      </c>
      <c r="B2523" s="19" t="str">
        <f>IFERROR(__xludf.DUMMYFUNCTION("IF(OR(regexmatch(A2523,"".*@simon.es$""),REGEXMATCH(A2523,"".*@simon.pt$""),REGEXMATCH(A2523,"".*@simonelectrica.com$""),REGEXMATCH(A2523,"".*@hiberus.com$""),REGEXMATCH(A2523,"".*@simonbrico.es$""),regexmatch(A2523,"".*@simonelectric.com$"")),""null"",A2"&amp;"523)"),"2020@forestaldelatlantico.com")</f>
        <v>2020@forestaldelatlantico.com</v>
      </c>
      <c r="C2523" s="5">
        <f>IF(B2523="null","null",Descargas!B2523)</f>
        <v>43944</v>
      </c>
      <c r="D2523" s="6" t="str">
        <f>Descargas!E2523</f>
        <v>https://resources.simonelectric.com/simon-material-formativo-vehiculo-electrico</v>
      </c>
      <c r="E2523" s="20" t="str">
        <f t="shared" si="1"/>
        <v>2020@forestaldelatlantico.com</v>
      </c>
      <c r="F2523" s="21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</row>
    <row r="2524" ht="15.75" customHeight="1">
      <c r="A2524" s="18" t="str">
        <f>Descargas!A2524</f>
        <v>2021@osnova.net</v>
      </c>
      <c r="B2524" s="19" t="str">
        <f>IFERROR(__xludf.DUMMYFUNCTION("IF(OR(regexmatch(A2524,"".*@simon.es$""),REGEXMATCH(A2524,"".*@simon.pt$""),REGEXMATCH(A2524,"".*@simonelectrica.com$""),REGEXMATCH(A2524,"".*@hiberus.com$""),REGEXMATCH(A2524,"".*@simonbrico.es$""),regexmatch(A2524,"".*@simonelectric.com$"")),""null"",A2"&amp;"524)"),"2021@osnova.net")</f>
        <v>2021@osnova.net</v>
      </c>
      <c r="C2524" s="5">
        <f>IF(B2524="null","null",Descargas!B2524)</f>
        <v>43944</v>
      </c>
      <c r="D2524" s="6" t="str">
        <f>Descargas!E2524</f>
        <v>https://resources.simonelectric.com/simon-material-formativo-vehiculo-electrico</v>
      </c>
      <c r="E2524" s="20" t="str">
        <f t="shared" si="1"/>
        <v>2021@osnova.net</v>
      </c>
      <c r="F2524" s="21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</row>
    <row r="2525" ht="15.75" customHeight="1">
      <c r="A2525" s="18" t="str">
        <f>Descargas!A2525</f>
        <v>1870@marlexingenieria.com</v>
      </c>
      <c r="B2525" s="19" t="str">
        <f>IFERROR(__xludf.DUMMYFUNCTION("IF(OR(regexmatch(A2525,"".*@simon.es$""),REGEXMATCH(A2525,"".*@simon.pt$""),REGEXMATCH(A2525,"".*@simonelectrica.com$""),REGEXMATCH(A2525,"".*@hiberus.com$""),REGEXMATCH(A2525,"".*@simonbrico.es$""),regexmatch(A2525,"".*@simonelectric.com$"")),""null"",A2"&amp;"525)"),"1870@marlexingenieria.com")</f>
        <v>1870@marlexingenieria.com</v>
      </c>
      <c r="C2525" s="5">
        <f>IF(B2525="null","null",Descargas!B2525)</f>
        <v>43944</v>
      </c>
      <c r="D2525" s="6" t="str">
        <f>Descargas!E2525</f>
        <v>https://resources.simonelectric.com/simon-material-formativo-vehiculo-electrico</v>
      </c>
      <c r="E2525" s="20" t="str">
        <f t="shared" si="1"/>
        <v>1870@marlexingenieria.com</v>
      </c>
      <c r="F2525" s="21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</row>
    <row r="2526" ht="15.75" customHeight="1">
      <c r="A2526" s="18" t="str">
        <f>Descargas!A2526</f>
        <v>1999@obrelsa.com</v>
      </c>
      <c r="B2526" s="19" t="str">
        <f>IFERROR(__xludf.DUMMYFUNCTION("IF(OR(regexmatch(A2526,"".*@simon.es$""),REGEXMATCH(A2526,"".*@simon.pt$""),REGEXMATCH(A2526,"".*@simonelectrica.com$""),REGEXMATCH(A2526,"".*@hiberus.com$""),REGEXMATCH(A2526,"".*@simonbrico.es$""),regexmatch(A2526,"".*@simonelectric.com$"")),""null"",A2"&amp;"526)"),"1999@obrelsa.com")</f>
        <v>1999@obrelsa.com</v>
      </c>
      <c r="C2526" s="5">
        <f>IF(B2526="null","null",Descargas!B2526)</f>
        <v>43944</v>
      </c>
      <c r="D2526" s="6" t="str">
        <f>Descargas!E2526</f>
        <v>https://resources.simonelectric.com/simon-material-formativo-vehiculo-electrico</v>
      </c>
      <c r="E2526" s="20" t="str">
        <f t="shared" si="1"/>
        <v>1999@obrelsa.com</v>
      </c>
      <c r="F2526" s="21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</row>
    <row r="2527" ht="15.75" customHeight="1">
      <c r="A2527" s="18" t="str">
        <f>Descargas!A2527</f>
        <v>1890@setenergia.com</v>
      </c>
      <c r="B2527" s="19" t="str">
        <f>IFERROR(__xludf.DUMMYFUNCTION("IF(OR(regexmatch(A2527,"".*@simon.es$""),REGEXMATCH(A2527,"".*@simon.pt$""),REGEXMATCH(A2527,"".*@simonelectrica.com$""),REGEXMATCH(A2527,"".*@hiberus.com$""),REGEXMATCH(A2527,"".*@simonbrico.es$""),regexmatch(A2527,"".*@simonelectric.com$"")),""null"",A2"&amp;"527)"),"1890@setenergia.com")</f>
        <v>1890@setenergia.com</v>
      </c>
      <c r="C2527" s="5">
        <f>IF(B2527="null","null",Descargas!B2527)</f>
        <v>43944</v>
      </c>
      <c r="D2527" s="6" t="str">
        <f>Descargas!E2527</f>
        <v>https://resources.simonelectric.com/simon-material-formativo-vehiculo-electrico</v>
      </c>
      <c r="E2527" s="20" t="str">
        <f t="shared" si="1"/>
        <v>1890@setenergia.com</v>
      </c>
      <c r="F2527" s="21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</row>
    <row r="2528" ht="15.75" customHeight="1">
      <c r="A2528" s="18" t="str">
        <f>Descargas!A2528</f>
        <v>1892@soltecingenieros.com</v>
      </c>
      <c r="B2528" s="19" t="str">
        <f>IFERROR(__xludf.DUMMYFUNCTION("IF(OR(regexmatch(A2528,"".*@simon.es$""),REGEXMATCH(A2528,"".*@simon.pt$""),REGEXMATCH(A2528,"".*@simonelectrica.com$""),REGEXMATCH(A2528,"".*@hiberus.com$""),REGEXMATCH(A2528,"".*@simonbrico.es$""),regexmatch(A2528,"".*@simonelectric.com$"")),""null"",A2"&amp;"528)"),"1892@soltecingenieros.com")</f>
        <v>1892@soltecingenieros.com</v>
      </c>
      <c r="C2528" s="5">
        <f>IF(B2528="null","null",Descargas!B2528)</f>
        <v>43944</v>
      </c>
      <c r="D2528" s="6" t="str">
        <f>Descargas!E2528</f>
        <v>https://resources.simonelectric.com/simon-material-formativo-vehiculo-electrico</v>
      </c>
      <c r="E2528" s="20" t="str">
        <f t="shared" si="1"/>
        <v>1892@soltecingenieros.com</v>
      </c>
      <c r="F2528" s="21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</row>
    <row r="2529" ht="15.75" customHeight="1">
      <c r="A2529" s="18" t="str">
        <f>Descargas!A2529</f>
        <v>1879@jafenginyeria.cat</v>
      </c>
      <c r="B2529" s="19" t="str">
        <f>IFERROR(__xludf.DUMMYFUNCTION("IF(OR(regexmatch(A2529,"".*@simon.es$""),REGEXMATCH(A2529,"".*@simon.pt$""),REGEXMATCH(A2529,"".*@simonelectrica.com$""),REGEXMATCH(A2529,"".*@hiberus.com$""),REGEXMATCH(A2529,"".*@simonbrico.es$""),regexmatch(A2529,"".*@simonelectric.com$"")),""null"",A2"&amp;"529)"),"1879@jafenginyeria.cat")</f>
        <v>1879@jafenginyeria.cat</v>
      </c>
      <c r="C2529" s="5">
        <f>IF(B2529="null","null",Descargas!B2529)</f>
        <v>43944</v>
      </c>
      <c r="D2529" s="6" t="str">
        <f>Descargas!E2529</f>
        <v>https://resources.simonelectric.com/simon-material-formativo-vehiculo-electrico</v>
      </c>
      <c r="E2529" s="20" t="str">
        <f t="shared" si="1"/>
        <v>1879@jafenginyeria.cat</v>
      </c>
      <c r="F2529" s="21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</row>
    <row r="2530" ht="15.75" customHeight="1">
      <c r="A2530" s="18" t="str">
        <f>Descargas!A2530</f>
        <v>2022@solarinspain.com</v>
      </c>
      <c r="B2530" s="19" t="str">
        <f>IFERROR(__xludf.DUMMYFUNCTION("IF(OR(regexmatch(A2530,"".*@simon.es$""),REGEXMATCH(A2530,"".*@simon.pt$""),REGEXMATCH(A2530,"".*@simonelectrica.com$""),REGEXMATCH(A2530,"".*@hiberus.com$""),REGEXMATCH(A2530,"".*@simonbrico.es$""),regexmatch(A2530,"".*@simonelectric.com$"")),""null"",A2"&amp;"530)"),"2022@solarinspain.com")</f>
        <v>2022@solarinspain.com</v>
      </c>
      <c r="C2530" s="5">
        <f>IF(B2530="null","null",Descargas!B2530)</f>
        <v>43944</v>
      </c>
      <c r="D2530" s="6" t="str">
        <f>Descargas!E2530</f>
        <v>https://resources.simonelectric.com/simon-material-formativo-vehiculo-electrico</v>
      </c>
      <c r="E2530" s="20" t="str">
        <f t="shared" si="1"/>
        <v>2022@solarinspain.com</v>
      </c>
      <c r="F2530" s="21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</row>
    <row r="2531" ht="15.75" customHeight="1">
      <c r="A2531" s="18" t="str">
        <f>Descargas!A2531</f>
        <v>2023@gmail.com</v>
      </c>
      <c r="B2531" s="19" t="str">
        <f>IFERROR(__xludf.DUMMYFUNCTION("IF(OR(regexmatch(A2531,"".*@simon.es$""),REGEXMATCH(A2531,"".*@simon.pt$""),REGEXMATCH(A2531,"".*@simonelectrica.com$""),REGEXMATCH(A2531,"".*@hiberus.com$""),REGEXMATCH(A2531,"".*@simonbrico.es$""),regexmatch(A2531,"".*@simonelectric.com$"")),""null"",A2"&amp;"531)"),"2023@gmail.com")</f>
        <v>2023@gmail.com</v>
      </c>
      <c r="C2531" s="5">
        <f>IF(B2531="null","null",Descargas!B2531)</f>
        <v>43944</v>
      </c>
      <c r="D2531" s="6" t="str">
        <f>Descargas!E2531</f>
        <v>https://resources.simonelectric.com/simon-material-formativo-vehiculo-electrico</v>
      </c>
      <c r="E2531" s="20" t="str">
        <f t="shared" si="1"/>
        <v>2023@gmail.com</v>
      </c>
      <c r="F2531" s="21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</row>
    <row r="2532" ht="15.75" customHeight="1">
      <c r="A2532" s="18" t="str">
        <f>Descargas!A2532</f>
        <v>1895@grupoarquitelia.com</v>
      </c>
      <c r="B2532" s="19" t="str">
        <f>IFERROR(__xludf.DUMMYFUNCTION("IF(OR(regexmatch(A2532,"".*@simon.es$""),REGEXMATCH(A2532,"".*@simon.pt$""),REGEXMATCH(A2532,"".*@simonelectrica.com$""),REGEXMATCH(A2532,"".*@hiberus.com$""),REGEXMATCH(A2532,"".*@simonbrico.es$""),regexmatch(A2532,"".*@simonelectric.com$"")),""null"",A2"&amp;"532)"),"1895@grupoarquitelia.com")</f>
        <v>1895@grupoarquitelia.com</v>
      </c>
      <c r="C2532" s="5">
        <f>IF(B2532="null","null",Descargas!B2532)</f>
        <v>43944</v>
      </c>
      <c r="D2532" s="6" t="str">
        <f>Descargas!E2532</f>
        <v>https://resources.simonelectric.com/simon-material-formativo-vehiculo-electrico</v>
      </c>
      <c r="E2532" s="20" t="str">
        <f t="shared" si="1"/>
        <v>1895@grupoarquitelia.com</v>
      </c>
      <c r="F2532" s="21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</row>
    <row r="2533" ht="15.75" customHeight="1">
      <c r="A2533" s="18" t="str">
        <f>Descargas!A2533</f>
        <v>1919@simon.pt</v>
      </c>
      <c r="B2533" s="19" t="str">
        <f>IFERROR(__xludf.DUMMYFUNCTION("IF(OR(regexmatch(A2533,"".*@simon.es$""),REGEXMATCH(A2533,"".*@simon.pt$""),REGEXMATCH(A2533,"".*@simonelectrica.com$""),REGEXMATCH(A2533,"".*@hiberus.com$""),REGEXMATCH(A2533,"".*@simonbrico.es$""),regexmatch(A2533,"".*@simonelectric.com$"")),""null"",A2"&amp;"533)"),"null")</f>
        <v>null</v>
      </c>
      <c r="C2533" s="5" t="str">
        <f>IF(B2533="null","null",Descargas!B2533)</f>
        <v>null</v>
      </c>
      <c r="D2533" s="6" t="str">
        <f>Descargas!E2533</f>
        <v>https://resources.simonelectric.com/simon-material-formativo-vehiculo-electrico</v>
      </c>
      <c r="E2533" s="24" t="str">
        <f t="shared" si="1"/>
        <v/>
      </c>
      <c r="F2533" s="21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</row>
    <row r="2534" ht="15.75" customHeight="1">
      <c r="A2534" s="18" t="str">
        <f>Descargas!A2534</f>
        <v>2024@grupooca.com</v>
      </c>
      <c r="B2534" s="19" t="str">
        <f>IFERROR(__xludf.DUMMYFUNCTION("IF(OR(regexmatch(A2534,"".*@simon.es$""),REGEXMATCH(A2534,"".*@simon.pt$""),REGEXMATCH(A2534,"".*@simonelectrica.com$""),REGEXMATCH(A2534,"".*@hiberus.com$""),REGEXMATCH(A2534,"".*@simonbrico.es$""),regexmatch(A2534,"".*@simonelectric.com$"")),""null"",A2"&amp;"534)"),"2024@grupooca.com")</f>
        <v>2024@grupooca.com</v>
      </c>
      <c r="C2534" s="5">
        <f>IF(B2534="null","null",Descargas!B2534)</f>
        <v>43944</v>
      </c>
      <c r="D2534" s="6" t="str">
        <f>Descargas!E2534</f>
        <v>https://resources.simonelectric.com/simon-material-formativo-vehiculo-electrico</v>
      </c>
      <c r="E2534" s="20" t="str">
        <f t="shared" si="1"/>
        <v>2024@grupooca.com</v>
      </c>
      <c r="F2534" s="21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</row>
    <row r="2535" ht="15.75" customHeight="1">
      <c r="A2535" s="18" t="str">
        <f>Descargas!A2535</f>
        <v>2025@gmail.com</v>
      </c>
      <c r="B2535" s="19" t="str">
        <f>IFERROR(__xludf.DUMMYFUNCTION("IF(OR(regexmatch(A2535,"".*@simon.es$""),REGEXMATCH(A2535,"".*@simon.pt$""),REGEXMATCH(A2535,"".*@simonelectrica.com$""),REGEXMATCH(A2535,"".*@hiberus.com$""),REGEXMATCH(A2535,"".*@simonbrico.es$""),regexmatch(A2535,"".*@simonelectric.com$"")),""null"",A2"&amp;"535)"),"2025@gmail.com")</f>
        <v>2025@gmail.com</v>
      </c>
      <c r="C2535" s="5">
        <f>IF(B2535="null","null",Descargas!B2535)</f>
        <v>43944</v>
      </c>
      <c r="D2535" s="6" t="str">
        <f>Descargas!E2535</f>
        <v>https://resources.simonelectric.com/simon-material-formativo-vehiculo-electrico</v>
      </c>
      <c r="E2535" s="20" t="str">
        <f t="shared" si="1"/>
        <v>2025@gmail.com</v>
      </c>
      <c r="F2535" s="21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</row>
    <row r="2536" ht="15.75" customHeight="1">
      <c r="A2536" s="18" t="str">
        <f>Descargas!A2536</f>
        <v>2026@telefonica.net</v>
      </c>
      <c r="B2536" s="19" t="str">
        <f>IFERROR(__xludf.DUMMYFUNCTION("IF(OR(regexmatch(A2536,"".*@simon.es$""),REGEXMATCH(A2536,"".*@simon.pt$""),REGEXMATCH(A2536,"".*@simonelectrica.com$""),REGEXMATCH(A2536,"".*@hiberus.com$""),REGEXMATCH(A2536,"".*@simonbrico.es$""),regexmatch(A2536,"".*@simonelectric.com$"")),""null"",A2"&amp;"536)"),"2026@telefonica.net")</f>
        <v>2026@telefonica.net</v>
      </c>
      <c r="C2536" s="5">
        <f>IF(B2536="null","null",Descargas!B2536)</f>
        <v>43944</v>
      </c>
      <c r="D2536" s="6" t="str">
        <f>Descargas!E2536</f>
        <v>https://resources.simonelectric.com/simon-material-formativo-vehiculo-electrico</v>
      </c>
      <c r="E2536" s="20" t="str">
        <f t="shared" si="1"/>
        <v>2026@telefonica.net</v>
      </c>
      <c r="F2536" s="21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</row>
    <row r="2537" ht="15.75" customHeight="1">
      <c r="A2537" s="18" t="str">
        <f>Descargas!A2537</f>
        <v>1869@gmail.com</v>
      </c>
      <c r="B2537" s="19" t="str">
        <f>IFERROR(__xludf.DUMMYFUNCTION("IF(OR(regexmatch(A2537,"".*@simon.es$""),REGEXMATCH(A2537,"".*@simon.pt$""),REGEXMATCH(A2537,"".*@simonelectrica.com$""),REGEXMATCH(A2537,"".*@hiberus.com$""),REGEXMATCH(A2537,"".*@simonbrico.es$""),regexmatch(A2537,"".*@simonelectric.com$"")),""null"",A2"&amp;"537)"),"1869@gmail.com")</f>
        <v>1869@gmail.com</v>
      </c>
      <c r="C2537" s="5">
        <f>IF(B2537="null","null",Descargas!B2537)</f>
        <v>43944</v>
      </c>
      <c r="D2537" s="6" t="str">
        <f>Descargas!E2537</f>
        <v>https://resources.simonelectric.com/simon-material-formativo-vehiculo-electrico</v>
      </c>
      <c r="E2537" s="20" t="str">
        <f t="shared" si="1"/>
        <v>1869@gmail.com</v>
      </c>
      <c r="F2537" s="21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</row>
    <row r="2538" ht="15.75" customHeight="1">
      <c r="A2538" s="18" t="str">
        <f>Descargas!A2538</f>
        <v>2027@hotmail.com</v>
      </c>
      <c r="B2538" s="19" t="str">
        <f>IFERROR(__xludf.DUMMYFUNCTION("IF(OR(regexmatch(A2538,"".*@simon.es$""),REGEXMATCH(A2538,"".*@simon.pt$""),REGEXMATCH(A2538,"".*@simonelectrica.com$""),REGEXMATCH(A2538,"".*@hiberus.com$""),REGEXMATCH(A2538,"".*@simonbrico.es$""),regexmatch(A2538,"".*@simonelectric.com$"")),""null"",A2"&amp;"538)"),"2027@hotmail.com")</f>
        <v>2027@hotmail.com</v>
      </c>
      <c r="C2538" s="5">
        <f>IF(B2538="null","null",Descargas!B2538)</f>
        <v>43944</v>
      </c>
      <c r="D2538" s="6" t="str">
        <f>Descargas!E2538</f>
        <v>https://resources.simonelectric.com/simon-material-formativo-vehiculo-electrico</v>
      </c>
      <c r="E2538" s="20" t="str">
        <f t="shared" si="1"/>
        <v>2027@hotmail.com</v>
      </c>
      <c r="F2538" s="21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</row>
    <row r="2539" ht="15.75" customHeight="1">
      <c r="A2539" s="18" t="str">
        <f>Descargas!A2539</f>
        <v>1522@agad.cat</v>
      </c>
      <c r="B2539" s="19" t="str">
        <f>IFERROR(__xludf.DUMMYFUNCTION("IF(OR(regexmatch(A2539,"".*@simon.es$""),REGEXMATCH(A2539,"".*@simon.pt$""),REGEXMATCH(A2539,"".*@simonelectrica.com$""),REGEXMATCH(A2539,"".*@hiberus.com$""),REGEXMATCH(A2539,"".*@simonbrico.es$""),regexmatch(A2539,"".*@simonelectric.com$"")),""null"",A2"&amp;"539)"),"1522@agad.cat")</f>
        <v>1522@agad.cat</v>
      </c>
      <c r="C2539" s="5">
        <f>IF(B2539="null","null",Descargas!B2539)</f>
        <v>43944</v>
      </c>
      <c r="D2539" s="6" t="str">
        <f>Descargas!E2539</f>
        <v>https://resources.simonelectric.com/simon-material-formativo-vehiculo-electrico</v>
      </c>
      <c r="E2539" s="20" t="str">
        <f t="shared" si="1"/>
        <v>1522@agad.cat</v>
      </c>
      <c r="F2539" s="21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</row>
    <row r="2540" ht="15.75" customHeight="1">
      <c r="A2540" s="18" t="str">
        <f>Descargas!A2540</f>
        <v>1987@simon.es</v>
      </c>
      <c r="B2540" s="19" t="str">
        <f>IFERROR(__xludf.DUMMYFUNCTION("IF(OR(regexmatch(A2540,"".*@simon.es$""),REGEXMATCH(A2540,"".*@simon.pt$""),REGEXMATCH(A2540,"".*@simonelectrica.com$""),REGEXMATCH(A2540,"".*@hiberus.com$""),REGEXMATCH(A2540,"".*@simonbrico.es$""),regexmatch(A2540,"".*@simonelectric.com$"")),""null"",A2"&amp;"540)"),"null")</f>
        <v>null</v>
      </c>
      <c r="C2540" s="5" t="str">
        <f>IF(B2540="null","null",Descargas!B2540)</f>
        <v>null</v>
      </c>
      <c r="D2540" s="6" t="str">
        <f>Descargas!E2540</f>
        <v>https://resources.simonelectric.com/simon-material-formativo-vehiculo-electrico</v>
      </c>
      <c r="E2540" s="24" t="str">
        <f t="shared" si="1"/>
        <v/>
      </c>
      <c r="F2540" s="21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</row>
    <row r="2541" ht="15.75" customHeight="1">
      <c r="A2541" s="18" t="str">
        <f>Descargas!A2541</f>
        <v>2028@grupooca.com</v>
      </c>
      <c r="B2541" s="19" t="str">
        <f>IFERROR(__xludf.DUMMYFUNCTION("IF(OR(regexmatch(A2541,"".*@simon.es$""),REGEXMATCH(A2541,"".*@simon.pt$""),REGEXMATCH(A2541,"".*@simonelectrica.com$""),REGEXMATCH(A2541,"".*@hiberus.com$""),REGEXMATCH(A2541,"".*@simonbrico.es$""),regexmatch(A2541,"".*@simonelectric.com$"")),""null"",A2"&amp;"541)"),"2028@grupooca.com")</f>
        <v>2028@grupooca.com</v>
      </c>
      <c r="C2541" s="5">
        <f>IF(B2541="null","null",Descargas!B2541)</f>
        <v>43944</v>
      </c>
      <c r="D2541" s="6" t="str">
        <f>Descargas!E2541</f>
        <v>https://resources.simonelectric.com/simon-material-formativo-vehiculo-electrico</v>
      </c>
      <c r="E2541" s="20" t="str">
        <f t="shared" si="1"/>
        <v>2028@grupooca.com</v>
      </c>
      <c r="F2541" s="21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</row>
    <row r="2542" ht="15.75" customHeight="1">
      <c r="A2542" s="18" t="str">
        <f>Descargas!A2542</f>
        <v>2029@sonepar.es</v>
      </c>
      <c r="B2542" s="19" t="str">
        <f>IFERROR(__xludf.DUMMYFUNCTION("IF(OR(regexmatch(A2542,"".*@simon.es$""),REGEXMATCH(A2542,"".*@simon.pt$""),REGEXMATCH(A2542,"".*@simonelectrica.com$""),REGEXMATCH(A2542,"".*@hiberus.com$""),REGEXMATCH(A2542,"".*@simonbrico.es$""),regexmatch(A2542,"".*@simonelectric.com$"")),""null"",A2"&amp;"542)"),"2029@sonepar.es")</f>
        <v>2029@sonepar.es</v>
      </c>
      <c r="C2542" s="5">
        <f>IF(B2542="null","null",Descargas!B2542)</f>
        <v>43944</v>
      </c>
      <c r="D2542" s="6" t="str">
        <f>Descargas!E2542</f>
        <v>https://resources.simonelectric.com/simon-material-formativo-vehiculo-electrico</v>
      </c>
      <c r="E2542" s="20" t="str">
        <f t="shared" si="1"/>
        <v>2029@sonepar.es</v>
      </c>
      <c r="F2542" s="21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</row>
    <row r="2543" ht="15.75" customHeight="1">
      <c r="A2543" s="18" t="str">
        <f>Descargas!A2543</f>
        <v>2030@gmail.com</v>
      </c>
      <c r="B2543" s="19" t="str">
        <f>IFERROR(__xludf.DUMMYFUNCTION("IF(OR(regexmatch(A2543,"".*@simon.es$""),REGEXMATCH(A2543,"".*@simon.pt$""),REGEXMATCH(A2543,"".*@simonelectrica.com$""),REGEXMATCH(A2543,"".*@hiberus.com$""),REGEXMATCH(A2543,"".*@simonbrico.es$""),regexmatch(A2543,"".*@simonelectric.com$"")),""null"",A2"&amp;"543)"),"2030@gmail.com")</f>
        <v>2030@gmail.com</v>
      </c>
      <c r="C2543" s="5">
        <f>IF(B2543="null","null",Descargas!B2543)</f>
        <v>43944</v>
      </c>
      <c r="D2543" s="6" t="str">
        <f>Descargas!E2543</f>
        <v>https://resources.simonelectric.com/simon-material-formativo-vehiculo-electrico</v>
      </c>
      <c r="E2543" s="20" t="str">
        <f t="shared" si="1"/>
        <v>2030@gmail.com</v>
      </c>
      <c r="F2543" s="21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</row>
    <row r="2544" ht="15.75" customHeight="1">
      <c r="A2544" s="18" t="str">
        <f>Descargas!A2544</f>
        <v>2031@electrofiloeste.es</v>
      </c>
      <c r="B2544" s="19" t="str">
        <f>IFERROR(__xludf.DUMMYFUNCTION("IF(OR(regexmatch(A2544,"".*@simon.es$""),REGEXMATCH(A2544,"".*@simon.pt$""),REGEXMATCH(A2544,"".*@simonelectrica.com$""),REGEXMATCH(A2544,"".*@hiberus.com$""),REGEXMATCH(A2544,"".*@simonbrico.es$""),regexmatch(A2544,"".*@simonelectric.com$"")),""null"",A2"&amp;"544)"),"2031@electrofiloeste.es")</f>
        <v>2031@electrofiloeste.es</v>
      </c>
      <c r="C2544" s="5">
        <f>IF(B2544="null","null",Descargas!B2544)</f>
        <v>43944</v>
      </c>
      <c r="D2544" s="6" t="str">
        <f>Descargas!E2544</f>
        <v>https://resources.simonelectric.com/simon-material-formativo-vehiculo-electrico</v>
      </c>
      <c r="E2544" s="20" t="str">
        <f t="shared" si="1"/>
        <v>2031@electrofiloeste.es</v>
      </c>
      <c r="F2544" s="21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</row>
    <row r="2545" ht="15.75" customHeight="1">
      <c r="A2545" s="18" t="str">
        <f>Descargas!A2545</f>
        <v>2032@masalo.biz</v>
      </c>
      <c r="B2545" s="19" t="str">
        <f>IFERROR(__xludf.DUMMYFUNCTION("IF(OR(regexmatch(A2545,"".*@simon.es$""),REGEXMATCH(A2545,"".*@simon.pt$""),REGEXMATCH(A2545,"".*@simonelectrica.com$""),REGEXMATCH(A2545,"".*@hiberus.com$""),REGEXMATCH(A2545,"".*@simonbrico.es$""),regexmatch(A2545,"".*@simonelectric.com$"")),""null"",A2"&amp;"545)"),"2032@masalo.biz")</f>
        <v>2032@masalo.biz</v>
      </c>
      <c r="C2545" s="5">
        <f>IF(B2545="null","null",Descargas!B2545)</f>
        <v>43944</v>
      </c>
      <c r="D2545" s="6" t="str">
        <f>Descargas!E2545</f>
        <v>https://resources.simonelectric.com/simon-material-formativo-vehiculo-electrico</v>
      </c>
      <c r="E2545" s="20" t="str">
        <f t="shared" si="1"/>
        <v>2032@masalo.biz</v>
      </c>
      <c r="F2545" s="21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</row>
    <row r="2546" ht="15.75" customHeight="1">
      <c r="A2546" s="18" t="str">
        <f>Descargas!A2546</f>
        <v>2033@elmoelectric.com</v>
      </c>
      <c r="B2546" s="19" t="str">
        <f>IFERROR(__xludf.DUMMYFUNCTION("IF(OR(regexmatch(A2546,"".*@simon.es$""),REGEXMATCH(A2546,"".*@simon.pt$""),REGEXMATCH(A2546,"".*@simonelectrica.com$""),REGEXMATCH(A2546,"".*@hiberus.com$""),REGEXMATCH(A2546,"".*@simonbrico.es$""),regexmatch(A2546,"".*@simonelectric.com$"")),""null"",A2"&amp;"546)"),"2033@elmoelectric.com")</f>
        <v>2033@elmoelectric.com</v>
      </c>
      <c r="C2546" s="5">
        <f>IF(B2546="null","null",Descargas!B2546)</f>
        <v>43944</v>
      </c>
      <c r="D2546" s="6" t="str">
        <f>Descargas!E2546</f>
        <v>https://resources.simonelectric.com/simon-material-formativo-vehiculo-electrico</v>
      </c>
      <c r="E2546" s="20" t="str">
        <f t="shared" si="1"/>
        <v>2033@elmoelectric.com</v>
      </c>
      <c r="F2546" s="21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</row>
    <row r="2547" ht="15.75" customHeight="1">
      <c r="A2547" s="18" t="str">
        <f>Descargas!A2547</f>
        <v>2034@tienda-gasnatural.com</v>
      </c>
      <c r="B2547" s="19" t="str">
        <f>IFERROR(__xludf.DUMMYFUNCTION("IF(OR(regexmatch(A2547,"".*@simon.es$""),REGEXMATCH(A2547,"".*@simon.pt$""),REGEXMATCH(A2547,"".*@simonelectrica.com$""),REGEXMATCH(A2547,"".*@hiberus.com$""),REGEXMATCH(A2547,"".*@simonbrico.es$""),regexmatch(A2547,"".*@simonelectric.com$"")),""null"",A2"&amp;"547)"),"2034@tienda-gasnatural.com")</f>
        <v>2034@tienda-gasnatural.com</v>
      </c>
      <c r="C2547" s="5">
        <f>IF(B2547="null","null",Descargas!B2547)</f>
        <v>43944</v>
      </c>
      <c r="D2547" s="6" t="str">
        <f>Descargas!E2547</f>
        <v>https://resources.simonelectric.com/simon-material-formativo-vehiculo-electrico</v>
      </c>
      <c r="E2547" s="20" t="str">
        <f t="shared" si="1"/>
        <v>2034@tienda-gasnatural.com</v>
      </c>
      <c r="F2547" s="21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</row>
    <row r="2548" ht="15.75" customHeight="1">
      <c r="A2548" s="18" t="str">
        <f>Descargas!A2548</f>
        <v>2035@yahoo.es</v>
      </c>
      <c r="B2548" s="19" t="str">
        <f>IFERROR(__xludf.DUMMYFUNCTION("IF(OR(regexmatch(A2548,"".*@simon.es$""),REGEXMATCH(A2548,"".*@simon.pt$""),REGEXMATCH(A2548,"".*@simonelectrica.com$""),REGEXMATCH(A2548,"".*@hiberus.com$""),REGEXMATCH(A2548,"".*@simonbrico.es$""),regexmatch(A2548,"".*@simonelectric.com$"")),""null"",A2"&amp;"548)"),"2035@yahoo.es")</f>
        <v>2035@yahoo.es</v>
      </c>
      <c r="C2548" s="5">
        <f>IF(B2548="null","null",Descargas!B2548)</f>
        <v>43944</v>
      </c>
      <c r="D2548" s="6" t="str">
        <f>Descargas!E2548</f>
        <v>https://resources.simonelectric.com/simon-material-formativo-vehiculo-electrico</v>
      </c>
      <c r="E2548" s="20" t="str">
        <f t="shared" si="1"/>
        <v>2035@yahoo.es</v>
      </c>
      <c r="F2548" s="21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</row>
    <row r="2549" ht="15.75" customHeight="1">
      <c r="A2549" s="18" t="str">
        <f>Descargas!A2549</f>
        <v>2036@sece.com</v>
      </c>
      <c r="B2549" s="19" t="str">
        <f>IFERROR(__xludf.DUMMYFUNCTION("IF(OR(regexmatch(A2549,"".*@simon.es$""),REGEXMATCH(A2549,"".*@simon.pt$""),REGEXMATCH(A2549,"".*@simonelectrica.com$""),REGEXMATCH(A2549,"".*@hiberus.com$""),REGEXMATCH(A2549,"".*@simonbrico.es$""),regexmatch(A2549,"".*@simonelectric.com$"")),""null"",A2"&amp;"549)"),"2036@sece.com")</f>
        <v>2036@sece.com</v>
      </c>
      <c r="C2549" s="5">
        <f>IF(B2549="null","null",Descargas!B2549)</f>
        <v>43944</v>
      </c>
      <c r="D2549" s="6" t="str">
        <f>Descargas!E2549</f>
        <v>https://resources.simonelectric.com/simon-material-formativo-vehiculo-electrico</v>
      </c>
      <c r="E2549" s="20" t="str">
        <f t="shared" si="1"/>
        <v>2036@sece.com</v>
      </c>
      <c r="F2549" s="21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</row>
    <row r="2550" ht="15.75" customHeight="1">
      <c r="A2550" s="18" t="str">
        <f>Descargas!A2550</f>
        <v>2037@agefred.es</v>
      </c>
      <c r="B2550" s="19" t="str">
        <f>IFERROR(__xludf.DUMMYFUNCTION("IF(OR(regexmatch(A2550,"".*@simon.es$""),REGEXMATCH(A2550,"".*@simon.pt$""),REGEXMATCH(A2550,"".*@simonelectrica.com$""),REGEXMATCH(A2550,"".*@hiberus.com$""),REGEXMATCH(A2550,"".*@simonbrico.es$""),regexmatch(A2550,"".*@simonelectric.com$"")),""null"",A2"&amp;"550)"),"2037@agefred.es")</f>
        <v>2037@agefred.es</v>
      </c>
      <c r="C2550" s="5">
        <f>IF(B2550="null","null",Descargas!B2550)</f>
        <v>43944</v>
      </c>
      <c r="D2550" s="6" t="str">
        <f>Descargas!E2550</f>
        <v>https://resources.simonelectric.com/simon-material-formativo-vehiculo-electrico</v>
      </c>
      <c r="E2550" s="20" t="str">
        <f t="shared" si="1"/>
        <v>2037@agefred.es</v>
      </c>
      <c r="F2550" s="21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</row>
    <row r="2551" ht="15.75" customHeight="1">
      <c r="A2551" s="18" t="str">
        <f>Descargas!A2551</f>
        <v>1342@ic3sl.com</v>
      </c>
      <c r="B2551" s="19" t="str">
        <f>IFERROR(__xludf.DUMMYFUNCTION("IF(OR(regexmatch(A2551,"".*@simon.es$""),REGEXMATCH(A2551,"".*@simon.pt$""),REGEXMATCH(A2551,"".*@simonelectrica.com$""),REGEXMATCH(A2551,"".*@hiberus.com$""),REGEXMATCH(A2551,"".*@simonbrico.es$""),regexmatch(A2551,"".*@simonelectric.com$"")),""null"",A2"&amp;"551)"),"1342@ic3sl.com")</f>
        <v>1342@ic3sl.com</v>
      </c>
      <c r="C2551" s="5">
        <f>IF(B2551="null","null",Descargas!B2551)</f>
        <v>43944</v>
      </c>
      <c r="D2551" s="6" t="str">
        <f>Descargas!E2551</f>
        <v>https://resources.simonelectric.com/simon-material-formativo-vehiculo-electrico</v>
      </c>
      <c r="E2551" s="20" t="str">
        <f t="shared" si="1"/>
        <v>1342@ic3sl.com</v>
      </c>
      <c r="F2551" s="21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</row>
    <row r="2552" ht="15.75" customHeight="1">
      <c r="A2552" s="18" t="str">
        <f>Descargas!A2552</f>
        <v>2038@legomar.com</v>
      </c>
      <c r="B2552" s="19" t="str">
        <f>IFERROR(__xludf.DUMMYFUNCTION("IF(OR(regexmatch(A2552,"".*@simon.es$""),REGEXMATCH(A2552,"".*@simon.pt$""),REGEXMATCH(A2552,"".*@simonelectrica.com$""),REGEXMATCH(A2552,"".*@hiberus.com$""),REGEXMATCH(A2552,"".*@simonbrico.es$""),regexmatch(A2552,"".*@simonelectric.com$"")),""null"",A2"&amp;"552)"),"2038@legomar.com")</f>
        <v>2038@legomar.com</v>
      </c>
      <c r="C2552" s="5">
        <f>IF(B2552="null","null",Descargas!B2552)</f>
        <v>43944</v>
      </c>
      <c r="D2552" s="6" t="str">
        <f>Descargas!E2552</f>
        <v>https://resources.simonelectric.com/simon-material-formativo-vehiculo-electrico</v>
      </c>
      <c r="E2552" s="20" t="str">
        <f t="shared" si="1"/>
        <v>2038@legomar.com</v>
      </c>
      <c r="F2552" s="21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</row>
    <row r="2553" ht="15.75" customHeight="1">
      <c r="A2553" s="18" t="str">
        <f>Descargas!A2553</f>
        <v>685@climava.com</v>
      </c>
      <c r="B2553" s="19" t="str">
        <f>IFERROR(__xludf.DUMMYFUNCTION("IF(OR(regexmatch(A2553,"".*@simon.es$""),REGEXMATCH(A2553,"".*@simon.pt$""),REGEXMATCH(A2553,"".*@simonelectrica.com$""),REGEXMATCH(A2553,"".*@hiberus.com$""),REGEXMATCH(A2553,"".*@simonbrico.es$""),regexmatch(A2553,"".*@simonelectric.com$"")),""null"",A2"&amp;"553)"),"685@climava.com")</f>
        <v>685@climava.com</v>
      </c>
      <c r="C2553" s="5">
        <f>IF(B2553="null","null",Descargas!B2553)</f>
        <v>43944</v>
      </c>
      <c r="D2553" s="6" t="str">
        <f>Descargas!E2553</f>
        <v>https://resources.simonelectric.com/simon-material-formativo-vehiculo-electrico</v>
      </c>
      <c r="E2553" s="20" t="str">
        <f t="shared" si="1"/>
        <v>685@climava.com</v>
      </c>
      <c r="F2553" s="21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</row>
    <row r="2554" ht="15.75" customHeight="1">
      <c r="A2554" s="18" t="str">
        <f>Descargas!A2554</f>
        <v>2039@antrelec.net</v>
      </c>
      <c r="B2554" s="19" t="str">
        <f>IFERROR(__xludf.DUMMYFUNCTION("IF(OR(regexmatch(A2554,"".*@simon.es$""),REGEXMATCH(A2554,"".*@simon.pt$""),REGEXMATCH(A2554,"".*@simonelectrica.com$""),REGEXMATCH(A2554,"".*@hiberus.com$""),REGEXMATCH(A2554,"".*@simonbrico.es$""),regexmatch(A2554,"".*@simonelectric.com$"")),""null"",A2"&amp;"554)"),"2039@antrelec.net")</f>
        <v>2039@antrelec.net</v>
      </c>
      <c r="C2554" s="5">
        <f>IF(B2554="null","null",Descargas!B2554)</f>
        <v>43944</v>
      </c>
      <c r="D2554" s="6" t="str">
        <f>Descargas!E2554</f>
        <v>https://resources.simonelectric.com/simon-material-formativo-vehiculo-electrico</v>
      </c>
      <c r="E2554" s="20" t="str">
        <f t="shared" si="1"/>
        <v>2039@antrelec.net</v>
      </c>
      <c r="F2554" s="21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</row>
    <row r="2555" ht="15.75" customHeight="1">
      <c r="A2555" s="18" t="str">
        <f>Descargas!A2555</f>
        <v>2040@grupsoler.com</v>
      </c>
      <c r="B2555" s="19" t="str">
        <f>IFERROR(__xludf.DUMMYFUNCTION("IF(OR(regexmatch(A2555,"".*@simon.es$""),REGEXMATCH(A2555,"".*@simon.pt$""),REGEXMATCH(A2555,"".*@simonelectrica.com$""),REGEXMATCH(A2555,"".*@hiberus.com$""),REGEXMATCH(A2555,"".*@simonbrico.es$""),regexmatch(A2555,"".*@simonelectric.com$"")),""null"",A2"&amp;"555)"),"2040@grupsoler.com")</f>
        <v>2040@grupsoler.com</v>
      </c>
      <c r="C2555" s="5">
        <f>IF(B2555="null","null",Descargas!B2555)</f>
        <v>43944</v>
      </c>
      <c r="D2555" s="6" t="str">
        <f>Descargas!E2555</f>
        <v>https://resources.simonelectric.com/simon-material-formativo-vehiculo-electrico</v>
      </c>
      <c r="E2555" s="20" t="str">
        <f t="shared" si="1"/>
        <v>2040@grupsoler.com</v>
      </c>
      <c r="F2555" s="21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</row>
    <row r="2556" ht="15.75" customHeight="1">
      <c r="A2556" s="18" t="str">
        <f>Descargas!A2556</f>
        <v>1985@tinet.org</v>
      </c>
      <c r="B2556" s="19" t="str">
        <f>IFERROR(__xludf.DUMMYFUNCTION("IF(OR(regexmatch(A2556,"".*@simon.es$""),REGEXMATCH(A2556,"".*@simon.pt$""),REGEXMATCH(A2556,"".*@simonelectrica.com$""),REGEXMATCH(A2556,"".*@hiberus.com$""),REGEXMATCH(A2556,"".*@simonbrico.es$""),regexmatch(A2556,"".*@simonelectric.com$"")),""null"",A2"&amp;"556)"),"1985@tinet.org")</f>
        <v>1985@tinet.org</v>
      </c>
      <c r="C2556" s="5">
        <f>IF(B2556="null","null",Descargas!B2556)</f>
        <v>43944</v>
      </c>
      <c r="D2556" s="6" t="str">
        <f>Descargas!E2556</f>
        <v>https://resources.simonelectric.com/simon-material-formativo-vehiculo-electrico</v>
      </c>
      <c r="E2556" s="20" t="str">
        <f t="shared" si="1"/>
        <v>1985@tinet.org</v>
      </c>
      <c r="F2556" s="21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</row>
    <row r="2557" ht="15.75" customHeight="1">
      <c r="A2557" s="18" t="str">
        <f>Descargas!A2557</f>
        <v>1998@gmail.com</v>
      </c>
      <c r="B2557" s="19" t="str">
        <f>IFERROR(__xludf.DUMMYFUNCTION("IF(OR(regexmatch(A2557,"".*@simon.es$""),REGEXMATCH(A2557,"".*@simon.pt$""),REGEXMATCH(A2557,"".*@simonelectrica.com$""),REGEXMATCH(A2557,"".*@hiberus.com$""),REGEXMATCH(A2557,"".*@simonbrico.es$""),regexmatch(A2557,"".*@simonelectric.com$"")),""null"",A2"&amp;"557)"),"1998@gmail.com")</f>
        <v>1998@gmail.com</v>
      </c>
      <c r="C2557" s="5">
        <f>IF(B2557="null","null",Descargas!B2557)</f>
        <v>43944</v>
      </c>
      <c r="D2557" s="6" t="str">
        <f>Descargas!E2557</f>
        <v>https://resources.simonelectric.com/simon-material-formativo-vehiculo-electrico</v>
      </c>
      <c r="E2557" s="20" t="str">
        <f t="shared" si="1"/>
        <v>1998@gmail.com</v>
      </c>
      <c r="F2557" s="21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</row>
    <row r="2558" ht="15.75" customHeight="1">
      <c r="A2558" s="18" t="str">
        <f>Descargas!A2558</f>
        <v>1984@hotmail.com</v>
      </c>
      <c r="B2558" s="19" t="str">
        <f>IFERROR(__xludf.DUMMYFUNCTION("IF(OR(regexmatch(A2558,"".*@simon.es$""),REGEXMATCH(A2558,"".*@simon.pt$""),REGEXMATCH(A2558,"".*@simonelectrica.com$""),REGEXMATCH(A2558,"".*@hiberus.com$""),REGEXMATCH(A2558,"".*@simonbrico.es$""),regexmatch(A2558,"".*@simonelectric.com$"")),""null"",A2"&amp;"558)"),"1984@hotmail.com")</f>
        <v>1984@hotmail.com</v>
      </c>
      <c r="C2558" s="5">
        <f>IF(B2558="null","null",Descargas!B2558)</f>
        <v>43944</v>
      </c>
      <c r="D2558" s="6" t="str">
        <f>Descargas!E2558</f>
        <v>https://resources.simonelectric.com/simon-material-formativo-vehiculo-electrico</v>
      </c>
      <c r="E2558" s="20" t="str">
        <f t="shared" si="1"/>
        <v>1984@hotmail.com</v>
      </c>
      <c r="F2558" s="21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</row>
    <row r="2559" ht="15.75" customHeight="1">
      <c r="A2559" s="18" t="str">
        <f>Descargas!A2559</f>
        <v>2041@electromercantil.es</v>
      </c>
      <c r="B2559" s="19" t="str">
        <f>IFERROR(__xludf.DUMMYFUNCTION("IF(OR(regexmatch(A2559,"".*@simon.es$""),REGEXMATCH(A2559,"".*@simon.pt$""),REGEXMATCH(A2559,"".*@simonelectrica.com$""),REGEXMATCH(A2559,"".*@hiberus.com$""),REGEXMATCH(A2559,"".*@simonbrico.es$""),regexmatch(A2559,"".*@simonelectric.com$"")),""null"",A2"&amp;"559)"),"2041@electromercantil.es")</f>
        <v>2041@electromercantil.es</v>
      </c>
      <c r="C2559" s="5">
        <f>IF(B2559="null","null",Descargas!B2559)</f>
        <v>43944</v>
      </c>
      <c r="D2559" s="6" t="str">
        <f>Descargas!E2559</f>
        <v>https://resources.simonelectric.com/simon-material-formativo-vehiculo-electrico</v>
      </c>
      <c r="E2559" s="20" t="str">
        <f t="shared" si="1"/>
        <v>2041@electromercantil.es</v>
      </c>
      <c r="F2559" s="21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</row>
    <row r="2560" ht="15.75" customHeight="1">
      <c r="A2560" s="18" t="str">
        <f>Descargas!A2560</f>
        <v>1973@ingekor.com</v>
      </c>
      <c r="B2560" s="19" t="str">
        <f>IFERROR(__xludf.DUMMYFUNCTION("IF(OR(regexmatch(A2560,"".*@simon.es$""),REGEXMATCH(A2560,"".*@simon.pt$""),REGEXMATCH(A2560,"".*@simonelectrica.com$""),REGEXMATCH(A2560,"".*@hiberus.com$""),REGEXMATCH(A2560,"".*@simonbrico.es$""),regexmatch(A2560,"".*@simonelectric.com$"")),""null"",A2"&amp;"560)"),"1973@ingekor.com")</f>
        <v>1973@ingekor.com</v>
      </c>
      <c r="C2560" s="5">
        <f>IF(B2560="null","null",Descargas!B2560)</f>
        <v>43944</v>
      </c>
      <c r="D2560" s="6" t="str">
        <f>Descargas!E2560</f>
        <v>https://resources.simonelectric.com/simon-material-formativo-vehiculo-electrico</v>
      </c>
      <c r="E2560" s="20" t="str">
        <f t="shared" si="1"/>
        <v>1973@ingekor.com</v>
      </c>
      <c r="F2560" s="21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</row>
    <row r="2561" ht="15.75" customHeight="1">
      <c r="A2561" s="18" t="str">
        <f>Descargas!A2561</f>
        <v>2042@gmail.com</v>
      </c>
      <c r="B2561" s="19" t="str">
        <f>IFERROR(__xludf.DUMMYFUNCTION("IF(OR(regexmatch(A2561,"".*@simon.es$""),REGEXMATCH(A2561,"".*@simon.pt$""),REGEXMATCH(A2561,"".*@simonelectrica.com$""),REGEXMATCH(A2561,"".*@hiberus.com$""),REGEXMATCH(A2561,"".*@simonbrico.es$""),regexmatch(A2561,"".*@simonelectric.com$"")),""null"",A2"&amp;"561)"),"2042@gmail.com")</f>
        <v>2042@gmail.com</v>
      </c>
      <c r="C2561" s="5">
        <f>IF(B2561="null","null",Descargas!B2561)</f>
        <v>43944</v>
      </c>
      <c r="D2561" s="6" t="str">
        <f>Descargas!E2561</f>
        <v>https://resources.simonelectric.com/simon-material-formativo-vehiculo-electrico</v>
      </c>
      <c r="E2561" s="20" t="str">
        <f t="shared" si="1"/>
        <v>2042@gmail.com</v>
      </c>
      <c r="F2561" s="21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</row>
    <row r="2562" ht="15.75" customHeight="1">
      <c r="A2562" s="18" t="str">
        <f>Descargas!A2562</f>
        <v>1808@gmail.com</v>
      </c>
      <c r="B2562" s="19" t="str">
        <f>IFERROR(__xludf.DUMMYFUNCTION("IF(OR(regexmatch(A2562,"".*@simon.es$""),REGEXMATCH(A2562,"".*@simon.pt$""),REGEXMATCH(A2562,"".*@simonelectrica.com$""),REGEXMATCH(A2562,"".*@hiberus.com$""),REGEXMATCH(A2562,"".*@simonbrico.es$""),regexmatch(A2562,"".*@simonelectric.com$"")),""null"",A2"&amp;"562)"),"1808@gmail.com")</f>
        <v>1808@gmail.com</v>
      </c>
      <c r="C2562" s="5">
        <f>IF(B2562="null","null",Descargas!B2562)</f>
        <v>43944</v>
      </c>
      <c r="D2562" s="6" t="str">
        <f>Descargas!E2562</f>
        <v>https://resources.simonelectric.com/simon-material-formativo-vehiculo-electrico</v>
      </c>
      <c r="E2562" s="20" t="str">
        <f t="shared" si="1"/>
        <v>1808@gmail.com</v>
      </c>
      <c r="F2562" s="21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</row>
    <row r="2563" ht="15.75" customHeight="1">
      <c r="A2563" s="18" t="str">
        <f>Descargas!A2563</f>
        <v>1990@gmail.com</v>
      </c>
      <c r="B2563" s="19" t="str">
        <f>IFERROR(__xludf.DUMMYFUNCTION("IF(OR(regexmatch(A2563,"".*@simon.es$""),REGEXMATCH(A2563,"".*@simon.pt$""),REGEXMATCH(A2563,"".*@simonelectrica.com$""),REGEXMATCH(A2563,"".*@hiberus.com$""),REGEXMATCH(A2563,"".*@simonbrico.es$""),regexmatch(A2563,"".*@simonelectric.com$"")),""null"",A2"&amp;"563)"),"1990@gmail.com")</f>
        <v>1990@gmail.com</v>
      </c>
      <c r="C2563" s="5">
        <f>IF(B2563="null","null",Descargas!B2563)</f>
        <v>43944</v>
      </c>
      <c r="D2563" s="6" t="str">
        <f>Descargas!E2563</f>
        <v>https://resources.simonelectric.com/simon-material-formativo-vehiculo-electrico</v>
      </c>
      <c r="E2563" s="20" t="str">
        <f t="shared" si="1"/>
        <v>1990@gmail.com</v>
      </c>
      <c r="F2563" s="21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</row>
    <row r="2564" ht="15.75" customHeight="1">
      <c r="A2564" s="18" t="str">
        <f>Descargas!A2564</f>
        <v>2037@agefred.es</v>
      </c>
      <c r="B2564" s="19" t="str">
        <f>IFERROR(__xludf.DUMMYFUNCTION("IF(OR(regexmatch(A2564,"".*@simon.es$""),REGEXMATCH(A2564,"".*@simon.pt$""),REGEXMATCH(A2564,"".*@simonelectrica.com$""),REGEXMATCH(A2564,"".*@hiberus.com$""),REGEXMATCH(A2564,"".*@simonbrico.es$""),regexmatch(A2564,"".*@simonelectric.com$"")),""null"",A2"&amp;"564)"),"2037@agefred.es")</f>
        <v>2037@agefred.es</v>
      </c>
      <c r="C2564" s="5">
        <f>IF(B2564="null","null",Descargas!B2564)</f>
        <v>43944</v>
      </c>
      <c r="D2564" s="6" t="str">
        <f>Descargas!E2564</f>
        <v>https://resources.simonelectric.com/simon-ebook-vehiculo-electrico</v>
      </c>
      <c r="E2564" s="20" t="str">
        <f t="shared" si="1"/>
        <v>2037@agefred.es</v>
      </c>
      <c r="F2564" s="21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</row>
    <row r="2565" ht="15.75" customHeight="1">
      <c r="A2565" s="18" t="str">
        <f>Descargas!A2565</f>
        <v>2043@gmail.com</v>
      </c>
      <c r="B2565" s="19" t="str">
        <f>IFERROR(__xludf.DUMMYFUNCTION("IF(OR(regexmatch(A2565,"".*@simon.es$""),REGEXMATCH(A2565,"".*@simon.pt$""),REGEXMATCH(A2565,"".*@simonelectrica.com$""),REGEXMATCH(A2565,"".*@hiberus.com$""),REGEXMATCH(A2565,"".*@simonbrico.es$""),regexmatch(A2565,"".*@simonelectric.com$"")),""null"",A2"&amp;"565)"),"2043@gmail.com")</f>
        <v>2043@gmail.com</v>
      </c>
      <c r="C2565" s="5">
        <f>IF(B2565="null","null",Descargas!B2565)</f>
        <v>43944</v>
      </c>
      <c r="D2565" s="6" t="str">
        <f>Descargas!E2565</f>
        <v>https://resources.simonelectric.com/simon-ebook-vehiculo-electrico</v>
      </c>
      <c r="E2565" s="20" t="str">
        <f t="shared" si="1"/>
        <v>2043@gmail.com</v>
      </c>
      <c r="F2565" s="21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</row>
    <row r="2566" ht="15.75" customHeight="1">
      <c r="A2566" s="18" t="str">
        <f>Descargas!A2566</f>
        <v>2037@agefred.es</v>
      </c>
      <c r="B2566" s="19" t="str">
        <f>IFERROR(__xludf.DUMMYFUNCTION("IF(OR(regexmatch(A2566,"".*@simon.es$""),REGEXMATCH(A2566,"".*@simon.pt$""),REGEXMATCH(A2566,"".*@simonelectrica.com$""),REGEXMATCH(A2566,"".*@hiberus.com$""),REGEXMATCH(A2566,"".*@simonbrico.es$""),regexmatch(A2566,"".*@simonelectric.com$"")),""null"",A2"&amp;"566)"),"2037@agefred.es")</f>
        <v>2037@agefred.es</v>
      </c>
      <c r="C2566" s="5">
        <f>IF(B2566="null","null",Descargas!B2566)</f>
        <v>43944</v>
      </c>
      <c r="D2566" s="6" t="str">
        <f>Descargas!E2566</f>
        <v>https://resources.simonelectric.com/simon-ebook-vehiculo-electrico</v>
      </c>
      <c r="E2566" s="20" t="str">
        <f t="shared" si="1"/>
        <v>2037@agefred.es</v>
      </c>
      <c r="F2566" s="21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</row>
    <row r="2567" ht="15.75" customHeight="1">
      <c r="A2567" s="18" t="str">
        <f>Descargas!A2567</f>
        <v>1984@hotmail.com</v>
      </c>
      <c r="B2567" s="19" t="str">
        <f>IFERROR(__xludf.DUMMYFUNCTION("IF(OR(regexmatch(A2567,"".*@simon.es$""),REGEXMATCH(A2567,"".*@simon.pt$""),REGEXMATCH(A2567,"".*@simonelectrica.com$""),REGEXMATCH(A2567,"".*@hiberus.com$""),REGEXMATCH(A2567,"".*@simonbrico.es$""),regexmatch(A2567,"".*@simonelectric.com$"")),""null"",A2"&amp;"567)"),"1984@hotmail.com")</f>
        <v>1984@hotmail.com</v>
      </c>
      <c r="C2567" s="5">
        <f>IF(B2567="null","null",Descargas!B2567)</f>
        <v>43944</v>
      </c>
      <c r="D2567" s="6" t="str">
        <f>Descargas!E2567</f>
        <v>https://resources.simonelectric.com/simon-ebook-vehiculo-electrico</v>
      </c>
      <c r="E2567" s="20" t="str">
        <f t="shared" si="1"/>
        <v>1984@hotmail.com</v>
      </c>
      <c r="F2567" s="21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</row>
    <row r="2568" ht="15.75" customHeight="1">
      <c r="A2568" s="18" t="str">
        <f>Descargas!A2568</f>
        <v>1985@tinet.org</v>
      </c>
      <c r="B2568" s="19" t="str">
        <f>IFERROR(__xludf.DUMMYFUNCTION("IF(OR(regexmatch(A2568,"".*@simon.es$""),REGEXMATCH(A2568,"".*@simon.pt$""),REGEXMATCH(A2568,"".*@simonelectrica.com$""),REGEXMATCH(A2568,"".*@hiberus.com$""),REGEXMATCH(A2568,"".*@simonbrico.es$""),regexmatch(A2568,"".*@simonelectric.com$"")),""null"",A2"&amp;"568)"),"1985@tinet.org")</f>
        <v>1985@tinet.org</v>
      </c>
      <c r="C2568" s="5">
        <f>IF(B2568="null","null",Descargas!B2568)</f>
        <v>43944</v>
      </c>
      <c r="D2568" s="6" t="str">
        <f>Descargas!E2568</f>
        <v>https://resources.simonelectric.com/simon-ebook-vehiculo-electrico</v>
      </c>
      <c r="E2568" s="20" t="str">
        <f t="shared" si="1"/>
        <v>1985@tinet.org</v>
      </c>
      <c r="F2568" s="21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</row>
    <row r="2569" ht="15.75" customHeight="1">
      <c r="A2569" s="18" t="str">
        <f>Descargas!A2569</f>
        <v>2000@hotmail.com</v>
      </c>
      <c r="B2569" s="19" t="str">
        <f>IFERROR(__xludf.DUMMYFUNCTION("IF(OR(regexmatch(A2569,"".*@simon.es$""),REGEXMATCH(A2569,"".*@simon.pt$""),REGEXMATCH(A2569,"".*@simonelectrica.com$""),REGEXMATCH(A2569,"".*@hiberus.com$""),REGEXMATCH(A2569,"".*@simonbrico.es$""),regexmatch(A2569,"".*@simonelectric.com$"")),""null"",A2"&amp;"569)"),"2000@hotmail.com")</f>
        <v>2000@hotmail.com</v>
      </c>
      <c r="C2569" s="5">
        <f>IF(B2569="null","null",Descargas!B2569)</f>
        <v>43944</v>
      </c>
      <c r="D2569" s="6" t="str">
        <f>Descargas!E2569</f>
        <v>https://resources.simonelectric.com/simon-ebook-vehiculo-electrico</v>
      </c>
      <c r="E2569" s="20" t="str">
        <f t="shared" si="1"/>
        <v>2000@hotmail.com</v>
      </c>
      <c r="F2569" s="21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</row>
    <row r="2570" ht="15.75" customHeight="1">
      <c r="A2570" s="18" t="str">
        <f>Descargas!A2570</f>
        <v>1998@gmail.com</v>
      </c>
      <c r="B2570" s="19" t="str">
        <f>IFERROR(__xludf.DUMMYFUNCTION("IF(OR(regexmatch(A2570,"".*@simon.es$""),REGEXMATCH(A2570,"".*@simon.pt$""),REGEXMATCH(A2570,"".*@simonelectrica.com$""),REGEXMATCH(A2570,"".*@hiberus.com$""),REGEXMATCH(A2570,"".*@simonbrico.es$""),regexmatch(A2570,"".*@simonelectric.com$"")),""null"",A2"&amp;"570)"),"1998@gmail.com")</f>
        <v>1998@gmail.com</v>
      </c>
      <c r="C2570" s="5">
        <f>IF(B2570="null","null",Descargas!B2570)</f>
        <v>43944</v>
      </c>
      <c r="D2570" s="6" t="str">
        <f>Descargas!E2570</f>
        <v>https://resources.simonelectric.com/simon-ebook-vehiculo-electrico</v>
      </c>
      <c r="E2570" s="20" t="str">
        <f t="shared" si="1"/>
        <v>1998@gmail.com</v>
      </c>
      <c r="F2570" s="21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</row>
    <row r="2571" ht="15.75" customHeight="1">
      <c r="A2571" s="18" t="str">
        <f>Descargas!A2571</f>
        <v>1808@gmail.com</v>
      </c>
      <c r="B2571" s="19" t="str">
        <f>IFERROR(__xludf.DUMMYFUNCTION("IF(OR(regexmatch(A2571,"".*@simon.es$""),REGEXMATCH(A2571,"".*@simon.pt$""),REGEXMATCH(A2571,"".*@simonelectrica.com$""),REGEXMATCH(A2571,"".*@hiberus.com$""),REGEXMATCH(A2571,"".*@simonbrico.es$""),regexmatch(A2571,"".*@simonelectric.com$"")),""null"",A2"&amp;"571)"),"1808@gmail.com")</f>
        <v>1808@gmail.com</v>
      </c>
      <c r="C2571" s="5">
        <f>IF(B2571="null","null",Descargas!B2571)</f>
        <v>43944</v>
      </c>
      <c r="D2571" s="6" t="str">
        <f>Descargas!E2571</f>
        <v>https://resources.simonelectric.com/simon-ebook-vehiculo-electrico</v>
      </c>
      <c r="E2571" s="20" t="str">
        <f t="shared" si="1"/>
        <v>1808@gmail.com</v>
      </c>
      <c r="F2571" s="21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</row>
    <row r="2572" ht="15.75" customHeight="1">
      <c r="A2572" s="18" t="str">
        <f>Descargas!A2572</f>
        <v>2035@yahoo.es</v>
      </c>
      <c r="B2572" s="19" t="str">
        <f>IFERROR(__xludf.DUMMYFUNCTION("IF(OR(regexmatch(A2572,"".*@simon.es$""),REGEXMATCH(A2572,"".*@simon.pt$""),REGEXMATCH(A2572,"".*@simonelectrica.com$""),REGEXMATCH(A2572,"".*@hiberus.com$""),REGEXMATCH(A2572,"".*@simonbrico.es$""),regexmatch(A2572,"".*@simonelectric.com$"")),""null"",A2"&amp;"572)"),"2035@yahoo.es")</f>
        <v>2035@yahoo.es</v>
      </c>
      <c r="C2572" s="5">
        <f>IF(B2572="null","null",Descargas!B2572)</f>
        <v>43944</v>
      </c>
      <c r="D2572" s="6" t="str">
        <f>Descargas!E2572</f>
        <v>https://resources.simonelectric.com/simon-ebook-vehiculo-electrico</v>
      </c>
      <c r="E2572" s="20" t="str">
        <f t="shared" si="1"/>
        <v>2035@yahoo.es</v>
      </c>
      <c r="F2572" s="21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</row>
    <row r="2573" ht="15.75" customHeight="1">
      <c r="A2573" s="18" t="str">
        <f>Descargas!A2573</f>
        <v>2041@electromercantil.es</v>
      </c>
      <c r="B2573" s="19" t="str">
        <f>IFERROR(__xludf.DUMMYFUNCTION("IF(OR(regexmatch(A2573,"".*@simon.es$""),REGEXMATCH(A2573,"".*@simon.pt$""),REGEXMATCH(A2573,"".*@simonelectrica.com$""),REGEXMATCH(A2573,"".*@hiberus.com$""),REGEXMATCH(A2573,"".*@simonbrico.es$""),regexmatch(A2573,"".*@simonelectric.com$"")),""null"",A2"&amp;"573)"),"2041@electromercantil.es")</f>
        <v>2041@electromercantil.es</v>
      </c>
      <c r="C2573" s="5">
        <f>IF(B2573="null","null",Descargas!B2573)</f>
        <v>43944</v>
      </c>
      <c r="D2573" s="6" t="str">
        <f>Descargas!E2573</f>
        <v>https://resources.simonelectric.com/simon-ebook-vehiculo-electrico</v>
      </c>
      <c r="E2573" s="20" t="str">
        <f t="shared" si="1"/>
        <v>2041@electromercantil.es</v>
      </c>
      <c r="F2573" s="21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</row>
    <row r="2574" ht="15.75" customHeight="1">
      <c r="A2574" s="18" t="str">
        <f>Descargas!A2574</f>
        <v>2028@grupooca.com</v>
      </c>
      <c r="B2574" s="19" t="str">
        <f>IFERROR(__xludf.DUMMYFUNCTION("IF(OR(regexmatch(A2574,"".*@simon.es$""),REGEXMATCH(A2574,"".*@simon.pt$""),REGEXMATCH(A2574,"".*@simonelectrica.com$""),REGEXMATCH(A2574,"".*@hiberus.com$""),REGEXMATCH(A2574,"".*@simonbrico.es$""),regexmatch(A2574,"".*@simonelectric.com$"")),""null"",A2"&amp;"574)"),"2028@grupooca.com")</f>
        <v>2028@grupooca.com</v>
      </c>
      <c r="C2574" s="5">
        <f>IF(B2574="null","null",Descargas!B2574)</f>
        <v>43944</v>
      </c>
      <c r="D2574" s="6" t="str">
        <f>Descargas!E2574</f>
        <v>https://resources.simonelectric.com/simon-ebook-vehiculo-electrico</v>
      </c>
      <c r="E2574" s="20" t="str">
        <f t="shared" si="1"/>
        <v>2028@grupooca.com</v>
      </c>
      <c r="F2574" s="21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</row>
    <row r="2575" ht="15.75" customHeight="1">
      <c r="A2575" s="18" t="str">
        <f>Descargas!A2575</f>
        <v>2039@antrelec.net</v>
      </c>
      <c r="B2575" s="19" t="str">
        <f>IFERROR(__xludf.DUMMYFUNCTION("IF(OR(regexmatch(A2575,"".*@simon.es$""),REGEXMATCH(A2575,"".*@simon.pt$""),REGEXMATCH(A2575,"".*@simonelectrica.com$""),REGEXMATCH(A2575,"".*@hiberus.com$""),REGEXMATCH(A2575,"".*@simonbrico.es$""),regexmatch(A2575,"".*@simonelectric.com$"")),""null"",A2"&amp;"575)"),"2039@antrelec.net")</f>
        <v>2039@antrelec.net</v>
      </c>
      <c r="C2575" s="5">
        <f>IF(B2575="null","null",Descargas!B2575)</f>
        <v>43944</v>
      </c>
      <c r="D2575" s="6" t="str">
        <f>Descargas!E2575</f>
        <v>https://resources.simonelectric.com/simon-ebook-vehiculo-electrico</v>
      </c>
      <c r="E2575" s="20" t="str">
        <f t="shared" si="1"/>
        <v>2039@antrelec.net</v>
      </c>
      <c r="F2575" s="21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</row>
    <row r="2576" ht="15.75" customHeight="1">
      <c r="A2576" s="18" t="str">
        <f>Descargas!A2576</f>
        <v>2015@hotmail.com</v>
      </c>
      <c r="B2576" s="19" t="str">
        <f>IFERROR(__xludf.DUMMYFUNCTION("IF(OR(regexmatch(A2576,"".*@simon.es$""),REGEXMATCH(A2576,"".*@simon.pt$""),REGEXMATCH(A2576,"".*@simonelectrica.com$""),REGEXMATCH(A2576,"".*@hiberus.com$""),REGEXMATCH(A2576,"".*@simonbrico.es$""),regexmatch(A2576,"".*@simonelectric.com$"")),""null"",A2"&amp;"576)"),"2015@hotmail.com")</f>
        <v>2015@hotmail.com</v>
      </c>
      <c r="C2576" s="5">
        <f>IF(B2576="null","null",Descargas!B2576)</f>
        <v>43944</v>
      </c>
      <c r="D2576" s="6" t="str">
        <f>Descargas!E2576</f>
        <v>https://resources.simonelectric.com/simon-ebook-vehiculo-electrico</v>
      </c>
      <c r="E2576" s="20" t="str">
        <f t="shared" si="1"/>
        <v>2015@hotmail.com</v>
      </c>
      <c r="F2576" s="21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</row>
    <row r="2577" ht="15.75" customHeight="1">
      <c r="A2577" s="18" t="str">
        <f>Descargas!A2577</f>
        <v>2044@orvi-s.es</v>
      </c>
      <c r="B2577" s="19" t="str">
        <f>IFERROR(__xludf.DUMMYFUNCTION("IF(OR(regexmatch(A2577,"".*@simon.es$""),REGEXMATCH(A2577,"".*@simon.pt$""),REGEXMATCH(A2577,"".*@simonelectrica.com$""),REGEXMATCH(A2577,"".*@hiberus.com$""),REGEXMATCH(A2577,"".*@simonbrico.es$""),regexmatch(A2577,"".*@simonelectric.com$"")),""null"",A2"&amp;"577)"),"2044@orvi-s.es")</f>
        <v>2044@orvi-s.es</v>
      </c>
      <c r="C2577" s="5">
        <f>IF(B2577="null","null",Descargas!B2577)</f>
        <v>43944</v>
      </c>
      <c r="D2577" s="6" t="str">
        <f>Descargas!E2577</f>
        <v>https://resources.simonelectric.com/simon-ebook-vehiculo-electrico</v>
      </c>
      <c r="E2577" s="20" t="str">
        <f t="shared" si="1"/>
        <v>2044@orvi-s.es</v>
      </c>
      <c r="F2577" s="21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</row>
    <row r="2578" ht="15.75" customHeight="1">
      <c r="A2578" s="18" t="str">
        <f>Descargas!A2578</f>
        <v>1990@gmail.com</v>
      </c>
      <c r="B2578" s="19" t="str">
        <f>IFERROR(__xludf.DUMMYFUNCTION("IF(OR(regexmatch(A2578,"".*@simon.es$""),REGEXMATCH(A2578,"".*@simon.pt$""),REGEXMATCH(A2578,"".*@simonelectrica.com$""),REGEXMATCH(A2578,"".*@hiberus.com$""),REGEXMATCH(A2578,"".*@simonbrico.es$""),regexmatch(A2578,"".*@simonelectric.com$"")),""null"",A2"&amp;"578)"),"1990@gmail.com")</f>
        <v>1990@gmail.com</v>
      </c>
      <c r="C2578" s="5">
        <f>IF(B2578="null","null",Descargas!B2578)</f>
        <v>43944</v>
      </c>
      <c r="D2578" s="6" t="str">
        <f>Descargas!E2578</f>
        <v>https://resources.simonelectric.com/simon-ebook-vehiculo-electrico</v>
      </c>
      <c r="E2578" s="20" t="str">
        <f t="shared" si="1"/>
        <v>1990@gmail.com</v>
      </c>
      <c r="F2578" s="21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</row>
    <row r="2579" ht="15.75" customHeight="1">
      <c r="A2579" s="18" t="str">
        <f>Descargas!A2579</f>
        <v>1970@electrificacionesparra.es</v>
      </c>
      <c r="B2579" s="19" t="str">
        <f>IFERROR(__xludf.DUMMYFUNCTION("IF(OR(regexmatch(A2579,"".*@simon.es$""),REGEXMATCH(A2579,"".*@simon.pt$""),REGEXMATCH(A2579,"".*@simonelectrica.com$""),REGEXMATCH(A2579,"".*@hiberus.com$""),REGEXMATCH(A2579,"".*@simonbrico.es$""),regexmatch(A2579,"".*@simonelectric.com$"")),""null"",A2"&amp;"579)"),"1970@electrificacionesparra.es")</f>
        <v>1970@electrificacionesparra.es</v>
      </c>
      <c r="C2579" s="5">
        <f>IF(B2579="null","null",Descargas!B2579)</f>
        <v>43944</v>
      </c>
      <c r="D2579" s="6" t="str">
        <f>Descargas!E2579</f>
        <v>https://resources.simonelectric.com/simon-ebook-vehiculo-electrico</v>
      </c>
      <c r="E2579" s="20" t="str">
        <f t="shared" si="1"/>
        <v>1970@electrificacionesparra.es</v>
      </c>
      <c r="F2579" s="21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</row>
    <row r="2580" ht="15.75" customHeight="1">
      <c r="A2580" s="18" t="str">
        <f>Descargas!A2580</f>
        <v>2042@gmail.com</v>
      </c>
      <c r="B2580" s="19" t="str">
        <f>IFERROR(__xludf.DUMMYFUNCTION("IF(OR(regexmatch(A2580,"".*@simon.es$""),REGEXMATCH(A2580,"".*@simon.pt$""),REGEXMATCH(A2580,"".*@simonelectrica.com$""),REGEXMATCH(A2580,"".*@hiberus.com$""),REGEXMATCH(A2580,"".*@simonbrico.es$""),regexmatch(A2580,"".*@simonelectric.com$"")),""null"",A2"&amp;"580)"),"2042@gmail.com")</f>
        <v>2042@gmail.com</v>
      </c>
      <c r="C2580" s="5">
        <f>IF(B2580="null","null",Descargas!B2580)</f>
        <v>43944</v>
      </c>
      <c r="D2580" s="6" t="str">
        <f>Descargas!E2580</f>
        <v>https://resources.simonelectric.com/simon-ebook-vehiculo-electrico</v>
      </c>
      <c r="E2580" s="20" t="str">
        <f t="shared" si="1"/>
        <v>2042@gmail.com</v>
      </c>
      <c r="F2580" s="21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</row>
    <row r="2581" ht="15.75" customHeight="1">
      <c r="A2581" s="18" t="str">
        <f>Descargas!A2581</f>
        <v>1987@simon.es</v>
      </c>
      <c r="B2581" s="19" t="str">
        <f>IFERROR(__xludf.DUMMYFUNCTION("IF(OR(regexmatch(A2581,"".*@simon.es$""),REGEXMATCH(A2581,"".*@simon.pt$""),REGEXMATCH(A2581,"".*@simonelectrica.com$""),REGEXMATCH(A2581,"".*@hiberus.com$""),REGEXMATCH(A2581,"".*@simonbrico.es$""),regexmatch(A2581,"".*@simonelectric.com$"")),""null"",A2"&amp;"581)"),"null")</f>
        <v>null</v>
      </c>
      <c r="C2581" s="5" t="str">
        <f>IF(B2581="null","null",Descargas!B2581)</f>
        <v>null</v>
      </c>
      <c r="D2581" s="6" t="str">
        <f>Descargas!E2581</f>
        <v>https://resources.simonelectric.com/simon-ebook-vehiculo-electrico</v>
      </c>
      <c r="E2581" s="24" t="str">
        <f t="shared" si="1"/>
        <v/>
      </c>
      <c r="F2581" s="21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</row>
    <row r="2582" ht="15.75" customHeight="1">
      <c r="A2582" s="18" t="str">
        <f>Descargas!A2582</f>
        <v>2045@gmail.com</v>
      </c>
      <c r="B2582" s="19" t="str">
        <f>IFERROR(__xludf.DUMMYFUNCTION("IF(OR(regexmatch(A2582,"".*@simon.es$""),REGEXMATCH(A2582,"".*@simon.pt$""),REGEXMATCH(A2582,"".*@simonelectrica.com$""),REGEXMATCH(A2582,"".*@hiberus.com$""),REGEXMATCH(A2582,"".*@simonbrico.es$""),regexmatch(A2582,"".*@simonelectric.com$"")),""null"",A2"&amp;"582)"),"2045@gmail.com")</f>
        <v>2045@gmail.com</v>
      </c>
      <c r="C2582" s="5">
        <f>IF(B2582="null","null",Descargas!B2582)</f>
        <v>43944</v>
      </c>
      <c r="D2582" s="6" t="str">
        <f>Descargas!E2582</f>
        <v>https://resources.simonelectric.com/simon-ebook-vehiculo-electrico</v>
      </c>
      <c r="E2582" s="20" t="str">
        <f t="shared" si="1"/>
        <v>2045@gmail.com</v>
      </c>
      <c r="F2582" s="21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</row>
    <row r="2583" ht="15.75" customHeight="1">
      <c r="A2583" s="18" t="str">
        <f>Descargas!A2583</f>
        <v>2046@gmail.com</v>
      </c>
      <c r="B2583" s="19" t="str">
        <f>IFERROR(__xludf.DUMMYFUNCTION("IF(OR(regexmatch(A2583,"".*@simon.es$""),REGEXMATCH(A2583,"".*@simon.pt$""),REGEXMATCH(A2583,"".*@simonelectrica.com$""),REGEXMATCH(A2583,"".*@hiberus.com$""),REGEXMATCH(A2583,"".*@simonbrico.es$""),regexmatch(A2583,"".*@simonelectric.com$"")),""null"",A2"&amp;"583)"),"2046@gmail.com")</f>
        <v>2046@gmail.com</v>
      </c>
      <c r="C2583" s="5">
        <f>IF(B2583="null","null",Descargas!B2583)</f>
        <v>43944</v>
      </c>
      <c r="D2583" s="6" t="str">
        <f>Descargas!E2583</f>
        <v>https://resources.simonelectric.com/simon-ebook-vehiculo-electrico</v>
      </c>
      <c r="E2583" s="20" t="str">
        <f t="shared" si="1"/>
        <v>2046@gmail.com</v>
      </c>
      <c r="F2583" s="21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</row>
    <row r="2584" ht="15.75" customHeight="1">
      <c r="A2584" s="18" t="str">
        <f>Descargas!A2584</f>
        <v>1118@coitiar.es</v>
      </c>
      <c r="B2584" s="19" t="str">
        <f>IFERROR(__xludf.DUMMYFUNCTION("IF(OR(regexmatch(A2584,"".*@simon.es$""),REGEXMATCH(A2584,"".*@simon.pt$""),REGEXMATCH(A2584,"".*@simonelectrica.com$""),REGEXMATCH(A2584,"".*@hiberus.com$""),REGEXMATCH(A2584,"".*@simonbrico.es$""),regexmatch(A2584,"".*@simonelectric.com$"")),""null"",A2"&amp;"584)"),"1118@coitiar.es")</f>
        <v>1118@coitiar.es</v>
      </c>
      <c r="C2584" s="5">
        <f>IF(B2584="null","null",Descargas!B2584)</f>
        <v>43944</v>
      </c>
      <c r="D2584" s="6" t="str">
        <f>Descargas!E2584</f>
        <v>https://resources.simonelectric.com/simon-ebook-vehiculo-electrico</v>
      </c>
      <c r="E2584" s="20" t="str">
        <f t="shared" si="1"/>
        <v>1118@coitiar.es</v>
      </c>
      <c r="F2584" s="21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</row>
    <row r="2585" ht="15.75" customHeight="1">
      <c r="A2585" s="18" t="str">
        <f>Descargas!A2585</f>
        <v>1988@lusorede.pt</v>
      </c>
      <c r="B2585" s="19" t="str">
        <f>IFERROR(__xludf.DUMMYFUNCTION("IF(OR(regexmatch(A2585,"".*@simon.es$""),REGEXMATCH(A2585,"".*@simon.pt$""),REGEXMATCH(A2585,"".*@simonelectrica.com$""),REGEXMATCH(A2585,"".*@hiberus.com$""),REGEXMATCH(A2585,"".*@simonbrico.es$""),regexmatch(A2585,"".*@simonelectric.com$"")),""null"",A2"&amp;"585)"),"1988@lusorede.pt")</f>
        <v>1988@lusorede.pt</v>
      </c>
      <c r="C2585" s="5">
        <f>IF(B2585="null","null",Descargas!B2585)</f>
        <v>43944</v>
      </c>
      <c r="D2585" s="6" t="str">
        <f>Descargas!E2585</f>
        <v>https://resources.simonelectric.com/simon-ebook-vehiculo-electrico</v>
      </c>
      <c r="E2585" s="20" t="str">
        <f t="shared" si="1"/>
        <v>1988@lusorede.pt</v>
      </c>
      <c r="F2585" s="21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</row>
    <row r="2586" ht="15.75" customHeight="1">
      <c r="A2586" s="18" t="str">
        <f>Descargas!A2586</f>
        <v>2047@gmail.com</v>
      </c>
      <c r="B2586" s="19" t="str">
        <f>IFERROR(__xludf.DUMMYFUNCTION("IF(OR(regexmatch(A2586,"".*@simon.es$""),REGEXMATCH(A2586,"".*@simon.pt$""),REGEXMATCH(A2586,"".*@simonelectrica.com$""),REGEXMATCH(A2586,"".*@hiberus.com$""),REGEXMATCH(A2586,"".*@simonbrico.es$""),regexmatch(A2586,"".*@simonelectric.com$"")),""null"",A2"&amp;"586)"),"2047@gmail.com")</f>
        <v>2047@gmail.com</v>
      </c>
      <c r="C2586" s="5">
        <f>IF(B2586="null","null",Descargas!B2586)</f>
        <v>43944</v>
      </c>
      <c r="D2586" s="6" t="str">
        <f>Descargas!E2586</f>
        <v>https://resources.simonelectric.com/simon-ebook-vehiculo-electrico</v>
      </c>
      <c r="E2586" s="20" t="str">
        <f t="shared" si="1"/>
        <v>2047@gmail.com</v>
      </c>
      <c r="F2586" s="21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</row>
    <row r="2587" ht="15.75" customHeight="1">
      <c r="A2587" s="18" t="str">
        <f>Descargas!A2587</f>
        <v>1676@unex.net</v>
      </c>
      <c r="B2587" s="19" t="str">
        <f>IFERROR(__xludf.DUMMYFUNCTION("IF(OR(regexmatch(A2587,"".*@simon.es$""),REGEXMATCH(A2587,"".*@simon.pt$""),REGEXMATCH(A2587,"".*@simonelectrica.com$""),REGEXMATCH(A2587,"".*@hiberus.com$""),REGEXMATCH(A2587,"".*@simonbrico.es$""),regexmatch(A2587,"".*@simonelectric.com$"")),""null"",A2"&amp;"587)"),"1676@unex.net")</f>
        <v>1676@unex.net</v>
      </c>
      <c r="C2587" s="5">
        <f>IF(B2587="null","null",Descargas!B2587)</f>
        <v>43944</v>
      </c>
      <c r="D2587" s="6" t="str">
        <f>Descargas!E2587</f>
        <v>https://resources.simonelectric.com/simon-ebook-vehiculo-electrico</v>
      </c>
      <c r="E2587" s="20" t="str">
        <f t="shared" si="1"/>
        <v>1676@unex.net</v>
      </c>
      <c r="F2587" s="21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</row>
    <row r="2588" ht="15.75" customHeight="1">
      <c r="A2588" s="18" t="str">
        <f>Descargas!A2588</f>
        <v>2048@visioelectric.es</v>
      </c>
      <c r="B2588" s="19" t="str">
        <f>IFERROR(__xludf.DUMMYFUNCTION("IF(OR(regexmatch(A2588,"".*@simon.es$""),REGEXMATCH(A2588,"".*@simon.pt$""),REGEXMATCH(A2588,"".*@simonelectrica.com$""),REGEXMATCH(A2588,"".*@hiberus.com$""),REGEXMATCH(A2588,"".*@simonbrico.es$""),regexmatch(A2588,"".*@simonelectric.com$"")),""null"",A2"&amp;"588)"),"2048@visioelectric.es")</f>
        <v>2048@visioelectric.es</v>
      </c>
      <c r="C2588" s="5">
        <f>IF(B2588="null","null",Descargas!B2588)</f>
        <v>43944</v>
      </c>
      <c r="D2588" s="6" t="str">
        <f>Descargas!E2588</f>
        <v>https://resources.simonelectric.com/simon-ebook-vehiculo-electrico</v>
      </c>
      <c r="E2588" s="20" t="str">
        <f t="shared" si="1"/>
        <v>2048@visioelectric.es</v>
      </c>
      <c r="F2588" s="21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</row>
    <row r="2589" ht="15.75" customHeight="1">
      <c r="A2589" s="18" t="str">
        <f>Descargas!A2589</f>
        <v>2014@gmail.com</v>
      </c>
      <c r="B2589" s="19" t="str">
        <f>IFERROR(__xludf.DUMMYFUNCTION("IF(OR(regexmatch(A2589,"".*@simon.es$""),REGEXMATCH(A2589,"".*@simon.pt$""),REGEXMATCH(A2589,"".*@simonelectrica.com$""),REGEXMATCH(A2589,"".*@hiberus.com$""),REGEXMATCH(A2589,"".*@simonbrico.es$""),regexmatch(A2589,"".*@simonelectric.com$"")),""null"",A2"&amp;"589)"),"2014@gmail.com")</f>
        <v>2014@gmail.com</v>
      </c>
      <c r="C2589" s="5">
        <f>IF(B2589="null","null",Descargas!B2589)</f>
        <v>43944</v>
      </c>
      <c r="D2589" s="6" t="str">
        <f>Descargas!E2589</f>
        <v>https://resources.simonelectric.com/simon-ebook-vehiculo-electrico</v>
      </c>
      <c r="E2589" s="20" t="str">
        <f t="shared" si="1"/>
        <v>2014@gmail.com</v>
      </c>
      <c r="F2589" s="21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</row>
    <row r="2590" ht="15.75" customHeight="1">
      <c r="A2590" s="18" t="str">
        <f>Descargas!A2590</f>
        <v>1972@projecal.com</v>
      </c>
      <c r="B2590" s="19" t="str">
        <f>IFERROR(__xludf.DUMMYFUNCTION("IF(OR(regexmatch(A2590,"".*@simon.es$""),REGEXMATCH(A2590,"".*@simon.pt$""),REGEXMATCH(A2590,"".*@simonelectrica.com$""),REGEXMATCH(A2590,"".*@hiberus.com$""),REGEXMATCH(A2590,"".*@simonbrico.es$""),regexmatch(A2590,"".*@simonelectric.com$"")),""null"",A2"&amp;"590)"),"1972@projecal.com")</f>
        <v>1972@projecal.com</v>
      </c>
      <c r="C2590" s="5">
        <f>IF(B2590="null","null",Descargas!B2590)</f>
        <v>43944</v>
      </c>
      <c r="D2590" s="6" t="str">
        <f>Descargas!E2590</f>
        <v>https://resources.simonelectric.com/simon-ebook-vehiculo-electrico</v>
      </c>
      <c r="E2590" s="20" t="str">
        <f t="shared" si="1"/>
        <v>1972@projecal.com</v>
      </c>
      <c r="F2590" s="21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</row>
    <row r="2591" ht="15.75" customHeight="1">
      <c r="A2591" s="18" t="str">
        <f>Descargas!A2591</f>
        <v>406@gmail.com</v>
      </c>
      <c r="B2591" s="19" t="str">
        <f>IFERROR(__xludf.DUMMYFUNCTION("IF(OR(regexmatch(A2591,"".*@simon.es$""),REGEXMATCH(A2591,"".*@simon.pt$""),REGEXMATCH(A2591,"".*@simonelectrica.com$""),REGEXMATCH(A2591,"".*@hiberus.com$""),REGEXMATCH(A2591,"".*@simonbrico.es$""),regexmatch(A2591,"".*@simonelectric.com$"")),""null"",A2"&amp;"591)"),"406@gmail.com")</f>
        <v>406@gmail.com</v>
      </c>
      <c r="C2591" s="5">
        <f>IF(B2591="null","null",Descargas!B2591)</f>
        <v>43944</v>
      </c>
      <c r="D2591" s="6" t="str">
        <f>Descargas!E2591</f>
        <v>https://resources.simonelectric.com/simon-ebook-vehiculo-electrico</v>
      </c>
      <c r="E2591" s="20" t="str">
        <f t="shared" si="1"/>
        <v>406@gmail.com</v>
      </c>
      <c r="F2591" s="21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</row>
    <row r="2592" ht="15.75" customHeight="1">
      <c r="A2592" s="18" t="str">
        <f>Descargas!A2592</f>
        <v>2049@telefonica.net</v>
      </c>
      <c r="B2592" s="19" t="str">
        <f>IFERROR(__xludf.DUMMYFUNCTION("IF(OR(regexmatch(A2592,"".*@simon.es$""),REGEXMATCH(A2592,"".*@simon.pt$""),REGEXMATCH(A2592,"".*@simonelectrica.com$""),REGEXMATCH(A2592,"".*@hiberus.com$""),REGEXMATCH(A2592,"".*@simonbrico.es$""),regexmatch(A2592,"".*@simonelectric.com$"")),""null"",A2"&amp;"592)"),"2049@telefonica.net")</f>
        <v>2049@telefonica.net</v>
      </c>
      <c r="C2592" s="5">
        <f>IF(B2592="null","null",Descargas!B2592)</f>
        <v>43944</v>
      </c>
      <c r="D2592" s="6" t="str">
        <f>Descargas!E2592</f>
        <v>https://resources.simonelectric.com/simon-ebook-vehiculo-electrico</v>
      </c>
      <c r="E2592" s="20" t="str">
        <f t="shared" si="1"/>
        <v>2049@telefonica.net</v>
      </c>
      <c r="F2592" s="21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</row>
    <row r="2593" ht="15.75" customHeight="1">
      <c r="A2593" s="18" t="str">
        <f>Descargas!A2593</f>
        <v>2050@melecmor.com</v>
      </c>
      <c r="B2593" s="19" t="str">
        <f>IFERROR(__xludf.DUMMYFUNCTION("IF(OR(regexmatch(A2593,"".*@simon.es$""),REGEXMATCH(A2593,"".*@simon.pt$""),REGEXMATCH(A2593,"".*@simonelectrica.com$""),REGEXMATCH(A2593,"".*@hiberus.com$""),REGEXMATCH(A2593,"".*@simonbrico.es$""),regexmatch(A2593,"".*@simonelectric.com$"")),""null"",A2"&amp;"593)"),"2050@melecmor.com")</f>
        <v>2050@melecmor.com</v>
      </c>
      <c r="C2593" s="5">
        <f>IF(B2593="null","null",Descargas!B2593)</f>
        <v>43944</v>
      </c>
      <c r="D2593" s="6" t="str">
        <f>Descargas!E2593</f>
        <v>https://resources.simonelectric.com/simon-ebook-vehiculo-electrico</v>
      </c>
      <c r="E2593" s="20" t="str">
        <f t="shared" si="1"/>
        <v>2050@melecmor.com</v>
      </c>
      <c r="F2593" s="21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</row>
    <row r="2594" ht="15.75" customHeight="1">
      <c r="A2594" s="18" t="str">
        <f>Descargas!A2594</f>
        <v>2034@tienda-gasnatural.com</v>
      </c>
      <c r="B2594" s="19" t="str">
        <f>IFERROR(__xludf.DUMMYFUNCTION("IF(OR(regexmatch(A2594,"".*@simon.es$""),REGEXMATCH(A2594,"".*@simon.pt$""),REGEXMATCH(A2594,"".*@simonelectrica.com$""),REGEXMATCH(A2594,"".*@hiberus.com$""),REGEXMATCH(A2594,"".*@simonbrico.es$""),regexmatch(A2594,"".*@simonelectric.com$"")),""null"",A2"&amp;"594)"),"2034@tienda-gasnatural.com")</f>
        <v>2034@tienda-gasnatural.com</v>
      </c>
      <c r="C2594" s="5">
        <f>IF(B2594="null","null",Descargas!B2594)</f>
        <v>43944</v>
      </c>
      <c r="D2594" s="6" t="str">
        <f>Descargas!E2594</f>
        <v>https://resources.simonelectric.com/simon-ebook-vehiculo-electrico</v>
      </c>
      <c r="E2594" s="20" t="str">
        <f t="shared" si="1"/>
        <v>2034@tienda-gasnatural.com</v>
      </c>
      <c r="F2594" s="21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</row>
    <row r="2595" ht="15.75" customHeight="1">
      <c r="A2595" s="18" t="str">
        <f>Descargas!A2595</f>
        <v>1543@cotpa.com</v>
      </c>
      <c r="B2595" s="19" t="str">
        <f>IFERROR(__xludf.DUMMYFUNCTION("IF(OR(regexmatch(A2595,"".*@simon.es$""),REGEXMATCH(A2595,"".*@simon.pt$""),REGEXMATCH(A2595,"".*@simonelectrica.com$""),REGEXMATCH(A2595,"".*@hiberus.com$""),REGEXMATCH(A2595,"".*@simonbrico.es$""),regexmatch(A2595,"".*@simonelectric.com$"")),""null"",A2"&amp;"595)"),"1543@cotpa.com")</f>
        <v>1543@cotpa.com</v>
      </c>
      <c r="C2595" s="5">
        <f>IF(B2595="null","null",Descargas!B2595)</f>
        <v>43944</v>
      </c>
      <c r="D2595" s="6" t="str">
        <f>Descargas!E2595</f>
        <v>https://resources.simonelectric.com/simon-ebook-vehiculo-electrico</v>
      </c>
      <c r="E2595" s="20" t="str">
        <f t="shared" si="1"/>
        <v>1543@cotpa.com</v>
      </c>
      <c r="F2595" s="21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</row>
    <row r="2596" ht="15.75" customHeight="1">
      <c r="A2596" s="18" t="str">
        <f>Descargas!A2596</f>
        <v>2018@mantise.com</v>
      </c>
      <c r="B2596" s="19" t="str">
        <f>IFERROR(__xludf.DUMMYFUNCTION("IF(OR(regexmatch(A2596,"".*@simon.es$""),REGEXMATCH(A2596,"".*@simon.pt$""),REGEXMATCH(A2596,"".*@simonelectrica.com$""),REGEXMATCH(A2596,"".*@hiberus.com$""),REGEXMATCH(A2596,"".*@simonbrico.es$""),regexmatch(A2596,"".*@simonelectric.com$"")),""null"",A2"&amp;"596)"),"2018@mantise.com")</f>
        <v>2018@mantise.com</v>
      </c>
      <c r="C2596" s="5">
        <f>IF(B2596="null","null",Descargas!B2596)</f>
        <v>43944</v>
      </c>
      <c r="D2596" s="6" t="str">
        <f>Descargas!E2596</f>
        <v>https://resources.simonelectric.com/simon-ebook-vehiculo-electrico</v>
      </c>
      <c r="E2596" s="20" t="str">
        <f t="shared" si="1"/>
        <v>2018@mantise.com</v>
      </c>
      <c r="F2596" s="21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</row>
    <row r="2597" ht="15.75" customHeight="1">
      <c r="A2597" s="18" t="str">
        <f>Descargas!A2597</f>
        <v>2040@grupsoler.com</v>
      </c>
      <c r="B2597" s="19" t="str">
        <f>IFERROR(__xludf.DUMMYFUNCTION("IF(OR(regexmatch(A2597,"".*@simon.es$""),REGEXMATCH(A2597,"".*@simon.pt$""),REGEXMATCH(A2597,"".*@simonelectrica.com$""),REGEXMATCH(A2597,"".*@hiberus.com$""),REGEXMATCH(A2597,"".*@simonbrico.es$""),regexmatch(A2597,"".*@simonelectric.com$"")),""null"",A2"&amp;"597)"),"2040@grupsoler.com")</f>
        <v>2040@grupsoler.com</v>
      </c>
      <c r="C2597" s="5">
        <f>IF(B2597="null","null",Descargas!B2597)</f>
        <v>43944</v>
      </c>
      <c r="D2597" s="6" t="str">
        <f>Descargas!E2597</f>
        <v>https://resources.simonelectric.com/simon-ebook-vehiculo-electrico</v>
      </c>
      <c r="E2597" s="20" t="str">
        <f t="shared" si="1"/>
        <v>2040@grupsoler.com</v>
      </c>
      <c r="F2597" s="21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</row>
    <row r="2598" ht="15.75" customHeight="1">
      <c r="A2598" s="18" t="str">
        <f>Descargas!A2598</f>
        <v>2051@gmail.com</v>
      </c>
      <c r="B2598" s="19" t="str">
        <f>IFERROR(__xludf.DUMMYFUNCTION("IF(OR(regexmatch(A2598,"".*@simon.es$""),REGEXMATCH(A2598,"".*@simon.pt$""),REGEXMATCH(A2598,"".*@simonelectrica.com$""),REGEXMATCH(A2598,"".*@hiberus.com$""),REGEXMATCH(A2598,"".*@simonbrico.es$""),regexmatch(A2598,"".*@simonelectric.com$"")),""null"",A2"&amp;"598)"),"2051@gmail.com")</f>
        <v>2051@gmail.com</v>
      </c>
      <c r="C2598" s="5">
        <f>IF(B2598="null","null",Descargas!B2598)</f>
        <v>43944</v>
      </c>
      <c r="D2598" s="6" t="str">
        <f>Descargas!E2598</f>
        <v>https://resources.simonelectric.com/simon-ebook-vehiculo-electrico</v>
      </c>
      <c r="E2598" s="20" t="str">
        <f t="shared" si="1"/>
        <v>2051@gmail.com</v>
      </c>
      <c r="F2598" s="21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</row>
    <row r="2599" ht="15.75" customHeight="1">
      <c r="A2599" s="18" t="str">
        <f>Descargas!A2599</f>
        <v>2052@simon.es</v>
      </c>
      <c r="B2599" s="19" t="str">
        <f>IFERROR(__xludf.DUMMYFUNCTION("IF(OR(regexmatch(A2599,"".*@simon.es$""),REGEXMATCH(A2599,"".*@simon.pt$""),REGEXMATCH(A2599,"".*@simonelectrica.com$""),REGEXMATCH(A2599,"".*@hiberus.com$""),REGEXMATCH(A2599,"".*@simonbrico.es$""),regexmatch(A2599,"".*@simonelectric.com$"")),""null"",A2"&amp;"599)"),"null")</f>
        <v>null</v>
      </c>
      <c r="C2599" s="5" t="str">
        <f>IF(B2599="null","null",Descargas!B2599)</f>
        <v>null</v>
      </c>
      <c r="D2599" s="6" t="str">
        <f>Descargas!E2599</f>
        <v>https://resources.simonelectric.com/simon-ebook-vehiculo-electrico</v>
      </c>
      <c r="E2599" s="24" t="str">
        <f t="shared" si="1"/>
        <v/>
      </c>
      <c r="F2599" s="21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</row>
    <row r="2600" ht="15.75" customHeight="1">
      <c r="A2600" s="18" t="str">
        <f>Descargas!A2600</f>
        <v>1975@outlook.es</v>
      </c>
      <c r="B2600" s="19" t="str">
        <f>IFERROR(__xludf.DUMMYFUNCTION("IF(OR(regexmatch(A2600,"".*@simon.es$""),REGEXMATCH(A2600,"".*@simon.pt$""),REGEXMATCH(A2600,"".*@simonelectrica.com$""),REGEXMATCH(A2600,"".*@hiberus.com$""),REGEXMATCH(A2600,"".*@simonbrico.es$""),regexmatch(A2600,"".*@simonelectric.com$"")),""null"",A2"&amp;"600)"),"1975@outlook.es")</f>
        <v>1975@outlook.es</v>
      </c>
      <c r="C2600" s="5">
        <f>IF(B2600="null","null",Descargas!B2600)</f>
        <v>43944</v>
      </c>
      <c r="D2600" s="6" t="str">
        <f>Descargas!E2600</f>
        <v>https://resources.simonelectric.com/simon-ebook-vehiculo-electrico</v>
      </c>
      <c r="E2600" s="20" t="str">
        <f t="shared" si="1"/>
        <v>1975@outlook.es</v>
      </c>
      <c r="F2600" s="21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</row>
    <row r="2601" ht="15.75" customHeight="1">
      <c r="A2601" s="18" t="str">
        <f>Descargas!A2601</f>
        <v>2053@sades.es</v>
      </c>
      <c r="B2601" s="19" t="str">
        <f>IFERROR(__xludf.DUMMYFUNCTION("IF(OR(regexmatch(A2601,"".*@simon.es$""),REGEXMATCH(A2601,"".*@simon.pt$""),REGEXMATCH(A2601,"".*@simonelectrica.com$""),REGEXMATCH(A2601,"".*@hiberus.com$""),REGEXMATCH(A2601,"".*@simonbrico.es$""),regexmatch(A2601,"".*@simonelectric.com$"")),""null"",A2"&amp;"601)"),"2053@sades.es")</f>
        <v>2053@sades.es</v>
      </c>
      <c r="C2601" s="5">
        <f>IF(B2601="null","null",Descargas!B2601)</f>
        <v>43944</v>
      </c>
      <c r="D2601" s="6" t="str">
        <f>Descargas!E2601</f>
        <v>https://resources.simonelectric.com/simon-ebook-vehiculo-electrico</v>
      </c>
      <c r="E2601" s="20" t="str">
        <f t="shared" si="1"/>
        <v>2053@sades.es</v>
      </c>
      <c r="F2601" s="21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</row>
    <row r="2602" ht="15.75" customHeight="1">
      <c r="A2602" s="18" t="str">
        <f>Descargas!A2602</f>
        <v>2026@telefonica.net</v>
      </c>
      <c r="B2602" s="19" t="str">
        <f>IFERROR(__xludf.DUMMYFUNCTION("IF(OR(regexmatch(A2602,"".*@simon.es$""),REGEXMATCH(A2602,"".*@simon.pt$""),REGEXMATCH(A2602,"".*@simonelectrica.com$""),REGEXMATCH(A2602,"".*@hiberus.com$""),REGEXMATCH(A2602,"".*@simonbrico.es$""),regexmatch(A2602,"".*@simonelectric.com$"")),""null"",A2"&amp;"602)"),"2026@telefonica.net")</f>
        <v>2026@telefonica.net</v>
      </c>
      <c r="C2602" s="5">
        <f>IF(B2602="null","null",Descargas!B2602)</f>
        <v>43944</v>
      </c>
      <c r="D2602" s="6" t="str">
        <f>Descargas!E2602</f>
        <v>https://resources.simonelectric.com/simon-ebook-vehiculo-electrico</v>
      </c>
      <c r="E2602" s="20" t="str">
        <f t="shared" si="1"/>
        <v>2026@telefonica.net</v>
      </c>
      <c r="F2602" s="21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</row>
    <row r="2603" ht="15.75" customHeight="1">
      <c r="A2603" s="18" t="str">
        <f>Descargas!A2603</f>
        <v>1990@gmail.com</v>
      </c>
      <c r="B2603" s="19" t="str">
        <f>IFERROR(__xludf.DUMMYFUNCTION("IF(OR(regexmatch(A2603,"".*@simon.es$""),REGEXMATCH(A2603,"".*@simon.pt$""),REGEXMATCH(A2603,"".*@simonelectrica.com$""),REGEXMATCH(A2603,"".*@hiberus.com$""),REGEXMATCH(A2603,"".*@simonbrico.es$""),regexmatch(A2603,"".*@simonelectric.com$"")),""null"",A2"&amp;"603)"),"1990@gmail.com")</f>
        <v>1990@gmail.com</v>
      </c>
      <c r="C2603" s="5">
        <f>IF(B2603="null","null",Descargas!B2603)</f>
        <v>43944</v>
      </c>
      <c r="D2603" s="6" t="str">
        <f>Descargas!E2603</f>
        <v>https://resources.simonelectric.com/simon-ebook-vehiculo-electrico</v>
      </c>
      <c r="E2603" s="20" t="str">
        <f t="shared" si="1"/>
        <v>1990@gmail.com</v>
      </c>
      <c r="F2603" s="21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</row>
    <row r="2604" ht="15.75" customHeight="1">
      <c r="A2604" s="18" t="str">
        <f>Descargas!A2604</f>
        <v>1973@ingekor.com</v>
      </c>
      <c r="B2604" s="19" t="str">
        <f>IFERROR(__xludf.DUMMYFUNCTION("IF(OR(regexmatch(A2604,"".*@simon.es$""),REGEXMATCH(A2604,"".*@simon.pt$""),REGEXMATCH(A2604,"".*@simonelectrica.com$""),REGEXMATCH(A2604,"".*@hiberus.com$""),REGEXMATCH(A2604,"".*@simonbrico.es$""),regexmatch(A2604,"".*@simonelectric.com$"")),""null"",A2"&amp;"604)"),"1973@ingekor.com")</f>
        <v>1973@ingekor.com</v>
      </c>
      <c r="C2604" s="5">
        <f>IF(B2604="null","null",Descargas!B2604)</f>
        <v>43944</v>
      </c>
      <c r="D2604" s="6" t="str">
        <f>Descargas!E2604</f>
        <v>https://resources.simonelectric.com/simon-ebook-vehiculo-electrico</v>
      </c>
      <c r="E2604" s="20" t="str">
        <f t="shared" si="1"/>
        <v>1973@ingekor.com</v>
      </c>
      <c r="F2604" s="21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</row>
    <row r="2605" ht="15.75" customHeight="1">
      <c r="A2605" s="18" t="str">
        <f>Descargas!A2605</f>
        <v>2054@simon.es</v>
      </c>
      <c r="B2605" s="19" t="str">
        <f>IFERROR(__xludf.DUMMYFUNCTION("IF(OR(regexmatch(A2605,"".*@simon.es$""),REGEXMATCH(A2605,"".*@simon.pt$""),REGEXMATCH(A2605,"".*@simonelectrica.com$""),REGEXMATCH(A2605,"".*@hiberus.com$""),REGEXMATCH(A2605,"".*@simonbrico.es$""),regexmatch(A2605,"".*@simonelectric.com$"")),""null"",A2"&amp;"605)"),"null")</f>
        <v>null</v>
      </c>
      <c r="C2605" s="5" t="str">
        <f>IF(B2605="null","null",Descargas!B2605)</f>
        <v>null</v>
      </c>
      <c r="D2605" s="6" t="str">
        <f>Descargas!E2605</f>
        <v>https://resources.simonelectric.com/simon-ebook-vehiculo-electrico</v>
      </c>
      <c r="E2605" s="24" t="str">
        <f t="shared" si="1"/>
        <v/>
      </c>
      <c r="F2605" s="21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</row>
    <row r="2606" ht="15.75" customHeight="1">
      <c r="A2606" s="18" t="str">
        <f>Descargas!A2606</f>
        <v>2055@gmail.com</v>
      </c>
      <c r="B2606" s="19" t="str">
        <f>IFERROR(__xludf.DUMMYFUNCTION("IF(OR(regexmatch(A2606,"".*@simon.es$""),REGEXMATCH(A2606,"".*@simon.pt$""),REGEXMATCH(A2606,"".*@simonelectrica.com$""),REGEXMATCH(A2606,"".*@hiberus.com$""),REGEXMATCH(A2606,"".*@simonbrico.es$""),regexmatch(A2606,"".*@simonelectric.com$"")),""null"",A2"&amp;"606)"),"2055@gmail.com")</f>
        <v>2055@gmail.com</v>
      </c>
      <c r="C2606" s="5">
        <f>IF(B2606="null","null",Descargas!B2606)</f>
        <v>43944</v>
      </c>
      <c r="D2606" s="6" t="str">
        <f>Descargas!E2606</f>
        <v>https://resources.simonelectric.com/simon-ebook-vehiculo-electrico</v>
      </c>
      <c r="E2606" s="20" t="str">
        <f t="shared" si="1"/>
        <v>2055@gmail.com</v>
      </c>
      <c r="F2606" s="21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</row>
    <row r="2607" ht="15.75" customHeight="1">
      <c r="A2607" s="18" t="str">
        <f>Descargas!A2607</f>
        <v>1982@hotmail.com</v>
      </c>
      <c r="B2607" s="19" t="str">
        <f>IFERROR(__xludf.DUMMYFUNCTION("IF(OR(regexmatch(A2607,"".*@simon.es$""),REGEXMATCH(A2607,"".*@simon.pt$""),REGEXMATCH(A2607,"".*@simonelectrica.com$""),REGEXMATCH(A2607,"".*@hiberus.com$""),REGEXMATCH(A2607,"".*@simonbrico.es$""),regexmatch(A2607,"".*@simonelectric.com$"")),""null"",A2"&amp;"607)"),"1982@hotmail.com")</f>
        <v>1982@hotmail.com</v>
      </c>
      <c r="C2607" s="5">
        <f>IF(B2607="null","null",Descargas!B2607)</f>
        <v>43944</v>
      </c>
      <c r="D2607" s="6" t="str">
        <f>Descargas!E2607</f>
        <v>https://resources.simonelectric.com/simon-ebook-vehiculo-electrico</v>
      </c>
      <c r="E2607" s="20" t="str">
        <f t="shared" si="1"/>
        <v>1982@hotmail.com</v>
      </c>
      <c r="F2607" s="21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</row>
    <row r="2608" ht="15.75" customHeight="1">
      <c r="A2608" s="18" t="str">
        <f>Descargas!A2608</f>
        <v>2056@hotmail.com</v>
      </c>
      <c r="B2608" s="19" t="str">
        <f>IFERROR(__xludf.DUMMYFUNCTION("IF(OR(regexmatch(A2608,"".*@simon.es$""),REGEXMATCH(A2608,"".*@simon.pt$""),REGEXMATCH(A2608,"".*@simonelectrica.com$""),REGEXMATCH(A2608,"".*@hiberus.com$""),REGEXMATCH(A2608,"".*@simonbrico.es$""),regexmatch(A2608,"".*@simonelectric.com$"")),""null"",A2"&amp;"608)"),"2056@hotmail.com")</f>
        <v>2056@hotmail.com</v>
      </c>
      <c r="C2608" s="5">
        <f>IF(B2608="null","null",Descargas!B2608)</f>
        <v>43944</v>
      </c>
      <c r="D2608" s="6" t="str">
        <f>Descargas!E2608</f>
        <v>https://resources.simonelectric.com/simon-ebook-vehiculo-electrico-ppc</v>
      </c>
      <c r="E2608" s="20" t="str">
        <f t="shared" si="1"/>
        <v>2056@hotmail.com</v>
      </c>
      <c r="F2608" s="21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</row>
    <row r="2609" ht="15.75" customHeight="1">
      <c r="A2609" s="18" t="str">
        <f>Descargas!A2609</f>
        <v>2057@gmail.com</v>
      </c>
      <c r="B2609" s="19" t="str">
        <f>IFERROR(__xludf.DUMMYFUNCTION("IF(OR(regexmatch(A2609,"".*@simon.es$""),REGEXMATCH(A2609,"".*@simon.pt$""),REGEXMATCH(A2609,"".*@simonelectrica.com$""),REGEXMATCH(A2609,"".*@hiberus.com$""),REGEXMATCH(A2609,"".*@simonbrico.es$""),regexmatch(A2609,"".*@simonelectric.com$"")),""null"",A2"&amp;"609)"),"2057@gmail.com")</f>
        <v>2057@gmail.com</v>
      </c>
      <c r="C2609" s="5">
        <f>IF(B2609="null","null",Descargas!B2609)</f>
        <v>43944</v>
      </c>
      <c r="D2609" s="6" t="str">
        <f>Descargas!E2609</f>
        <v>https://resources.simonelectric.com/simon-ebook-vehiculo-electrico-ppc</v>
      </c>
      <c r="E2609" s="20" t="str">
        <f t="shared" si="1"/>
        <v>2057@gmail.com</v>
      </c>
      <c r="F2609" s="21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</row>
    <row r="2610" ht="15.75" customHeight="1">
      <c r="A2610" s="18" t="str">
        <f>Descargas!A2610</f>
        <v>2058@sonepar.es</v>
      </c>
      <c r="B2610" s="19" t="str">
        <f>IFERROR(__xludf.DUMMYFUNCTION("IF(OR(regexmatch(A2610,"".*@simon.es$""),REGEXMATCH(A2610,"".*@simon.pt$""),REGEXMATCH(A2610,"".*@simonelectrica.com$""),REGEXMATCH(A2610,"".*@hiberus.com$""),REGEXMATCH(A2610,"".*@simonbrico.es$""),regexmatch(A2610,"".*@simonelectric.com$"")),""null"",A2"&amp;"610)"),"2058@sonepar.es")</f>
        <v>2058@sonepar.es</v>
      </c>
      <c r="C2610" s="5">
        <f>IF(B2610="null","null",Descargas!B2610)</f>
        <v>43944</v>
      </c>
      <c r="D2610" s="6" t="str">
        <f>Descargas!E2610</f>
        <v>https://resources.simonelectric.com/simon-ebook-vehiculo-electrico</v>
      </c>
      <c r="E2610" s="20" t="str">
        <f t="shared" si="1"/>
        <v>2058@sonepar.es</v>
      </c>
      <c r="F2610" s="21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</row>
    <row r="2611" ht="15.75" customHeight="1">
      <c r="A2611" s="18" t="str">
        <f>Descargas!A2611</f>
        <v>1558@gmail.com</v>
      </c>
      <c r="B2611" s="19" t="str">
        <f>IFERROR(__xludf.DUMMYFUNCTION("IF(OR(regexmatch(A2611,"".*@simon.es$""),REGEXMATCH(A2611,"".*@simon.pt$""),REGEXMATCH(A2611,"".*@simonelectrica.com$""),REGEXMATCH(A2611,"".*@hiberus.com$""),REGEXMATCH(A2611,"".*@simonbrico.es$""),regexmatch(A2611,"".*@simonelectric.com$"")),""null"",A2"&amp;"611)"),"1558@gmail.com")</f>
        <v>1558@gmail.com</v>
      </c>
      <c r="C2611" s="5">
        <f>IF(B2611="null","null",Descargas!B2611)</f>
        <v>43944</v>
      </c>
      <c r="D2611" s="6" t="str">
        <f>Descargas!E2611</f>
        <v>https://resources.simonelectric.com/simon-ebook-vehiculo-electrico</v>
      </c>
      <c r="E2611" s="20" t="str">
        <f t="shared" si="1"/>
        <v>1558@gmail.com</v>
      </c>
      <c r="F2611" s="21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</row>
    <row r="2612" ht="15.75" customHeight="1">
      <c r="A2612" s="18" t="str">
        <f>Descargas!A2612</f>
        <v>1977@gmail.com</v>
      </c>
      <c r="B2612" s="19" t="str">
        <f>IFERROR(__xludf.DUMMYFUNCTION("IF(OR(regexmatch(A2612,"".*@simon.es$""),REGEXMATCH(A2612,"".*@simon.pt$""),REGEXMATCH(A2612,"".*@simonelectrica.com$""),REGEXMATCH(A2612,"".*@hiberus.com$""),REGEXMATCH(A2612,"".*@simonbrico.es$""),regexmatch(A2612,"".*@simonelectric.com$"")),""null"",A2"&amp;"612)"),"1977@gmail.com")</f>
        <v>1977@gmail.com</v>
      </c>
      <c r="C2612" s="5">
        <f>IF(B2612="null","null",Descargas!B2612)</f>
        <v>43944</v>
      </c>
      <c r="D2612" s="6" t="str">
        <f>Descargas!E2612</f>
        <v>https://resources.simonelectric.com/simon-material-formativo-vehiculo-electrico</v>
      </c>
      <c r="E2612" s="20" t="str">
        <f t="shared" si="1"/>
        <v>1977@gmail.com</v>
      </c>
      <c r="F2612" s="21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</row>
    <row r="2613" ht="15.75" customHeight="1">
      <c r="A2613" s="18" t="str">
        <f>Descargas!A2613</f>
        <v>2059@gmail.com</v>
      </c>
      <c r="B2613" s="19" t="str">
        <f>IFERROR(__xludf.DUMMYFUNCTION("IF(OR(regexmatch(A2613,"".*@simon.es$""),REGEXMATCH(A2613,"".*@simon.pt$""),REGEXMATCH(A2613,"".*@simonelectrica.com$""),REGEXMATCH(A2613,"".*@hiberus.com$""),REGEXMATCH(A2613,"".*@simonbrico.es$""),regexmatch(A2613,"".*@simonelectric.com$"")),""null"",A2"&amp;"613)"),"2059@gmail.com")</f>
        <v>2059@gmail.com</v>
      </c>
      <c r="C2613" s="5">
        <f>IF(B2613="null","null",Descargas!B2613)</f>
        <v>43944</v>
      </c>
      <c r="D2613" s="6" t="str">
        <f>Descargas!E2613</f>
        <v>https://resources.simonelectric.com/simon-ebook-vehiculo-electrico-ppc</v>
      </c>
      <c r="E2613" s="20" t="str">
        <f t="shared" si="1"/>
        <v>2059@gmail.com</v>
      </c>
      <c r="F2613" s="21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</row>
    <row r="2614" ht="15.75" customHeight="1">
      <c r="A2614" s="18" t="str">
        <f>Descargas!A2614</f>
        <v>1977@gmail.com</v>
      </c>
      <c r="B2614" s="19" t="str">
        <f>IFERROR(__xludf.DUMMYFUNCTION("IF(OR(regexmatch(A2614,"".*@simon.es$""),REGEXMATCH(A2614,"".*@simon.pt$""),REGEXMATCH(A2614,"".*@simonelectrica.com$""),REGEXMATCH(A2614,"".*@hiberus.com$""),REGEXMATCH(A2614,"".*@simonbrico.es$""),regexmatch(A2614,"".*@simonelectric.com$"")),""null"",A2"&amp;"614)"),"1977@gmail.com")</f>
        <v>1977@gmail.com</v>
      </c>
      <c r="C2614" s="5">
        <f>IF(B2614="null","null",Descargas!B2614)</f>
        <v>43944</v>
      </c>
      <c r="D2614" s="6" t="str">
        <f>Descargas!E2614</f>
        <v>https://resources.simonelectric.com/simon-ebook-vehiculo-electrico</v>
      </c>
      <c r="E2614" s="20" t="str">
        <f t="shared" si="1"/>
        <v>1977@gmail.com</v>
      </c>
      <c r="F2614" s="21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</row>
    <row r="2615" ht="15.75" customHeight="1">
      <c r="A2615" s="18" t="str">
        <f>Descargas!A2615</f>
        <v>2060@gmail.com</v>
      </c>
      <c r="B2615" s="19" t="str">
        <f>IFERROR(__xludf.DUMMYFUNCTION("IF(OR(regexmatch(A2615,"".*@simon.es$""),REGEXMATCH(A2615,"".*@simon.pt$""),REGEXMATCH(A2615,"".*@simonelectrica.com$""),REGEXMATCH(A2615,"".*@hiberus.com$""),REGEXMATCH(A2615,"".*@simonbrico.es$""),regexmatch(A2615,"".*@simonelectric.com$"")),""null"",A2"&amp;"615)"),"2060@gmail.com")</f>
        <v>2060@gmail.com</v>
      </c>
      <c r="C2615" s="5">
        <f>IF(B2615="null","null",Descargas!B2615)</f>
        <v>43944</v>
      </c>
      <c r="D2615" s="6" t="str">
        <f>Descargas!E2615</f>
        <v>https://resources.simonelectric.com/simon-ebook-vehiculo-electrico-ppc</v>
      </c>
      <c r="E2615" s="20" t="str">
        <f t="shared" si="1"/>
        <v>2060@gmail.com</v>
      </c>
      <c r="F2615" s="21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</row>
    <row r="2616" ht="15.75" customHeight="1">
      <c r="A2616" s="18" t="str">
        <f>Descargas!A2616</f>
        <v>2061@hotmail.es</v>
      </c>
      <c r="B2616" s="19" t="str">
        <f>IFERROR(__xludf.DUMMYFUNCTION("IF(OR(regexmatch(A2616,"".*@simon.es$""),REGEXMATCH(A2616,"".*@simon.pt$""),REGEXMATCH(A2616,"".*@simonelectrica.com$""),REGEXMATCH(A2616,"".*@hiberus.com$""),REGEXMATCH(A2616,"".*@simonbrico.es$""),regexmatch(A2616,"".*@simonelectric.com$"")),""null"",A2"&amp;"616)"),"2061@hotmail.es")</f>
        <v>2061@hotmail.es</v>
      </c>
      <c r="C2616" s="5">
        <f>IF(B2616="null","null",Descargas!B2616)</f>
        <v>43943</v>
      </c>
      <c r="D2616" s="6" t="str">
        <f>Descargas!E2616</f>
        <v>https://resources.simonelectric.com/simon-ebook-vehiculo-electrico</v>
      </c>
      <c r="E2616" s="20" t="str">
        <f t="shared" si="1"/>
        <v>2061@hotmail.es</v>
      </c>
      <c r="F2616" s="21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</row>
    <row r="2617" ht="15.75" customHeight="1">
      <c r="A2617" s="18" t="str">
        <f>Descargas!A2617</f>
        <v>2062@euskalnet.net</v>
      </c>
      <c r="B2617" s="19" t="str">
        <f>IFERROR(__xludf.DUMMYFUNCTION("IF(OR(regexmatch(A2617,"".*@simon.es$""),REGEXMATCH(A2617,"".*@simon.pt$""),REGEXMATCH(A2617,"".*@simonelectrica.com$""),REGEXMATCH(A2617,"".*@hiberus.com$""),REGEXMATCH(A2617,"".*@simonbrico.es$""),regexmatch(A2617,"".*@simonelectric.com$"")),""null"",A2"&amp;"617)"),"2062@euskalnet.net")</f>
        <v>2062@euskalnet.net</v>
      </c>
      <c r="C2617" s="5">
        <f>IF(B2617="null","null",Descargas!B2617)</f>
        <v>43943</v>
      </c>
      <c r="D2617" s="6" t="str">
        <f>Descargas!E2617</f>
        <v>https://resources.simonelectric.com/simon-ebook-vehiculo-electrico</v>
      </c>
      <c r="E2617" s="20" t="str">
        <f t="shared" si="1"/>
        <v>2062@euskalnet.net</v>
      </c>
      <c r="F2617" s="21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</row>
    <row r="2618" ht="15.75" customHeight="1">
      <c r="A2618" s="18" t="str">
        <f>Descargas!A2618</f>
        <v>2063@gmail.com</v>
      </c>
      <c r="B2618" s="19" t="str">
        <f>IFERROR(__xludf.DUMMYFUNCTION("IF(OR(regexmatch(A2618,"".*@simon.es$""),REGEXMATCH(A2618,"".*@simon.pt$""),REGEXMATCH(A2618,"".*@simonelectrica.com$""),REGEXMATCH(A2618,"".*@hiberus.com$""),REGEXMATCH(A2618,"".*@simonbrico.es$""),regexmatch(A2618,"".*@simonelectric.com$"")),""null"",A2"&amp;"618)"),"2063@gmail.com")</f>
        <v>2063@gmail.com</v>
      </c>
      <c r="C2618" s="5">
        <f>IF(B2618="null","null",Descargas!B2618)</f>
        <v>43943</v>
      </c>
      <c r="D2618" s="6" t="str">
        <f>Descargas!E2618</f>
        <v>https://resources.simonelectric.com/simon-ebook-vehiculo-electrico-ppc</v>
      </c>
      <c r="E2618" s="20" t="str">
        <f t="shared" si="1"/>
        <v>2063@gmail.com</v>
      </c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</row>
    <row r="2619" ht="15.75" customHeight="1">
      <c r="A2619" s="18" t="str">
        <f>Descargas!A2619</f>
        <v>1409@simon.es</v>
      </c>
      <c r="B2619" s="19" t="str">
        <f>IFERROR(__xludf.DUMMYFUNCTION("IF(OR(regexmatch(A2619,"".*@simon.es$""),REGEXMATCH(A2619,"".*@simon.pt$""),REGEXMATCH(A2619,"".*@simonelectrica.com$""),REGEXMATCH(A2619,"".*@hiberus.com$""),REGEXMATCH(A2619,"".*@simonbrico.es$""),regexmatch(A2619,"".*@simonelectric.com$"")),""null"",A2"&amp;"619)"),"null")</f>
        <v>null</v>
      </c>
      <c r="C2619" s="5" t="str">
        <f>IF(B2619="null","null",Descargas!B2619)</f>
        <v>null</v>
      </c>
      <c r="D2619" s="6" t="str">
        <f>Descargas!E2619</f>
        <v>https://resources.simonelectric.com/simon-catalogo-vehiculo-electrico</v>
      </c>
      <c r="E2619" s="24" t="str">
        <f t="shared" si="1"/>
        <v/>
      </c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</row>
    <row r="2620" ht="15.75" customHeight="1">
      <c r="A2620" s="18" t="str">
        <f>Descargas!A2620</f>
        <v>1409@simon.es</v>
      </c>
      <c r="B2620" s="19" t="str">
        <f>IFERROR(__xludf.DUMMYFUNCTION("IF(OR(regexmatch(A2620,"".*@simon.es$""),REGEXMATCH(A2620,"".*@simon.pt$""),REGEXMATCH(A2620,"".*@simonelectrica.com$""),REGEXMATCH(A2620,"".*@hiberus.com$""),REGEXMATCH(A2620,"".*@simonbrico.es$""),regexmatch(A2620,"".*@simonelectric.com$"")),""null"",A2"&amp;"620)"),"null")</f>
        <v>null</v>
      </c>
      <c r="C2620" s="5" t="str">
        <f>IF(B2620="null","null",Descargas!B2620)</f>
        <v>null</v>
      </c>
      <c r="D2620" s="6" t="str">
        <f>Descargas!E2620</f>
        <v>https://resources.simonelectric.com/simon-ebook-vehiculo-electrico</v>
      </c>
      <c r="E2620" s="24" t="str">
        <f t="shared" si="1"/>
        <v/>
      </c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</row>
    <row r="2621" ht="15.75" customHeight="1">
      <c r="A2621" s="18" t="str">
        <f>Descargas!A2621</f>
        <v>1535@hotmail.com</v>
      </c>
      <c r="B2621" s="19" t="str">
        <f>IFERROR(__xludf.DUMMYFUNCTION("IF(OR(regexmatch(A2621,"".*@simon.es$""),REGEXMATCH(A2621,"".*@simon.pt$""),REGEXMATCH(A2621,"".*@simonelectrica.com$""),REGEXMATCH(A2621,"".*@hiberus.com$""),REGEXMATCH(A2621,"".*@simonbrico.es$""),regexmatch(A2621,"".*@simonelectric.com$"")),""null"",A2"&amp;"621)"),"1535@hotmail.com")</f>
        <v>1535@hotmail.com</v>
      </c>
      <c r="C2621" s="5">
        <f>IF(B2621="null","null",Descargas!B2621)</f>
        <v>43943</v>
      </c>
      <c r="D2621" s="6" t="str">
        <f>Descargas!E2621</f>
        <v>https://resources.simonelectric.com/simon-ebook-vehiculo-electrico-ppc</v>
      </c>
      <c r="E2621" s="20" t="str">
        <f t="shared" si="1"/>
        <v>1535@hotmail.com</v>
      </c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</row>
    <row r="2622" ht="15.75" customHeight="1">
      <c r="A2622" s="18" t="str">
        <f>Descargas!A2622</f>
        <v>1977@gmail.com</v>
      </c>
      <c r="B2622" s="19" t="str">
        <f>IFERROR(__xludf.DUMMYFUNCTION("IF(OR(regexmatch(A2622,"".*@simon.es$""),REGEXMATCH(A2622,"".*@simon.pt$""),REGEXMATCH(A2622,"".*@simonelectrica.com$""),REGEXMATCH(A2622,"".*@hiberus.com$""),REGEXMATCH(A2622,"".*@simonbrico.es$""),regexmatch(A2622,"".*@simonelectric.com$"")),""null"",A2"&amp;"622)"),"1977@gmail.com")</f>
        <v>1977@gmail.com</v>
      </c>
      <c r="C2622" s="5">
        <f>IF(B2622="null","null",Descargas!B2622)</f>
        <v>43943</v>
      </c>
      <c r="D2622" s="6" t="str">
        <f>Descargas!E2622</f>
        <v>https://resources.simonelectric.com/simon-ebook-vehiculo-electrico</v>
      </c>
      <c r="E2622" s="20" t="str">
        <f t="shared" si="1"/>
        <v>1977@gmail.com</v>
      </c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</row>
    <row r="2623" ht="15.75" customHeight="1">
      <c r="A2623" s="18" t="str">
        <f>Descargas!A2623</f>
        <v>1218@gmail.com</v>
      </c>
      <c r="B2623" s="19" t="str">
        <f>IFERROR(__xludf.DUMMYFUNCTION("IF(OR(regexmatch(A2623,"".*@simon.es$""),REGEXMATCH(A2623,"".*@simon.pt$""),REGEXMATCH(A2623,"".*@simonelectrica.com$""),REGEXMATCH(A2623,"".*@hiberus.com$""),REGEXMATCH(A2623,"".*@simonbrico.es$""),regexmatch(A2623,"".*@simonelectric.com$"")),""null"",A2"&amp;"623)"),"1218@gmail.com")</f>
        <v>1218@gmail.com</v>
      </c>
      <c r="C2623" s="5">
        <f>IF(B2623="null","null",Descargas!B2623)</f>
        <v>43943</v>
      </c>
      <c r="D2623" s="6" t="str">
        <f>Descargas!E2623</f>
        <v>https://resources.simonelectric.com/simon-catalogo-vehiculo-electrico</v>
      </c>
      <c r="E2623" s="20" t="str">
        <f t="shared" si="1"/>
        <v>1218@gmail.com</v>
      </c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</row>
    <row r="2624" ht="15.75" customHeight="1">
      <c r="A2624" s="18" t="str">
        <f>Descargas!A2624</f>
        <v>1218@gmail.com</v>
      </c>
      <c r="B2624" s="19" t="str">
        <f>IFERROR(__xludf.DUMMYFUNCTION("IF(OR(regexmatch(A2624,"".*@simon.es$""),REGEXMATCH(A2624,"".*@simon.pt$""),REGEXMATCH(A2624,"".*@simonelectrica.com$""),REGEXMATCH(A2624,"".*@hiberus.com$""),REGEXMATCH(A2624,"".*@simonbrico.es$""),regexmatch(A2624,"".*@simonelectric.com$"")),""null"",A2"&amp;"624)"),"1218@gmail.com")</f>
        <v>1218@gmail.com</v>
      </c>
      <c r="C2624" s="5">
        <f>IF(B2624="null","null",Descargas!B2624)</f>
        <v>43943</v>
      </c>
      <c r="D2624" s="6" t="str">
        <f>Descargas!E2624</f>
        <v>https://resources.simonelectric.com/simon-ebook-vehiculo-electrico</v>
      </c>
      <c r="E2624" s="20" t="str">
        <f t="shared" si="1"/>
        <v>1218@gmail.com</v>
      </c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</row>
    <row r="2625" ht="15.75" customHeight="1">
      <c r="A2625" s="18" t="str">
        <f>Descargas!A2625</f>
        <v>2064@hotmail.com</v>
      </c>
      <c r="B2625" s="19" t="str">
        <f>IFERROR(__xludf.DUMMYFUNCTION("IF(OR(regexmatch(A2625,"".*@simon.es$""),REGEXMATCH(A2625,"".*@simon.pt$""),REGEXMATCH(A2625,"".*@simonelectrica.com$""),REGEXMATCH(A2625,"".*@hiberus.com$""),REGEXMATCH(A2625,"".*@simonbrico.es$""),regexmatch(A2625,"".*@simonelectric.com$"")),""null"",A2"&amp;"625)"),"2064@hotmail.com")</f>
        <v>2064@hotmail.com</v>
      </c>
      <c r="C2625" s="5">
        <f>IF(B2625="null","null",Descargas!B2625)</f>
        <v>43943</v>
      </c>
      <c r="D2625" s="6" t="str">
        <f>Descargas!E2625</f>
        <v>https://resources.simonelectric.com/simon-ebook-vehiculo-electrico-ppc</v>
      </c>
      <c r="E2625" s="20" t="str">
        <f t="shared" si="1"/>
        <v>2064@hotmail.com</v>
      </c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</row>
    <row r="2626" ht="15.75" customHeight="1">
      <c r="A2626" s="18" t="str">
        <f>Descargas!A2626</f>
        <v>2065@gmail.com</v>
      </c>
      <c r="B2626" s="19" t="str">
        <f>IFERROR(__xludf.DUMMYFUNCTION("IF(OR(regexmatch(A2626,"".*@simon.es$""),REGEXMATCH(A2626,"".*@simon.pt$""),REGEXMATCH(A2626,"".*@simonelectrica.com$""),REGEXMATCH(A2626,"".*@hiberus.com$""),REGEXMATCH(A2626,"".*@simonbrico.es$""),regexmatch(A2626,"".*@simonelectric.com$"")),""null"",A2"&amp;"626)"),"2065@gmail.com")</f>
        <v>2065@gmail.com</v>
      </c>
      <c r="C2626" s="5">
        <f>IF(B2626="null","null",Descargas!B2626)</f>
        <v>43942</v>
      </c>
      <c r="D2626" s="6" t="str">
        <f>Descargas!E2626</f>
        <v>https://resources.simonelectric.com/simon-ebook-vehiculo-electrico-ppc</v>
      </c>
      <c r="E2626" s="20" t="str">
        <f t="shared" si="1"/>
        <v>2065@gmail.com</v>
      </c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</row>
    <row r="2627" ht="15.75" customHeight="1">
      <c r="A2627" s="18" t="str">
        <f>Descargas!A2627</f>
        <v>2066@gmail.com</v>
      </c>
      <c r="B2627" s="19" t="str">
        <f>IFERROR(__xludf.DUMMYFUNCTION("IF(OR(regexmatch(A2627,"".*@simon.es$""),REGEXMATCH(A2627,"".*@simon.pt$""),REGEXMATCH(A2627,"".*@simonelectrica.com$""),REGEXMATCH(A2627,"".*@hiberus.com$""),REGEXMATCH(A2627,"".*@simonbrico.es$""),regexmatch(A2627,"".*@simonelectric.com$"")),""null"",A2"&amp;"627)"),"2066@gmail.com")</f>
        <v>2066@gmail.com</v>
      </c>
      <c r="C2627" s="5">
        <f>IF(B2627="null","null",Descargas!B2627)</f>
        <v>43942</v>
      </c>
      <c r="D2627" s="6" t="str">
        <f>Descargas!E2627</f>
        <v>https://resources.simonelectric.com/simon-ebook-vehiculo-electrico</v>
      </c>
      <c r="E2627" s="20" t="str">
        <f t="shared" si="1"/>
        <v>2066@gmail.com</v>
      </c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</row>
    <row r="2628" ht="15.75" customHeight="1">
      <c r="A2628" s="18" t="str">
        <f>Descargas!A2628</f>
        <v>1982@hotmail.com</v>
      </c>
      <c r="B2628" s="19" t="str">
        <f>IFERROR(__xludf.DUMMYFUNCTION("IF(OR(regexmatch(A2628,"".*@simon.es$""),REGEXMATCH(A2628,"".*@simon.pt$""),REGEXMATCH(A2628,"".*@simonelectrica.com$""),REGEXMATCH(A2628,"".*@hiberus.com$""),REGEXMATCH(A2628,"".*@simonbrico.es$""),regexmatch(A2628,"".*@simonelectric.com$"")),""null"",A2"&amp;"628)"),"1982@hotmail.com")</f>
        <v>1982@hotmail.com</v>
      </c>
      <c r="C2628" s="5">
        <f>IF(B2628="null","null",Descargas!B2628)</f>
        <v>43942</v>
      </c>
      <c r="D2628" s="6" t="str">
        <f>Descargas!E2628</f>
        <v>https://resources.simonelectric.com/simon-material-formativo-vehiculo-electrico</v>
      </c>
      <c r="E2628" s="20" t="str">
        <f t="shared" si="1"/>
        <v>1982@hotmail.com</v>
      </c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</row>
    <row r="2629" ht="15.75" customHeight="1">
      <c r="A2629" s="18" t="str">
        <f>Descargas!A2629</f>
        <v>1982@hotmail.com</v>
      </c>
      <c r="B2629" s="19" t="str">
        <f>IFERROR(__xludf.DUMMYFUNCTION("IF(OR(regexmatch(A2629,"".*@simon.es$""),REGEXMATCH(A2629,"".*@simon.pt$""),REGEXMATCH(A2629,"".*@simonelectrica.com$""),REGEXMATCH(A2629,"".*@hiberus.com$""),REGEXMATCH(A2629,"".*@simonbrico.es$""),regexmatch(A2629,"".*@simonelectric.com$"")),""null"",A2"&amp;"629)"),"1982@hotmail.com")</f>
        <v>1982@hotmail.com</v>
      </c>
      <c r="C2629" s="5">
        <f>IF(B2629="null","null",Descargas!B2629)</f>
        <v>43942</v>
      </c>
      <c r="D2629" s="6" t="str">
        <f>Descargas!E2629</f>
        <v>https://resources.simonelectric.com/simon-material-formativo-vehiculo-electrico</v>
      </c>
      <c r="E2629" s="20" t="str">
        <f t="shared" si="1"/>
        <v>1982@hotmail.com</v>
      </c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</row>
    <row r="2630" ht="15.75" customHeight="1">
      <c r="A2630" s="18" t="str">
        <f>Descargas!A2630</f>
        <v>2067@gmail.com</v>
      </c>
      <c r="B2630" s="19" t="str">
        <f>IFERROR(__xludf.DUMMYFUNCTION("IF(OR(regexmatch(A2630,"".*@simon.es$""),REGEXMATCH(A2630,"".*@simon.pt$""),REGEXMATCH(A2630,"".*@simonelectrica.com$""),REGEXMATCH(A2630,"".*@hiberus.com$""),REGEXMATCH(A2630,"".*@simonbrico.es$""),regexmatch(A2630,"".*@simonelectric.com$"")),""null"",A2"&amp;"630)"),"2067@gmail.com")</f>
        <v>2067@gmail.com</v>
      </c>
      <c r="C2630" s="5">
        <f>IF(B2630="null","null",Descargas!B2630)</f>
        <v>43942</v>
      </c>
      <c r="D2630" s="6" t="str">
        <f>Descargas!E2630</f>
        <v>https://resources.simonelectric.com/simon-ebook-vehiculo-electrico-ppc</v>
      </c>
      <c r="E2630" s="20" t="str">
        <f t="shared" si="1"/>
        <v>2067@gmail.com</v>
      </c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</row>
    <row r="2631" ht="15.75" customHeight="1">
      <c r="A2631" s="18" t="str">
        <f>Descargas!A2631</f>
        <v>2068@gencat.cat</v>
      </c>
      <c r="B2631" s="19" t="str">
        <f>IFERROR(__xludf.DUMMYFUNCTION("IF(OR(regexmatch(A2631,"".*@simon.es$""),REGEXMATCH(A2631,"".*@simon.pt$""),REGEXMATCH(A2631,"".*@simonelectrica.com$""),REGEXMATCH(A2631,"".*@hiberus.com$""),REGEXMATCH(A2631,"".*@simonbrico.es$""),regexmatch(A2631,"".*@simonelectric.com$"")),""null"",A2"&amp;"631)"),"2068@gencat.cat")</f>
        <v>2068@gencat.cat</v>
      </c>
      <c r="C2631" s="5">
        <f>IF(B2631="null","null",Descargas!B2631)</f>
        <v>43942</v>
      </c>
      <c r="D2631" s="6" t="str">
        <f>Descargas!E2631</f>
        <v>https://resources.simonelectric.com/simon-ebook-vehiculo-electrico</v>
      </c>
      <c r="E2631" s="20" t="str">
        <f t="shared" si="1"/>
        <v>2068@gencat.cat</v>
      </c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</row>
    <row r="2632" ht="15.75" customHeight="1">
      <c r="A2632" s="18" t="str">
        <f>Descargas!A2632</f>
        <v>2069@gmail.com</v>
      </c>
      <c r="B2632" s="19" t="str">
        <f>IFERROR(__xludf.DUMMYFUNCTION("IF(OR(regexmatch(A2632,"".*@simon.es$""),REGEXMATCH(A2632,"".*@simon.pt$""),REGEXMATCH(A2632,"".*@simonelectrica.com$""),REGEXMATCH(A2632,"".*@hiberus.com$""),REGEXMATCH(A2632,"".*@simonbrico.es$""),regexmatch(A2632,"".*@simonelectric.com$"")),""null"",A2"&amp;"632)"),"2069@gmail.com")</f>
        <v>2069@gmail.com</v>
      </c>
      <c r="C2632" s="5">
        <f>IF(B2632="null","null",Descargas!B2632)</f>
        <v>43942</v>
      </c>
      <c r="D2632" s="6" t="str">
        <f>Descargas!E2632</f>
        <v>https://resources.simonelectric.com/simon-ebook-vehiculo-electrico-ppc</v>
      </c>
      <c r="E2632" s="20" t="str">
        <f t="shared" si="1"/>
        <v>2069@gmail.com</v>
      </c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</row>
    <row r="2633" ht="15.75" customHeight="1">
      <c r="A2633" s="18" t="str">
        <f>Descargas!A2633</f>
        <v>2070@hotmail.com</v>
      </c>
      <c r="B2633" s="19" t="str">
        <f>IFERROR(__xludf.DUMMYFUNCTION("IF(OR(regexmatch(A2633,"".*@simon.es$""),REGEXMATCH(A2633,"".*@simon.pt$""),REGEXMATCH(A2633,"".*@simonelectrica.com$""),REGEXMATCH(A2633,"".*@hiberus.com$""),REGEXMATCH(A2633,"".*@simonbrico.es$""),regexmatch(A2633,"".*@simonelectric.com$"")),""null"",A2"&amp;"633)"),"2070@hotmail.com")</f>
        <v>2070@hotmail.com</v>
      </c>
      <c r="C2633" s="5">
        <f>IF(B2633="null","null",Descargas!B2633)</f>
        <v>43942</v>
      </c>
      <c r="D2633" s="6" t="str">
        <f>Descargas!E2633</f>
        <v>https://resources.simonelectric.com/simon-ebook-vehiculo-electrico-ppc</v>
      </c>
      <c r="E2633" s="20" t="str">
        <f t="shared" si="1"/>
        <v>2070@hotmail.com</v>
      </c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</row>
    <row r="2634" ht="15.75" customHeight="1">
      <c r="A2634" s="18" t="str">
        <f>Descargas!A2634</f>
        <v>1233@hotmail.com</v>
      </c>
      <c r="B2634" s="19" t="str">
        <f>IFERROR(__xludf.DUMMYFUNCTION("IF(OR(regexmatch(A2634,"".*@simon.es$""),REGEXMATCH(A2634,"".*@simon.pt$""),REGEXMATCH(A2634,"".*@simonelectrica.com$""),REGEXMATCH(A2634,"".*@hiberus.com$""),REGEXMATCH(A2634,"".*@simonbrico.es$""),regexmatch(A2634,"".*@simonelectric.com$"")),""null"",A2"&amp;"634)"),"1233@hotmail.com")</f>
        <v>1233@hotmail.com</v>
      </c>
      <c r="C2634" s="5">
        <f>IF(B2634="null","null",Descargas!B2634)</f>
        <v>43942</v>
      </c>
      <c r="D2634" s="6" t="str">
        <f>Descargas!E2634</f>
        <v>https://resources.simonelectric.com/simon-ebook-vehiculo-electrico</v>
      </c>
      <c r="E2634" s="20" t="str">
        <f t="shared" si="1"/>
        <v>1233@hotmail.com</v>
      </c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</row>
    <row r="2635" ht="15.75" customHeight="1">
      <c r="A2635" s="18" t="str">
        <f>Descargas!A2635</f>
        <v>1233@hotmail.com</v>
      </c>
      <c r="B2635" s="19" t="str">
        <f>IFERROR(__xludf.DUMMYFUNCTION("IF(OR(regexmatch(A2635,"".*@simon.es$""),REGEXMATCH(A2635,"".*@simon.pt$""),REGEXMATCH(A2635,"".*@simonelectrica.com$""),REGEXMATCH(A2635,"".*@hiberus.com$""),REGEXMATCH(A2635,"".*@simonbrico.es$""),regexmatch(A2635,"".*@simonelectric.com$"")),""null"",A2"&amp;"635)"),"1233@hotmail.com")</f>
        <v>1233@hotmail.com</v>
      </c>
      <c r="C2635" s="5">
        <f>IF(B2635="null","null",Descargas!B2635)</f>
        <v>43942</v>
      </c>
      <c r="D2635" s="6" t="str">
        <f>Descargas!E2635</f>
        <v>https://resources.simonelectric.com/simon-ebook-vehiculo-electrico</v>
      </c>
      <c r="E2635" s="20" t="str">
        <f t="shared" si="1"/>
        <v>1233@hotmail.com</v>
      </c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</row>
    <row r="2636" ht="15.75" customHeight="1">
      <c r="A2636" s="18" t="str">
        <f>Descargas!A2636</f>
        <v>2071@gmail.com</v>
      </c>
      <c r="B2636" s="19" t="str">
        <f>IFERROR(__xludf.DUMMYFUNCTION("IF(OR(regexmatch(A2636,"".*@simon.es$""),REGEXMATCH(A2636,"".*@simon.pt$""),REGEXMATCH(A2636,"".*@simonelectrica.com$""),REGEXMATCH(A2636,"".*@hiberus.com$""),REGEXMATCH(A2636,"".*@simonbrico.es$""),regexmatch(A2636,"".*@simonelectric.com$"")),""null"",A2"&amp;"636)"),"2071@gmail.com")</f>
        <v>2071@gmail.com</v>
      </c>
      <c r="C2636" s="5">
        <f>IF(B2636="null","null",Descargas!B2636)</f>
        <v>43942</v>
      </c>
      <c r="D2636" s="6" t="str">
        <f>Descargas!E2636</f>
        <v>https://resources.simonelectric.com/simon-ebook-vehiculo-electrico</v>
      </c>
      <c r="E2636" s="20" t="str">
        <f t="shared" si="1"/>
        <v>2071@gmail.com</v>
      </c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</row>
    <row r="2637" ht="15.75" customHeight="1">
      <c r="A2637" s="18" t="str">
        <f>Descargas!A2637</f>
        <v>1397@olibayas.net</v>
      </c>
      <c r="B2637" s="19" t="str">
        <f>IFERROR(__xludf.DUMMYFUNCTION("IF(OR(regexmatch(A2637,"".*@simon.es$""),REGEXMATCH(A2637,"".*@simon.pt$""),REGEXMATCH(A2637,"".*@simonelectrica.com$""),REGEXMATCH(A2637,"".*@hiberus.com$""),REGEXMATCH(A2637,"".*@simonbrico.es$""),regexmatch(A2637,"".*@simonelectric.com$"")),""null"",A2"&amp;"637)"),"1397@olibayas.net")</f>
        <v>1397@olibayas.net</v>
      </c>
      <c r="C2637" s="5">
        <f>IF(B2637="null","null",Descargas!B2637)</f>
        <v>43942</v>
      </c>
      <c r="D2637" s="6" t="str">
        <f>Descargas!E2637</f>
        <v>https://resources.simonelectric.com/simon-ebook-vehiculo-electrico</v>
      </c>
      <c r="E2637" s="20" t="str">
        <f t="shared" si="1"/>
        <v>1397@olibayas.net</v>
      </c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</row>
    <row r="2638" ht="15.75" customHeight="1">
      <c r="A2638" s="18" t="str">
        <f>Descargas!A2638</f>
        <v>476@hotmail.com</v>
      </c>
      <c r="B2638" s="19" t="str">
        <f>IFERROR(__xludf.DUMMYFUNCTION("IF(OR(regexmatch(A2638,"".*@simon.es$""),REGEXMATCH(A2638,"".*@simon.pt$""),REGEXMATCH(A2638,"".*@simonelectrica.com$""),REGEXMATCH(A2638,"".*@hiberus.com$""),REGEXMATCH(A2638,"".*@simonbrico.es$""),regexmatch(A2638,"".*@simonelectric.com$"")),""null"",A2"&amp;"638)"),"476@hotmail.com")</f>
        <v>476@hotmail.com</v>
      </c>
      <c r="C2638" s="5">
        <f>IF(B2638="null","null",Descargas!B2638)</f>
        <v>43942</v>
      </c>
      <c r="D2638" s="6" t="str">
        <f>Descargas!E2638</f>
        <v>https://resources.simonelectric.com/simon-ebook-vehiculo-electrico-ppc</v>
      </c>
      <c r="E2638" s="20" t="str">
        <f t="shared" si="1"/>
        <v>476@hotmail.com</v>
      </c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</row>
    <row r="2639" ht="15.75" customHeight="1">
      <c r="A2639" s="18" t="str">
        <f>Descargas!A2639</f>
        <v>2072@gmail.com</v>
      </c>
      <c r="B2639" s="19" t="str">
        <f>IFERROR(__xludf.DUMMYFUNCTION("IF(OR(regexmatch(A2639,"".*@simon.es$""),REGEXMATCH(A2639,"".*@simon.pt$""),REGEXMATCH(A2639,"".*@simonelectrica.com$""),REGEXMATCH(A2639,"".*@hiberus.com$""),REGEXMATCH(A2639,"".*@simonbrico.es$""),regexmatch(A2639,"".*@simonelectric.com$"")),""null"",A2"&amp;"639)"),"2072@gmail.com")</f>
        <v>2072@gmail.com</v>
      </c>
      <c r="C2639" s="5">
        <f>IF(B2639="null","null",Descargas!B2639)</f>
        <v>43942</v>
      </c>
      <c r="D2639" s="6" t="str">
        <f>Descargas!E2639</f>
        <v>https://resources.simonelectric.com/simon-ebook-vehiculo-electrico-0</v>
      </c>
      <c r="E2639" s="20" t="str">
        <f t="shared" si="1"/>
        <v>2072@gmail.com</v>
      </c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</row>
    <row r="2640" ht="15.75" customHeight="1">
      <c r="A2640" s="18" t="str">
        <f>Descargas!A2640</f>
        <v>2073@gmail.com</v>
      </c>
      <c r="B2640" s="19" t="str">
        <f>IFERROR(__xludf.DUMMYFUNCTION("IF(OR(regexmatch(A2640,"".*@simon.es$""),REGEXMATCH(A2640,"".*@simon.pt$""),REGEXMATCH(A2640,"".*@simonelectrica.com$""),REGEXMATCH(A2640,"".*@hiberus.com$""),REGEXMATCH(A2640,"".*@simonbrico.es$""),regexmatch(A2640,"".*@simonelectric.com$"")),""null"",A2"&amp;"640)"),"2073@gmail.com")</f>
        <v>2073@gmail.com</v>
      </c>
      <c r="C2640" s="5">
        <f>IF(B2640="null","null",Descargas!B2640)</f>
        <v>43941</v>
      </c>
      <c r="D2640" s="6" t="str">
        <f>Descargas!E2640</f>
        <v>https://resources.simonelectric.com/simon-ebook-vehiculo-electrico</v>
      </c>
      <c r="E2640" s="20" t="str">
        <f t="shared" si="1"/>
        <v>2073@gmail.com</v>
      </c>
      <c r="F2640" s="21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</row>
    <row r="2641" ht="15.75" customHeight="1">
      <c r="A2641" s="18" t="str">
        <f>Descargas!A2641</f>
        <v>2074@hotmail.com</v>
      </c>
      <c r="B2641" s="19" t="str">
        <f>IFERROR(__xludf.DUMMYFUNCTION("IF(OR(regexmatch(A2641,"".*@simon.es$""),REGEXMATCH(A2641,"".*@simon.pt$""),REGEXMATCH(A2641,"".*@simonelectrica.com$""),REGEXMATCH(A2641,"".*@hiberus.com$""),REGEXMATCH(A2641,"".*@simonbrico.es$""),regexmatch(A2641,"".*@simonelectric.com$"")),""null"",A2"&amp;"641)"),"2074@hotmail.com")</f>
        <v>2074@hotmail.com</v>
      </c>
      <c r="C2641" s="5">
        <f>IF(B2641="null","null",Descargas!B2641)</f>
        <v>43941</v>
      </c>
      <c r="D2641" s="6" t="str">
        <f>Descargas!E2641</f>
        <v>https://resources.simonelectric.com/simon-ebook-vehiculo-electrico</v>
      </c>
      <c r="E2641" s="20" t="str">
        <f t="shared" si="1"/>
        <v>2074@hotmail.com</v>
      </c>
      <c r="F2641" s="21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</row>
    <row r="2642" ht="15.75" customHeight="1">
      <c r="A2642" s="18" t="str">
        <f>Descargas!A2642</f>
        <v>2075@gmail.com</v>
      </c>
      <c r="B2642" s="19" t="str">
        <f>IFERROR(__xludf.DUMMYFUNCTION("IF(OR(regexmatch(A2642,"".*@simon.es$""),REGEXMATCH(A2642,"".*@simon.pt$""),REGEXMATCH(A2642,"".*@simonelectrica.com$""),REGEXMATCH(A2642,"".*@hiberus.com$""),REGEXMATCH(A2642,"".*@simonbrico.es$""),regexmatch(A2642,"".*@simonelectric.com$"")),""null"",A2"&amp;"642)"),"2075@gmail.com")</f>
        <v>2075@gmail.com</v>
      </c>
      <c r="C2642" s="5">
        <f>IF(B2642="null","null",Descargas!B2642)</f>
        <v>43941</v>
      </c>
      <c r="D2642" s="6" t="str">
        <f>Descargas!E2642</f>
        <v>https://resources.simonelectric.com/simon-ebook-vehiculo-electrico-ppc</v>
      </c>
      <c r="E2642" s="20" t="str">
        <f t="shared" si="1"/>
        <v>2075@gmail.com</v>
      </c>
      <c r="F2642" s="21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</row>
    <row r="2643" ht="15.75" customHeight="1">
      <c r="A2643" s="18" t="str">
        <f>Descargas!A2643</f>
        <v>2076@gmail.com</v>
      </c>
      <c r="B2643" s="19" t="str">
        <f>IFERROR(__xludf.DUMMYFUNCTION("IF(OR(regexmatch(A2643,"".*@simon.es$""),REGEXMATCH(A2643,"".*@simon.pt$""),REGEXMATCH(A2643,"".*@simonelectrica.com$""),REGEXMATCH(A2643,"".*@hiberus.com$""),REGEXMATCH(A2643,"".*@simonbrico.es$""),regexmatch(A2643,"".*@simonelectric.com$"")),""null"",A2"&amp;"643)"),"2076@gmail.com")</f>
        <v>2076@gmail.com</v>
      </c>
      <c r="C2643" s="5">
        <f>IF(B2643="null","null",Descargas!B2643)</f>
        <v>43941</v>
      </c>
      <c r="D2643" s="6" t="str">
        <f>Descargas!E2643</f>
        <v>https://resources.simonelectric.com/simon-ebook-vehiculo-electrico</v>
      </c>
      <c r="E2643" s="20" t="str">
        <f t="shared" si="1"/>
        <v>2076@gmail.com</v>
      </c>
      <c r="F2643" s="21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</row>
    <row r="2644" ht="15.75" customHeight="1">
      <c r="A2644" s="18" t="str">
        <f>Descargas!A2644</f>
        <v>1441@gmail.com</v>
      </c>
      <c r="B2644" s="19" t="str">
        <f>IFERROR(__xludf.DUMMYFUNCTION("IF(OR(regexmatch(A2644,"".*@simon.es$""),REGEXMATCH(A2644,"".*@simon.pt$""),REGEXMATCH(A2644,"".*@simonelectrica.com$""),REGEXMATCH(A2644,"".*@hiberus.com$""),REGEXMATCH(A2644,"".*@simonbrico.es$""),regexmatch(A2644,"".*@simonelectric.com$"")),""null"",A2"&amp;"644)"),"1441@gmail.com")</f>
        <v>1441@gmail.com</v>
      </c>
      <c r="C2644" s="5">
        <f>IF(B2644="null","null",Descargas!B2644)</f>
        <v>43941</v>
      </c>
      <c r="D2644" s="6" t="str">
        <f>Descargas!E2644</f>
        <v>https://resources.simonelectric.com/simon-ebook-vehiculo-electrico</v>
      </c>
      <c r="E2644" s="20" t="str">
        <f t="shared" si="1"/>
        <v>1441@gmail.com</v>
      </c>
      <c r="F2644" s="21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</row>
    <row r="2645" ht="15.75" customHeight="1">
      <c r="A2645" s="18" t="str">
        <f>Descargas!A2645</f>
        <v>1441@gmail.com</v>
      </c>
      <c r="B2645" s="19" t="str">
        <f>IFERROR(__xludf.DUMMYFUNCTION("IF(OR(regexmatch(A2645,"".*@simon.es$""),REGEXMATCH(A2645,"".*@simon.pt$""),REGEXMATCH(A2645,"".*@simonelectrica.com$""),REGEXMATCH(A2645,"".*@hiberus.com$""),REGEXMATCH(A2645,"".*@simonbrico.es$""),regexmatch(A2645,"".*@simonelectric.com$"")),""null"",A2"&amp;"645)"),"1441@gmail.com")</f>
        <v>1441@gmail.com</v>
      </c>
      <c r="C2645" s="5">
        <f>IF(B2645="null","null",Descargas!B2645)</f>
        <v>43941</v>
      </c>
      <c r="D2645" s="6" t="str">
        <f>Descargas!E2645</f>
        <v>https://resources.simonelectric.com/simon-catalogo-vehiculo-electrico</v>
      </c>
      <c r="E2645" s="20" t="str">
        <f t="shared" si="1"/>
        <v>1441@gmail.com</v>
      </c>
      <c r="F2645" s="21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</row>
    <row r="2646" ht="15.75" customHeight="1">
      <c r="A2646" s="18" t="str">
        <f>Descargas!A2646</f>
        <v>1286@instalacionespiru.es</v>
      </c>
      <c r="B2646" s="19" t="str">
        <f>IFERROR(__xludf.DUMMYFUNCTION("IF(OR(regexmatch(A2646,"".*@simon.es$""),REGEXMATCH(A2646,"".*@simon.pt$""),REGEXMATCH(A2646,"".*@simonelectrica.com$""),REGEXMATCH(A2646,"".*@hiberus.com$""),REGEXMATCH(A2646,"".*@simonbrico.es$""),regexmatch(A2646,"".*@simonelectric.com$"")),""null"",A2"&amp;"646)"),"1286@instalacionespiru.es")</f>
        <v>1286@instalacionespiru.es</v>
      </c>
      <c r="C2646" s="5">
        <f>IF(B2646="null","null",Descargas!B2646)</f>
        <v>43941</v>
      </c>
      <c r="D2646" s="6" t="str">
        <f>Descargas!E2646</f>
        <v>https://resources.simonelectric.com/simon-ebook-vehiculo-electrico</v>
      </c>
      <c r="E2646" s="20" t="str">
        <f t="shared" si="1"/>
        <v>1286@instalacionespiru.es</v>
      </c>
      <c r="F2646" s="21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</row>
    <row r="2647" ht="15.75" customHeight="1">
      <c r="A2647" s="18" t="str">
        <f>Descargas!A2647</f>
        <v>2077@gmail.com</v>
      </c>
      <c r="B2647" s="19" t="str">
        <f>IFERROR(__xludf.DUMMYFUNCTION("IF(OR(regexmatch(A2647,"".*@simon.es$""),REGEXMATCH(A2647,"".*@simon.pt$""),REGEXMATCH(A2647,"".*@simonelectrica.com$""),REGEXMATCH(A2647,"".*@hiberus.com$""),REGEXMATCH(A2647,"".*@simonbrico.es$""),regexmatch(A2647,"".*@simonelectric.com$"")),""null"",A2"&amp;"647)"),"2077@gmail.com")</f>
        <v>2077@gmail.com</v>
      </c>
      <c r="C2647" s="5">
        <f>IF(B2647="null","null",Descargas!B2647)</f>
        <v>43941</v>
      </c>
      <c r="D2647" s="6" t="str">
        <f>Descargas!E2647</f>
        <v>https://resources.simonelectric.com/simon-ebook-vehiculo-electrico</v>
      </c>
      <c r="E2647" s="20" t="str">
        <f t="shared" si="1"/>
        <v>2077@gmail.com</v>
      </c>
      <c r="F2647" s="21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</row>
    <row r="2648" ht="15.75" customHeight="1">
      <c r="A2648" s="18" t="str">
        <f>Descargas!A2648</f>
        <v>2078@gmail.com</v>
      </c>
      <c r="B2648" s="19" t="str">
        <f>IFERROR(__xludf.DUMMYFUNCTION("IF(OR(regexmatch(A2648,"".*@simon.es$""),REGEXMATCH(A2648,"".*@simon.pt$""),REGEXMATCH(A2648,"".*@simonelectrica.com$""),REGEXMATCH(A2648,"".*@hiberus.com$""),REGEXMATCH(A2648,"".*@simonbrico.es$""),regexmatch(A2648,"".*@simonelectric.com$"")),""null"",A2"&amp;"648)"),"2078@gmail.com")</f>
        <v>2078@gmail.com</v>
      </c>
      <c r="C2648" s="5">
        <f>IF(B2648="null","null",Descargas!B2648)</f>
        <v>43941</v>
      </c>
      <c r="D2648" s="6" t="str">
        <f>Descargas!E2648</f>
        <v>https://resources.simonelectric.com/simon-ebook-vehiculo-electrico</v>
      </c>
      <c r="E2648" s="20" t="str">
        <f t="shared" si="1"/>
        <v>2078@gmail.com</v>
      </c>
      <c r="F2648" s="21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</row>
    <row r="2649" ht="15.75" customHeight="1">
      <c r="A2649" s="18" t="str">
        <f>Descargas!A2649</f>
        <v>2079@gmail.com</v>
      </c>
      <c r="B2649" s="19" t="str">
        <f>IFERROR(__xludf.DUMMYFUNCTION("IF(OR(regexmatch(A2649,"".*@simon.es$""),REGEXMATCH(A2649,"".*@simon.pt$""),REGEXMATCH(A2649,"".*@simonelectrica.com$""),REGEXMATCH(A2649,"".*@hiberus.com$""),REGEXMATCH(A2649,"".*@simonbrico.es$""),regexmatch(A2649,"".*@simonelectric.com$"")),""null"",A2"&amp;"649)"),"2079@gmail.com")</f>
        <v>2079@gmail.com</v>
      </c>
      <c r="C2649" s="5">
        <f>IF(B2649="null","null",Descargas!B2649)</f>
        <v>43941</v>
      </c>
      <c r="D2649" s="6" t="str">
        <f>Descargas!E2649</f>
        <v>https://resources.simonelectric.com/simon-ebook-vehiculo-electrico-ppc</v>
      </c>
      <c r="E2649" s="20" t="str">
        <f t="shared" si="1"/>
        <v>2079@gmail.com</v>
      </c>
      <c r="F2649" s="21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</row>
    <row r="2650" ht="15.75" customHeight="1">
      <c r="A2650" s="18" t="str">
        <f>Descargas!A2650</f>
        <v>2080@grupoelectrostocks.com</v>
      </c>
      <c r="B2650" s="19" t="str">
        <f>IFERROR(__xludf.DUMMYFUNCTION("IF(OR(regexmatch(A2650,"".*@simon.es$""),REGEXMATCH(A2650,"".*@simon.pt$""),REGEXMATCH(A2650,"".*@simonelectrica.com$""),REGEXMATCH(A2650,"".*@hiberus.com$""),REGEXMATCH(A2650,"".*@simonbrico.es$""),regexmatch(A2650,"".*@simonelectric.com$"")),""null"",A2"&amp;"650)"),"2080@grupoelectrostocks.com")</f>
        <v>2080@grupoelectrostocks.com</v>
      </c>
      <c r="C2650" s="5">
        <f>IF(B2650="null","null",Descargas!B2650)</f>
        <v>43941</v>
      </c>
      <c r="D2650" s="6" t="str">
        <f>Descargas!E2650</f>
        <v>https://resources.simonelectric.com/simon-catalogo-vehiculo-electrico</v>
      </c>
      <c r="E2650" s="20" t="str">
        <f t="shared" si="1"/>
        <v>2080@grupoelectrostocks.com</v>
      </c>
      <c r="F2650" s="21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</row>
    <row r="2651" ht="15.75" customHeight="1">
      <c r="A2651" s="18" t="str">
        <f>Descargas!A2651</f>
        <v>1864@gmail.com</v>
      </c>
      <c r="B2651" s="19" t="str">
        <f>IFERROR(__xludf.DUMMYFUNCTION("IF(OR(regexmatch(A2651,"".*@simon.es$""),REGEXMATCH(A2651,"".*@simon.pt$""),REGEXMATCH(A2651,"".*@simonelectrica.com$""),REGEXMATCH(A2651,"".*@hiberus.com$""),REGEXMATCH(A2651,"".*@simonbrico.es$""),regexmatch(A2651,"".*@simonelectric.com$"")),""null"",A2"&amp;"651)"),"1864@gmail.com")</f>
        <v>1864@gmail.com</v>
      </c>
      <c r="C2651" s="5">
        <f>IF(B2651="null","null",Descargas!B2651)</f>
        <v>43941</v>
      </c>
      <c r="D2651" s="6" t="str">
        <f>Descargas!E2651</f>
        <v>https://resources.simonelectric.com/simon-ebook-vehiculo-electrico</v>
      </c>
      <c r="E2651" s="20" t="str">
        <f t="shared" si="1"/>
        <v>1864@gmail.com</v>
      </c>
      <c r="F2651" s="21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</row>
    <row r="2652" ht="15.75" customHeight="1">
      <c r="A2652" s="18" t="str">
        <f>Descargas!A2652</f>
        <v>278@urbaser.com</v>
      </c>
      <c r="B2652" s="19" t="str">
        <f>IFERROR(__xludf.DUMMYFUNCTION("IF(OR(regexmatch(A2652,"".*@simon.es$""),REGEXMATCH(A2652,"".*@simon.pt$""),REGEXMATCH(A2652,"".*@simonelectrica.com$""),REGEXMATCH(A2652,"".*@hiberus.com$""),REGEXMATCH(A2652,"".*@simonbrico.es$""),regexmatch(A2652,"".*@simonelectric.com$"")),""null"",A2"&amp;"652)"),"278@urbaser.com")</f>
        <v>278@urbaser.com</v>
      </c>
      <c r="C2652" s="5">
        <f>IF(B2652="null","null",Descargas!B2652)</f>
        <v>43941</v>
      </c>
      <c r="D2652" s="6" t="str">
        <f>Descargas!E2652</f>
        <v>https://resources.simonelectric.com/simon-ebook-vehiculo-electrico</v>
      </c>
      <c r="E2652" s="20" t="str">
        <f t="shared" si="1"/>
        <v>278@urbaser.com</v>
      </c>
      <c r="F2652" s="21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</row>
    <row r="2653" ht="15.75" customHeight="1">
      <c r="A2653" s="18" t="str">
        <f>Descargas!A2653</f>
        <v>1111@hotmail.com</v>
      </c>
      <c r="B2653" s="19" t="str">
        <f>IFERROR(__xludf.DUMMYFUNCTION("IF(OR(regexmatch(A2653,"".*@simon.es$""),REGEXMATCH(A2653,"".*@simon.pt$""),REGEXMATCH(A2653,"".*@simonelectrica.com$""),REGEXMATCH(A2653,"".*@hiberus.com$""),REGEXMATCH(A2653,"".*@simonbrico.es$""),regexmatch(A2653,"".*@simonelectric.com$"")),""null"",A2"&amp;"653)"),"1111@hotmail.com")</f>
        <v>1111@hotmail.com</v>
      </c>
      <c r="C2653" s="5">
        <f>IF(B2653="null","null",Descargas!B2653)</f>
        <v>43941</v>
      </c>
      <c r="D2653" s="6" t="str">
        <f>Descargas!E2653</f>
        <v>https://resources.simonelectric.com/simon-ebook-vehiculo-electrico</v>
      </c>
      <c r="E2653" s="20" t="str">
        <f t="shared" si="1"/>
        <v>1111@hotmail.com</v>
      </c>
      <c r="F2653" s="21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</row>
    <row r="2654" ht="15.75" customHeight="1">
      <c r="A2654" s="18" t="str">
        <f>Descargas!A2654</f>
        <v>2081@cymel.com</v>
      </c>
      <c r="B2654" s="19" t="str">
        <f>IFERROR(__xludf.DUMMYFUNCTION("IF(OR(regexmatch(A2654,"".*@simon.es$""),REGEXMATCH(A2654,"".*@simon.pt$""),REGEXMATCH(A2654,"".*@simonelectrica.com$""),REGEXMATCH(A2654,"".*@hiberus.com$""),REGEXMATCH(A2654,"".*@simonbrico.es$""),regexmatch(A2654,"".*@simonelectric.com$"")),""null"",A2"&amp;"654)"),"2081@cymel.com")</f>
        <v>2081@cymel.com</v>
      </c>
      <c r="C2654" s="5">
        <f>IF(B2654="null","null",Descargas!B2654)</f>
        <v>43941</v>
      </c>
      <c r="D2654" s="6" t="str">
        <f>Descargas!E2654</f>
        <v>https://resources.simonelectric.com/simon-ebook-vehiculo-electrico</v>
      </c>
      <c r="E2654" s="20" t="str">
        <f t="shared" si="1"/>
        <v>2081@cymel.com</v>
      </c>
      <c r="F2654" s="21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</row>
    <row r="2655" ht="15.75" customHeight="1">
      <c r="A2655" s="18" t="str">
        <f>Descargas!A2655</f>
        <v>1705@sanehogar.com</v>
      </c>
      <c r="B2655" s="19" t="str">
        <f>IFERROR(__xludf.DUMMYFUNCTION("IF(OR(regexmatch(A2655,"".*@simon.es$""),REGEXMATCH(A2655,"".*@simon.pt$""),REGEXMATCH(A2655,"".*@simonelectrica.com$""),REGEXMATCH(A2655,"".*@hiberus.com$""),REGEXMATCH(A2655,"".*@simonbrico.es$""),regexmatch(A2655,"".*@simonelectric.com$"")),""null"",A2"&amp;"655)"),"1705@sanehogar.com")</f>
        <v>1705@sanehogar.com</v>
      </c>
      <c r="C2655" s="5">
        <f>IF(B2655="null","null",Descargas!B2655)</f>
        <v>43941</v>
      </c>
      <c r="D2655" s="6" t="str">
        <f>Descargas!E2655</f>
        <v>https://resources.simonelectric.com/simon-ebook-vehiculo-electrico</v>
      </c>
      <c r="E2655" s="20" t="str">
        <f t="shared" si="1"/>
        <v>1705@sanehogar.com</v>
      </c>
      <c r="F2655" s="21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</row>
    <row r="2656" ht="15.75" customHeight="1">
      <c r="A2656" s="18" t="str">
        <f>Descargas!A2656</f>
        <v>2082@hotmail.com</v>
      </c>
      <c r="B2656" s="19" t="str">
        <f>IFERROR(__xludf.DUMMYFUNCTION("IF(OR(regexmatch(A2656,"".*@simon.es$""),REGEXMATCH(A2656,"".*@simon.pt$""),REGEXMATCH(A2656,"".*@simonelectrica.com$""),REGEXMATCH(A2656,"".*@hiberus.com$""),REGEXMATCH(A2656,"".*@simonbrico.es$""),regexmatch(A2656,"".*@simonelectric.com$"")),""null"",A2"&amp;"656)"),"2082@hotmail.com")</f>
        <v>2082@hotmail.com</v>
      </c>
      <c r="C2656" s="5">
        <f>IF(B2656="null","null",Descargas!B2656)</f>
        <v>43941</v>
      </c>
      <c r="D2656" s="6" t="str">
        <f>Descargas!E2656</f>
        <v>https://resources.simonelectric.com/simon-ebook-vehiculo-electrico-0</v>
      </c>
      <c r="E2656" s="20" t="str">
        <f t="shared" si="1"/>
        <v>2082@hotmail.com</v>
      </c>
      <c r="F2656" s="21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</row>
    <row r="2657" ht="15.75" customHeight="1">
      <c r="A2657" s="18" t="str">
        <f>Descargas!A2657</f>
        <v>2083@gmail.com</v>
      </c>
      <c r="B2657" s="19" t="str">
        <f>IFERROR(__xludf.DUMMYFUNCTION("IF(OR(regexmatch(A2657,"".*@simon.es$""),REGEXMATCH(A2657,"".*@simon.pt$""),REGEXMATCH(A2657,"".*@simonelectrica.com$""),REGEXMATCH(A2657,"".*@hiberus.com$""),REGEXMATCH(A2657,"".*@simonbrico.es$""),regexmatch(A2657,"".*@simonelectric.com$"")),""null"",A2"&amp;"657)"),"2083@gmail.com")</f>
        <v>2083@gmail.com</v>
      </c>
      <c r="C2657" s="5">
        <f>IF(B2657="null","null",Descargas!B2657)</f>
        <v>43940</v>
      </c>
      <c r="D2657" s="6" t="str">
        <f>Descargas!E2657</f>
        <v>https://resources.simonelectric.com/simon-ebook-vehiculo-electrico-ppc</v>
      </c>
      <c r="E2657" s="20" t="str">
        <f t="shared" si="1"/>
        <v>2083@gmail.com</v>
      </c>
      <c r="F2657" s="21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</row>
    <row r="2658" ht="15.75" customHeight="1">
      <c r="A2658" s="18" t="str">
        <f>Descargas!A2658</f>
        <v>2084@hcparquitectos.com</v>
      </c>
      <c r="B2658" s="19" t="str">
        <f>IFERROR(__xludf.DUMMYFUNCTION("IF(OR(regexmatch(A2658,"".*@simon.es$""),REGEXMATCH(A2658,"".*@simon.pt$""),REGEXMATCH(A2658,"".*@simonelectrica.com$""),REGEXMATCH(A2658,"".*@hiberus.com$""),REGEXMATCH(A2658,"".*@simonbrico.es$""),regexmatch(A2658,"".*@simonelectric.com$"")),""null"",A2"&amp;"658)"),"2084@hcparquitectos.com")</f>
        <v>2084@hcparquitectos.com</v>
      </c>
      <c r="C2658" s="5">
        <f>IF(B2658="null","null",Descargas!B2658)</f>
        <v>43940</v>
      </c>
      <c r="D2658" s="6" t="str">
        <f>Descargas!E2658</f>
        <v>https://resources.simonelectric.com/simon-ebook-vehiculo-electrico</v>
      </c>
      <c r="E2658" s="20" t="str">
        <f t="shared" si="1"/>
        <v>2084@hcparquitectos.com</v>
      </c>
      <c r="F2658" s="21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</row>
    <row r="2659" ht="15.75" customHeight="1">
      <c r="A2659" s="18" t="str">
        <f>Descargas!A2659</f>
        <v>2085@gmail.com</v>
      </c>
      <c r="B2659" s="19" t="str">
        <f>IFERROR(__xludf.DUMMYFUNCTION("IF(OR(regexmatch(A2659,"".*@simon.es$""),REGEXMATCH(A2659,"".*@simon.pt$""),REGEXMATCH(A2659,"".*@simonelectrica.com$""),REGEXMATCH(A2659,"".*@hiberus.com$""),REGEXMATCH(A2659,"".*@simonbrico.es$""),regexmatch(A2659,"".*@simonelectric.com$"")),""null"",A2"&amp;"659)"),"2085@gmail.com")</f>
        <v>2085@gmail.com</v>
      </c>
      <c r="C2659" s="5">
        <f>IF(B2659="null","null",Descargas!B2659)</f>
        <v>43940</v>
      </c>
      <c r="D2659" s="6" t="str">
        <f>Descargas!E2659</f>
        <v>https://resources.simonelectric.com/simon-catalogo-vehiculo-electrico</v>
      </c>
      <c r="E2659" s="20" t="str">
        <f t="shared" si="1"/>
        <v>2085@gmail.com</v>
      </c>
      <c r="F2659" s="21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</row>
    <row r="2660" ht="15.75" customHeight="1">
      <c r="A2660" s="18" t="str">
        <f>Descargas!A2660</f>
        <v>2086@farelle.com</v>
      </c>
      <c r="B2660" s="19" t="str">
        <f>IFERROR(__xludf.DUMMYFUNCTION("IF(OR(regexmatch(A2660,"".*@simon.es$""),REGEXMATCH(A2660,"".*@simon.pt$""),REGEXMATCH(A2660,"".*@simonelectrica.com$""),REGEXMATCH(A2660,"".*@hiberus.com$""),REGEXMATCH(A2660,"".*@simonbrico.es$""),regexmatch(A2660,"".*@simonelectric.com$"")),""null"",A2"&amp;"660)"),"2086@farelle.com")</f>
        <v>2086@farelle.com</v>
      </c>
      <c r="C2660" s="5">
        <f>IF(B2660="null","null",Descargas!B2660)</f>
        <v>43940</v>
      </c>
      <c r="D2660" s="6" t="str">
        <f>Descargas!E2660</f>
        <v>https://resources.simonelectric.com/simon-ebook-vehiculo-electrico</v>
      </c>
      <c r="E2660" s="20" t="str">
        <f t="shared" si="1"/>
        <v>2086@farelle.com</v>
      </c>
      <c r="F2660" s="21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</row>
    <row r="2661" ht="15.75" customHeight="1">
      <c r="A2661" s="18" t="str">
        <f>Descargas!A2661</f>
        <v>2087@hotmail.com</v>
      </c>
      <c r="B2661" s="19" t="str">
        <f>IFERROR(__xludf.DUMMYFUNCTION("IF(OR(regexmatch(A2661,"".*@simon.es$""),REGEXMATCH(A2661,"".*@simon.pt$""),REGEXMATCH(A2661,"".*@simonelectrica.com$""),REGEXMATCH(A2661,"".*@hiberus.com$""),REGEXMATCH(A2661,"".*@simonbrico.es$""),regexmatch(A2661,"".*@simonelectric.com$"")),""null"",A2"&amp;"661)"),"2087@hotmail.com")</f>
        <v>2087@hotmail.com</v>
      </c>
      <c r="C2661" s="5">
        <f>IF(B2661="null","null",Descargas!B2661)</f>
        <v>43940</v>
      </c>
      <c r="D2661" s="6" t="str">
        <f>Descargas!E2661</f>
        <v>https://resources.simonelectric.com/simon-ebook-vehiculo-electrico-ppc</v>
      </c>
      <c r="E2661" s="20" t="str">
        <f t="shared" si="1"/>
        <v>2087@hotmail.com</v>
      </c>
      <c r="F2661" s="21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</row>
    <row r="2662" ht="15.75" customHeight="1">
      <c r="A2662" s="18" t="str">
        <f>Descargas!A2662</f>
        <v>2088@gmail.com</v>
      </c>
      <c r="B2662" s="19" t="str">
        <f>IFERROR(__xludf.DUMMYFUNCTION("IF(OR(regexmatch(A2662,"".*@simon.es$""),REGEXMATCH(A2662,"".*@simon.pt$""),REGEXMATCH(A2662,"".*@simonelectrica.com$""),REGEXMATCH(A2662,"".*@hiberus.com$""),REGEXMATCH(A2662,"".*@simonbrico.es$""),regexmatch(A2662,"".*@simonelectric.com$"")),""null"",A2"&amp;"662)"),"2088@gmail.com")</f>
        <v>2088@gmail.com</v>
      </c>
      <c r="C2662" s="5">
        <f>IF(B2662="null","null",Descargas!B2662)</f>
        <v>43940</v>
      </c>
      <c r="D2662" s="6" t="str">
        <f>Descargas!E2662</f>
        <v>https://resources.simonelectric.com/simon-ebook-vehiculo-electrico-ppc</v>
      </c>
      <c r="E2662" s="20" t="str">
        <f t="shared" si="1"/>
        <v>2088@gmail.com</v>
      </c>
      <c r="F2662" s="21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</row>
    <row r="2663" ht="15.75" customHeight="1">
      <c r="A2663" s="18" t="str">
        <f>Descargas!A2663</f>
        <v>2089@hotmail.com</v>
      </c>
      <c r="B2663" s="19" t="str">
        <f>IFERROR(__xludf.DUMMYFUNCTION("IF(OR(regexmatch(A2663,"".*@simon.es$""),REGEXMATCH(A2663,"".*@simon.pt$""),REGEXMATCH(A2663,"".*@simonelectrica.com$""),REGEXMATCH(A2663,"".*@hiberus.com$""),REGEXMATCH(A2663,"".*@simonbrico.es$""),regexmatch(A2663,"".*@simonelectric.com$"")),""null"",A2"&amp;"663)"),"2089@hotmail.com")</f>
        <v>2089@hotmail.com</v>
      </c>
      <c r="C2663" s="5">
        <f>IF(B2663="null","null",Descargas!B2663)</f>
        <v>43940</v>
      </c>
      <c r="D2663" s="6" t="str">
        <f>Descargas!E2663</f>
        <v>https://resources.simonelectric.com/simon-ebook-vehiculo-electrico-ppc</v>
      </c>
      <c r="E2663" s="20" t="str">
        <f t="shared" si="1"/>
        <v>2089@hotmail.com</v>
      </c>
      <c r="F2663" s="21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</row>
    <row r="2664" ht="15.75" customHeight="1">
      <c r="A2664" s="18" t="str">
        <f>Descargas!A2664</f>
        <v>2090@estabanell.cat</v>
      </c>
      <c r="B2664" s="19" t="str">
        <f>IFERROR(__xludf.DUMMYFUNCTION("IF(OR(regexmatch(A2664,"".*@simon.es$""),REGEXMATCH(A2664,"".*@simon.pt$""),REGEXMATCH(A2664,"".*@simonelectrica.com$""),REGEXMATCH(A2664,"".*@hiberus.com$""),REGEXMATCH(A2664,"".*@simonbrico.es$""),regexmatch(A2664,"".*@simonelectric.com$"")),""null"",A2"&amp;"664)"),"2090@estabanell.cat")</f>
        <v>2090@estabanell.cat</v>
      </c>
      <c r="C2664" s="5">
        <f>IF(B2664="null","null",Descargas!B2664)</f>
        <v>43939</v>
      </c>
      <c r="D2664" s="6" t="str">
        <f>Descargas!E2664</f>
        <v>https://resources.simonelectric.com/simon-ebook-vehiculo-electrico-ppc</v>
      </c>
      <c r="E2664" s="20" t="str">
        <f t="shared" si="1"/>
        <v>2090@estabanell.cat</v>
      </c>
      <c r="F2664" s="21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</row>
    <row r="2665" ht="15.75" customHeight="1">
      <c r="A2665" s="18" t="str">
        <f>Descargas!A2665</f>
        <v>947@clysema.com</v>
      </c>
      <c r="B2665" s="19" t="str">
        <f>IFERROR(__xludf.DUMMYFUNCTION("IF(OR(regexmatch(A2665,"".*@simon.es$""),REGEXMATCH(A2665,"".*@simon.pt$""),REGEXMATCH(A2665,"".*@simonelectrica.com$""),REGEXMATCH(A2665,"".*@hiberus.com$""),REGEXMATCH(A2665,"".*@simonbrico.es$""),regexmatch(A2665,"".*@simonelectric.com$"")),""null"",A2"&amp;"665)"),"947@clysema.com")</f>
        <v>947@clysema.com</v>
      </c>
      <c r="C2665" s="5">
        <f>IF(B2665="null","null",Descargas!B2665)</f>
        <v>43939</v>
      </c>
      <c r="D2665" s="6" t="str">
        <f>Descargas!E2665</f>
        <v>https://resources.simonelectric.com/simon-ebook-vehiculo-electrico</v>
      </c>
      <c r="E2665" s="20" t="str">
        <f t="shared" si="1"/>
        <v>947@clysema.com</v>
      </c>
      <c r="F2665" s="21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</row>
    <row r="2666" ht="15.75" customHeight="1">
      <c r="A2666" s="18" t="str">
        <f>Descargas!A2666</f>
        <v>2091@gmail.com</v>
      </c>
      <c r="B2666" s="19" t="str">
        <f>IFERROR(__xludf.DUMMYFUNCTION("IF(OR(regexmatch(A2666,"".*@simon.es$""),REGEXMATCH(A2666,"".*@simon.pt$""),REGEXMATCH(A2666,"".*@simonelectrica.com$""),REGEXMATCH(A2666,"".*@hiberus.com$""),REGEXMATCH(A2666,"".*@simonbrico.es$""),regexmatch(A2666,"".*@simonelectric.com$"")),""null"",A2"&amp;"666)"),"2091@gmail.com")</f>
        <v>2091@gmail.com</v>
      </c>
      <c r="C2666" s="5">
        <f>IF(B2666="null","null",Descargas!B2666)</f>
        <v>43939</v>
      </c>
      <c r="D2666" s="6" t="str">
        <f>Descargas!E2666</f>
        <v>https://resources.simonelectric.com/simon-ebook-vehiculo-electrico-ppc</v>
      </c>
      <c r="E2666" s="20" t="str">
        <f t="shared" si="1"/>
        <v>2091@gmail.com</v>
      </c>
      <c r="F2666" s="21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</row>
    <row r="2667" ht="15.75" customHeight="1">
      <c r="A2667" s="18" t="str">
        <f>Descargas!A2667</f>
        <v>2092@outlook.com</v>
      </c>
      <c r="B2667" s="19" t="str">
        <f>IFERROR(__xludf.DUMMYFUNCTION("IF(OR(regexmatch(A2667,"".*@simon.es$""),REGEXMATCH(A2667,"".*@simon.pt$""),REGEXMATCH(A2667,"".*@simonelectrica.com$""),REGEXMATCH(A2667,"".*@hiberus.com$""),REGEXMATCH(A2667,"".*@simonbrico.es$""),regexmatch(A2667,"".*@simonelectric.com$"")),""null"",A2"&amp;"667)"),"2092@outlook.com")</f>
        <v>2092@outlook.com</v>
      </c>
      <c r="C2667" s="5">
        <f>IF(B2667="null","null",Descargas!B2667)</f>
        <v>43939</v>
      </c>
      <c r="D2667" s="6" t="str">
        <f>Descargas!E2667</f>
        <v>https://resources.simonelectric.com/simon-ebook-vehiculo-electrico-ppc</v>
      </c>
      <c r="E2667" s="20" t="str">
        <f t="shared" si="1"/>
        <v>2092@outlook.com</v>
      </c>
      <c r="F2667" s="21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</row>
    <row r="2668" ht="15.75" customHeight="1">
      <c r="A2668" s="18" t="str">
        <f>Descargas!A2668</f>
        <v>2093@gmail.com</v>
      </c>
      <c r="B2668" s="19" t="str">
        <f>IFERROR(__xludf.DUMMYFUNCTION("IF(OR(regexmatch(A2668,"".*@simon.es$""),REGEXMATCH(A2668,"".*@simon.pt$""),REGEXMATCH(A2668,"".*@simonelectrica.com$""),REGEXMATCH(A2668,"".*@hiberus.com$""),REGEXMATCH(A2668,"".*@simonbrico.es$""),regexmatch(A2668,"".*@simonelectric.com$"")),""null"",A2"&amp;"668)"),"2093@gmail.com")</f>
        <v>2093@gmail.com</v>
      </c>
      <c r="C2668" s="5">
        <f>IF(B2668="null","null",Descargas!B2668)</f>
        <v>43939</v>
      </c>
      <c r="D2668" s="6" t="str">
        <f>Descargas!E2668</f>
        <v>https://resources.simonelectric.com/simon-ebook-vehiculo-electrico-ppc</v>
      </c>
      <c r="E2668" s="20" t="str">
        <f t="shared" si="1"/>
        <v>2093@gmail.com</v>
      </c>
      <c r="F2668" s="21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</row>
    <row r="2669" ht="15.75" customHeight="1">
      <c r="A2669" s="18" t="str">
        <f>Descargas!A2669</f>
        <v>2094@gmail.com</v>
      </c>
      <c r="B2669" s="19" t="str">
        <f>IFERROR(__xludf.DUMMYFUNCTION("IF(OR(regexmatch(A2669,"".*@simon.es$""),REGEXMATCH(A2669,"".*@simon.pt$""),REGEXMATCH(A2669,"".*@simonelectrica.com$""),REGEXMATCH(A2669,"".*@hiberus.com$""),REGEXMATCH(A2669,"".*@simonbrico.es$""),regexmatch(A2669,"".*@simonelectric.com$"")),""null"",A2"&amp;"669)"),"2094@gmail.com")</f>
        <v>2094@gmail.com</v>
      </c>
      <c r="C2669" s="5">
        <f>IF(B2669="null","null",Descargas!B2669)</f>
        <v>43938</v>
      </c>
      <c r="D2669" s="6" t="str">
        <f>Descargas!E2669</f>
        <v>https://resources.simonelectric.com/simon-ebook-vehiculo-electrico</v>
      </c>
      <c r="E2669" s="20" t="str">
        <f t="shared" si="1"/>
        <v>2094@gmail.com</v>
      </c>
      <c r="F2669" s="21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</row>
    <row r="2670" ht="15.75" customHeight="1">
      <c r="A2670" s="18" t="str">
        <f>Descargas!A2670</f>
        <v>2095@hotmail.com</v>
      </c>
      <c r="B2670" s="19" t="str">
        <f>IFERROR(__xludf.DUMMYFUNCTION("IF(OR(regexmatch(A2670,"".*@simon.es$""),REGEXMATCH(A2670,"".*@simon.pt$""),REGEXMATCH(A2670,"".*@simonelectrica.com$""),REGEXMATCH(A2670,"".*@hiberus.com$""),REGEXMATCH(A2670,"".*@simonbrico.es$""),regexmatch(A2670,"".*@simonelectric.com$"")),""null"",A2"&amp;"670)"),"2095@hotmail.com")</f>
        <v>2095@hotmail.com</v>
      </c>
      <c r="C2670" s="5">
        <f>IF(B2670="null","null",Descargas!B2670)</f>
        <v>43938</v>
      </c>
      <c r="D2670" s="6" t="str">
        <f>Descargas!E2670</f>
        <v>https://resources.simonelectric.com/simon-ebook-vehiculo-electrico-ppc</v>
      </c>
      <c r="E2670" s="20" t="str">
        <f t="shared" si="1"/>
        <v>2095@hotmail.com</v>
      </c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</row>
    <row r="2671" ht="15.75" customHeight="1">
      <c r="A2671" s="18" t="str">
        <f>Descargas!A2671</f>
        <v>2096@formasymateriales.com</v>
      </c>
      <c r="B2671" s="19" t="str">
        <f>IFERROR(__xludf.DUMMYFUNCTION("IF(OR(regexmatch(A2671,"".*@simon.es$""),REGEXMATCH(A2671,"".*@simon.pt$""),REGEXMATCH(A2671,"".*@simonelectrica.com$""),REGEXMATCH(A2671,"".*@hiberus.com$""),REGEXMATCH(A2671,"".*@simonbrico.es$""),regexmatch(A2671,"".*@simonelectric.com$"")),""null"",A2"&amp;"671)"),"2096@formasymateriales.com")</f>
        <v>2096@formasymateriales.com</v>
      </c>
      <c r="C2671" s="5">
        <f>IF(B2671="null","null",Descargas!B2671)</f>
        <v>43938</v>
      </c>
      <c r="D2671" s="6" t="str">
        <f>Descargas!E2671</f>
        <v>https://resources.simonelectric.com/simon-ebook-vehiculo-electrico-ppc</v>
      </c>
      <c r="E2671" s="20" t="str">
        <f t="shared" si="1"/>
        <v>2096@formasymateriales.com</v>
      </c>
      <c r="F2671" s="21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</row>
    <row r="2672" ht="15.75" customHeight="1">
      <c r="A2672" s="18" t="str">
        <f>Descargas!A2672</f>
        <v>2097@hotmail.com</v>
      </c>
      <c r="B2672" s="19" t="str">
        <f>IFERROR(__xludf.DUMMYFUNCTION("IF(OR(regexmatch(A2672,"".*@simon.es$""),REGEXMATCH(A2672,"".*@simon.pt$""),REGEXMATCH(A2672,"".*@simonelectrica.com$""),REGEXMATCH(A2672,"".*@hiberus.com$""),REGEXMATCH(A2672,"".*@simonbrico.es$""),regexmatch(A2672,"".*@simonelectric.com$"")),""null"",A2"&amp;"672)"),"2097@hotmail.com")</f>
        <v>2097@hotmail.com</v>
      </c>
      <c r="C2672" s="5">
        <f>IF(B2672="null","null",Descargas!B2672)</f>
        <v>43938</v>
      </c>
      <c r="D2672" s="6" t="str">
        <f>Descargas!E2672</f>
        <v>https://resources.simonelectric.com/simon-ebook-vehiculo-electrico</v>
      </c>
      <c r="E2672" s="20" t="str">
        <f t="shared" si="1"/>
        <v>2097@hotmail.com</v>
      </c>
      <c r="F2672" s="21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</row>
    <row r="2673" ht="15.75" customHeight="1">
      <c r="A2673" s="18" t="str">
        <f>Descargas!A2673</f>
        <v>2098@simon.es</v>
      </c>
      <c r="B2673" s="19" t="str">
        <f>IFERROR(__xludf.DUMMYFUNCTION("IF(OR(regexmatch(A2673,"".*@simon.es$""),REGEXMATCH(A2673,"".*@simon.pt$""),REGEXMATCH(A2673,"".*@simonelectrica.com$""),REGEXMATCH(A2673,"".*@hiberus.com$""),REGEXMATCH(A2673,"".*@simonbrico.es$""),regexmatch(A2673,"".*@simonelectric.com$"")),""null"",A2"&amp;"673)"),"null")</f>
        <v>null</v>
      </c>
      <c r="C2673" s="5" t="str">
        <f>IF(B2673="null","null",Descargas!B2673)</f>
        <v>null</v>
      </c>
      <c r="D2673" s="6" t="str">
        <f>Descargas!E2673</f>
        <v>https://resources.simonelectric.com/simon-ebook-vehiculo-electrico</v>
      </c>
      <c r="E2673" s="24" t="str">
        <f t="shared" si="1"/>
        <v/>
      </c>
      <c r="F2673" s="21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</row>
    <row r="2674" ht="15.75" customHeight="1">
      <c r="A2674" s="18" t="str">
        <f>Descargas!A2674</f>
        <v>1017@tesnetwork.net</v>
      </c>
      <c r="B2674" s="19" t="str">
        <f>IFERROR(__xludf.DUMMYFUNCTION("IF(OR(regexmatch(A2674,"".*@simon.es$""),REGEXMATCH(A2674,"".*@simon.pt$""),REGEXMATCH(A2674,"".*@simonelectrica.com$""),REGEXMATCH(A2674,"".*@hiberus.com$""),REGEXMATCH(A2674,"".*@simonbrico.es$""),regexmatch(A2674,"".*@simonelectric.com$"")),""null"",A2"&amp;"674)"),"1017@tesnetwork.net")</f>
        <v>1017@tesnetwork.net</v>
      </c>
      <c r="C2674" s="5">
        <f>IF(B2674="null","null",Descargas!B2674)</f>
        <v>43938</v>
      </c>
      <c r="D2674" s="6" t="str">
        <f>Descargas!E2674</f>
        <v>https://resources.simonelectric.com/simon-ebook-vehiculo-electrico</v>
      </c>
      <c r="E2674" s="20" t="str">
        <f t="shared" si="1"/>
        <v>1017@tesnetwork.net</v>
      </c>
      <c r="F2674" s="21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</row>
    <row r="2675" ht="15.75" customHeight="1">
      <c r="A2675" s="18" t="str">
        <f>Descargas!A2675</f>
        <v>2099@grupoelectrostocks.com</v>
      </c>
      <c r="B2675" s="19" t="str">
        <f>IFERROR(__xludf.DUMMYFUNCTION("IF(OR(regexmatch(A2675,"".*@simon.es$""),REGEXMATCH(A2675,"".*@simon.pt$""),REGEXMATCH(A2675,"".*@simonelectrica.com$""),REGEXMATCH(A2675,"".*@hiberus.com$""),REGEXMATCH(A2675,"".*@simonbrico.es$""),regexmatch(A2675,"".*@simonelectric.com$"")),""null"",A2"&amp;"675)"),"2099@grupoelectrostocks.com")</f>
        <v>2099@grupoelectrostocks.com</v>
      </c>
      <c r="C2675" s="5">
        <f>IF(B2675="null","null",Descargas!B2675)</f>
        <v>43938</v>
      </c>
      <c r="D2675" s="6" t="str">
        <f>Descargas!E2675</f>
        <v>https://resources.simonelectric.com/simon-ebook-vehiculo-electrico</v>
      </c>
      <c r="E2675" s="20" t="str">
        <f t="shared" si="1"/>
        <v>2099@grupoelectrostocks.com</v>
      </c>
      <c r="F2675" s="21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</row>
    <row r="2676" ht="15.75" customHeight="1">
      <c r="A2676" s="18" t="str">
        <f>Descargas!A2676</f>
        <v>2085@gmail.com</v>
      </c>
      <c r="B2676" s="19" t="str">
        <f>IFERROR(__xludf.DUMMYFUNCTION("IF(OR(regexmatch(A2676,"".*@simon.es$""),REGEXMATCH(A2676,"".*@simon.pt$""),REGEXMATCH(A2676,"".*@simonelectrica.com$""),REGEXMATCH(A2676,"".*@hiberus.com$""),REGEXMATCH(A2676,"".*@simonbrico.es$""),regexmatch(A2676,"".*@simonelectric.com$"")),""null"",A2"&amp;"676)"),"2085@gmail.com")</f>
        <v>2085@gmail.com</v>
      </c>
      <c r="C2676" s="5">
        <f>IF(B2676="null","null",Descargas!B2676)</f>
        <v>43938</v>
      </c>
      <c r="D2676" s="6" t="str">
        <f>Descargas!E2676</f>
        <v>https://resources.simonelectric.com/simon-catalogo-vehiculo-electrico</v>
      </c>
      <c r="E2676" s="20" t="str">
        <f t="shared" si="1"/>
        <v>2085@gmail.com</v>
      </c>
      <c r="F2676" s="21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</row>
    <row r="2677" ht="15.75" customHeight="1">
      <c r="A2677" s="18" t="str">
        <f>Descargas!A2677</f>
        <v>2097@hotmail.com</v>
      </c>
      <c r="B2677" s="19" t="str">
        <f>IFERROR(__xludf.DUMMYFUNCTION("IF(OR(regexmatch(A2677,"".*@simon.es$""),REGEXMATCH(A2677,"".*@simon.pt$""),REGEXMATCH(A2677,"".*@simonelectrica.com$""),REGEXMATCH(A2677,"".*@hiberus.com$""),REGEXMATCH(A2677,"".*@simonbrico.es$""),regexmatch(A2677,"".*@simonelectric.com$"")),""null"",A2"&amp;"677)"),"2097@hotmail.com")</f>
        <v>2097@hotmail.com</v>
      </c>
      <c r="C2677" s="5">
        <f>IF(B2677="null","null",Descargas!B2677)</f>
        <v>43938</v>
      </c>
      <c r="D2677" s="6" t="str">
        <f>Descargas!E2677</f>
        <v>https://resources.simonelectric.com/simon-ebook-vehiculo-electrico</v>
      </c>
      <c r="E2677" s="20" t="str">
        <f t="shared" si="1"/>
        <v>2097@hotmail.com</v>
      </c>
      <c r="F2677" s="21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</row>
    <row r="2678" ht="15.75" customHeight="1">
      <c r="A2678" s="18" t="str">
        <f>Descargas!A2678</f>
        <v>2100@simon.es</v>
      </c>
      <c r="B2678" s="19" t="str">
        <f>IFERROR(__xludf.DUMMYFUNCTION("IF(OR(regexmatch(A2678,"".*@simon.es$""),REGEXMATCH(A2678,"".*@simon.pt$""),REGEXMATCH(A2678,"".*@simonelectrica.com$""),REGEXMATCH(A2678,"".*@hiberus.com$""),REGEXMATCH(A2678,"".*@simonbrico.es$""),regexmatch(A2678,"".*@simonelectric.com$"")),""null"",A2"&amp;"678)"),"null")</f>
        <v>null</v>
      </c>
      <c r="C2678" s="5" t="str">
        <f>IF(B2678="null","null",Descargas!B2678)</f>
        <v>null</v>
      </c>
      <c r="D2678" s="6" t="str">
        <f>Descargas!E2678</f>
        <v>https://resources.simonelectric.com/simon-ebook-vehiculo-electrico</v>
      </c>
      <c r="E2678" s="24" t="str">
        <f t="shared" si="1"/>
        <v/>
      </c>
      <c r="F2678" s="21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</row>
    <row r="2679" ht="15.75" customHeight="1">
      <c r="A2679" s="18" t="str">
        <f>Descargas!A2679</f>
        <v>2101@gmail.com</v>
      </c>
      <c r="B2679" s="19" t="str">
        <f>IFERROR(__xludf.DUMMYFUNCTION("IF(OR(regexmatch(A2679,"".*@simon.es$""),REGEXMATCH(A2679,"".*@simon.pt$""),REGEXMATCH(A2679,"".*@simonelectrica.com$""),REGEXMATCH(A2679,"".*@hiberus.com$""),REGEXMATCH(A2679,"".*@simonbrico.es$""),regexmatch(A2679,"".*@simonelectric.com$"")),""null"",A2"&amp;"679)"),"2101@gmail.com")</f>
        <v>2101@gmail.com</v>
      </c>
      <c r="C2679" s="5">
        <f>IF(B2679="null","null",Descargas!B2679)</f>
        <v>43937</v>
      </c>
      <c r="D2679" s="6" t="str">
        <f>Descargas!E2679</f>
        <v>https://resources.simonelectric.com/simon-ebook-vehiculo-electrico-ppc</v>
      </c>
      <c r="E2679" s="20" t="str">
        <f t="shared" si="1"/>
        <v>2101@gmail.com</v>
      </c>
      <c r="F2679" s="21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</row>
    <row r="2680" ht="15.75" customHeight="1">
      <c r="A2680" s="18" t="str">
        <f>Descargas!A2680</f>
        <v>2102@gmail.com</v>
      </c>
      <c r="B2680" s="19" t="str">
        <f>IFERROR(__xludf.DUMMYFUNCTION("IF(OR(regexmatch(A2680,"".*@simon.es$""),REGEXMATCH(A2680,"".*@simon.pt$""),REGEXMATCH(A2680,"".*@simonelectrica.com$""),REGEXMATCH(A2680,"".*@hiberus.com$""),REGEXMATCH(A2680,"".*@simonbrico.es$""),regexmatch(A2680,"".*@simonelectric.com$"")),""null"",A2"&amp;"680)"),"2102@gmail.com")</f>
        <v>2102@gmail.com</v>
      </c>
      <c r="C2680" s="5">
        <f>IF(B2680="null","null",Descargas!B2680)</f>
        <v>43937</v>
      </c>
      <c r="D2680" s="6" t="str">
        <f>Descargas!E2680</f>
        <v>https://resources.simonelectric.com/simon-ebook-vehiculo-electrico</v>
      </c>
      <c r="E2680" s="20" t="str">
        <f t="shared" si="1"/>
        <v>2102@gmail.com</v>
      </c>
      <c r="F2680" s="21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</row>
    <row r="2681" ht="15.75" customHeight="1">
      <c r="A2681" s="18" t="str">
        <f>Descargas!A2681</f>
        <v>2103@hotmail.com</v>
      </c>
      <c r="B2681" s="19" t="str">
        <f>IFERROR(__xludf.DUMMYFUNCTION("IF(OR(regexmatch(A2681,"".*@simon.es$""),REGEXMATCH(A2681,"".*@simon.pt$""),REGEXMATCH(A2681,"".*@simonelectrica.com$""),REGEXMATCH(A2681,"".*@hiberus.com$""),REGEXMATCH(A2681,"".*@simonbrico.es$""),regexmatch(A2681,"".*@simonelectric.com$"")),""null"",A2"&amp;"681)"),"2103@hotmail.com")</f>
        <v>2103@hotmail.com</v>
      </c>
      <c r="C2681" s="5">
        <f>IF(B2681="null","null",Descargas!B2681)</f>
        <v>43937</v>
      </c>
      <c r="D2681" s="6" t="str">
        <f>Descargas!E2681</f>
        <v>https://resources.simonelectric.com/simon-ebook-vehiculo-electrico</v>
      </c>
      <c r="E2681" s="20" t="str">
        <f t="shared" si="1"/>
        <v>2103@hotmail.com</v>
      </c>
      <c r="F2681" s="21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</row>
    <row r="2682" ht="15.75" customHeight="1">
      <c r="A2682" s="18" t="str">
        <f>Descargas!A2682</f>
        <v>2104@temarelectronica.es</v>
      </c>
      <c r="B2682" s="19" t="str">
        <f>IFERROR(__xludf.DUMMYFUNCTION("IF(OR(regexmatch(A2682,"".*@simon.es$""),REGEXMATCH(A2682,"".*@simon.pt$""),REGEXMATCH(A2682,"".*@simonelectrica.com$""),REGEXMATCH(A2682,"".*@hiberus.com$""),REGEXMATCH(A2682,"".*@simonbrico.es$""),regexmatch(A2682,"".*@simonelectric.com$"")),""null"",A2"&amp;"682)"),"2104@temarelectronica.es")</f>
        <v>2104@temarelectronica.es</v>
      </c>
      <c r="C2682" s="5">
        <f>IF(B2682="null","null",Descargas!B2682)</f>
        <v>43937</v>
      </c>
      <c r="D2682" s="6" t="str">
        <f>Descargas!E2682</f>
        <v>https://resources.simonelectric.com/simon-ebook-vehiculo-electrico</v>
      </c>
      <c r="E2682" s="20" t="str">
        <f t="shared" si="1"/>
        <v>2104@temarelectronica.es</v>
      </c>
      <c r="F2682" s="21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</row>
    <row r="2683" ht="15.75" customHeight="1">
      <c r="A2683" s="18" t="str">
        <f>Descargas!A2683</f>
        <v>2105@nauta.cu</v>
      </c>
      <c r="B2683" s="19" t="str">
        <f>IFERROR(__xludf.DUMMYFUNCTION("IF(OR(regexmatch(A2683,"".*@simon.es$""),REGEXMATCH(A2683,"".*@simon.pt$""),REGEXMATCH(A2683,"".*@simonelectrica.com$""),REGEXMATCH(A2683,"".*@hiberus.com$""),REGEXMATCH(A2683,"".*@simonbrico.es$""),regexmatch(A2683,"".*@simonelectric.com$"")),""null"",A2"&amp;"683)"),"2105@nauta.cu")</f>
        <v>2105@nauta.cu</v>
      </c>
      <c r="C2683" s="5">
        <f>IF(B2683="null","null",Descargas!B2683)</f>
        <v>43937</v>
      </c>
      <c r="D2683" s="6" t="str">
        <f>Descargas!E2683</f>
        <v>https://resources.simonelectric.com/simon-ebook-vehiculo-electrico</v>
      </c>
      <c r="E2683" s="20" t="str">
        <f t="shared" si="1"/>
        <v>2105@nauta.cu</v>
      </c>
      <c r="F2683" s="21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</row>
    <row r="2684" ht="15.75" customHeight="1">
      <c r="A2684" s="18" t="str">
        <f>Descargas!A2684</f>
        <v>2106@gmail.com</v>
      </c>
      <c r="B2684" s="19" t="str">
        <f>IFERROR(__xludf.DUMMYFUNCTION("IF(OR(regexmatch(A2684,"".*@simon.es$""),REGEXMATCH(A2684,"".*@simon.pt$""),REGEXMATCH(A2684,"".*@simonelectrica.com$""),REGEXMATCH(A2684,"".*@hiberus.com$""),REGEXMATCH(A2684,"".*@simonbrico.es$""),regexmatch(A2684,"".*@simonelectric.com$"")),""null"",A2"&amp;"684)"),"2106@gmail.com")</f>
        <v>2106@gmail.com</v>
      </c>
      <c r="C2684" s="5">
        <f>IF(B2684="null","null",Descargas!B2684)</f>
        <v>43937</v>
      </c>
      <c r="D2684" s="6" t="str">
        <f>Descargas!E2684</f>
        <v>https://resources.simonelectric.com/simon-ebook-vehiculo-electrico</v>
      </c>
      <c r="E2684" s="20" t="str">
        <f t="shared" si="1"/>
        <v>2106@gmail.com</v>
      </c>
      <c r="F2684" s="21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</row>
    <row r="2685" ht="15.75" customHeight="1">
      <c r="A2685" s="18" t="str">
        <f>Descargas!A2685</f>
        <v>2107@danmur.es</v>
      </c>
      <c r="B2685" s="19" t="str">
        <f>IFERROR(__xludf.DUMMYFUNCTION("IF(OR(regexmatch(A2685,"".*@simon.es$""),REGEXMATCH(A2685,"".*@simon.pt$""),REGEXMATCH(A2685,"".*@simonelectrica.com$""),REGEXMATCH(A2685,"".*@hiberus.com$""),REGEXMATCH(A2685,"".*@simonbrico.es$""),regexmatch(A2685,"".*@simonelectric.com$"")),""null"",A2"&amp;"685)"),"2107@danmur.es")</f>
        <v>2107@danmur.es</v>
      </c>
      <c r="C2685" s="5">
        <f>IF(B2685="null","null",Descargas!B2685)</f>
        <v>43937</v>
      </c>
      <c r="D2685" s="6" t="str">
        <f>Descargas!E2685</f>
        <v>https://resources.simonelectric.com/simon-ebook-vehiculo-electrico</v>
      </c>
      <c r="E2685" s="20" t="str">
        <f t="shared" si="1"/>
        <v>2107@danmur.es</v>
      </c>
      <c r="F2685" s="21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</row>
    <row r="2686" ht="15.75" customHeight="1">
      <c r="A2686" s="18" t="str">
        <f>Descargas!A2686</f>
        <v>2108@emvisesa.org</v>
      </c>
      <c r="B2686" s="19" t="str">
        <f>IFERROR(__xludf.DUMMYFUNCTION("IF(OR(regexmatch(A2686,"".*@simon.es$""),REGEXMATCH(A2686,"".*@simon.pt$""),REGEXMATCH(A2686,"".*@simonelectrica.com$""),REGEXMATCH(A2686,"".*@hiberus.com$""),REGEXMATCH(A2686,"".*@simonbrico.es$""),regexmatch(A2686,"".*@simonelectric.com$"")),""null"",A2"&amp;"686)"),"2108@emvisesa.org")</f>
        <v>2108@emvisesa.org</v>
      </c>
      <c r="C2686" s="5">
        <f>IF(B2686="null","null",Descargas!B2686)</f>
        <v>43937</v>
      </c>
      <c r="D2686" s="6" t="str">
        <f>Descargas!E2686</f>
        <v>https://resources.simonelectric.com/simon-ebook-vehiculo-electrico</v>
      </c>
      <c r="E2686" s="20" t="str">
        <f t="shared" si="1"/>
        <v>2108@emvisesa.org</v>
      </c>
      <c r="F2686" s="21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</row>
    <row r="2687" ht="15.75" customHeight="1">
      <c r="A2687" s="18" t="str">
        <f>Descargas!A2687</f>
        <v>2109@huelvanorte.es</v>
      </c>
      <c r="B2687" s="19" t="str">
        <f>IFERROR(__xludf.DUMMYFUNCTION("IF(OR(regexmatch(A2687,"".*@simon.es$""),REGEXMATCH(A2687,"".*@simon.pt$""),REGEXMATCH(A2687,"".*@simonelectrica.com$""),REGEXMATCH(A2687,"".*@hiberus.com$""),REGEXMATCH(A2687,"".*@simonbrico.es$""),regexmatch(A2687,"".*@simonelectric.com$"")),""null"",A2"&amp;"687)"),"2109@huelvanorte.es")</f>
        <v>2109@huelvanorte.es</v>
      </c>
      <c r="C2687" s="5">
        <f>IF(B2687="null","null",Descargas!B2687)</f>
        <v>43937</v>
      </c>
      <c r="D2687" s="6" t="str">
        <f>Descargas!E2687</f>
        <v>https://resources.simonelectric.com/simon-catalogo-vehiculo-electrico</v>
      </c>
      <c r="E2687" s="20" t="str">
        <f t="shared" si="1"/>
        <v>2109@huelvanorte.es</v>
      </c>
      <c r="F2687" s="21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</row>
    <row r="2688" ht="15.75" customHeight="1">
      <c r="A2688" s="18" t="str">
        <f>Descargas!A2688</f>
        <v>2110@ingeconsulting.com</v>
      </c>
      <c r="B2688" s="19" t="str">
        <f>IFERROR(__xludf.DUMMYFUNCTION("IF(OR(regexmatch(A2688,"".*@simon.es$""),REGEXMATCH(A2688,"".*@simon.pt$""),REGEXMATCH(A2688,"".*@simonelectrica.com$""),REGEXMATCH(A2688,"".*@hiberus.com$""),REGEXMATCH(A2688,"".*@simonbrico.es$""),regexmatch(A2688,"".*@simonelectric.com$"")),""null"",A2"&amp;"688)"),"2110@ingeconsulting.com")</f>
        <v>2110@ingeconsulting.com</v>
      </c>
      <c r="C2688" s="5">
        <f>IF(B2688="null","null",Descargas!B2688)</f>
        <v>43937</v>
      </c>
      <c r="D2688" s="6" t="str">
        <f>Descargas!E2688</f>
        <v>https://resources.simonelectric.com/simon-ebook-vehiculo-electrico</v>
      </c>
      <c r="E2688" s="20" t="str">
        <f t="shared" si="1"/>
        <v>2110@ingeconsulting.com</v>
      </c>
      <c r="F2688" s="21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</row>
    <row r="2689" ht="15.75" customHeight="1">
      <c r="A2689" s="18" t="str">
        <f>Descargas!A2689</f>
        <v>1089@gmail.com</v>
      </c>
      <c r="B2689" s="19" t="str">
        <f>IFERROR(__xludf.DUMMYFUNCTION("IF(OR(regexmatch(A2689,"".*@simon.es$""),REGEXMATCH(A2689,"".*@simon.pt$""),REGEXMATCH(A2689,"".*@simonelectrica.com$""),REGEXMATCH(A2689,"".*@hiberus.com$""),REGEXMATCH(A2689,"".*@simonbrico.es$""),regexmatch(A2689,"".*@simonelectric.com$"")),""null"",A2"&amp;"689)"),"1089@gmail.com")</f>
        <v>1089@gmail.com</v>
      </c>
      <c r="C2689" s="5">
        <f>IF(B2689="null","null",Descargas!B2689)</f>
        <v>43937</v>
      </c>
      <c r="D2689" s="6" t="str">
        <f>Descargas!E2689</f>
        <v>https://resources.simonelectric.com/simon-ebook-vehiculo-electrico</v>
      </c>
      <c r="E2689" s="20" t="str">
        <f t="shared" si="1"/>
        <v>1089@gmail.com</v>
      </c>
      <c r="F2689" s="21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</row>
    <row r="2690" ht="15.75" customHeight="1">
      <c r="A2690" s="18" t="str">
        <f>Descargas!A2690</f>
        <v>2111@iraiaingenieros.com</v>
      </c>
      <c r="B2690" s="19" t="str">
        <f>IFERROR(__xludf.DUMMYFUNCTION("IF(OR(regexmatch(A2690,"".*@simon.es$""),REGEXMATCH(A2690,"".*@simon.pt$""),REGEXMATCH(A2690,"".*@simonelectrica.com$""),REGEXMATCH(A2690,"".*@hiberus.com$""),REGEXMATCH(A2690,"".*@simonbrico.es$""),regexmatch(A2690,"".*@simonelectric.com$"")),""null"",A2"&amp;"690)"),"2111@iraiaingenieros.com")</f>
        <v>2111@iraiaingenieros.com</v>
      </c>
      <c r="C2690" s="5">
        <f>IF(B2690="null","null",Descargas!B2690)</f>
        <v>43937</v>
      </c>
      <c r="D2690" s="6" t="str">
        <f>Descargas!E2690</f>
        <v>https://resources.simonelectric.com/simon-ebook-vehiculo-electrico</v>
      </c>
      <c r="E2690" s="20" t="str">
        <f t="shared" si="1"/>
        <v>2111@iraiaingenieros.com</v>
      </c>
      <c r="F2690" s="21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</row>
    <row r="2691" ht="15.75" customHeight="1">
      <c r="A2691" s="18" t="str">
        <f>Descargas!A2691</f>
        <v>606@gmail.com</v>
      </c>
      <c r="B2691" s="19" t="str">
        <f>IFERROR(__xludf.DUMMYFUNCTION("IF(OR(regexmatch(A2691,"".*@simon.es$""),REGEXMATCH(A2691,"".*@simon.pt$""),REGEXMATCH(A2691,"".*@simonelectrica.com$""),REGEXMATCH(A2691,"".*@hiberus.com$""),REGEXMATCH(A2691,"".*@simonbrico.es$""),regexmatch(A2691,"".*@simonelectric.com$"")),""null"",A2"&amp;"691)"),"606@gmail.com")</f>
        <v>606@gmail.com</v>
      </c>
      <c r="C2691" s="5">
        <f>IF(B2691="null","null",Descargas!B2691)</f>
        <v>43937</v>
      </c>
      <c r="D2691" s="6" t="str">
        <f>Descargas!E2691</f>
        <v>https://resources.simonelectric.com/simon-ebook-vehiculo-electrico</v>
      </c>
      <c r="E2691" s="20" t="str">
        <f t="shared" si="1"/>
        <v>606@gmail.com</v>
      </c>
      <c r="F2691" s="21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</row>
    <row r="2692" ht="15.75" customHeight="1">
      <c r="A2692" s="18" t="str">
        <f>Descargas!A2692</f>
        <v>606@gmail.com</v>
      </c>
      <c r="B2692" s="19" t="str">
        <f>IFERROR(__xludf.DUMMYFUNCTION("IF(OR(regexmatch(A2692,"".*@simon.es$""),REGEXMATCH(A2692,"".*@simon.pt$""),REGEXMATCH(A2692,"".*@simonelectrica.com$""),REGEXMATCH(A2692,"".*@hiberus.com$""),REGEXMATCH(A2692,"".*@simonbrico.es$""),regexmatch(A2692,"".*@simonelectric.com$"")),""null"",A2"&amp;"692)"),"606@gmail.com")</f>
        <v>606@gmail.com</v>
      </c>
      <c r="C2692" s="5">
        <f>IF(B2692="null","null",Descargas!B2692)</f>
        <v>43937</v>
      </c>
      <c r="D2692" s="6" t="str">
        <f>Descargas!E2692</f>
        <v>https://resources.simonelectric.com/simon-ebook-vehiculo-electrico</v>
      </c>
      <c r="E2692" s="20" t="str">
        <f t="shared" si="1"/>
        <v>606@gmail.com</v>
      </c>
      <c r="F2692" s="21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</row>
    <row r="2693" ht="15.75" customHeight="1">
      <c r="A2693" s="18" t="str">
        <f>Descargas!A2693</f>
        <v>2112@gmail.com</v>
      </c>
      <c r="B2693" s="19" t="str">
        <f>IFERROR(__xludf.DUMMYFUNCTION("IF(OR(regexmatch(A2693,"".*@simon.es$""),REGEXMATCH(A2693,"".*@simon.pt$""),REGEXMATCH(A2693,"".*@simonelectrica.com$""),REGEXMATCH(A2693,"".*@hiberus.com$""),REGEXMATCH(A2693,"".*@simonbrico.es$""),regexmatch(A2693,"".*@simonelectric.com$"")),""null"",A2"&amp;"693)"),"2112@gmail.com")</f>
        <v>2112@gmail.com</v>
      </c>
      <c r="C2693" s="5">
        <f>IF(B2693="null","null",Descargas!B2693)</f>
        <v>43937</v>
      </c>
      <c r="D2693" s="6" t="str">
        <f>Descargas!E2693</f>
        <v>https://resources.simonelectric.com/simon-ebook-vehiculo-electrico-0</v>
      </c>
      <c r="E2693" s="20" t="str">
        <f t="shared" si="1"/>
        <v>2112@gmail.com</v>
      </c>
      <c r="F2693" s="21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</row>
    <row r="2694" ht="15.75" customHeight="1">
      <c r="A2694" s="18" t="str">
        <f>Descargas!A2694</f>
        <v>808@ale.es</v>
      </c>
      <c r="B2694" s="19" t="str">
        <f>IFERROR(__xludf.DUMMYFUNCTION("IF(OR(regexmatch(A2694,"".*@simon.es$""),REGEXMATCH(A2694,"".*@simon.pt$""),REGEXMATCH(A2694,"".*@simonelectrica.com$""),REGEXMATCH(A2694,"".*@hiberus.com$""),REGEXMATCH(A2694,"".*@simonbrico.es$""),regexmatch(A2694,"".*@simonelectric.com$"")),""null"",A2"&amp;"694)"),"808@ale.es")</f>
        <v>808@ale.es</v>
      </c>
      <c r="C2694" s="5">
        <f>IF(B2694="null","null",Descargas!B2694)</f>
        <v>43936</v>
      </c>
      <c r="D2694" s="6" t="str">
        <f>Descargas!E2694</f>
        <v>https://resources.simonelectric.com/simon-ebook-vehiculo-electrico</v>
      </c>
      <c r="E2694" s="20" t="str">
        <f t="shared" si="1"/>
        <v>808@ale.es</v>
      </c>
      <c r="F2694" s="21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</row>
    <row r="2695" ht="15.75" customHeight="1">
      <c r="A2695" s="18" t="str">
        <f>Descargas!A2695</f>
        <v>1111@hotmail.com</v>
      </c>
      <c r="B2695" s="19" t="str">
        <f>IFERROR(__xludf.DUMMYFUNCTION("IF(OR(regexmatch(A2695,"".*@simon.es$""),REGEXMATCH(A2695,"".*@simon.pt$""),REGEXMATCH(A2695,"".*@simonelectrica.com$""),REGEXMATCH(A2695,"".*@hiberus.com$""),REGEXMATCH(A2695,"".*@simonbrico.es$""),regexmatch(A2695,"".*@simonelectric.com$"")),""null"",A2"&amp;"695)"),"1111@hotmail.com")</f>
        <v>1111@hotmail.com</v>
      </c>
      <c r="C2695" s="5">
        <f>IF(B2695="null","null",Descargas!B2695)</f>
        <v>43936</v>
      </c>
      <c r="D2695" s="6" t="str">
        <f>Descargas!E2695</f>
        <v>https://resources.simonelectric.com/simon-ebook-vehiculo-electrico</v>
      </c>
      <c r="E2695" s="20" t="str">
        <f t="shared" si="1"/>
        <v>1111@hotmail.com</v>
      </c>
      <c r="F2695" s="21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</row>
    <row r="2696" ht="15.75" customHeight="1">
      <c r="A2696" s="18" t="str">
        <f>Descargas!A2696</f>
        <v>1307@gmail.com</v>
      </c>
      <c r="B2696" s="19" t="str">
        <f>IFERROR(__xludf.DUMMYFUNCTION("IF(OR(regexmatch(A2696,"".*@simon.es$""),REGEXMATCH(A2696,"".*@simon.pt$""),REGEXMATCH(A2696,"".*@simonelectrica.com$""),REGEXMATCH(A2696,"".*@hiberus.com$""),REGEXMATCH(A2696,"".*@simonbrico.es$""),regexmatch(A2696,"".*@simonelectric.com$"")),""null"",A2"&amp;"696)"),"1307@gmail.com")</f>
        <v>1307@gmail.com</v>
      </c>
      <c r="C2696" s="5">
        <f>IF(B2696="null","null",Descargas!B2696)</f>
        <v>43936</v>
      </c>
      <c r="D2696" s="6" t="str">
        <f>Descargas!E2696</f>
        <v>https://resources.simonelectric.com/simon-ebook-vehiculo-electrico</v>
      </c>
      <c r="E2696" s="20" t="str">
        <f t="shared" si="1"/>
        <v>1307@gmail.com</v>
      </c>
      <c r="F2696" s="21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</row>
    <row r="2697" ht="15.75" customHeight="1">
      <c r="A2697" s="18" t="str">
        <f>Descargas!A2697</f>
        <v>2113@gmail.com</v>
      </c>
      <c r="B2697" s="19" t="str">
        <f>IFERROR(__xludf.DUMMYFUNCTION("IF(OR(regexmatch(A2697,"".*@simon.es$""),REGEXMATCH(A2697,"".*@simon.pt$""),REGEXMATCH(A2697,"".*@simonelectrica.com$""),REGEXMATCH(A2697,"".*@hiberus.com$""),REGEXMATCH(A2697,"".*@simonbrico.es$""),regexmatch(A2697,"".*@simonelectric.com$"")),""null"",A2"&amp;"697)"),"2113@gmail.com")</f>
        <v>2113@gmail.com</v>
      </c>
      <c r="C2697" s="5">
        <f>IF(B2697="null","null",Descargas!B2697)</f>
        <v>43936</v>
      </c>
      <c r="D2697" s="6" t="str">
        <f>Descargas!E2697</f>
        <v>https://resources.simonelectric.com/simon-ebook-vehiculo-electrico</v>
      </c>
      <c r="E2697" s="20" t="str">
        <f t="shared" si="1"/>
        <v>2113@gmail.com</v>
      </c>
      <c r="F2697" s="21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</row>
    <row r="2698" ht="15.75" customHeight="1">
      <c r="A2698" s="18" t="str">
        <f>Descargas!A2698</f>
        <v>1418@gmail.com</v>
      </c>
      <c r="B2698" s="19" t="str">
        <f>IFERROR(__xludf.DUMMYFUNCTION("IF(OR(regexmatch(A2698,"".*@simon.es$""),REGEXMATCH(A2698,"".*@simon.pt$""),REGEXMATCH(A2698,"".*@simonelectrica.com$""),REGEXMATCH(A2698,"".*@hiberus.com$""),REGEXMATCH(A2698,"".*@simonbrico.es$""),regexmatch(A2698,"".*@simonelectric.com$"")),""null"",A2"&amp;"698)"),"1418@gmail.com")</f>
        <v>1418@gmail.com</v>
      </c>
      <c r="C2698" s="5">
        <f>IF(B2698="null","null",Descargas!B2698)</f>
        <v>43936</v>
      </c>
      <c r="D2698" s="6" t="str">
        <f>Descargas!E2698</f>
        <v>https://resources.simonelectric.com/simon-ebook-vehiculo-electrico-ppc</v>
      </c>
      <c r="E2698" s="20" t="str">
        <f t="shared" si="1"/>
        <v>1418@gmail.com</v>
      </c>
      <c r="F2698" s="21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</row>
    <row r="2699" ht="15.75" customHeight="1">
      <c r="A2699" s="18" t="str">
        <f>Descargas!A2699</f>
        <v>1837@cersanz.es</v>
      </c>
      <c r="B2699" s="19" t="str">
        <f>IFERROR(__xludf.DUMMYFUNCTION("IF(OR(regexmatch(A2699,"".*@simon.es$""),REGEXMATCH(A2699,"".*@simon.pt$""),REGEXMATCH(A2699,"".*@simonelectrica.com$""),REGEXMATCH(A2699,"".*@hiberus.com$""),REGEXMATCH(A2699,"".*@simonbrico.es$""),regexmatch(A2699,"".*@simonelectric.com$"")),""null"",A2"&amp;"699)"),"1837@cersanz.es")</f>
        <v>1837@cersanz.es</v>
      </c>
      <c r="C2699" s="5">
        <f>IF(B2699="null","null",Descargas!B2699)</f>
        <v>43936</v>
      </c>
      <c r="D2699" s="6" t="str">
        <f>Descargas!E2699</f>
        <v>https://resources.simonelectric.com/simon-ebook-vehiculo-electrico</v>
      </c>
      <c r="E2699" s="20" t="str">
        <f t="shared" si="1"/>
        <v>1837@cersanz.es</v>
      </c>
      <c r="F2699" s="21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</row>
    <row r="2700" ht="15.75" customHeight="1">
      <c r="A2700" s="18" t="str">
        <f>Descargas!A2700</f>
        <v>1093@edu.xunta.es</v>
      </c>
      <c r="B2700" s="19" t="str">
        <f>IFERROR(__xludf.DUMMYFUNCTION("IF(OR(regexmatch(A2700,"".*@simon.es$""),REGEXMATCH(A2700,"".*@simon.pt$""),REGEXMATCH(A2700,"".*@simonelectrica.com$""),REGEXMATCH(A2700,"".*@hiberus.com$""),REGEXMATCH(A2700,"".*@simonbrico.es$""),regexmatch(A2700,"".*@simonelectric.com$"")),""null"",A2"&amp;"700)"),"1093@edu.xunta.es")</f>
        <v>1093@edu.xunta.es</v>
      </c>
      <c r="C2700" s="5">
        <f>IF(B2700="null","null",Descargas!B2700)</f>
        <v>43936</v>
      </c>
      <c r="D2700" s="6" t="str">
        <f>Descargas!E2700</f>
        <v>https://resources.simonelectric.com/simon-catalogo-vehiculo-electrico</v>
      </c>
      <c r="E2700" s="20" t="str">
        <f t="shared" si="1"/>
        <v>1093@edu.xunta.es</v>
      </c>
      <c r="F2700" s="21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</row>
    <row r="2701" ht="15.75" customHeight="1">
      <c r="A2701" s="18" t="str">
        <f>Descargas!A2701</f>
        <v>2114@tecnoclimainstalaciones.com</v>
      </c>
      <c r="B2701" s="19" t="str">
        <f>IFERROR(__xludf.DUMMYFUNCTION("IF(OR(regexmatch(A2701,"".*@simon.es$""),REGEXMATCH(A2701,"".*@simon.pt$""),REGEXMATCH(A2701,"".*@simonelectrica.com$""),REGEXMATCH(A2701,"".*@hiberus.com$""),REGEXMATCH(A2701,"".*@simonbrico.es$""),regexmatch(A2701,"".*@simonelectric.com$"")),""null"",A2"&amp;"701)"),"2114@tecnoclimainstalaciones.com")</f>
        <v>2114@tecnoclimainstalaciones.com</v>
      </c>
      <c r="C2701" s="5">
        <f>IF(B2701="null","null",Descargas!B2701)</f>
        <v>43936</v>
      </c>
      <c r="D2701" s="6" t="str">
        <f>Descargas!E2701</f>
        <v>https://resources.simonelectric.com/simon-ebook-vehiculo-electrico</v>
      </c>
      <c r="E2701" s="20" t="str">
        <f t="shared" si="1"/>
        <v>2114@tecnoclimainstalaciones.com</v>
      </c>
      <c r="F2701" s="21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</row>
    <row r="2702" ht="15.75" customHeight="1">
      <c r="A2702" s="18" t="str">
        <f>Descargas!A2702</f>
        <v>2115@outlook.es</v>
      </c>
      <c r="B2702" s="19" t="str">
        <f>IFERROR(__xludf.DUMMYFUNCTION("IF(OR(regexmatch(A2702,"".*@simon.es$""),REGEXMATCH(A2702,"".*@simon.pt$""),REGEXMATCH(A2702,"".*@simonelectrica.com$""),REGEXMATCH(A2702,"".*@hiberus.com$""),REGEXMATCH(A2702,"".*@simonbrico.es$""),regexmatch(A2702,"".*@simonelectric.com$"")),""null"",A2"&amp;"702)"),"2115@outlook.es")</f>
        <v>2115@outlook.es</v>
      </c>
      <c r="C2702" s="5">
        <f>IF(B2702="null","null",Descargas!B2702)</f>
        <v>43936</v>
      </c>
      <c r="D2702" s="6" t="str">
        <f>Descargas!E2702</f>
        <v>https://resources.simonelectric.com/simon-ebook-vehiculo-electrico-ppc</v>
      </c>
      <c r="E2702" s="20" t="str">
        <f t="shared" si="1"/>
        <v>2115@outlook.es</v>
      </c>
      <c r="F2702" s="21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</row>
    <row r="2703" ht="15.75" customHeight="1">
      <c r="A2703" s="18" t="str">
        <f>Descargas!A2703</f>
        <v>2116@gmail.com</v>
      </c>
      <c r="B2703" s="19" t="str">
        <f>IFERROR(__xludf.DUMMYFUNCTION("IF(OR(regexmatch(A2703,"".*@simon.es$""),REGEXMATCH(A2703,"".*@simon.pt$""),REGEXMATCH(A2703,"".*@simonelectrica.com$""),REGEXMATCH(A2703,"".*@hiberus.com$""),REGEXMATCH(A2703,"".*@simonbrico.es$""),regexmatch(A2703,"".*@simonelectric.com$"")),""null"",A2"&amp;"703)"),"2116@gmail.com")</f>
        <v>2116@gmail.com</v>
      </c>
      <c r="C2703" s="5">
        <f>IF(B2703="null","null",Descargas!B2703)</f>
        <v>43936</v>
      </c>
      <c r="D2703" s="6" t="str">
        <f>Descargas!E2703</f>
        <v>https://resources.simonelectric.com/simon-ebook-vehiculo-electrico-ppc</v>
      </c>
      <c r="E2703" s="20" t="str">
        <f t="shared" si="1"/>
        <v>2116@gmail.com</v>
      </c>
      <c r="F2703" s="21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</row>
    <row r="2704" ht="15.75" customHeight="1">
      <c r="A2704" s="18" t="str">
        <f>Descargas!A2704</f>
        <v>2117@gmail.com</v>
      </c>
      <c r="B2704" s="19" t="str">
        <f>IFERROR(__xludf.DUMMYFUNCTION("IF(OR(regexmatch(A2704,"".*@simon.es$""),REGEXMATCH(A2704,"".*@simon.pt$""),REGEXMATCH(A2704,"".*@simonelectrica.com$""),REGEXMATCH(A2704,"".*@hiberus.com$""),REGEXMATCH(A2704,"".*@simonbrico.es$""),regexmatch(A2704,"".*@simonelectric.com$"")),""null"",A2"&amp;"704)"),"2117@gmail.com")</f>
        <v>2117@gmail.com</v>
      </c>
      <c r="C2704" s="5">
        <f>IF(B2704="null","null",Descargas!B2704)</f>
        <v>43935</v>
      </c>
      <c r="D2704" s="6" t="str">
        <f>Descargas!E2704</f>
        <v>https://resources.simonelectric.com/simon-ebook-vehiculo-electrico-ppc</v>
      </c>
      <c r="E2704" s="20" t="str">
        <f t="shared" si="1"/>
        <v>2117@gmail.com</v>
      </c>
      <c r="F2704" s="21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</row>
    <row r="2705" ht="15.75" customHeight="1">
      <c r="A2705" s="18" t="str">
        <f>Descargas!A2705</f>
        <v>981@gmail.com</v>
      </c>
      <c r="B2705" s="19" t="str">
        <f>IFERROR(__xludf.DUMMYFUNCTION("IF(OR(regexmatch(A2705,"".*@simon.es$""),REGEXMATCH(A2705,"".*@simon.pt$""),REGEXMATCH(A2705,"".*@simonelectrica.com$""),REGEXMATCH(A2705,"".*@hiberus.com$""),REGEXMATCH(A2705,"".*@simonbrico.es$""),regexmatch(A2705,"".*@simonelectric.com$"")),""null"",A2"&amp;"705)"),"981@gmail.com")</f>
        <v>981@gmail.com</v>
      </c>
      <c r="C2705" s="5">
        <f>IF(B2705="null","null",Descargas!B2705)</f>
        <v>43935</v>
      </c>
      <c r="D2705" s="6" t="str">
        <f>Descargas!E2705</f>
        <v>https://resources.simonelectric.com/simon-catalogo-vehiculo-electrico</v>
      </c>
      <c r="E2705" s="20" t="str">
        <f t="shared" si="1"/>
        <v>981@gmail.com</v>
      </c>
      <c r="F2705" s="21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</row>
    <row r="2706" ht="15.75" customHeight="1">
      <c r="A2706" s="18" t="str">
        <f>Descargas!A2706</f>
        <v>981@gmail.com</v>
      </c>
      <c r="B2706" s="19" t="str">
        <f>IFERROR(__xludf.DUMMYFUNCTION("IF(OR(regexmatch(A2706,"".*@simon.es$""),REGEXMATCH(A2706,"".*@simon.pt$""),REGEXMATCH(A2706,"".*@simonelectrica.com$""),REGEXMATCH(A2706,"".*@hiberus.com$""),REGEXMATCH(A2706,"".*@simonbrico.es$""),regexmatch(A2706,"".*@simonelectric.com$"")),""null"",A2"&amp;"706)"),"981@gmail.com")</f>
        <v>981@gmail.com</v>
      </c>
      <c r="C2706" s="5">
        <f>IF(B2706="null","null",Descargas!B2706)</f>
        <v>43935</v>
      </c>
      <c r="D2706" s="6" t="str">
        <f>Descargas!E2706</f>
        <v>https://resources.simonelectric.com/simon-ebook-vehiculo-electrico</v>
      </c>
      <c r="E2706" s="20" t="str">
        <f t="shared" si="1"/>
        <v>981@gmail.com</v>
      </c>
      <c r="F2706" s="21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</row>
    <row r="2707" ht="15.75" customHeight="1">
      <c r="A2707" s="18" t="str">
        <f>Descargas!A2707</f>
        <v>2118@hotmail.com</v>
      </c>
      <c r="B2707" s="19" t="str">
        <f>IFERROR(__xludf.DUMMYFUNCTION("IF(OR(regexmatch(A2707,"".*@simon.es$""),REGEXMATCH(A2707,"".*@simon.pt$""),REGEXMATCH(A2707,"".*@simonelectrica.com$""),REGEXMATCH(A2707,"".*@hiberus.com$""),REGEXMATCH(A2707,"".*@simonbrico.es$""),regexmatch(A2707,"".*@simonelectric.com$"")),""null"",A2"&amp;"707)"),"2118@hotmail.com")</f>
        <v>2118@hotmail.com</v>
      </c>
      <c r="C2707" s="5">
        <f>IF(B2707="null","null",Descargas!B2707)</f>
        <v>43935</v>
      </c>
      <c r="D2707" s="6" t="str">
        <f>Descargas!E2707</f>
        <v>https://resources.simonelectric.com/simon-ebook-vehiculo-electrico-ppc</v>
      </c>
      <c r="E2707" s="20" t="str">
        <f t="shared" si="1"/>
        <v>2118@hotmail.com</v>
      </c>
      <c r="F2707" s="21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</row>
    <row r="2708" ht="15.75" customHeight="1">
      <c r="A2708" s="18" t="str">
        <f>Descargas!A2708</f>
        <v>2119@gmail.com</v>
      </c>
      <c r="B2708" s="19" t="str">
        <f>IFERROR(__xludf.DUMMYFUNCTION("IF(OR(regexmatch(A2708,"".*@simon.es$""),REGEXMATCH(A2708,"".*@simon.pt$""),REGEXMATCH(A2708,"".*@simonelectrica.com$""),REGEXMATCH(A2708,"".*@hiberus.com$""),REGEXMATCH(A2708,"".*@simonbrico.es$""),regexmatch(A2708,"".*@simonelectric.com$"")),""null"",A2"&amp;"708)"),"2119@gmail.com")</f>
        <v>2119@gmail.com</v>
      </c>
      <c r="C2708" s="5">
        <f>IF(B2708="null","null",Descargas!B2708)</f>
        <v>43935</v>
      </c>
      <c r="D2708" s="6" t="str">
        <f>Descargas!E2708</f>
        <v>https://resources.simonelectric.com/simon-ebook-vehiculo-electrico-ppc</v>
      </c>
      <c r="E2708" s="20" t="str">
        <f t="shared" si="1"/>
        <v>2119@gmail.com</v>
      </c>
      <c r="F2708" s="21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</row>
    <row r="2709" ht="15.75" customHeight="1">
      <c r="A2709" s="18" t="str">
        <f>Descargas!A2709</f>
        <v>2120@gmail.com</v>
      </c>
      <c r="B2709" s="19" t="str">
        <f>IFERROR(__xludf.DUMMYFUNCTION("IF(OR(regexmatch(A2709,"".*@simon.es$""),REGEXMATCH(A2709,"".*@simon.pt$""),REGEXMATCH(A2709,"".*@simonelectrica.com$""),REGEXMATCH(A2709,"".*@hiberus.com$""),REGEXMATCH(A2709,"".*@simonbrico.es$""),regexmatch(A2709,"".*@simonelectric.com$"")),""null"",A2"&amp;"709)"),"2120@gmail.com")</f>
        <v>2120@gmail.com</v>
      </c>
      <c r="C2709" s="5">
        <f>IF(B2709="null","null",Descargas!B2709)</f>
        <v>43935</v>
      </c>
      <c r="D2709" s="6" t="str">
        <f>Descargas!E2709</f>
        <v>https://resources.simonelectric.com/simon-ebook-vehiculo-electrico-ppc</v>
      </c>
      <c r="E2709" s="20" t="str">
        <f t="shared" si="1"/>
        <v>2120@gmail.com</v>
      </c>
      <c r="F2709" s="21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</row>
    <row r="2710" ht="15.75" customHeight="1">
      <c r="A2710" s="18" t="str">
        <f>Descargas!A2710</f>
        <v>2121@gmail.com</v>
      </c>
      <c r="B2710" s="19" t="str">
        <f>IFERROR(__xludf.DUMMYFUNCTION("IF(OR(regexmatch(A2710,"".*@simon.es$""),REGEXMATCH(A2710,"".*@simon.pt$""),REGEXMATCH(A2710,"".*@simonelectrica.com$""),REGEXMATCH(A2710,"".*@hiberus.com$""),REGEXMATCH(A2710,"".*@simonbrico.es$""),regexmatch(A2710,"".*@simonelectric.com$"")),""null"",A2"&amp;"710)"),"2121@gmail.com")</f>
        <v>2121@gmail.com</v>
      </c>
      <c r="C2710" s="5">
        <f>IF(B2710="null","null",Descargas!B2710)</f>
        <v>43935</v>
      </c>
      <c r="D2710" s="6" t="str">
        <f>Descargas!E2710</f>
        <v>https://resources.simonelectric.com/simon-ebook-vehiculo-electrico-ppc</v>
      </c>
      <c r="E2710" s="20" t="str">
        <f t="shared" si="1"/>
        <v>2121@gmail.com</v>
      </c>
      <c r="F2710" s="21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</row>
    <row r="2711" ht="15.75" customHeight="1">
      <c r="A2711" s="18" t="str">
        <f>Descargas!A2711</f>
        <v>2122@somains.com</v>
      </c>
      <c r="B2711" s="19" t="str">
        <f>IFERROR(__xludf.DUMMYFUNCTION("IF(OR(regexmatch(A2711,"".*@simon.es$""),REGEXMATCH(A2711,"".*@simon.pt$""),REGEXMATCH(A2711,"".*@simonelectrica.com$""),REGEXMATCH(A2711,"".*@hiberus.com$""),REGEXMATCH(A2711,"".*@simonbrico.es$""),regexmatch(A2711,"".*@simonelectric.com$"")),""null"",A2"&amp;"711)"),"2122@somains.com")</f>
        <v>2122@somains.com</v>
      </c>
      <c r="C2711" s="5">
        <f>IF(B2711="null","null",Descargas!B2711)</f>
        <v>43934</v>
      </c>
      <c r="D2711" s="6" t="str">
        <f>Descargas!E2711</f>
        <v>https://resources.simonelectric.com/simon-catalogo-vehiculo-electrico</v>
      </c>
      <c r="E2711" s="20" t="str">
        <f t="shared" si="1"/>
        <v>2122@somains.com</v>
      </c>
      <c r="F2711" s="21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</row>
    <row r="2712" ht="15.75" customHeight="1">
      <c r="A2712" s="18" t="str">
        <f>Descargas!A2712</f>
        <v>2123@gmail.com</v>
      </c>
      <c r="B2712" s="19" t="str">
        <f>IFERROR(__xludf.DUMMYFUNCTION("IF(OR(regexmatch(A2712,"".*@simon.es$""),REGEXMATCH(A2712,"".*@simon.pt$""),REGEXMATCH(A2712,"".*@simonelectrica.com$""),REGEXMATCH(A2712,"".*@hiberus.com$""),REGEXMATCH(A2712,"".*@simonbrico.es$""),regexmatch(A2712,"".*@simonelectric.com$"")),""null"",A2"&amp;"712)"),"2123@gmail.com")</f>
        <v>2123@gmail.com</v>
      </c>
      <c r="C2712" s="5">
        <f>IF(B2712="null","null",Descargas!B2712)</f>
        <v>43934</v>
      </c>
      <c r="D2712" s="6" t="str">
        <f>Descargas!E2712</f>
        <v>https://resources.simonelectric.com/simon-ebook-vehiculo-electrico-ppc</v>
      </c>
      <c r="E2712" s="20" t="str">
        <f t="shared" si="1"/>
        <v>2123@gmail.com</v>
      </c>
      <c r="F2712" s="21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</row>
    <row r="2713" ht="15.75" customHeight="1">
      <c r="A2713" s="18" t="str">
        <f>Descargas!A2713</f>
        <v>2124@gmail.com</v>
      </c>
      <c r="B2713" s="19" t="str">
        <f>IFERROR(__xludf.DUMMYFUNCTION("IF(OR(regexmatch(A2713,"".*@simon.es$""),REGEXMATCH(A2713,"".*@simon.pt$""),REGEXMATCH(A2713,"".*@simonelectrica.com$""),REGEXMATCH(A2713,"".*@hiberus.com$""),REGEXMATCH(A2713,"".*@simonbrico.es$""),regexmatch(A2713,"".*@simonelectric.com$"")),""null"",A2"&amp;"713)"),"2124@gmail.com")</f>
        <v>2124@gmail.com</v>
      </c>
      <c r="C2713" s="5">
        <f>IF(B2713="null","null",Descargas!B2713)</f>
        <v>43934</v>
      </c>
      <c r="D2713" s="6" t="str">
        <f>Descargas!E2713</f>
        <v>https://resources.simonelectric.com/simon-catalogo-vehiculo-electrico</v>
      </c>
      <c r="E2713" s="20" t="str">
        <f t="shared" si="1"/>
        <v>2124@gmail.com</v>
      </c>
      <c r="F2713" s="21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</row>
    <row r="2714" ht="15.75" customHeight="1">
      <c r="A2714" s="18" t="str">
        <f>Descargas!A2714</f>
        <v>1550@die.upv.es</v>
      </c>
      <c r="B2714" s="19" t="str">
        <f>IFERROR(__xludf.DUMMYFUNCTION("IF(OR(regexmatch(A2714,"".*@simon.es$""),REGEXMATCH(A2714,"".*@simon.pt$""),REGEXMATCH(A2714,"".*@simonelectrica.com$""),REGEXMATCH(A2714,"".*@hiberus.com$""),REGEXMATCH(A2714,"".*@simonbrico.es$""),regexmatch(A2714,"".*@simonelectric.com$"")),""null"",A2"&amp;"714)"),"1550@die.upv.es")</f>
        <v>1550@die.upv.es</v>
      </c>
      <c r="C2714" s="5">
        <f>IF(B2714="null","null",Descargas!B2714)</f>
        <v>43934</v>
      </c>
      <c r="D2714" s="6" t="str">
        <f>Descargas!E2714</f>
        <v>https://resources.simonelectric.com/simon-ebook-vehiculo-electrico</v>
      </c>
      <c r="E2714" s="20" t="str">
        <f t="shared" si="1"/>
        <v>1550@die.upv.es</v>
      </c>
      <c r="F2714" s="21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</row>
    <row r="2715" ht="15.75" customHeight="1">
      <c r="A2715" s="18" t="str">
        <f>Descargas!A2715</f>
        <v>2062@euskalnet.net</v>
      </c>
      <c r="B2715" s="19" t="str">
        <f>IFERROR(__xludf.DUMMYFUNCTION("IF(OR(regexmatch(A2715,"".*@simon.es$""),REGEXMATCH(A2715,"".*@simon.pt$""),REGEXMATCH(A2715,"".*@simonelectrica.com$""),REGEXMATCH(A2715,"".*@hiberus.com$""),REGEXMATCH(A2715,"".*@simonbrico.es$""),regexmatch(A2715,"".*@simonelectric.com$"")),""null"",A2"&amp;"715)"),"2062@euskalnet.net")</f>
        <v>2062@euskalnet.net</v>
      </c>
      <c r="C2715" s="5">
        <f>IF(B2715="null","null",Descargas!B2715)</f>
        <v>43934</v>
      </c>
      <c r="D2715" s="6" t="str">
        <f>Descargas!E2715</f>
        <v>https://resources.simonelectric.com/simon-ebook-vehiculo-electrico</v>
      </c>
      <c r="E2715" s="20" t="str">
        <f t="shared" si="1"/>
        <v>2062@euskalnet.net</v>
      </c>
      <c r="F2715" s="21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</row>
    <row r="2716" ht="15.75" customHeight="1">
      <c r="A2716" s="18" t="str">
        <f>Descargas!A2716</f>
        <v>2125@ctac.es</v>
      </c>
      <c r="B2716" s="19" t="str">
        <f>IFERROR(__xludf.DUMMYFUNCTION("IF(OR(regexmatch(A2716,"".*@simon.es$""),REGEXMATCH(A2716,"".*@simon.pt$""),REGEXMATCH(A2716,"".*@simonelectrica.com$""),REGEXMATCH(A2716,"".*@hiberus.com$""),REGEXMATCH(A2716,"".*@simonbrico.es$""),regexmatch(A2716,"".*@simonelectric.com$"")),""null"",A2"&amp;"716)"),"2125@ctac.es")</f>
        <v>2125@ctac.es</v>
      </c>
      <c r="C2716" s="5">
        <f>IF(B2716="null","null",Descargas!B2716)</f>
        <v>43934</v>
      </c>
      <c r="D2716" s="6" t="str">
        <f>Descargas!E2716</f>
        <v>https://resources.simonelectric.com/simon-ebook-vehiculo-electrico</v>
      </c>
      <c r="E2716" s="20" t="str">
        <f t="shared" si="1"/>
        <v>2125@ctac.es</v>
      </c>
      <c r="F2716" s="21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</row>
    <row r="2717" ht="15.75" customHeight="1">
      <c r="A2717" s="18" t="str">
        <f>Descargas!A2717</f>
        <v>2126@gmail.com</v>
      </c>
      <c r="B2717" s="19" t="str">
        <f>IFERROR(__xludf.DUMMYFUNCTION("IF(OR(regexmatch(A2717,"".*@simon.es$""),REGEXMATCH(A2717,"".*@simon.pt$""),REGEXMATCH(A2717,"".*@simonelectrica.com$""),REGEXMATCH(A2717,"".*@hiberus.com$""),REGEXMATCH(A2717,"".*@simonbrico.es$""),regexmatch(A2717,"".*@simonelectric.com$"")),""null"",A2"&amp;"717)"),"2126@gmail.com")</f>
        <v>2126@gmail.com</v>
      </c>
      <c r="C2717" s="5">
        <f>IF(B2717="null","null",Descargas!B2717)</f>
        <v>43934</v>
      </c>
      <c r="D2717" s="6" t="str">
        <f>Descargas!E2717</f>
        <v>https://resources.simonelectric.com/simon-ebook-vehiculo-electrico</v>
      </c>
      <c r="E2717" s="20" t="str">
        <f t="shared" si="1"/>
        <v>2126@gmail.com</v>
      </c>
      <c r="F2717" s="21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</row>
    <row r="2718" ht="15.75" customHeight="1">
      <c r="A2718" s="18" t="str">
        <f>Descargas!A2718</f>
        <v>1845@hotmail.com</v>
      </c>
      <c r="B2718" s="19" t="str">
        <f>IFERROR(__xludf.DUMMYFUNCTION("IF(OR(regexmatch(A2718,"".*@simon.es$""),REGEXMATCH(A2718,"".*@simon.pt$""),REGEXMATCH(A2718,"".*@simonelectrica.com$""),REGEXMATCH(A2718,"".*@hiberus.com$""),REGEXMATCH(A2718,"".*@simonbrico.es$""),regexmatch(A2718,"".*@simonelectric.com$"")),""null"",A2"&amp;"718)"),"1845@hotmail.com")</f>
        <v>1845@hotmail.com</v>
      </c>
      <c r="C2718" s="5">
        <f>IF(B2718="null","null",Descargas!B2718)</f>
        <v>43934</v>
      </c>
      <c r="D2718" s="6" t="str">
        <f>Descargas!E2718</f>
        <v>https://resources.simonelectric.com/simon-ebook-vehiculo-electrico-ppc</v>
      </c>
      <c r="E2718" s="20" t="str">
        <f t="shared" si="1"/>
        <v>1845@hotmail.com</v>
      </c>
      <c r="F2718" s="21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</row>
    <row r="2719" ht="15.75" customHeight="1">
      <c r="A2719" s="18" t="str">
        <f>Descargas!A2719</f>
        <v>2127@hotmail.com</v>
      </c>
      <c r="B2719" s="19" t="str">
        <f>IFERROR(__xludf.DUMMYFUNCTION("IF(OR(regexmatch(A2719,"".*@simon.es$""),REGEXMATCH(A2719,"".*@simon.pt$""),REGEXMATCH(A2719,"".*@simonelectrica.com$""),REGEXMATCH(A2719,"".*@hiberus.com$""),REGEXMATCH(A2719,"".*@simonbrico.es$""),regexmatch(A2719,"".*@simonelectric.com$"")),""null"",A2"&amp;"719)"),"2127@hotmail.com")</f>
        <v>2127@hotmail.com</v>
      </c>
      <c r="C2719" s="5">
        <f>IF(B2719="null","null",Descargas!B2719)</f>
        <v>43934</v>
      </c>
      <c r="D2719" s="6" t="str">
        <f>Descargas!E2719</f>
        <v>https://resources.simonelectric.com/simon-ebook-vehiculo-electrico-ppc</v>
      </c>
      <c r="E2719" s="20" t="str">
        <f t="shared" si="1"/>
        <v>2127@hotmail.com</v>
      </c>
      <c r="F2719" s="21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</row>
    <row r="2720" ht="15.75" customHeight="1">
      <c r="A2720" s="18" t="str">
        <f>Descargas!A2720</f>
        <v>1705@sanehogar.com</v>
      </c>
      <c r="B2720" s="19" t="str">
        <f>IFERROR(__xludf.DUMMYFUNCTION("IF(OR(regexmatch(A2720,"".*@simon.es$""),REGEXMATCH(A2720,"".*@simon.pt$""),REGEXMATCH(A2720,"".*@simonelectrica.com$""),REGEXMATCH(A2720,"".*@hiberus.com$""),REGEXMATCH(A2720,"".*@simonbrico.es$""),regexmatch(A2720,"".*@simonelectric.com$"")),""null"",A2"&amp;"720)"),"1705@sanehogar.com")</f>
        <v>1705@sanehogar.com</v>
      </c>
      <c r="C2720" s="5">
        <f>IF(B2720="null","null",Descargas!B2720)</f>
        <v>43933</v>
      </c>
      <c r="D2720" s="6" t="str">
        <f>Descargas!E2720</f>
        <v>https://resources.simonelectric.com/simon-ebook-vehiculo-electrico</v>
      </c>
      <c r="E2720" s="20" t="str">
        <f t="shared" si="1"/>
        <v>1705@sanehogar.com</v>
      </c>
      <c r="F2720" s="21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</row>
    <row r="2721" ht="15.75" customHeight="1">
      <c r="A2721" s="18" t="str">
        <f>Descargas!A2721</f>
        <v>2128@gmail.com</v>
      </c>
      <c r="B2721" s="19" t="str">
        <f>IFERROR(__xludf.DUMMYFUNCTION("IF(OR(regexmatch(A2721,"".*@simon.es$""),REGEXMATCH(A2721,"".*@simon.pt$""),REGEXMATCH(A2721,"".*@simonelectrica.com$""),REGEXMATCH(A2721,"".*@hiberus.com$""),REGEXMATCH(A2721,"".*@simonbrico.es$""),regexmatch(A2721,"".*@simonelectric.com$"")),""null"",A2"&amp;"721)"),"2128@gmail.com")</f>
        <v>2128@gmail.com</v>
      </c>
      <c r="C2721" s="5">
        <f>IF(B2721="null","null",Descargas!B2721)</f>
        <v>43933</v>
      </c>
      <c r="D2721" s="6" t="str">
        <f>Descargas!E2721</f>
        <v>https://resources.simonelectric.com/simon-ebook-vehiculo-electrico-ppc</v>
      </c>
      <c r="E2721" s="20" t="str">
        <f t="shared" si="1"/>
        <v>2128@gmail.com</v>
      </c>
      <c r="F2721" s="21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</row>
    <row r="2722" ht="15.75" customHeight="1">
      <c r="A2722" s="18" t="str">
        <f>Descargas!A2722</f>
        <v>2129@gmail.com</v>
      </c>
      <c r="B2722" s="19" t="str">
        <f>IFERROR(__xludf.DUMMYFUNCTION("IF(OR(regexmatch(A2722,"".*@simon.es$""),REGEXMATCH(A2722,"".*@simon.pt$""),REGEXMATCH(A2722,"".*@simonelectrica.com$""),REGEXMATCH(A2722,"".*@hiberus.com$""),REGEXMATCH(A2722,"".*@simonbrico.es$""),regexmatch(A2722,"".*@simonelectric.com$"")),""null"",A2"&amp;"722)"),"2129@gmail.com")</f>
        <v>2129@gmail.com</v>
      </c>
      <c r="C2722" s="5">
        <f>IF(B2722="null","null",Descargas!B2722)</f>
        <v>43933</v>
      </c>
      <c r="D2722" s="6" t="str">
        <f>Descargas!E2722</f>
        <v>https://resources.simonelectric.com/simon-catalogo-vehiculo-electrico</v>
      </c>
      <c r="E2722" s="20" t="str">
        <f t="shared" si="1"/>
        <v>2129@gmail.com</v>
      </c>
      <c r="F2722" s="21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</row>
    <row r="2723" ht="15.75" customHeight="1">
      <c r="A2723" s="18" t="str">
        <f>Descargas!A2723</f>
        <v>2130@hotmail.com</v>
      </c>
      <c r="B2723" s="19" t="str">
        <f>IFERROR(__xludf.DUMMYFUNCTION("IF(OR(regexmatch(A2723,"".*@simon.es$""),REGEXMATCH(A2723,"".*@simon.pt$""),REGEXMATCH(A2723,"".*@simonelectrica.com$""),REGEXMATCH(A2723,"".*@hiberus.com$""),REGEXMATCH(A2723,"".*@simonbrico.es$""),regexmatch(A2723,"".*@simonelectric.com$"")),""null"",A2"&amp;"723)"),"2130@hotmail.com")</f>
        <v>2130@hotmail.com</v>
      </c>
      <c r="C2723" s="5">
        <f>IF(B2723="null","null",Descargas!B2723)</f>
        <v>43933</v>
      </c>
      <c r="D2723" s="6" t="str">
        <f>Descargas!E2723</f>
        <v>https://resources.simonelectric.com/simon-catalogo-vehiculo-electrico</v>
      </c>
      <c r="E2723" s="20" t="str">
        <f t="shared" si="1"/>
        <v>2130@hotmail.com</v>
      </c>
      <c r="F2723" s="21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</row>
    <row r="2724" ht="15.75" customHeight="1">
      <c r="A2724" s="18" t="str">
        <f>Descargas!A2724</f>
        <v>2131@gmail.com</v>
      </c>
      <c r="B2724" s="19" t="str">
        <f>IFERROR(__xludf.DUMMYFUNCTION("IF(OR(regexmatch(A2724,"".*@simon.es$""),REGEXMATCH(A2724,"".*@simon.pt$""),REGEXMATCH(A2724,"".*@simonelectrica.com$""),REGEXMATCH(A2724,"".*@hiberus.com$""),REGEXMATCH(A2724,"".*@simonbrico.es$""),regexmatch(A2724,"".*@simonelectric.com$"")),""null"",A2"&amp;"724)"),"2131@gmail.com")</f>
        <v>2131@gmail.com</v>
      </c>
      <c r="C2724" s="5">
        <f>IF(B2724="null","null",Descargas!B2724)</f>
        <v>43933</v>
      </c>
      <c r="D2724" s="6" t="str">
        <f>Descargas!E2724</f>
        <v>https://resources.simonelectric.com/simon-ebook-vehiculo-electrico-ppc</v>
      </c>
      <c r="E2724" s="20" t="str">
        <f t="shared" si="1"/>
        <v>2131@gmail.com</v>
      </c>
      <c r="F2724" s="21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</row>
    <row r="2725" ht="15.75" customHeight="1">
      <c r="A2725" s="18" t="str">
        <f>Descargas!A2725</f>
        <v>2132@hotmail.com</v>
      </c>
      <c r="B2725" s="19" t="str">
        <f>IFERROR(__xludf.DUMMYFUNCTION("IF(OR(regexmatch(A2725,"".*@simon.es$""),REGEXMATCH(A2725,"".*@simon.pt$""),REGEXMATCH(A2725,"".*@simonelectrica.com$""),REGEXMATCH(A2725,"".*@hiberus.com$""),REGEXMATCH(A2725,"".*@simonbrico.es$""),regexmatch(A2725,"".*@simonelectric.com$"")),""null"",A2"&amp;"725)"),"2132@hotmail.com")</f>
        <v>2132@hotmail.com</v>
      </c>
      <c r="C2725" s="5">
        <f>IF(B2725="null","null",Descargas!B2725)</f>
        <v>43933</v>
      </c>
      <c r="D2725" s="6" t="str">
        <f>Descargas!E2725</f>
        <v>https://resources.simonelectric.com/simon-ebook-vehiculo-electrico-ppc</v>
      </c>
      <c r="E2725" s="20" t="str">
        <f t="shared" si="1"/>
        <v>2132@hotmail.com</v>
      </c>
      <c r="F2725" s="21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</row>
    <row r="2726" ht="15.75" customHeight="1">
      <c r="A2726" s="18" t="str">
        <f>Descargas!A2726</f>
        <v>2133@gmail.com</v>
      </c>
      <c r="B2726" s="19" t="str">
        <f>IFERROR(__xludf.DUMMYFUNCTION("IF(OR(regexmatch(A2726,"".*@simon.es$""),REGEXMATCH(A2726,"".*@simon.pt$""),REGEXMATCH(A2726,"".*@simonelectrica.com$""),REGEXMATCH(A2726,"".*@hiberus.com$""),REGEXMATCH(A2726,"".*@simonbrico.es$""),regexmatch(A2726,"".*@simonelectric.com$"")),""null"",A2"&amp;"726)"),"2133@gmail.com")</f>
        <v>2133@gmail.com</v>
      </c>
      <c r="C2726" s="5">
        <f>IF(B2726="null","null",Descargas!B2726)</f>
        <v>43933</v>
      </c>
      <c r="D2726" s="6" t="str">
        <f>Descargas!E2726</f>
        <v>https://resources.simonelectric.com/simon-ebook-vehiculo-electrico-0</v>
      </c>
      <c r="E2726" s="20" t="str">
        <f t="shared" si="1"/>
        <v>2133@gmail.com</v>
      </c>
      <c r="F2726" s="21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</row>
    <row r="2727" ht="15.75" customHeight="1">
      <c r="A2727" s="18" t="str">
        <f>Descargas!A2727</f>
        <v>2134@gmx.es</v>
      </c>
      <c r="B2727" s="19" t="str">
        <f>IFERROR(__xludf.DUMMYFUNCTION("IF(OR(regexmatch(A2727,"".*@simon.es$""),REGEXMATCH(A2727,"".*@simon.pt$""),REGEXMATCH(A2727,"".*@simonelectrica.com$""),REGEXMATCH(A2727,"".*@hiberus.com$""),REGEXMATCH(A2727,"".*@simonbrico.es$""),regexmatch(A2727,"".*@simonelectric.com$"")),""null"",A2"&amp;"727)"),"2134@gmx.es")</f>
        <v>2134@gmx.es</v>
      </c>
      <c r="C2727" s="5">
        <f>IF(B2727="null","null",Descargas!B2727)</f>
        <v>43932</v>
      </c>
      <c r="D2727" s="6" t="str">
        <f>Descargas!E2727</f>
        <v>https://resources.simonelectric.com/simon-ebook-vehiculo-electrico-ppc</v>
      </c>
      <c r="E2727" s="20" t="str">
        <f t="shared" si="1"/>
        <v>2134@gmx.es</v>
      </c>
      <c r="F2727" s="21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</row>
    <row r="2728" ht="15.75" customHeight="1">
      <c r="A2728" s="18" t="str">
        <f>Descargas!A2728</f>
        <v>1157@himalayaclimatizacionycontrol.es</v>
      </c>
      <c r="B2728" s="19" t="str">
        <f>IFERROR(__xludf.DUMMYFUNCTION("IF(OR(regexmatch(A2728,"".*@simon.es$""),REGEXMATCH(A2728,"".*@simon.pt$""),REGEXMATCH(A2728,"".*@simonelectrica.com$""),REGEXMATCH(A2728,"".*@hiberus.com$""),REGEXMATCH(A2728,"".*@simonbrico.es$""),regexmatch(A2728,"".*@simonelectric.com$"")),""null"",A2"&amp;"728)"),"1157@himalayaclimatizacionycontrol.es")</f>
        <v>1157@himalayaclimatizacionycontrol.es</v>
      </c>
      <c r="C2728" s="5">
        <f>IF(B2728="null","null",Descargas!B2728)</f>
        <v>43932</v>
      </c>
      <c r="D2728" s="6" t="str">
        <f>Descargas!E2728</f>
        <v>https://resources.simonelectric.com/simon-ebook-vehiculo-electrico-ppc</v>
      </c>
      <c r="E2728" s="20" t="str">
        <f t="shared" si="1"/>
        <v>1157@himalayaclimatizacionycontrol.es</v>
      </c>
      <c r="F2728" s="21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</row>
    <row r="2729" ht="15.75" customHeight="1">
      <c r="A2729" s="18" t="str">
        <f>Descargas!A2729</f>
        <v>2135@gmail.com</v>
      </c>
      <c r="B2729" s="19" t="str">
        <f>IFERROR(__xludf.DUMMYFUNCTION("IF(OR(regexmatch(A2729,"".*@simon.es$""),REGEXMATCH(A2729,"".*@simon.pt$""),REGEXMATCH(A2729,"".*@simonelectrica.com$""),REGEXMATCH(A2729,"".*@hiberus.com$""),REGEXMATCH(A2729,"".*@simonbrico.es$""),regexmatch(A2729,"".*@simonelectric.com$"")),""null"",A2"&amp;"729)"),"2135@gmail.com")</f>
        <v>2135@gmail.com</v>
      </c>
      <c r="C2729" s="5">
        <f>IF(B2729="null","null",Descargas!B2729)</f>
        <v>43932</v>
      </c>
      <c r="D2729" s="6" t="str">
        <f>Descargas!E2729</f>
        <v>https://resources.simonelectric.com/simon-ebook-vehiculo-electrico-ppc</v>
      </c>
      <c r="E2729" s="20" t="str">
        <f t="shared" si="1"/>
        <v>2135@gmail.com</v>
      </c>
      <c r="F2729" s="21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</row>
    <row r="2730" ht="15.75" customHeight="1">
      <c r="A2730" s="18" t="str">
        <f>Descargas!A2730</f>
        <v>2136@gmail.com</v>
      </c>
      <c r="B2730" s="19" t="str">
        <f>IFERROR(__xludf.DUMMYFUNCTION("IF(OR(regexmatch(A2730,"".*@simon.es$""),REGEXMATCH(A2730,"".*@simon.pt$""),REGEXMATCH(A2730,"".*@simonelectrica.com$""),REGEXMATCH(A2730,"".*@hiberus.com$""),REGEXMATCH(A2730,"".*@simonbrico.es$""),regexmatch(A2730,"".*@simonelectric.com$"")),""null"",A2"&amp;"730)"),"2136@gmail.com")</f>
        <v>2136@gmail.com</v>
      </c>
      <c r="C2730" s="5">
        <f>IF(B2730="null","null",Descargas!B2730)</f>
        <v>43932</v>
      </c>
      <c r="D2730" s="6" t="str">
        <f>Descargas!E2730</f>
        <v>https://resources.simonelectric.com/simon-ebook-vehiculo-electrico-ppc</v>
      </c>
      <c r="E2730" s="20" t="str">
        <f t="shared" si="1"/>
        <v>2136@gmail.com</v>
      </c>
      <c r="F2730" s="21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</row>
    <row r="2731" ht="15.75" customHeight="1">
      <c r="A2731" s="18" t="str">
        <f>Descargas!A2731</f>
        <v>2137@hotmail.com</v>
      </c>
      <c r="B2731" s="19" t="str">
        <f>IFERROR(__xludf.DUMMYFUNCTION("IF(OR(regexmatch(A2731,"".*@simon.es$""),REGEXMATCH(A2731,"".*@simon.pt$""),REGEXMATCH(A2731,"".*@simonelectrica.com$""),REGEXMATCH(A2731,"".*@hiberus.com$""),REGEXMATCH(A2731,"".*@simonbrico.es$""),regexmatch(A2731,"".*@simonelectric.com$"")),""null"",A2"&amp;"731)"),"2137@hotmail.com")</f>
        <v>2137@hotmail.com</v>
      </c>
      <c r="C2731" s="5">
        <f>IF(B2731="null","null",Descargas!B2731)</f>
        <v>43932</v>
      </c>
      <c r="D2731" s="6" t="str">
        <f>Descargas!E2731</f>
        <v>https://resources.simonelectric.com/simon-ebook-vehiculo-electrico-ppc</v>
      </c>
      <c r="E2731" s="20" t="str">
        <f t="shared" si="1"/>
        <v>2137@hotmail.com</v>
      </c>
      <c r="F2731" s="21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</row>
    <row r="2732" ht="15.75" customHeight="1">
      <c r="A2732" s="18" t="str">
        <f>Descargas!A2732</f>
        <v>2138@gmail.com</v>
      </c>
      <c r="B2732" s="19" t="str">
        <f>IFERROR(__xludf.DUMMYFUNCTION("IF(OR(regexmatch(A2732,"".*@simon.es$""),REGEXMATCH(A2732,"".*@simon.pt$""),REGEXMATCH(A2732,"".*@simonelectrica.com$""),REGEXMATCH(A2732,"".*@hiberus.com$""),REGEXMATCH(A2732,"".*@simonbrico.es$""),regexmatch(A2732,"".*@simonelectric.com$"")),""null"",A2"&amp;"732)"),"2138@gmail.com")</f>
        <v>2138@gmail.com</v>
      </c>
      <c r="C2732" s="5">
        <f>IF(B2732="null","null",Descargas!B2732)</f>
        <v>43932</v>
      </c>
      <c r="D2732" s="6" t="str">
        <f>Descargas!E2732</f>
        <v>https://resources.simonelectric.com/simon-ebook-vehiculo-electrico-ppc</v>
      </c>
      <c r="E2732" s="20" t="str">
        <f t="shared" si="1"/>
        <v>2138@gmail.com</v>
      </c>
      <c r="F2732" s="21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</row>
    <row r="2733" ht="15.75" customHeight="1">
      <c r="A2733" s="18" t="str">
        <f>Descargas!A2733</f>
        <v>2139@gmail.com</v>
      </c>
      <c r="B2733" s="19" t="str">
        <f>IFERROR(__xludf.DUMMYFUNCTION("IF(OR(regexmatch(A2733,"".*@simon.es$""),REGEXMATCH(A2733,"".*@simon.pt$""),REGEXMATCH(A2733,"".*@simonelectrica.com$""),REGEXMATCH(A2733,"".*@hiberus.com$""),REGEXMATCH(A2733,"".*@simonbrico.es$""),regexmatch(A2733,"".*@simonelectric.com$"")),""null"",A2"&amp;"733)"),"2139@gmail.com")</f>
        <v>2139@gmail.com</v>
      </c>
      <c r="C2733" s="5">
        <f>IF(B2733="null","null",Descargas!B2733)</f>
        <v>43932</v>
      </c>
      <c r="D2733" s="6" t="str">
        <f>Descargas!E2733</f>
        <v>https://resources.simonelectric.com/simon-ebook-vehiculo-electrico-0</v>
      </c>
      <c r="E2733" s="20" t="str">
        <f t="shared" si="1"/>
        <v>2139@gmail.com</v>
      </c>
      <c r="F2733" s="21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</row>
    <row r="2734" ht="15.75" customHeight="1">
      <c r="A2734" s="18" t="str">
        <f>Descargas!A2734</f>
        <v>2140@gmail.com</v>
      </c>
      <c r="B2734" s="19" t="str">
        <f>IFERROR(__xludf.DUMMYFUNCTION("IF(OR(regexmatch(A2734,"".*@simon.es$""),REGEXMATCH(A2734,"".*@simon.pt$""),REGEXMATCH(A2734,"".*@simonelectrica.com$""),REGEXMATCH(A2734,"".*@hiberus.com$""),REGEXMATCH(A2734,"".*@simonbrico.es$""),regexmatch(A2734,"".*@simonelectric.com$"")),""null"",A2"&amp;"734)"),"2140@gmail.com")</f>
        <v>2140@gmail.com</v>
      </c>
      <c r="C2734" s="5">
        <f>IF(B2734="null","null",Descargas!B2734)</f>
        <v>43932</v>
      </c>
      <c r="D2734" s="6" t="str">
        <f>Descargas!E2734</f>
        <v>https://resources.simonelectric.com/simon-ebook-vehiculo-electrico</v>
      </c>
      <c r="E2734" s="20" t="str">
        <f t="shared" si="1"/>
        <v>2140@gmail.com</v>
      </c>
      <c r="F2734" s="21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</row>
    <row r="2735" ht="15.75" customHeight="1">
      <c r="A2735" s="18" t="str">
        <f>Descargas!A2735</f>
        <v>2141@gmail.com</v>
      </c>
      <c r="B2735" s="19" t="str">
        <f>IFERROR(__xludf.DUMMYFUNCTION("IF(OR(regexmatch(A2735,"".*@simon.es$""),REGEXMATCH(A2735,"".*@simon.pt$""),REGEXMATCH(A2735,"".*@simonelectrica.com$""),REGEXMATCH(A2735,"".*@hiberus.com$""),REGEXMATCH(A2735,"".*@simonbrico.es$""),regexmatch(A2735,"".*@simonelectric.com$"")),""null"",A2"&amp;"735)"),"2141@gmail.com")</f>
        <v>2141@gmail.com</v>
      </c>
      <c r="C2735" s="5">
        <f>IF(B2735="null","null",Descargas!B2735)</f>
        <v>43931</v>
      </c>
      <c r="D2735" s="6" t="str">
        <f>Descargas!E2735</f>
        <v>https://resources.simonelectric.com/simon-ebook-vehiculo-electrico-ppc</v>
      </c>
      <c r="E2735" s="20" t="str">
        <f t="shared" si="1"/>
        <v>2141@gmail.com</v>
      </c>
      <c r="F2735" s="21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</row>
    <row r="2736" ht="15.75" customHeight="1">
      <c r="A2736" s="18" t="str">
        <f>Descargas!A2736</f>
        <v>2142@simon.es</v>
      </c>
      <c r="B2736" s="19" t="str">
        <f>IFERROR(__xludf.DUMMYFUNCTION("IF(OR(regexmatch(A2736,"".*@simon.es$""),REGEXMATCH(A2736,"".*@simon.pt$""),REGEXMATCH(A2736,"".*@simonelectrica.com$""),REGEXMATCH(A2736,"".*@hiberus.com$""),REGEXMATCH(A2736,"".*@simonbrico.es$""),regexmatch(A2736,"".*@simonelectric.com$"")),""null"",A2"&amp;"736)"),"null")</f>
        <v>null</v>
      </c>
      <c r="C2736" s="5" t="str">
        <f>IF(B2736="null","null",Descargas!B2736)</f>
        <v>null</v>
      </c>
      <c r="D2736" s="6" t="str">
        <f>Descargas!E2736</f>
        <v>https://resources.simonelectric.com/simon-ebook-vehiculo-electrico</v>
      </c>
      <c r="E2736" s="24" t="str">
        <f t="shared" si="1"/>
        <v/>
      </c>
      <c r="F2736" s="21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</row>
    <row r="2737" ht="15.75" customHeight="1">
      <c r="A2737" s="18" t="str">
        <f>Descargas!A2737</f>
        <v>2125@ctac.es</v>
      </c>
      <c r="B2737" s="19" t="str">
        <f>IFERROR(__xludf.DUMMYFUNCTION("IF(OR(regexmatch(A2737,"".*@simon.es$""),REGEXMATCH(A2737,"".*@simon.pt$""),REGEXMATCH(A2737,"".*@simonelectrica.com$""),REGEXMATCH(A2737,"".*@hiberus.com$""),REGEXMATCH(A2737,"".*@simonbrico.es$""),regexmatch(A2737,"".*@simonelectric.com$"")),""null"",A2"&amp;"737)"),"2125@ctac.es")</f>
        <v>2125@ctac.es</v>
      </c>
      <c r="C2737" s="5">
        <f>IF(B2737="null","null",Descargas!B2737)</f>
        <v>43931</v>
      </c>
      <c r="D2737" s="6" t="str">
        <f>Descargas!E2737</f>
        <v>https://resources.simonelectric.com/simon-ebook-vehiculo-electrico-ppc</v>
      </c>
      <c r="E2737" s="20" t="str">
        <f t="shared" si="1"/>
        <v>2125@ctac.es</v>
      </c>
      <c r="F2737" s="21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</row>
    <row r="2738" ht="15.75" customHeight="1">
      <c r="A2738" s="18" t="str">
        <f>Descargas!A2738</f>
        <v>2143@gmail.com</v>
      </c>
      <c r="B2738" s="19" t="str">
        <f>IFERROR(__xludf.DUMMYFUNCTION("IF(OR(regexmatch(A2738,"".*@simon.es$""),REGEXMATCH(A2738,"".*@simon.pt$""),REGEXMATCH(A2738,"".*@simonelectrica.com$""),REGEXMATCH(A2738,"".*@hiberus.com$""),REGEXMATCH(A2738,"".*@simonbrico.es$""),regexmatch(A2738,"".*@simonelectric.com$"")),""null"",A2"&amp;"738)"),"2143@gmail.com")</f>
        <v>2143@gmail.com</v>
      </c>
      <c r="C2738" s="5">
        <f>IF(B2738="null","null",Descargas!B2738)</f>
        <v>43931</v>
      </c>
      <c r="D2738" s="6" t="str">
        <f>Descargas!E2738</f>
        <v>https://resources.simonelectric.com/simon-ebook-vehiculo-electrico-ppc</v>
      </c>
      <c r="E2738" s="20" t="str">
        <f t="shared" si="1"/>
        <v>2143@gmail.com</v>
      </c>
      <c r="F2738" s="21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</row>
    <row r="2739" ht="15.75" customHeight="1">
      <c r="A2739" s="18" t="str">
        <f>Descargas!A2739</f>
        <v>1276@protomar.es</v>
      </c>
      <c r="B2739" s="19" t="str">
        <f>IFERROR(__xludf.DUMMYFUNCTION("IF(OR(regexmatch(A2739,"".*@simon.es$""),REGEXMATCH(A2739,"".*@simon.pt$""),REGEXMATCH(A2739,"".*@simonelectrica.com$""),REGEXMATCH(A2739,"".*@hiberus.com$""),REGEXMATCH(A2739,"".*@simonbrico.es$""),regexmatch(A2739,"".*@simonelectric.com$"")),""null"",A2"&amp;"739)"),"1276@protomar.es")</f>
        <v>1276@protomar.es</v>
      </c>
      <c r="C2739" s="5">
        <f>IF(B2739="null","null",Descargas!B2739)</f>
        <v>43931</v>
      </c>
      <c r="D2739" s="6" t="str">
        <f>Descargas!E2739</f>
        <v>https://resources.simonelectric.com/simon-ebook-vehiculo-electrico</v>
      </c>
      <c r="E2739" s="20" t="str">
        <f t="shared" si="1"/>
        <v>1276@protomar.es</v>
      </c>
      <c r="F2739" s="21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</row>
    <row r="2740" ht="15.75" customHeight="1">
      <c r="A2740" s="18" t="str">
        <f>Descargas!A2740</f>
        <v>2144@gmail.com</v>
      </c>
      <c r="B2740" s="19" t="str">
        <f>IFERROR(__xludf.DUMMYFUNCTION("IF(OR(regexmatch(A2740,"".*@simon.es$""),REGEXMATCH(A2740,"".*@simon.pt$""),REGEXMATCH(A2740,"".*@simonelectrica.com$""),REGEXMATCH(A2740,"".*@hiberus.com$""),REGEXMATCH(A2740,"".*@simonbrico.es$""),regexmatch(A2740,"".*@simonelectric.com$"")),""null"",A2"&amp;"740)"),"2144@gmail.com")</f>
        <v>2144@gmail.com</v>
      </c>
      <c r="C2740" s="5">
        <f>IF(B2740="null","null",Descargas!B2740)</f>
        <v>43931</v>
      </c>
      <c r="D2740" s="6" t="str">
        <f>Descargas!E2740</f>
        <v>https://resources.simonelectric.com/simon-ebook-vehiculo-electrico-ppc</v>
      </c>
      <c r="E2740" s="20" t="str">
        <f t="shared" si="1"/>
        <v>2144@gmail.com</v>
      </c>
      <c r="F2740" s="21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</row>
    <row r="2741" ht="15.75" customHeight="1">
      <c r="A2741" s="18" t="str">
        <f>Descargas!A2741</f>
        <v>2145@gmail.com</v>
      </c>
      <c r="B2741" s="19" t="str">
        <f>IFERROR(__xludf.DUMMYFUNCTION("IF(OR(regexmatch(A2741,"".*@simon.es$""),REGEXMATCH(A2741,"".*@simon.pt$""),REGEXMATCH(A2741,"".*@simonelectrica.com$""),REGEXMATCH(A2741,"".*@hiberus.com$""),REGEXMATCH(A2741,"".*@simonbrico.es$""),regexmatch(A2741,"".*@simonelectric.com$"")),""null"",A2"&amp;"741)"),"2145@gmail.com")</f>
        <v>2145@gmail.com</v>
      </c>
      <c r="C2741" s="5">
        <f>IF(B2741="null","null",Descargas!B2741)</f>
        <v>43931</v>
      </c>
      <c r="D2741" s="6" t="str">
        <f>Descargas!E2741</f>
        <v>https://resources.simonelectric.com/simon-catalogo-vehiculo-electrico</v>
      </c>
      <c r="E2741" s="20" t="str">
        <f t="shared" si="1"/>
        <v>2145@gmail.com</v>
      </c>
      <c r="F2741" s="21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</row>
    <row r="2742" ht="15.75" customHeight="1">
      <c r="A2742" s="18" t="str">
        <f>Descargas!A2742</f>
        <v>2145@gmail.com</v>
      </c>
      <c r="B2742" s="19" t="str">
        <f>IFERROR(__xludf.DUMMYFUNCTION("IF(OR(regexmatch(A2742,"".*@simon.es$""),REGEXMATCH(A2742,"".*@simon.pt$""),REGEXMATCH(A2742,"".*@simonelectrica.com$""),REGEXMATCH(A2742,"".*@hiberus.com$""),REGEXMATCH(A2742,"".*@simonbrico.es$""),regexmatch(A2742,"".*@simonelectric.com$"")),""null"",A2"&amp;"742)"),"2145@gmail.com")</f>
        <v>2145@gmail.com</v>
      </c>
      <c r="C2742" s="5">
        <f>IF(B2742="null","null",Descargas!B2742)</f>
        <v>43931</v>
      </c>
      <c r="D2742" s="6" t="str">
        <f>Descargas!E2742</f>
        <v>https://resources.simonelectric.com/simon-ebook-vehiculo-electrico</v>
      </c>
      <c r="E2742" s="20" t="str">
        <f t="shared" si="1"/>
        <v>2145@gmail.com</v>
      </c>
      <c r="F2742" s="21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</row>
    <row r="2743" ht="15.75" customHeight="1">
      <c r="A2743" s="18" t="str">
        <f>Descargas!A2743</f>
        <v>2146@hotmail.es</v>
      </c>
      <c r="B2743" s="19" t="str">
        <f>IFERROR(__xludf.DUMMYFUNCTION("IF(OR(regexmatch(A2743,"".*@simon.es$""),REGEXMATCH(A2743,"".*@simon.pt$""),REGEXMATCH(A2743,"".*@simonelectrica.com$""),REGEXMATCH(A2743,"".*@hiberus.com$""),REGEXMATCH(A2743,"".*@simonbrico.es$""),regexmatch(A2743,"".*@simonelectric.com$"")),""null"",A2"&amp;"743)"),"2146@hotmail.es")</f>
        <v>2146@hotmail.es</v>
      </c>
      <c r="C2743" s="5">
        <f>IF(B2743="null","null",Descargas!B2743)</f>
        <v>43931</v>
      </c>
      <c r="D2743" s="6" t="str">
        <f>Descargas!E2743</f>
        <v>https://resources.simonelectric.com/simon-ebook-vehiculo-electrico-ppc</v>
      </c>
      <c r="E2743" s="20" t="str">
        <f t="shared" si="1"/>
        <v>2146@hotmail.es</v>
      </c>
      <c r="F2743" s="21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</row>
    <row r="2744" ht="15.75" customHeight="1">
      <c r="A2744" s="18" t="str">
        <f>Descargas!A2744</f>
        <v>2147@gmail.com</v>
      </c>
      <c r="B2744" s="19" t="str">
        <f>IFERROR(__xludf.DUMMYFUNCTION("IF(OR(regexmatch(A2744,"".*@simon.es$""),REGEXMATCH(A2744,"".*@simon.pt$""),REGEXMATCH(A2744,"".*@simonelectrica.com$""),REGEXMATCH(A2744,"".*@hiberus.com$""),REGEXMATCH(A2744,"".*@simonbrico.es$""),regexmatch(A2744,"".*@simonelectric.com$"")),""null"",A2"&amp;"744)"),"2147@gmail.com")</f>
        <v>2147@gmail.com</v>
      </c>
      <c r="C2744" s="5">
        <f>IF(B2744="null","null",Descargas!B2744)</f>
        <v>43931</v>
      </c>
      <c r="D2744" s="6" t="str">
        <f>Descargas!E2744</f>
        <v>https://resources.simonelectric.com/simon-ebook-vehiculo-electrico-ppc</v>
      </c>
      <c r="E2744" s="20" t="str">
        <f t="shared" si="1"/>
        <v>2147@gmail.com</v>
      </c>
      <c r="F2744" s="21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</row>
    <row r="2745" ht="15.75" customHeight="1">
      <c r="A2745" s="18" t="str">
        <f>Descargas!A2745</f>
        <v>2148@gmail.com</v>
      </c>
      <c r="B2745" s="19" t="str">
        <f>IFERROR(__xludf.DUMMYFUNCTION("IF(OR(regexmatch(A2745,"".*@simon.es$""),REGEXMATCH(A2745,"".*@simon.pt$""),REGEXMATCH(A2745,"".*@simonelectrica.com$""),REGEXMATCH(A2745,"".*@hiberus.com$""),REGEXMATCH(A2745,"".*@simonbrico.es$""),regexmatch(A2745,"".*@simonelectric.com$"")),""null"",A2"&amp;"745)"),"2148@gmail.com")</f>
        <v>2148@gmail.com</v>
      </c>
      <c r="C2745" s="5">
        <f>IF(B2745="null","null",Descargas!B2745)</f>
        <v>43931</v>
      </c>
      <c r="D2745" s="6" t="str">
        <f>Descargas!E2745</f>
        <v>https://resources.simonelectric.com/simon-ebook-vehiculo-electrico-ppc</v>
      </c>
      <c r="E2745" s="20" t="str">
        <f t="shared" si="1"/>
        <v>2148@gmail.com</v>
      </c>
      <c r="F2745" s="21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</row>
    <row r="2746" ht="15.75" customHeight="1">
      <c r="A2746" s="18" t="str">
        <f>Descargas!A2746</f>
        <v>2149@gmail.com</v>
      </c>
      <c r="B2746" s="19" t="str">
        <f>IFERROR(__xludf.DUMMYFUNCTION("IF(OR(regexmatch(A2746,"".*@simon.es$""),REGEXMATCH(A2746,"".*@simon.pt$""),REGEXMATCH(A2746,"".*@simonelectrica.com$""),REGEXMATCH(A2746,"".*@hiberus.com$""),REGEXMATCH(A2746,"".*@simonbrico.es$""),regexmatch(A2746,"".*@simonelectric.com$"")),""null"",A2"&amp;"746)"),"2149@gmail.com")</f>
        <v>2149@gmail.com</v>
      </c>
      <c r="C2746" s="5">
        <f>IF(B2746="null","null",Descargas!B2746)</f>
        <v>43930</v>
      </c>
      <c r="D2746" s="6" t="str">
        <f>Descargas!E2746</f>
        <v>https://resources.simonelectric.com/simon-ebook-vehiculo-electrico-ppc</v>
      </c>
      <c r="E2746" s="20" t="str">
        <f t="shared" si="1"/>
        <v>2149@gmail.com</v>
      </c>
      <c r="F2746" s="21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</row>
    <row r="2747" ht="15.75" customHeight="1">
      <c r="A2747" s="18" t="str">
        <f>Descargas!A2747</f>
        <v>2150@yahoo.es</v>
      </c>
      <c r="B2747" s="19" t="str">
        <f>IFERROR(__xludf.DUMMYFUNCTION("IF(OR(regexmatch(A2747,"".*@simon.es$""),REGEXMATCH(A2747,"".*@simon.pt$""),REGEXMATCH(A2747,"".*@simonelectrica.com$""),REGEXMATCH(A2747,"".*@hiberus.com$""),REGEXMATCH(A2747,"".*@simonbrico.es$""),regexmatch(A2747,"".*@simonelectric.com$"")),""null"",A2"&amp;"747)"),"2150@yahoo.es")</f>
        <v>2150@yahoo.es</v>
      </c>
      <c r="C2747" s="5">
        <f>IF(B2747="null","null",Descargas!B2747)</f>
        <v>43930</v>
      </c>
      <c r="D2747" s="6" t="str">
        <f>Descargas!E2747</f>
        <v>https://resources.simonelectric.com/simon-ebook-vehiculo-electrico-ppc</v>
      </c>
      <c r="E2747" s="20" t="str">
        <f t="shared" si="1"/>
        <v>2150@yahoo.es</v>
      </c>
      <c r="F2747" s="21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</row>
    <row r="2748" ht="15.75" customHeight="1">
      <c r="A2748" s="18" t="str">
        <f>Descargas!A2748</f>
        <v>2151@gmail.com</v>
      </c>
      <c r="B2748" s="19" t="str">
        <f>IFERROR(__xludf.DUMMYFUNCTION("IF(OR(regexmatch(A2748,"".*@simon.es$""),REGEXMATCH(A2748,"".*@simon.pt$""),REGEXMATCH(A2748,"".*@simonelectrica.com$""),REGEXMATCH(A2748,"".*@hiberus.com$""),REGEXMATCH(A2748,"".*@simonbrico.es$""),regexmatch(A2748,"".*@simonelectric.com$"")),""null"",A2"&amp;"748)"),"2151@gmail.com")</f>
        <v>2151@gmail.com</v>
      </c>
      <c r="C2748" s="5">
        <f>IF(B2748="null","null",Descargas!B2748)</f>
        <v>43930</v>
      </c>
      <c r="D2748" s="6" t="str">
        <f>Descargas!E2748</f>
        <v>https://resources.simonelectric.com/simon-ebook-vehiculo-electrico</v>
      </c>
      <c r="E2748" s="20" t="str">
        <f t="shared" si="1"/>
        <v>2151@gmail.com</v>
      </c>
      <c r="F2748" s="21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</row>
    <row r="2749" ht="15.75" customHeight="1">
      <c r="A2749" s="18" t="str">
        <f>Descargas!A2749</f>
        <v>1809@prodelec.es</v>
      </c>
      <c r="B2749" s="19" t="str">
        <f>IFERROR(__xludf.DUMMYFUNCTION("IF(OR(regexmatch(A2749,"".*@simon.es$""),REGEXMATCH(A2749,"".*@simon.pt$""),REGEXMATCH(A2749,"".*@simonelectrica.com$""),REGEXMATCH(A2749,"".*@hiberus.com$""),REGEXMATCH(A2749,"".*@simonbrico.es$""),regexmatch(A2749,"".*@simonelectric.com$"")),""null"",A2"&amp;"749)"),"1809@prodelec.es")</f>
        <v>1809@prodelec.es</v>
      </c>
      <c r="C2749" s="5">
        <f>IF(B2749="null","null",Descargas!B2749)</f>
        <v>43930</v>
      </c>
      <c r="D2749" s="6" t="str">
        <f>Descargas!E2749</f>
        <v>https://resources.simonelectric.com/simon-ebook-vehiculo-electrico</v>
      </c>
      <c r="E2749" s="20" t="str">
        <f t="shared" si="1"/>
        <v>1809@prodelec.es</v>
      </c>
      <c r="F2749" s="21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</row>
    <row r="2750" ht="15.75" customHeight="1">
      <c r="A2750" s="18" t="str">
        <f>Descargas!A2750</f>
        <v>844@certis.cat</v>
      </c>
      <c r="B2750" s="19" t="str">
        <f>IFERROR(__xludf.DUMMYFUNCTION("IF(OR(regexmatch(A2750,"".*@simon.es$""),REGEXMATCH(A2750,"".*@simon.pt$""),REGEXMATCH(A2750,"".*@simonelectrica.com$""),REGEXMATCH(A2750,"".*@hiberus.com$""),REGEXMATCH(A2750,"".*@simonbrico.es$""),regexmatch(A2750,"".*@simonelectric.com$"")),""null"",A2"&amp;"750)"),"844@certis.cat")</f>
        <v>844@certis.cat</v>
      </c>
      <c r="C2750" s="5">
        <f>IF(B2750="null","null",Descargas!B2750)</f>
        <v>43930</v>
      </c>
      <c r="D2750" s="6" t="str">
        <f>Descargas!E2750</f>
        <v>https://resources.simonelectric.com/simon-ebook-vehiculo-electrico</v>
      </c>
      <c r="E2750" s="20" t="str">
        <f t="shared" si="1"/>
        <v>844@certis.cat</v>
      </c>
      <c r="F2750" s="21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</row>
    <row r="2751" ht="15.75" customHeight="1">
      <c r="A2751" s="18" t="str">
        <f>Descargas!A2751</f>
        <v>2152@igkarratu.com</v>
      </c>
      <c r="B2751" s="19" t="str">
        <f>IFERROR(__xludf.DUMMYFUNCTION("IF(OR(regexmatch(A2751,"".*@simon.es$""),REGEXMATCH(A2751,"".*@simon.pt$""),REGEXMATCH(A2751,"".*@simonelectrica.com$""),REGEXMATCH(A2751,"".*@hiberus.com$""),REGEXMATCH(A2751,"".*@simonbrico.es$""),regexmatch(A2751,"".*@simonelectric.com$"")),""null"",A2"&amp;"751)"),"2152@igkarratu.com")</f>
        <v>2152@igkarratu.com</v>
      </c>
      <c r="C2751" s="5">
        <f>IF(B2751="null","null",Descargas!B2751)</f>
        <v>43930</v>
      </c>
      <c r="D2751" s="6" t="str">
        <f>Descargas!E2751</f>
        <v>https://resources.simonelectric.com/simon-ebook-vehiculo-electrico</v>
      </c>
      <c r="E2751" s="20" t="str">
        <f t="shared" si="1"/>
        <v>2152@igkarratu.com</v>
      </c>
      <c r="F2751" s="21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</row>
    <row r="2752" ht="15.75" customHeight="1">
      <c r="A2752" s="18" t="str">
        <f>Descargas!A2752</f>
        <v>2153@gmail.com</v>
      </c>
      <c r="B2752" s="19" t="str">
        <f>IFERROR(__xludf.DUMMYFUNCTION("IF(OR(regexmatch(A2752,"".*@simon.es$""),REGEXMATCH(A2752,"".*@simon.pt$""),REGEXMATCH(A2752,"".*@simonelectrica.com$""),REGEXMATCH(A2752,"".*@hiberus.com$""),REGEXMATCH(A2752,"".*@simonbrico.es$""),regexmatch(A2752,"".*@simonelectric.com$"")),""null"",A2"&amp;"752)"),"2153@gmail.com")</f>
        <v>2153@gmail.com</v>
      </c>
      <c r="C2752" s="5">
        <f>IF(B2752="null","null",Descargas!B2752)</f>
        <v>43930</v>
      </c>
      <c r="D2752" s="6" t="str">
        <f>Descargas!E2752</f>
        <v>https://resources.simonelectric.com/simon-ebook-vehiculo-electrico-ppc</v>
      </c>
      <c r="E2752" s="20" t="str">
        <f t="shared" si="1"/>
        <v>2153@gmail.com</v>
      </c>
      <c r="F2752" s="21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</row>
    <row r="2753" ht="15.75" customHeight="1">
      <c r="A2753" s="18" t="str">
        <f>Descargas!A2753</f>
        <v>2016@simon.es</v>
      </c>
      <c r="B2753" s="19" t="str">
        <f>IFERROR(__xludf.DUMMYFUNCTION("IF(OR(regexmatch(A2753,"".*@simon.es$""),REGEXMATCH(A2753,"".*@simon.pt$""),REGEXMATCH(A2753,"".*@simonelectrica.com$""),REGEXMATCH(A2753,"".*@hiberus.com$""),REGEXMATCH(A2753,"".*@simonbrico.es$""),regexmatch(A2753,"".*@simonelectric.com$"")),""null"",A2"&amp;"753)"),"null")</f>
        <v>null</v>
      </c>
      <c r="C2753" s="5" t="str">
        <f>IF(B2753="null","null",Descargas!B2753)</f>
        <v>null</v>
      </c>
      <c r="D2753" s="6" t="str">
        <f>Descargas!E2753</f>
        <v>https://resources.simonelectric.com/simon-ebook-vehiculo-electrico</v>
      </c>
      <c r="E2753" s="24" t="str">
        <f t="shared" si="1"/>
        <v/>
      </c>
      <c r="F2753" s="21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</row>
    <row r="2754" ht="15.75" customHeight="1">
      <c r="A2754" s="18" t="str">
        <f>Descargas!A2754</f>
        <v>2154@gmail.com</v>
      </c>
      <c r="B2754" s="19" t="str">
        <f>IFERROR(__xludf.DUMMYFUNCTION("IF(OR(regexmatch(A2754,"".*@simon.es$""),REGEXMATCH(A2754,"".*@simon.pt$""),REGEXMATCH(A2754,"".*@simonelectrica.com$""),REGEXMATCH(A2754,"".*@hiberus.com$""),REGEXMATCH(A2754,"".*@simonbrico.es$""),regexmatch(A2754,"".*@simonelectric.com$"")),""null"",A2"&amp;"754)"),"2154@gmail.com")</f>
        <v>2154@gmail.com</v>
      </c>
      <c r="C2754" s="5">
        <f>IF(B2754="null","null",Descargas!B2754)</f>
        <v>43930</v>
      </c>
      <c r="D2754" s="6" t="str">
        <f>Descargas!E2754</f>
        <v>https://resources.simonelectric.com/simon-ebook-vehiculo-electrico-ppc</v>
      </c>
      <c r="E2754" s="20" t="str">
        <f t="shared" si="1"/>
        <v>2154@gmail.com</v>
      </c>
      <c r="F2754" s="21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</row>
    <row r="2755" ht="15.75" customHeight="1">
      <c r="A2755" s="18" t="str">
        <f>Descargas!A2755</f>
        <v>2155@gmail.com</v>
      </c>
      <c r="B2755" s="19" t="str">
        <f>IFERROR(__xludf.DUMMYFUNCTION("IF(OR(regexmatch(A2755,"".*@simon.es$""),REGEXMATCH(A2755,"".*@simon.pt$""),REGEXMATCH(A2755,"".*@simonelectrica.com$""),REGEXMATCH(A2755,"".*@hiberus.com$""),REGEXMATCH(A2755,"".*@simonbrico.es$""),regexmatch(A2755,"".*@simonelectric.com$"")),""null"",A2"&amp;"755)"),"2155@gmail.com")</f>
        <v>2155@gmail.com</v>
      </c>
      <c r="C2755" s="5">
        <f>IF(B2755="null","null",Descargas!B2755)</f>
        <v>43930</v>
      </c>
      <c r="D2755" s="6" t="str">
        <f>Descargas!E2755</f>
        <v>https://resources.simonelectric.com/simon-ebook-vehiculo-electrico-ppc</v>
      </c>
      <c r="E2755" s="20" t="str">
        <f t="shared" si="1"/>
        <v>2155@gmail.com</v>
      </c>
      <c r="F2755" s="21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</row>
    <row r="2756" ht="15.75" customHeight="1">
      <c r="A2756" s="18" t="str">
        <f>Descargas!A2756</f>
        <v>2156@gmail.com</v>
      </c>
      <c r="B2756" s="19" t="str">
        <f>IFERROR(__xludf.DUMMYFUNCTION("IF(OR(regexmatch(A2756,"".*@simon.es$""),REGEXMATCH(A2756,"".*@simon.pt$""),REGEXMATCH(A2756,"".*@simonelectrica.com$""),REGEXMATCH(A2756,"".*@hiberus.com$""),REGEXMATCH(A2756,"".*@simonbrico.es$""),regexmatch(A2756,"".*@simonelectric.com$"")),""null"",A2"&amp;"756)"),"2156@gmail.com")</f>
        <v>2156@gmail.com</v>
      </c>
      <c r="C2756" s="5">
        <f>IF(B2756="null","null",Descargas!B2756)</f>
        <v>43930</v>
      </c>
      <c r="D2756" s="6" t="str">
        <f>Descargas!E2756</f>
        <v>https://resources.simonelectric.com/simon-ebook-vehiculo-electrico-0</v>
      </c>
      <c r="E2756" s="20" t="str">
        <f t="shared" si="1"/>
        <v>2156@gmail.com</v>
      </c>
      <c r="F2756" s="21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</row>
    <row r="2757" ht="15.75" customHeight="1">
      <c r="A2757" s="18" t="str">
        <f>Descargas!A2757</f>
        <v>2157@hotmail.com</v>
      </c>
      <c r="B2757" s="19" t="str">
        <f>IFERROR(__xludf.DUMMYFUNCTION("IF(OR(regexmatch(A2757,"".*@simon.es$""),REGEXMATCH(A2757,"".*@simon.pt$""),REGEXMATCH(A2757,"".*@simonelectrica.com$""),REGEXMATCH(A2757,"".*@hiberus.com$""),REGEXMATCH(A2757,"".*@simonbrico.es$""),regexmatch(A2757,"".*@simonelectric.com$"")),""null"",A2"&amp;"757)"),"2157@hotmail.com")</f>
        <v>2157@hotmail.com</v>
      </c>
      <c r="C2757" s="5">
        <f>IF(B2757="null","null",Descargas!B2757)</f>
        <v>43930</v>
      </c>
      <c r="D2757" s="6" t="str">
        <f>Descargas!E2757</f>
        <v>https://resources.simonelectric.com/simon-ebook-vehiculo-electrico-ppc</v>
      </c>
      <c r="E2757" s="20" t="str">
        <f t="shared" si="1"/>
        <v>2157@hotmail.com</v>
      </c>
      <c r="F2757" s="21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</row>
    <row r="2758" ht="15.75" customHeight="1">
      <c r="A2758" s="18" t="str">
        <f>Descargas!A2758</f>
        <v>278@urbaser.com</v>
      </c>
      <c r="B2758" s="19" t="str">
        <f>IFERROR(__xludf.DUMMYFUNCTION("IF(OR(regexmatch(A2758,"".*@simon.es$""),REGEXMATCH(A2758,"".*@simon.pt$""),REGEXMATCH(A2758,"".*@simonelectrica.com$""),REGEXMATCH(A2758,"".*@hiberus.com$""),REGEXMATCH(A2758,"".*@simonbrico.es$""),regexmatch(A2758,"".*@simonelectric.com$"")),""null"",A2"&amp;"758)"),"278@urbaser.com")</f>
        <v>278@urbaser.com</v>
      </c>
      <c r="C2758" s="5">
        <f>IF(B2758="null","null",Descargas!B2758)</f>
        <v>43929</v>
      </c>
      <c r="D2758" s="6" t="str">
        <f>Descargas!E2758</f>
        <v>https://resources.simonelectric.com/simon-ebook-vehiculo-electrico</v>
      </c>
      <c r="E2758" s="20" t="str">
        <f t="shared" si="1"/>
        <v>278@urbaser.com</v>
      </c>
      <c r="F2758" s="21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</row>
    <row r="2759" ht="15.75" customHeight="1">
      <c r="A2759" s="18" t="str">
        <f>Descargas!A2759</f>
        <v>2158@gmail.com</v>
      </c>
      <c r="B2759" s="19" t="str">
        <f>IFERROR(__xludf.DUMMYFUNCTION("IF(OR(regexmatch(A2759,"".*@simon.es$""),REGEXMATCH(A2759,"".*@simon.pt$""),REGEXMATCH(A2759,"".*@simonelectrica.com$""),REGEXMATCH(A2759,"".*@hiberus.com$""),REGEXMATCH(A2759,"".*@simonbrico.es$""),regexmatch(A2759,"".*@simonelectric.com$"")),""null"",A2"&amp;"759)"),"2158@gmail.com")</f>
        <v>2158@gmail.com</v>
      </c>
      <c r="C2759" s="5">
        <f>IF(B2759="null","null",Descargas!B2759)</f>
        <v>43929</v>
      </c>
      <c r="D2759" s="6" t="str">
        <f>Descargas!E2759</f>
        <v>https://resources.simonelectric.com/simon-ebook-vehiculo-electrico-ppc</v>
      </c>
      <c r="E2759" s="20" t="str">
        <f t="shared" si="1"/>
        <v>2158@gmail.com</v>
      </c>
      <c r="F2759" s="21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</row>
    <row r="2760" ht="15.75" customHeight="1">
      <c r="A2760" s="18" t="str">
        <f>Descargas!A2760</f>
        <v>2159@hotmail.com</v>
      </c>
      <c r="B2760" s="19" t="str">
        <f>IFERROR(__xludf.DUMMYFUNCTION("IF(OR(regexmatch(A2760,"".*@simon.es$""),REGEXMATCH(A2760,"".*@simon.pt$""),REGEXMATCH(A2760,"".*@simonelectrica.com$""),REGEXMATCH(A2760,"".*@hiberus.com$""),REGEXMATCH(A2760,"".*@simonbrico.es$""),regexmatch(A2760,"".*@simonelectric.com$"")),""null"",A2"&amp;"760)"),"2159@hotmail.com")</f>
        <v>2159@hotmail.com</v>
      </c>
      <c r="C2760" s="5">
        <f>IF(B2760="null","null",Descargas!B2760)</f>
        <v>43929</v>
      </c>
      <c r="D2760" s="6" t="str">
        <f>Descargas!E2760</f>
        <v>https://resources.simonelectric.com/simon-catalogo-vehiculo-electrico</v>
      </c>
      <c r="E2760" s="20" t="str">
        <f t="shared" si="1"/>
        <v>2159@hotmail.com</v>
      </c>
      <c r="F2760" s="21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</row>
    <row r="2761" ht="15.75" customHeight="1">
      <c r="A2761" s="18" t="str">
        <f>Descargas!A2761</f>
        <v>2159@hotmail.com</v>
      </c>
      <c r="B2761" s="19" t="str">
        <f>IFERROR(__xludf.DUMMYFUNCTION("IF(OR(regexmatch(A2761,"".*@simon.es$""),REGEXMATCH(A2761,"".*@simon.pt$""),REGEXMATCH(A2761,"".*@simonelectrica.com$""),REGEXMATCH(A2761,"".*@hiberus.com$""),REGEXMATCH(A2761,"".*@simonbrico.es$""),regexmatch(A2761,"".*@simonelectric.com$"")),""null"",A2"&amp;"761)"),"2159@hotmail.com")</f>
        <v>2159@hotmail.com</v>
      </c>
      <c r="C2761" s="5">
        <f>IF(B2761="null","null",Descargas!B2761)</f>
        <v>43929</v>
      </c>
      <c r="D2761" s="6" t="str">
        <f>Descargas!E2761</f>
        <v>https://resources.simonelectric.com/simon-ebook-vehiculo-electrico</v>
      </c>
      <c r="E2761" s="20" t="str">
        <f t="shared" si="1"/>
        <v>2159@hotmail.com</v>
      </c>
      <c r="F2761" s="21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</row>
    <row r="2762" ht="15.75" customHeight="1">
      <c r="A2762" s="18" t="str">
        <f>Descargas!A2762</f>
        <v>2160@yahoo.es</v>
      </c>
      <c r="B2762" s="19" t="str">
        <f>IFERROR(__xludf.DUMMYFUNCTION("IF(OR(regexmatch(A2762,"".*@simon.es$""),REGEXMATCH(A2762,"".*@simon.pt$""),REGEXMATCH(A2762,"".*@simonelectrica.com$""),REGEXMATCH(A2762,"".*@hiberus.com$""),REGEXMATCH(A2762,"".*@simonbrico.es$""),regexmatch(A2762,"".*@simonelectric.com$"")),""null"",A2"&amp;"762)"),"2160@yahoo.es")</f>
        <v>2160@yahoo.es</v>
      </c>
      <c r="C2762" s="5">
        <f>IF(B2762="null","null",Descargas!B2762)</f>
        <v>43929</v>
      </c>
      <c r="D2762" s="6" t="str">
        <f>Descargas!E2762</f>
        <v>https://resources.simonelectric.com/simon-ebook-vehiculo-electrico-ppc</v>
      </c>
      <c r="E2762" s="20" t="str">
        <f t="shared" si="1"/>
        <v>2160@yahoo.es</v>
      </c>
      <c r="F2762" s="21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</row>
    <row r="2763" ht="15.75" customHeight="1">
      <c r="A2763" s="18" t="str">
        <f>Descargas!A2763</f>
        <v>2161@hotmail.com</v>
      </c>
      <c r="B2763" s="19" t="str">
        <f>IFERROR(__xludf.DUMMYFUNCTION("IF(OR(regexmatch(A2763,"".*@simon.es$""),REGEXMATCH(A2763,"".*@simon.pt$""),REGEXMATCH(A2763,"".*@simonelectrica.com$""),REGEXMATCH(A2763,"".*@hiberus.com$""),REGEXMATCH(A2763,"".*@simonbrico.es$""),regexmatch(A2763,"".*@simonelectric.com$"")),""null"",A2"&amp;"763)"),"2161@hotmail.com")</f>
        <v>2161@hotmail.com</v>
      </c>
      <c r="C2763" s="5">
        <f>IF(B2763="null","null",Descargas!B2763)</f>
        <v>43929</v>
      </c>
      <c r="D2763" s="6" t="str">
        <f>Descargas!E2763</f>
        <v>https://resources.simonelectric.com/simon-ebook-vehiculo-electrico</v>
      </c>
      <c r="E2763" s="20" t="str">
        <f t="shared" si="1"/>
        <v>2161@hotmail.com</v>
      </c>
      <c r="F2763" s="21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</row>
    <row r="2764" ht="15.75" customHeight="1">
      <c r="A2764" s="18" t="str">
        <f>Descargas!A2764</f>
        <v>2162@gienergygroup.com</v>
      </c>
      <c r="B2764" s="19" t="str">
        <f>IFERROR(__xludf.DUMMYFUNCTION("IF(OR(regexmatch(A2764,"".*@simon.es$""),REGEXMATCH(A2764,"".*@simon.pt$""),REGEXMATCH(A2764,"".*@simonelectrica.com$""),REGEXMATCH(A2764,"".*@hiberus.com$""),REGEXMATCH(A2764,"".*@simonbrico.es$""),regexmatch(A2764,"".*@simonelectric.com$"")),""null"",A2"&amp;"764)"),"2162@gienergygroup.com")</f>
        <v>2162@gienergygroup.com</v>
      </c>
      <c r="C2764" s="5">
        <f>IF(B2764="null","null",Descargas!B2764)</f>
        <v>43929</v>
      </c>
      <c r="D2764" s="6" t="str">
        <f>Descargas!E2764</f>
        <v>https://resources.simonelectric.com/simon-ebook-vehiculo-electrico</v>
      </c>
      <c r="E2764" s="20" t="str">
        <f t="shared" si="1"/>
        <v>2162@gienergygroup.com</v>
      </c>
      <c r="F2764" s="21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</row>
    <row r="2765" ht="15.75" customHeight="1">
      <c r="A2765" s="18" t="str">
        <f>Descargas!A2765</f>
        <v>2162@gienergygroup.com</v>
      </c>
      <c r="B2765" s="19" t="str">
        <f>IFERROR(__xludf.DUMMYFUNCTION("IF(OR(regexmatch(A2765,"".*@simon.es$""),REGEXMATCH(A2765,"".*@simon.pt$""),REGEXMATCH(A2765,"".*@simonelectrica.com$""),REGEXMATCH(A2765,"".*@hiberus.com$""),REGEXMATCH(A2765,"".*@simonbrico.es$""),regexmatch(A2765,"".*@simonelectric.com$"")),""null"",A2"&amp;"765)"),"2162@gienergygroup.com")</f>
        <v>2162@gienergygroup.com</v>
      </c>
      <c r="C2765" s="5">
        <f>IF(B2765="null","null",Descargas!B2765)</f>
        <v>43929</v>
      </c>
      <c r="D2765" s="6" t="str">
        <f>Descargas!E2765</f>
        <v>https://resources.simonelectric.com/simon-ebook-vehiculo-electrico</v>
      </c>
      <c r="E2765" s="20" t="str">
        <f t="shared" si="1"/>
        <v>2162@gienergygroup.com</v>
      </c>
      <c r="F2765" s="21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</row>
    <row r="2766" ht="15.75" customHeight="1">
      <c r="A2766" s="18" t="str">
        <f>Descargas!A2766</f>
        <v>2162@gienergygroup.com</v>
      </c>
      <c r="B2766" s="19" t="str">
        <f>IFERROR(__xludf.DUMMYFUNCTION("IF(OR(regexmatch(A2766,"".*@simon.es$""),REGEXMATCH(A2766,"".*@simon.pt$""),REGEXMATCH(A2766,"".*@simonelectrica.com$""),REGEXMATCH(A2766,"".*@hiberus.com$""),REGEXMATCH(A2766,"".*@simonbrico.es$""),regexmatch(A2766,"".*@simonelectric.com$"")),""null"",A2"&amp;"766)"),"2162@gienergygroup.com")</f>
        <v>2162@gienergygroup.com</v>
      </c>
      <c r="C2766" s="5">
        <f>IF(B2766="null","null",Descargas!B2766)</f>
        <v>43929</v>
      </c>
      <c r="D2766" s="6" t="str">
        <f>Descargas!E2766</f>
        <v>https://resources.simonelectric.com/simon-ebook-vehiculo-electrico</v>
      </c>
      <c r="E2766" s="20" t="str">
        <f t="shared" si="1"/>
        <v>2162@gienergygroup.com</v>
      </c>
      <c r="F2766" s="21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</row>
    <row r="2767" ht="15.75" customHeight="1">
      <c r="A2767" s="18" t="str">
        <f>Descargas!A2767</f>
        <v>2163@hotmail.com</v>
      </c>
      <c r="B2767" s="19" t="str">
        <f>IFERROR(__xludf.DUMMYFUNCTION("IF(OR(regexmatch(A2767,"".*@simon.es$""),REGEXMATCH(A2767,"".*@simon.pt$""),REGEXMATCH(A2767,"".*@simonelectrica.com$""),REGEXMATCH(A2767,"".*@hiberus.com$""),REGEXMATCH(A2767,"".*@simonbrico.es$""),regexmatch(A2767,"".*@simonelectric.com$"")),""null"",A2"&amp;"767)"),"2163@hotmail.com")</f>
        <v>2163@hotmail.com</v>
      </c>
      <c r="C2767" s="5">
        <f>IF(B2767="null","null",Descargas!B2767)</f>
        <v>43929</v>
      </c>
      <c r="D2767" s="6" t="str">
        <f>Descargas!E2767</f>
        <v>https://resources.simonelectric.com/simon-ebook-vehiculo-electrico-ppc</v>
      </c>
      <c r="E2767" s="20" t="str">
        <f t="shared" si="1"/>
        <v>2163@hotmail.com</v>
      </c>
      <c r="F2767" s="21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</row>
    <row r="2768" ht="15.75" customHeight="1">
      <c r="A2768" s="18" t="str">
        <f>Descargas!A2768</f>
        <v>2164@macegroup.com</v>
      </c>
      <c r="B2768" s="19" t="str">
        <f>IFERROR(__xludf.DUMMYFUNCTION("IF(OR(regexmatch(A2768,"".*@simon.es$""),REGEXMATCH(A2768,"".*@simon.pt$""),REGEXMATCH(A2768,"".*@simonelectrica.com$""),REGEXMATCH(A2768,"".*@hiberus.com$""),REGEXMATCH(A2768,"".*@simonbrico.es$""),regexmatch(A2768,"".*@simonelectric.com$"")),""null"",A2"&amp;"768)"),"2164@macegroup.com")</f>
        <v>2164@macegroup.com</v>
      </c>
      <c r="C2768" s="5">
        <f>IF(B2768="null","null",Descargas!B2768)</f>
        <v>43929</v>
      </c>
      <c r="D2768" s="6" t="str">
        <f>Descargas!E2768</f>
        <v>https://resources.simonelectric.com/simon-catalogo-vehiculo-electrico</v>
      </c>
      <c r="E2768" s="20" t="str">
        <f t="shared" si="1"/>
        <v>2164@macegroup.com</v>
      </c>
      <c r="F2768" s="21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</row>
    <row r="2769" ht="15.75" customHeight="1">
      <c r="A2769" s="18" t="str">
        <f>Descargas!A2769</f>
        <v>2165@orangemail.es</v>
      </c>
      <c r="B2769" s="19" t="str">
        <f>IFERROR(__xludf.DUMMYFUNCTION("IF(OR(regexmatch(A2769,"".*@simon.es$""),REGEXMATCH(A2769,"".*@simon.pt$""),REGEXMATCH(A2769,"".*@simonelectrica.com$""),REGEXMATCH(A2769,"".*@hiberus.com$""),REGEXMATCH(A2769,"".*@simonbrico.es$""),regexmatch(A2769,"".*@simonelectric.com$"")),""null"",A2"&amp;"769)"),"2165@orangemail.es")</f>
        <v>2165@orangemail.es</v>
      </c>
      <c r="C2769" s="5">
        <f>IF(B2769="null","null",Descargas!B2769)</f>
        <v>43929</v>
      </c>
      <c r="D2769" s="6" t="str">
        <f>Descargas!E2769</f>
        <v>https://resources.simonelectric.com/simon-ebook-vehiculo-electrico-ppc</v>
      </c>
      <c r="E2769" s="20" t="str">
        <f t="shared" si="1"/>
        <v>2165@orangemail.es</v>
      </c>
      <c r="F2769" s="21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</row>
    <row r="2770" ht="15.75" customHeight="1">
      <c r="A2770" s="18" t="str">
        <f>Descargas!A2770</f>
        <v>2166@gmail.com</v>
      </c>
      <c r="B2770" s="19" t="str">
        <f>IFERROR(__xludf.DUMMYFUNCTION("IF(OR(regexmatch(A2770,"".*@simon.es$""),REGEXMATCH(A2770,"".*@simon.pt$""),REGEXMATCH(A2770,"".*@simonelectrica.com$""),REGEXMATCH(A2770,"".*@hiberus.com$""),REGEXMATCH(A2770,"".*@simonbrico.es$""),regexmatch(A2770,"".*@simonelectric.com$"")),""null"",A2"&amp;"770)"),"2166@gmail.com")</f>
        <v>2166@gmail.com</v>
      </c>
      <c r="C2770" s="5">
        <f>IF(B2770="null","null",Descargas!B2770)</f>
        <v>43929</v>
      </c>
      <c r="D2770" s="6" t="str">
        <f>Descargas!E2770</f>
        <v>https://resources.simonelectric.com/simon-ebook-vehiculo-electrico-0</v>
      </c>
      <c r="E2770" s="20" t="str">
        <f t="shared" si="1"/>
        <v>2166@gmail.com</v>
      </c>
      <c r="F2770" s="21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</row>
    <row r="2771" ht="15.75" customHeight="1">
      <c r="A2771" s="18" t="str">
        <f>Descargas!A2771</f>
        <v>2167@outlook.es</v>
      </c>
      <c r="B2771" s="19" t="str">
        <f>IFERROR(__xludf.DUMMYFUNCTION("IF(OR(regexmatch(A2771,"".*@simon.es$""),REGEXMATCH(A2771,"".*@simon.pt$""),REGEXMATCH(A2771,"".*@simonelectrica.com$""),REGEXMATCH(A2771,"".*@hiberus.com$""),REGEXMATCH(A2771,"".*@simonbrico.es$""),regexmatch(A2771,"".*@simonelectric.com$"")),""null"",A2"&amp;"771)"),"2167@outlook.es")</f>
        <v>2167@outlook.es</v>
      </c>
      <c r="C2771" s="5">
        <f>IF(B2771="null","null",Descargas!B2771)</f>
        <v>43928</v>
      </c>
      <c r="D2771" s="6" t="str">
        <f>Descargas!E2771</f>
        <v>https://resources.simonelectric.com/simon-catalogo-vehiculo-electrico</v>
      </c>
      <c r="E2771" s="20" t="str">
        <f t="shared" si="1"/>
        <v>2167@outlook.es</v>
      </c>
      <c r="F2771" s="21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</row>
    <row r="2772" ht="15.75" customHeight="1">
      <c r="A2772" s="18" t="str">
        <f>Descargas!A2772</f>
        <v>2167@outlook.es</v>
      </c>
      <c r="B2772" s="19" t="str">
        <f>IFERROR(__xludf.DUMMYFUNCTION("IF(OR(regexmatch(A2772,"".*@simon.es$""),REGEXMATCH(A2772,"".*@simon.pt$""),REGEXMATCH(A2772,"".*@simonelectrica.com$""),REGEXMATCH(A2772,"".*@hiberus.com$""),REGEXMATCH(A2772,"".*@simonbrico.es$""),regexmatch(A2772,"".*@simonelectric.com$"")),""null"",A2"&amp;"772)"),"2167@outlook.es")</f>
        <v>2167@outlook.es</v>
      </c>
      <c r="C2772" s="5">
        <f>IF(B2772="null","null",Descargas!B2772)</f>
        <v>43928</v>
      </c>
      <c r="D2772" s="6" t="str">
        <f>Descargas!E2772</f>
        <v>https://resources.simonelectric.com/simon-ebook-vehiculo-electrico</v>
      </c>
      <c r="E2772" s="20" t="str">
        <f t="shared" si="1"/>
        <v>2167@outlook.es</v>
      </c>
      <c r="F2772" s="21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</row>
    <row r="2773" ht="15.75" customHeight="1">
      <c r="A2773" s="18" t="str">
        <f>Descargas!A2773</f>
        <v>2168@simon.es</v>
      </c>
      <c r="B2773" s="19" t="str">
        <f>IFERROR(__xludf.DUMMYFUNCTION("IF(OR(regexmatch(A2773,"".*@simon.es$""),REGEXMATCH(A2773,"".*@simon.pt$""),REGEXMATCH(A2773,"".*@simonelectrica.com$""),REGEXMATCH(A2773,"".*@hiberus.com$""),REGEXMATCH(A2773,"".*@simonbrico.es$""),regexmatch(A2773,"".*@simonelectric.com$"")),""null"",A2"&amp;"773)"),"null")</f>
        <v>null</v>
      </c>
      <c r="C2773" s="5" t="str">
        <f>IF(B2773="null","null",Descargas!B2773)</f>
        <v>null</v>
      </c>
      <c r="D2773" s="6" t="str">
        <f>Descargas!E2773</f>
        <v>https://resources.simonelectric.com/simon-ebook-vehiculo-electrico</v>
      </c>
      <c r="E2773" s="24" t="str">
        <f t="shared" si="1"/>
        <v/>
      </c>
      <c r="F2773" s="21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</row>
    <row r="2774" ht="15.75" customHeight="1">
      <c r="A2774" s="18" t="str">
        <f>Descargas!A2774</f>
        <v>2169@gmail.com</v>
      </c>
      <c r="B2774" s="19" t="str">
        <f>IFERROR(__xludf.DUMMYFUNCTION("IF(OR(regexmatch(A2774,"".*@simon.es$""),REGEXMATCH(A2774,"".*@simon.pt$""),REGEXMATCH(A2774,"".*@simonelectrica.com$""),REGEXMATCH(A2774,"".*@hiberus.com$""),REGEXMATCH(A2774,"".*@simonbrico.es$""),regexmatch(A2774,"".*@simonelectric.com$"")),""null"",A2"&amp;"774)"),"2169@gmail.com")</f>
        <v>2169@gmail.com</v>
      </c>
      <c r="C2774" s="5">
        <f>IF(B2774="null","null",Descargas!B2774)</f>
        <v>43928</v>
      </c>
      <c r="D2774" s="6" t="str">
        <f>Descargas!E2774</f>
        <v>https://resources.simonelectric.com/simon-ebook-vehiculo-electrico-ppc</v>
      </c>
      <c r="E2774" s="20" t="str">
        <f t="shared" si="1"/>
        <v>2169@gmail.com</v>
      </c>
      <c r="F2774" s="21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</row>
    <row r="2775" ht="15.75" customHeight="1">
      <c r="A2775" s="18" t="str">
        <f>Descargas!A2775</f>
        <v>353@industrialgines.com</v>
      </c>
      <c r="B2775" s="19" t="str">
        <f>IFERROR(__xludf.DUMMYFUNCTION("IF(OR(regexmatch(A2775,"".*@simon.es$""),REGEXMATCH(A2775,"".*@simon.pt$""),REGEXMATCH(A2775,"".*@simonelectrica.com$""),REGEXMATCH(A2775,"".*@hiberus.com$""),REGEXMATCH(A2775,"".*@simonbrico.es$""),regexmatch(A2775,"".*@simonelectric.com$"")),""null"",A2"&amp;"775)"),"353@industrialgines.com")</f>
        <v>353@industrialgines.com</v>
      </c>
      <c r="C2775" s="5">
        <f>IF(B2775="null","null",Descargas!B2775)</f>
        <v>43928</v>
      </c>
      <c r="D2775" s="6" t="str">
        <f>Descargas!E2775</f>
        <v>https://resources.simonelectric.com/simon-ebook-vehiculo-electrico</v>
      </c>
      <c r="E2775" s="20" t="str">
        <f t="shared" si="1"/>
        <v>353@industrialgines.com</v>
      </c>
      <c r="F2775" s="21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</row>
    <row r="2776" ht="15.75" customHeight="1">
      <c r="A2776" s="18" t="str">
        <f>Descargas!A2776</f>
        <v>2170@reparatuequipo.es</v>
      </c>
      <c r="B2776" s="19" t="str">
        <f>IFERROR(__xludf.DUMMYFUNCTION("IF(OR(regexmatch(A2776,"".*@simon.es$""),REGEXMATCH(A2776,"".*@simon.pt$""),REGEXMATCH(A2776,"".*@simonelectrica.com$""),REGEXMATCH(A2776,"".*@hiberus.com$""),REGEXMATCH(A2776,"".*@simonbrico.es$""),regexmatch(A2776,"".*@simonelectric.com$"")),""null"",A2"&amp;"776)"),"2170@reparatuequipo.es")</f>
        <v>2170@reparatuequipo.es</v>
      </c>
      <c r="C2776" s="5">
        <f>IF(B2776="null","null",Descargas!B2776)</f>
        <v>43928</v>
      </c>
      <c r="D2776" s="6" t="str">
        <f>Descargas!E2776</f>
        <v>https://resources.simonelectric.com/simon-ebook-vehiculo-electrico</v>
      </c>
      <c r="E2776" s="20" t="str">
        <f t="shared" si="1"/>
        <v>2170@reparatuequipo.es</v>
      </c>
      <c r="F2776" s="21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</row>
    <row r="2777" ht="15.75" customHeight="1">
      <c r="A2777" s="18" t="str">
        <f>Descargas!A2777</f>
        <v>1342@ic3sl.com</v>
      </c>
      <c r="B2777" s="19" t="str">
        <f>IFERROR(__xludf.DUMMYFUNCTION("IF(OR(regexmatch(A2777,"".*@simon.es$""),REGEXMATCH(A2777,"".*@simon.pt$""),REGEXMATCH(A2777,"".*@simonelectrica.com$""),REGEXMATCH(A2777,"".*@hiberus.com$""),REGEXMATCH(A2777,"".*@simonbrico.es$""),regexmatch(A2777,"".*@simonelectric.com$"")),""null"",A2"&amp;"777)"),"1342@ic3sl.com")</f>
        <v>1342@ic3sl.com</v>
      </c>
      <c r="C2777" s="5">
        <f>IF(B2777="null","null",Descargas!B2777)</f>
        <v>43928</v>
      </c>
      <c r="D2777" s="6" t="str">
        <f>Descargas!E2777</f>
        <v>https://resources.simonelectric.com/simon-catalogo-vehiculo-electrico</v>
      </c>
      <c r="E2777" s="20" t="str">
        <f t="shared" si="1"/>
        <v>1342@ic3sl.com</v>
      </c>
      <c r="F2777" s="21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</row>
    <row r="2778" ht="15.75" customHeight="1">
      <c r="A2778" s="18" t="str">
        <f>Descargas!A2778</f>
        <v>2171@gmail.com</v>
      </c>
      <c r="B2778" s="19" t="str">
        <f>IFERROR(__xludf.DUMMYFUNCTION("IF(OR(regexmatch(A2778,"".*@simon.es$""),REGEXMATCH(A2778,"".*@simon.pt$""),REGEXMATCH(A2778,"".*@simonelectrica.com$""),REGEXMATCH(A2778,"".*@hiberus.com$""),REGEXMATCH(A2778,"".*@simonbrico.es$""),regexmatch(A2778,"".*@simonelectric.com$"")),""null"",A2"&amp;"778)"),"2171@gmail.com")</f>
        <v>2171@gmail.com</v>
      </c>
      <c r="C2778" s="5">
        <f>IF(B2778="null","null",Descargas!B2778)</f>
        <v>43928</v>
      </c>
      <c r="D2778" s="6" t="str">
        <f>Descargas!E2778</f>
        <v>https://resources.simonelectric.com/simon-ebook-vehiculo-electrico-ppc</v>
      </c>
      <c r="E2778" s="20" t="str">
        <f t="shared" si="1"/>
        <v>2171@gmail.com</v>
      </c>
      <c r="F2778" s="21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</row>
    <row r="2779" ht="15.75" customHeight="1">
      <c r="A2779" s="18" t="str">
        <f>Descargas!A2779</f>
        <v>2172@gmail.com</v>
      </c>
      <c r="B2779" s="19" t="str">
        <f>IFERROR(__xludf.DUMMYFUNCTION("IF(OR(regexmatch(A2779,"".*@simon.es$""),REGEXMATCH(A2779,"".*@simon.pt$""),REGEXMATCH(A2779,"".*@simonelectrica.com$""),REGEXMATCH(A2779,"".*@hiberus.com$""),REGEXMATCH(A2779,"".*@simonbrico.es$""),regexmatch(A2779,"".*@simonelectric.com$"")),""null"",A2"&amp;"779)"),"2172@gmail.com")</f>
        <v>2172@gmail.com</v>
      </c>
      <c r="C2779" s="5">
        <f>IF(B2779="null","null",Descargas!B2779)</f>
        <v>43928</v>
      </c>
      <c r="D2779" s="6" t="str">
        <f>Descargas!E2779</f>
        <v>https://resources.simonelectric.com/simon-ebook-vehiculo-electrico</v>
      </c>
      <c r="E2779" s="20" t="str">
        <f t="shared" si="1"/>
        <v>2172@gmail.com</v>
      </c>
      <c r="F2779" s="21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</row>
    <row r="2780" ht="15.75" customHeight="1">
      <c r="A2780" s="18" t="str">
        <f>Descargas!A2780</f>
        <v>2173@menendezygamonal.com</v>
      </c>
      <c r="B2780" s="19" t="str">
        <f>IFERROR(__xludf.DUMMYFUNCTION("IF(OR(regexmatch(A2780,"".*@simon.es$""),REGEXMATCH(A2780,"".*@simon.pt$""),REGEXMATCH(A2780,"".*@simonelectrica.com$""),REGEXMATCH(A2780,"".*@hiberus.com$""),REGEXMATCH(A2780,"".*@simonbrico.es$""),regexmatch(A2780,"".*@simonelectric.com$"")),""null"",A2"&amp;"780)"),"2173@menendezygamonal.com")</f>
        <v>2173@menendezygamonal.com</v>
      </c>
      <c r="C2780" s="5">
        <f>IF(B2780="null","null",Descargas!B2780)</f>
        <v>43928</v>
      </c>
      <c r="D2780" s="6" t="str">
        <f>Descargas!E2780</f>
        <v>https://resources.simonelectric.com/simon-ebook-vehiculo-electrico-ppc</v>
      </c>
      <c r="E2780" s="20" t="str">
        <f t="shared" si="1"/>
        <v>2173@menendezygamonal.com</v>
      </c>
      <c r="F2780" s="21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</row>
    <row r="2781" ht="15.75" customHeight="1">
      <c r="A2781" s="18" t="str">
        <f>Descargas!A2781</f>
        <v>1411@ujaen.es</v>
      </c>
      <c r="B2781" s="19" t="str">
        <f>IFERROR(__xludf.DUMMYFUNCTION("IF(OR(regexmatch(A2781,"".*@simon.es$""),REGEXMATCH(A2781,"".*@simon.pt$""),REGEXMATCH(A2781,"".*@simonelectrica.com$""),REGEXMATCH(A2781,"".*@hiberus.com$""),REGEXMATCH(A2781,"".*@simonbrico.es$""),regexmatch(A2781,"".*@simonelectric.com$"")),""null"",A2"&amp;"781)"),"1411@ujaen.es")</f>
        <v>1411@ujaen.es</v>
      </c>
      <c r="C2781" s="5">
        <f>IF(B2781="null","null",Descargas!B2781)</f>
        <v>43928</v>
      </c>
      <c r="D2781" s="6" t="str">
        <f>Descargas!E2781</f>
        <v>https://resources.simonelectric.com/simon-catalogo-vehiculo-electrico</v>
      </c>
      <c r="E2781" s="20" t="str">
        <f t="shared" si="1"/>
        <v>1411@ujaen.es</v>
      </c>
      <c r="F2781" s="21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</row>
    <row r="2782" ht="15.75" customHeight="1">
      <c r="A2782" s="18" t="str">
        <f>Descargas!A2782</f>
        <v>2174@wurth.es</v>
      </c>
      <c r="B2782" s="19" t="str">
        <f>IFERROR(__xludf.DUMMYFUNCTION("IF(OR(regexmatch(A2782,"".*@simon.es$""),REGEXMATCH(A2782,"".*@simon.pt$""),REGEXMATCH(A2782,"".*@simonelectrica.com$""),REGEXMATCH(A2782,"".*@hiberus.com$""),REGEXMATCH(A2782,"".*@simonbrico.es$""),regexmatch(A2782,"".*@simonelectric.com$"")),""null"",A2"&amp;"782)"),"2174@wurth.es")</f>
        <v>2174@wurth.es</v>
      </c>
      <c r="C2782" s="5">
        <f>IF(B2782="null","null",Descargas!B2782)</f>
        <v>43928</v>
      </c>
      <c r="D2782" s="6" t="str">
        <f>Descargas!E2782</f>
        <v>https://resources.simonelectric.com/simon-catalogo-vehiculo-electrico</v>
      </c>
      <c r="E2782" s="20" t="str">
        <f t="shared" si="1"/>
        <v>2174@wurth.es</v>
      </c>
      <c r="F2782" s="21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</row>
    <row r="2783" ht="15.75" customHeight="1">
      <c r="A2783" s="18" t="str">
        <f>Descargas!A2783</f>
        <v>2175@canogarcia.es</v>
      </c>
      <c r="B2783" s="19" t="str">
        <f>IFERROR(__xludf.DUMMYFUNCTION("IF(OR(regexmatch(A2783,"".*@simon.es$""),REGEXMATCH(A2783,"".*@simon.pt$""),REGEXMATCH(A2783,"".*@simonelectrica.com$""),REGEXMATCH(A2783,"".*@hiberus.com$""),REGEXMATCH(A2783,"".*@simonbrico.es$""),regexmatch(A2783,"".*@simonelectric.com$"")),""null"",A2"&amp;"783)"),"2175@canogarcia.es")</f>
        <v>2175@canogarcia.es</v>
      </c>
      <c r="C2783" s="5">
        <f>IF(B2783="null","null",Descargas!B2783)</f>
        <v>43928</v>
      </c>
      <c r="D2783" s="6" t="str">
        <f>Descargas!E2783</f>
        <v>https://resources.simonelectric.com/simon-ebook-vehiculo-electrico-0</v>
      </c>
      <c r="E2783" s="20" t="str">
        <f t="shared" si="1"/>
        <v>2175@canogarcia.es</v>
      </c>
      <c r="F2783" s="21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</row>
    <row r="2784" ht="15.75" customHeight="1">
      <c r="A2784" s="18" t="str">
        <f>Descargas!A2784</f>
        <v>2176@hotmail.com</v>
      </c>
      <c r="B2784" s="19" t="str">
        <f>IFERROR(__xludf.DUMMYFUNCTION("IF(OR(regexmatch(A2784,"".*@simon.es$""),REGEXMATCH(A2784,"".*@simon.pt$""),REGEXMATCH(A2784,"".*@simonelectrica.com$""),REGEXMATCH(A2784,"".*@hiberus.com$""),REGEXMATCH(A2784,"".*@simonbrico.es$""),regexmatch(A2784,"".*@simonelectric.com$"")),""null"",A2"&amp;"784)"),"2176@hotmail.com")</f>
        <v>2176@hotmail.com</v>
      </c>
      <c r="C2784" s="5">
        <f>IF(B2784="null","null",Descargas!B2784)</f>
        <v>43928</v>
      </c>
      <c r="D2784" s="6" t="str">
        <f>Descargas!E2784</f>
        <v>https://resources.simonelectric.com/simon-ebook-vehiculo-electrico-ppc</v>
      </c>
      <c r="E2784" s="20" t="str">
        <f t="shared" si="1"/>
        <v>2176@hotmail.com</v>
      </c>
      <c r="F2784" s="21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</row>
    <row r="2785" ht="15.75" customHeight="1">
      <c r="A2785" s="18" t="str">
        <f>Descargas!A2785</f>
        <v>2177@yahoo.es</v>
      </c>
      <c r="B2785" s="19" t="str">
        <f>IFERROR(__xludf.DUMMYFUNCTION("IF(OR(regexmatch(A2785,"".*@simon.es$""),REGEXMATCH(A2785,"".*@simon.pt$""),REGEXMATCH(A2785,"".*@simonelectrica.com$""),REGEXMATCH(A2785,"".*@hiberus.com$""),REGEXMATCH(A2785,"".*@simonbrico.es$""),regexmatch(A2785,"".*@simonelectric.com$"")),""null"",A2"&amp;"785)"),"2177@yahoo.es")</f>
        <v>2177@yahoo.es</v>
      </c>
      <c r="C2785" s="5">
        <f>IF(B2785="null","null",Descargas!B2785)</f>
        <v>43927</v>
      </c>
      <c r="D2785" s="6" t="str">
        <f>Descargas!E2785</f>
        <v>https://resources.simonelectric.com/simon-catalogo-vehiculo-electrico</v>
      </c>
      <c r="E2785" s="20" t="str">
        <f t="shared" si="1"/>
        <v>2177@yahoo.es</v>
      </c>
      <c r="F2785" s="21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</row>
    <row r="2786" ht="15.75" customHeight="1">
      <c r="A2786" s="18" t="str">
        <f>Descargas!A2786</f>
        <v>2177@yahoo.es</v>
      </c>
      <c r="B2786" s="19" t="str">
        <f>IFERROR(__xludf.DUMMYFUNCTION("IF(OR(regexmatch(A2786,"".*@simon.es$""),REGEXMATCH(A2786,"".*@simon.pt$""),REGEXMATCH(A2786,"".*@simonelectrica.com$""),REGEXMATCH(A2786,"".*@hiberus.com$""),REGEXMATCH(A2786,"".*@simonbrico.es$""),regexmatch(A2786,"".*@simonelectric.com$"")),""null"",A2"&amp;"786)"),"2177@yahoo.es")</f>
        <v>2177@yahoo.es</v>
      </c>
      <c r="C2786" s="5">
        <f>IF(B2786="null","null",Descargas!B2786)</f>
        <v>43927</v>
      </c>
      <c r="D2786" s="6" t="str">
        <f>Descargas!E2786</f>
        <v>https://resources.simonelectric.com/simon-ebook-vehiculo-electrico</v>
      </c>
      <c r="E2786" s="20" t="str">
        <f t="shared" si="1"/>
        <v>2177@yahoo.es</v>
      </c>
      <c r="F2786" s="21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</row>
    <row r="2787" ht="15.75" customHeight="1">
      <c r="A2787" s="18" t="str">
        <f>Descargas!A2787</f>
        <v>2178@altair.edu.es</v>
      </c>
      <c r="B2787" s="19" t="str">
        <f>IFERROR(__xludf.DUMMYFUNCTION("IF(OR(regexmatch(A2787,"".*@simon.es$""),REGEXMATCH(A2787,"".*@simon.pt$""),REGEXMATCH(A2787,"".*@simonelectrica.com$""),REGEXMATCH(A2787,"".*@hiberus.com$""),REGEXMATCH(A2787,"".*@simonbrico.es$""),regexmatch(A2787,"".*@simonelectric.com$"")),""null"",A2"&amp;"787)"),"2178@altair.edu.es")</f>
        <v>2178@altair.edu.es</v>
      </c>
      <c r="C2787" s="5">
        <f>IF(B2787="null","null",Descargas!B2787)</f>
        <v>43927</v>
      </c>
      <c r="D2787" s="6" t="str">
        <f>Descargas!E2787</f>
        <v>https://resources.simonelectric.com/simon-ebook-vehiculo-electrico-ppc</v>
      </c>
      <c r="E2787" s="20" t="str">
        <f t="shared" si="1"/>
        <v>2178@altair.edu.es</v>
      </c>
      <c r="F2787" s="21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</row>
    <row r="2788" ht="15.75" customHeight="1">
      <c r="A2788" s="18" t="str">
        <f>Descargas!A2788</f>
        <v>2179@gmail.com</v>
      </c>
      <c r="B2788" s="19" t="str">
        <f>IFERROR(__xludf.DUMMYFUNCTION("IF(OR(regexmatch(A2788,"".*@simon.es$""),REGEXMATCH(A2788,"".*@simon.pt$""),REGEXMATCH(A2788,"".*@simonelectrica.com$""),REGEXMATCH(A2788,"".*@hiberus.com$""),REGEXMATCH(A2788,"".*@simonbrico.es$""),regexmatch(A2788,"".*@simonelectric.com$"")),""null"",A2"&amp;"788)"),"2179@gmail.com")</f>
        <v>2179@gmail.com</v>
      </c>
      <c r="C2788" s="5">
        <f>IF(B2788="null","null",Descargas!B2788)</f>
        <v>43927</v>
      </c>
      <c r="D2788" s="6" t="str">
        <f>Descargas!E2788</f>
        <v>https://resources.simonelectric.com/simon-ebook-vehiculo-electrico</v>
      </c>
      <c r="E2788" s="20" t="str">
        <f t="shared" si="1"/>
        <v>2179@gmail.com</v>
      </c>
      <c r="F2788" s="21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</row>
    <row r="2789" ht="15.75" customHeight="1">
      <c r="A2789" s="18" t="str">
        <f>Descargas!A2789</f>
        <v>2180@hotmail.com</v>
      </c>
      <c r="B2789" s="19" t="str">
        <f>IFERROR(__xludf.DUMMYFUNCTION("IF(OR(regexmatch(A2789,"".*@simon.es$""),REGEXMATCH(A2789,"".*@simon.pt$""),REGEXMATCH(A2789,"".*@simonelectrica.com$""),REGEXMATCH(A2789,"".*@hiberus.com$""),REGEXMATCH(A2789,"".*@simonbrico.es$""),regexmatch(A2789,"".*@simonelectric.com$"")),""null"",A2"&amp;"789)"),"2180@hotmail.com")</f>
        <v>2180@hotmail.com</v>
      </c>
      <c r="C2789" s="5">
        <f>IF(B2789="null","null",Descargas!B2789)</f>
        <v>43927</v>
      </c>
      <c r="D2789" s="6" t="str">
        <f>Descargas!E2789</f>
        <v>https://resources.simonelectric.com/simon-ebook-vehiculo-electrico-ppc</v>
      </c>
      <c r="E2789" s="20" t="str">
        <f t="shared" si="1"/>
        <v>2180@hotmail.com</v>
      </c>
      <c r="F2789" s="21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</row>
    <row r="2790" ht="15.75" customHeight="1">
      <c r="A2790" s="18" t="str">
        <f>Descargas!A2790</f>
        <v>2181@gmail.com</v>
      </c>
      <c r="B2790" s="19" t="str">
        <f>IFERROR(__xludf.DUMMYFUNCTION("IF(OR(regexmatch(A2790,"".*@simon.es$""),REGEXMATCH(A2790,"".*@simon.pt$""),REGEXMATCH(A2790,"".*@simonelectrica.com$""),REGEXMATCH(A2790,"".*@hiberus.com$""),REGEXMATCH(A2790,"".*@simonbrico.es$""),regexmatch(A2790,"".*@simonelectric.com$"")),""null"",A2"&amp;"790)"),"2181@gmail.com")</f>
        <v>2181@gmail.com</v>
      </c>
      <c r="C2790" s="5">
        <f>IF(B2790="null","null",Descargas!B2790)</f>
        <v>43927</v>
      </c>
      <c r="D2790" s="6" t="str">
        <f>Descargas!E2790</f>
        <v>https://resources.simonelectric.com/simon-ebook-vehiculo-electrico</v>
      </c>
      <c r="E2790" s="20" t="str">
        <f t="shared" si="1"/>
        <v>2181@gmail.com</v>
      </c>
      <c r="F2790" s="21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</row>
    <row r="2791" ht="15.75" customHeight="1">
      <c r="A2791" s="18" t="str">
        <f>Descargas!A2791</f>
        <v>2182@hotmail.com</v>
      </c>
      <c r="B2791" s="19" t="str">
        <f>IFERROR(__xludf.DUMMYFUNCTION("IF(OR(regexmatch(A2791,"".*@simon.es$""),REGEXMATCH(A2791,"".*@simon.pt$""),REGEXMATCH(A2791,"".*@simonelectrica.com$""),REGEXMATCH(A2791,"".*@hiberus.com$""),REGEXMATCH(A2791,"".*@simonbrico.es$""),regexmatch(A2791,"".*@simonelectric.com$"")),""null"",A2"&amp;"791)"),"2182@hotmail.com")</f>
        <v>2182@hotmail.com</v>
      </c>
      <c r="C2791" s="5">
        <f>IF(B2791="null","null",Descargas!B2791)</f>
        <v>43927</v>
      </c>
      <c r="D2791" s="6" t="str">
        <f>Descargas!E2791</f>
        <v>https://resources.simonelectric.com/simon-ebook-vehiculo-electrico-ppc</v>
      </c>
      <c r="E2791" s="20" t="str">
        <f t="shared" si="1"/>
        <v>2182@hotmail.com</v>
      </c>
      <c r="F2791" s="21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</row>
    <row r="2792" ht="15.75" customHeight="1">
      <c r="A2792" s="18" t="str">
        <f>Descargas!A2792</f>
        <v>844@certis.cat</v>
      </c>
      <c r="B2792" s="19" t="str">
        <f>IFERROR(__xludf.DUMMYFUNCTION("IF(OR(regexmatch(A2792,"".*@simon.es$""),REGEXMATCH(A2792,"".*@simon.pt$""),REGEXMATCH(A2792,"".*@simonelectrica.com$""),REGEXMATCH(A2792,"".*@hiberus.com$""),REGEXMATCH(A2792,"".*@simonbrico.es$""),regexmatch(A2792,"".*@simonelectric.com$"")),""null"",A2"&amp;"792)"),"844@certis.cat")</f>
        <v>844@certis.cat</v>
      </c>
      <c r="C2792" s="5">
        <f>IF(B2792="null","null",Descargas!B2792)</f>
        <v>43927</v>
      </c>
      <c r="D2792" s="6" t="str">
        <f>Descargas!E2792</f>
        <v>https://resources.simonelectric.com/simon-catalogo-vehiculo-electrico</v>
      </c>
      <c r="E2792" s="20" t="str">
        <f t="shared" si="1"/>
        <v>844@certis.cat</v>
      </c>
      <c r="F2792" s="21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</row>
    <row r="2793" ht="15.75" customHeight="1">
      <c r="A2793" s="18" t="str">
        <f>Descargas!A2793</f>
        <v>2183@gmail.com</v>
      </c>
      <c r="B2793" s="19" t="str">
        <f>IFERROR(__xludf.DUMMYFUNCTION("IF(OR(regexmatch(A2793,"".*@simon.es$""),REGEXMATCH(A2793,"".*@simon.pt$""),REGEXMATCH(A2793,"".*@simonelectrica.com$""),REGEXMATCH(A2793,"".*@hiberus.com$""),REGEXMATCH(A2793,"".*@simonbrico.es$""),regexmatch(A2793,"".*@simonelectric.com$"")),""null"",A2"&amp;"793)"),"2183@gmail.com")</f>
        <v>2183@gmail.com</v>
      </c>
      <c r="C2793" s="5">
        <f>IF(B2793="null","null",Descargas!B2793)</f>
        <v>43927</v>
      </c>
      <c r="D2793" s="6" t="str">
        <f>Descargas!E2793</f>
        <v>https://resources.simonelectric.com/simon-ebook-vehiculo-electrico</v>
      </c>
      <c r="E2793" s="20" t="str">
        <f t="shared" si="1"/>
        <v>2183@gmail.com</v>
      </c>
      <c r="F2793" s="21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</row>
    <row r="2794" ht="15.75" customHeight="1">
      <c r="A2794" s="18" t="str">
        <f>Descargas!A2794</f>
        <v>2184@suris.es</v>
      </c>
      <c r="B2794" s="19" t="str">
        <f>IFERROR(__xludf.DUMMYFUNCTION("IF(OR(regexmatch(A2794,"".*@simon.es$""),REGEXMATCH(A2794,"".*@simon.pt$""),REGEXMATCH(A2794,"".*@simonelectrica.com$""),REGEXMATCH(A2794,"".*@hiberus.com$""),REGEXMATCH(A2794,"".*@simonbrico.es$""),regexmatch(A2794,"".*@simonelectric.com$"")),""null"",A2"&amp;"794)"),"2184@suris.es")</f>
        <v>2184@suris.es</v>
      </c>
      <c r="C2794" s="5">
        <f>IF(B2794="null","null",Descargas!B2794)</f>
        <v>43927</v>
      </c>
      <c r="D2794" s="6" t="str">
        <f>Descargas!E2794</f>
        <v>https://resources.simonelectric.com/simon-catalogo-vehiculo-electrico</v>
      </c>
      <c r="E2794" s="20" t="str">
        <f t="shared" si="1"/>
        <v>2184@suris.es</v>
      </c>
      <c r="F2794" s="21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</row>
    <row r="2795" ht="15.75" customHeight="1">
      <c r="A2795" s="18" t="str">
        <f>Descargas!A2795</f>
        <v>2184@suris.es</v>
      </c>
      <c r="B2795" s="19" t="str">
        <f>IFERROR(__xludf.DUMMYFUNCTION("IF(OR(regexmatch(A2795,"".*@simon.es$""),REGEXMATCH(A2795,"".*@simon.pt$""),REGEXMATCH(A2795,"".*@simonelectrica.com$""),REGEXMATCH(A2795,"".*@hiberus.com$""),REGEXMATCH(A2795,"".*@simonbrico.es$""),regexmatch(A2795,"".*@simonelectric.com$"")),""null"",A2"&amp;"795)"),"2184@suris.es")</f>
        <v>2184@suris.es</v>
      </c>
      <c r="C2795" s="5">
        <f>IF(B2795="null","null",Descargas!B2795)</f>
        <v>43927</v>
      </c>
      <c r="D2795" s="6" t="str">
        <f>Descargas!E2795</f>
        <v>https://resources.simonelectric.com/simon-ebook-vehiculo-electrico</v>
      </c>
      <c r="E2795" s="20" t="str">
        <f t="shared" si="1"/>
        <v>2184@suris.es</v>
      </c>
      <c r="F2795" s="21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</row>
    <row r="2796" ht="15.75" customHeight="1">
      <c r="A2796" s="18" t="str">
        <f>Descargas!A2796</f>
        <v>2185@gmail.com</v>
      </c>
      <c r="B2796" s="19" t="str">
        <f>IFERROR(__xludf.DUMMYFUNCTION("IF(OR(regexmatch(A2796,"".*@simon.es$""),REGEXMATCH(A2796,"".*@simon.pt$""),REGEXMATCH(A2796,"".*@simonelectrica.com$""),REGEXMATCH(A2796,"".*@hiberus.com$""),REGEXMATCH(A2796,"".*@simonbrico.es$""),regexmatch(A2796,"".*@simonelectric.com$"")),""null"",A2"&amp;"796)"),"2185@gmail.com")</f>
        <v>2185@gmail.com</v>
      </c>
      <c r="C2796" s="5">
        <f>IF(B2796="null","null",Descargas!B2796)</f>
        <v>43927</v>
      </c>
      <c r="D2796" s="6" t="str">
        <f>Descargas!E2796</f>
        <v>https://resources.simonelectric.com/simon-ebook-vehiculo-electrico-ppc</v>
      </c>
      <c r="E2796" s="20" t="str">
        <f t="shared" si="1"/>
        <v>2185@gmail.com</v>
      </c>
      <c r="F2796" s="21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</row>
    <row r="2797" ht="15.75" customHeight="1">
      <c r="A2797" s="18" t="str">
        <f>Descargas!A2797</f>
        <v>2183@gmail.com</v>
      </c>
      <c r="B2797" s="19" t="str">
        <f>IFERROR(__xludf.DUMMYFUNCTION("IF(OR(regexmatch(A2797,"".*@simon.es$""),REGEXMATCH(A2797,"".*@simon.pt$""),REGEXMATCH(A2797,"".*@simonelectrica.com$""),REGEXMATCH(A2797,"".*@hiberus.com$""),REGEXMATCH(A2797,"".*@simonbrico.es$""),regexmatch(A2797,"".*@simonelectric.com$"")),""null"",A2"&amp;"797)"),"2183@gmail.com")</f>
        <v>2183@gmail.com</v>
      </c>
      <c r="C2797" s="5">
        <f>IF(B2797="null","null",Descargas!B2797)</f>
        <v>43927</v>
      </c>
      <c r="D2797" s="6" t="str">
        <f>Descargas!E2797</f>
        <v>https://resources.simonelectric.com/simon-ebook-vehiculo-electrico</v>
      </c>
      <c r="E2797" s="20" t="str">
        <f t="shared" si="1"/>
        <v>2183@gmail.com</v>
      </c>
      <c r="F2797" s="21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</row>
    <row r="2798" ht="15.75" customHeight="1">
      <c r="A2798" s="18" t="str">
        <f>Descargas!A2798</f>
        <v>2186@grupoelectrostocks.com</v>
      </c>
      <c r="B2798" s="19" t="str">
        <f>IFERROR(__xludf.DUMMYFUNCTION("IF(OR(regexmatch(A2798,"".*@simon.es$""),REGEXMATCH(A2798,"".*@simon.pt$""),REGEXMATCH(A2798,"".*@simonelectrica.com$""),REGEXMATCH(A2798,"".*@hiberus.com$""),REGEXMATCH(A2798,"".*@simonbrico.es$""),regexmatch(A2798,"".*@simonelectric.com$"")),""null"",A2"&amp;"798)"),"2186@grupoelectrostocks.com")</f>
        <v>2186@grupoelectrostocks.com</v>
      </c>
      <c r="C2798" s="5">
        <f>IF(B2798="null","null",Descargas!B2798)</f>
        <v>43927</v>
      </c>
      <c r="D2798" s="6" t="str">
        <f>Descargas!E2798</f>
        <v>https://resources.simonelectric.com/simon-catalogo-vehiculo-electrico</v>
      </c>
      <c r="E2798" s="20" t="str">
        <f t="shared" si="1"/>
        <v>2186@grupoelectrostocks.com</v>
      </c>
      <c r="F2798" s="21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</row>
    <row r="2799" ht="15.75" customHeight="1">
      <c r="A2799" s="18" t="str">
        <f>Descargas!A2799</f>
        <v>2187@hotmail.com</v>
      </c>
      <c r="B2799" s="19" t="str">
        <f>IFERROR(__xludf.DUMMYFUNCTION("IF(OR(regexmatch(A2799,"".*@simon.es$""),REGEXMATCH(A2799,"".*@simon.pt$""),REGEXMATCH(A2799,"".*@simonelectrica.com$""),REGEXMATCH(A2799,"".*@hiberus.com$""),REGEXMATCH(A2799,"".*@simonbrico.es$""),regexmatch(A2799,"".*@simonelectric.com$"")),""null"",A2"&amp;"799)"),"2187@hotmail.com")</f>
        <v>2187@hotmail.com</v>
      </c>
      <c r="C2799" s="5">
        <f>IF(B2799="null","null",Descargas!B2799)</f>
        <v>43927</v>
      </c>
      <c r="D2799" s="6" t="str">
        <f>Descargas!E2799</f>
        <v>https://resources.simonelectric.com/simon-catalogo-vehiculo-electrico</v>
      </c>
      <c r="E2799" s="20" t="str">
        <f t="shared" si="1"/>
        <v>2187@hotmail.com</v>
      </c>
      <c r="F2799" s="21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</row>
    <row r="2800" ht="15.75" customHeight="1">
      <c r="A2800" s="18" t="str">
        <f>Descargas!A2800</f>
        <v>2188@gmail.com</v>
      </c>
      <c r="B2800" s="19" t="str">
        <f>IFERROR(__xludf.DUMMYFUNCTION("IF(OR(regexmatch(A2800,"".*@simon.es$""),REGEXMATCH(A2800,"".*@simon.pt$""),REGEXMATCH(A2800,"".*@simonelectrica.com$""),REGEXMATCH(A2800,"".*@hiberus.com$""),REGEXMATCH(A2800,"".*@simonbrico.es$""),regexmatch(A2800,"".*@simonelectric.com$"")),""null"",A2"&amp;"800)"),"2188@gmail.com")</f>
        <v>2188@gmail.com</v>
      </c>
      <c r="C2800" s="5">
        <f>IF(B2800="null","null",Descargas!B2800)</f>
        <v>43927</v>
      </c>
      <c r="D2800" s="6" t="str">
        <f>Descargas!E2800</f>
        <v>https://resources.simonelectric.com/simon-ebook-vehiculo-electrico</v>
      </c>
      <c r="E2800" s="20" t="str">
        <f t="shared" si="1"/>
        <v>2188@gmail.com</v>
      </c>
      <c r="F2800" s="21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</row>
    <row r="2801" ht="15.75" customHeight="1">
      <c r="A2801" s="18" t="str">
        <f>Descargas!A2801</f>
        <v>2189@infova.es</v>
      </c>
      <c r="B2801" s="19" t="str">
        <f>IFERROR(__xludf.DUMMYFUNCTION("IF(OR(regexmatch(A2801,"".*@simon.es$""),REGEXMATCH(A2801,"".*@simon.pt$""),REGEXMATCH(A2801,"".*@simonelectrica.com$""),REGEXMATCH(A2801,"".*@hiberus.com$""),REGEXMATCH(A2801,"".*@simonbrico.es$""),regexmatch(A2801,"".*@simonelectric.com$"")),""null"",A2"&amp;"801)"),"2189@infova.es")</f>
        <v>2189@infova.es</v>
      </c>
      <c r="C2801" s="5">
        <f>IF(B2801="null","null",Descargas!B2801)</f>
        <v>43927</v>
      </c>
      <c r="D2801" s="6" t="str">
        <f>Descargas!E2801</f>
        <v>https://resources.simonelectric.com/simon-ebook-vehiculo-electrico-ppc</v>
      </c>
      <c r="E2801" s="20" t="str">
        <f t="shared" si="1"/>
        <v>2189@infova.es</v>
      </c>
      <c r="F2801" s="21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</row>
    <row r="2802" ht="15.75" customHeight="1">
      <c r="A2802" s="18" t="str">
        <f>Descargas!A2802</f>
        <v>2190@hotmail.com</v>
      </c>
      <c r="B2802" s="19" t="str">
        <f>IFERROR(__xludf.DUMMYFUNCTION("IF(OR(regexmatch(A2802,"".*@simon.es$""),REGEXMATCH(A2802,"".*@simon.pt$""),REGEXMATCH(A2802,"".*@simonelectrica.com$""),REGEXMATCH(A2802,"".*@hiberus.com$""),REGEXMATCH(A2802,"".*@simonbrico.es$""),regexmatch(A2802,"".*@simonelectric.com$"")),""null"",A2"&amp;"802)"),"2190@hotmail.com")</f>
        <v>2190@hotmail.com</v>
      </c>
      <c r="C2802" s="5">
        <f>IF(B2802="null","null",Descargas!B2802)</f>
        <v>43927</v>
      </c>
      <c r="D2802" s="6" t="str">
        <f>Descargas!E2802</f>
        <v>https://resources.simonelectric.com/simon-ebook-vehiculo-electrico-ppc</v>
      </c>
      <c r="E2802" s="20" t="str">
        <f t="shared" si="1"/>
        <v>2190@hotmail.com</v>
      </c>
      <c r="F2802" s="21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</row>
    <row r="2803" ht="15.75" customHeight="1">
      <c r="A2803" s="18" t="str">
        <f>Descargas!A2803</f>
        <v>2191@hotmail.es</v>
      </c>
      <c r="B2803" s="19" t="str">
        <f>IFERROR(__xludf.DUMMYFUNCTION("IF(OR(regexmatch(A2803,"".*@simon.es$""),REGEXMATCH(A2803,"".*@simon.pt$""),REGEXMATCH(A2803,"".*@simonelectrica.com$""),REGEXMATCH(A2803,"".*@hiberus.com$""),REGEXMATCH(A2803,"".*@simonbrico.es$""),regexmatch(A2803,"".*@simonelectric.com$"")),""null"",A2"&amp;"803)"),"2191@hotmail.es")</f>
        <v>2191@hotmail.es</v>
      </c>
      <c r="C2803" s="5">
        <f>IF(B2803="null","null",Descargas!B2803)</f>
        <v>43926</v>
      </c>
      <c r="D2803" s="6" t="str">
        <f>Descargas!E2803</f>
        <v>https://resources.simonelectric.com/simon-ebook-vehiculo-electrico-ppc</v>
      </c>
      <c r="E2803" s="20" t="str">
        <f t="shared" si="1"/>
        <v>2191@hotmail.es</v>
      </c>
      <c r="F2803" s="21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</row>
    <row r="2804" ht="15.75" customHeight="1">
      <c r="A2804" s="18" t="str">
        <f>Descargas!A2804</f>
        <v>2192@itcl.es</v>
      </c>
      <c r="B2804" s="19" t="str">
        <f>IFERROR(__xludf.DUMMYFUNCTION("IF(OR(regexmatch(A2804,"".*@simon.es$""),REGEXMATCH(A2804,"".*@simon.pt$""),REGEXMATCH(A2804,"".*@simonelectrica.com$""),REGEXMATCH(A2804,"".*@hiberus.com$""),REGEXMATCH(A2804,"".*@simonbrico.es$""),regexmatch(A2804,"".*@simonelectric.com$"")),""null"",A2"&amp;"804)"),"2192@itcl.es")</f>
        <v>2192@itcl.es</v>
      </c>
      <c r="C2804" s="5">
        <f>IF(B2804="null","null",Descargas!B2804)</f>
        <v>43926</v>
      </c>
      <c r="D2804" s="6" t="str">
        <f>Descargas!E2804</f>
        <v>https://resources.simonelectric.com/simon-ebook-vehiculo-electrico-ppc</v>
      </c>
      <c r="E2804" s="20" t="str">
        <f t="shared" si="1"/>
        <v>2192@itcl.es</v>
      </c>
      <c r="F2804" s="21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</row>
    <row r="2805" ht="15.75" customHeight="1">
      <c r="A2805" s="18" t="str">
        <f>Descargas!A2805</f>
        <v>2193@gmail.com</v>
      </c>
      <c r="B2805" s="19" t="str">
        <f>IFERROR(__xludf.DUMMYFUNCTION("IF(OR(regexmatch(A2805,"".*@simon.es$""),REGEXMATCH(A2805,"".*@simon.pt$""),REGEXMATCH(A2805,"".*@simonelectrica.com$""),REGEXMATCH(A2805,"".*@hiberus.com$""),REGEXMATCH(A2805,"".*@simonbrico.es$""),regexmatch(A2805,"".*@simonelectric.com$"")),""null"",A2"&amp;"805)"),"2193@gmail.com")</f>
        <v>2193@gmail.com</v>
      </c>
      <c r="C2805" s="5">
        <f>IF(B2805="null","null",Descargas!B2805)</f>
        <v>43926</v>
      </c>
      <c r="D2805" s="6" t="str">
        <f>Descargas!E2805</f>
        <v>https://resources.simonelectric.com/simon-ebook-vehiculo-electrico-ppc</v>
      </c>
      <c r="E2805" s="20" t="str">
        <f t="shared" si="1"/>
        <v>2193@gmail.com</v>
      </c>
      <c r="F2805" s="21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</row>
    <row r="2806" ht="15.75" customHeight="1">
      <c r="A2806" s="18" t="str">
        <f>Descargas!A2806</f>
        <v>2194@mesado.es</v>
      </c>
      <c r="B2806" s="19" t="str">
        <f>IFERROR(__xludf.DUMMYFUNCTION("IF(OR(regexmatch(A2806,"".*@simon.es$""),REGEXMATCH(A2806,"".*@simon.pt$""),REGEXMATCH(A2806,"".*@simonelectrica.com$""),REGEXMATCH(A2806,"".*@hiberus.com$""),REGEXMATCH(A2806,"".*@simonbrico.es$""),regexmatch(A2806,"".*@simonelectric.com$"")),""null"",A2"&amp;"806)"),"2194@mesado.es")</f>
        <v>2194@mesado.es</v>
      </c>
      <c r="C2806" s="5">
        <f>IF(B2806="null","null",Descargas!B2806)</f>
        <v>43926</v>
      </c>
      <c r="D2806" s="6" t="str">
        <f>Descargas!E2806</f>
        <v>https://resources.simonelectric.com/simon-ebook-vehiculo-electrico-ppc</v>
      </c>
      <c r="E2806" s="20" t="str">
        <f t="shared" si="1"/>
        <v>2194@mesado.es</v>
      </c>
      <c r="F2806" s="21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</row>
    <row r="2807" ht="15.75" customHeight="1">
      <c r="A2807" s="18" t="str">
        <f>Descargas!A2807</f>
        <v>2195@yahoo.es</v>
      </c>
      <c r="B2807" s="19" t="str">
        <f>IFERROR(__xludf.DUMMYFUNCTION("IF(OR(regexmatch(A2807,"".*@simon.es$""),REGEXMATCH(A2807,"".*@simon.pt$""),REGEXMATCH(A2807,"".*@simonelectrica.com$""),REGEXMATCH(A2807,"".*@hiberus.com$""),REGEXMATCH(A2807,"".*@simonbrico.es$""),regexmatch(A2807,"".*@simonelectric.com$"")),""null"",A2"&amp;"807)"),"2195@yahoo.es")</f>
        <v>2195@yahoo.es</v>
      </c>
      <c r="C2807" s="5">
        <f>IF(B2807="null","null",Descargas!B2807)</f>
        <v>43926</v>
      </c>
      <c r="D2807" s="6" t="str">
        <f>Descargas!E2807</f>
        <v>https://resources.simonelectric.com/simon-ebook-vehiculo-electrico-ppc</v>
      </c>
      <c r="E2807" s="20" t="str">
        <f t="shared" si="1"/>
        <v>2195@yahoo.es</v>
      </c>
      <c r="F2807" s="21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</row>
    <row r="2808" ht="15.75" customHeight="1">
      <c r="A2808" s="18" t="str">
        <f>Descargas!A2808</f>
        <v>2196@telefonica.net</v>
      </c>
      <c r="B2808" s="19" t="str">
        <f>IFERROR(__xludf.DUMMYFUNCTION("IF(OR(regexmatch(A2808,"".*@simon.es$""),REGEXMATCH(A2808,"".*@simon.pt$""),REGEXMATCH(A2808,"".*@simonelectrica.com$""),REGEXMATCH(A2808,"".*@hiberus.com$""),REGEXMATCH(A2808,"".*@simonbrico.es$""),regexmatch(A2808,"".*@simonelectric.com$"")),""null"",A2"&amp;"808)"),"2196@telefonica.net")</f>
        <v>2196@telefonica.net</v>
      </c>
      <c r="C2808" s="5">
        <f>IF(B2808="null","null",Descargas!B2808)</f>
        <v>43925</v>
      </c>
      <c r="D2808" s="6" t="str">
        <f>Descargas!E2808</f>
        <v>https://resources.simonelectric.com/simon-ebook-vehiculo-electrico-ppc</v>
      </c>
      <c r="E2808" s="20" t="str">
        <f t="shared" si="1"/>
        <v>2196@telefonica.net</v>
      </c>
      <c r="F2808" s="21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</row>
    <row r="2809" ht="15.75" customHeight="1">
      <c r="A2809" s="18" t="str">
        <f>Descargas!A2809</f>
        <v>1584@gmail.com</v>
      </c>
      <c r="B2809" s="19" t="str">
        <f>IFERROR(__xludf.DUMMYFUNCTION("IF(OR(regexmatch(A2809,"".*@simon.es$""),REGEXMATCH(A2809,"".*@simon.pt$""),REGEXMATCH(A2809,"".*@simonelectrica.com$""),REGEXMATCH(A2809,"".*@hiberus.com$""),REGEXMATCH(A2809,"".*@simonbrico.es$""),regexmatch(A2809,"".*@simonelectric.com$"")),""null"",A2"&amp;"809)"),"1584@gmail.com")</f>
        <v>1584@gmail.com</v>
      </c>
      <c r="C2809" s="5">
        <f>IF(B2809="null","null",Descargas!B2809)</f>
        <v>43925</v>
      </c>
      <c r="D2809" s="6" t="str">
        <f>Descargas!E2809</f>
        <v>https://resources.simonelectric.com/simon-ebook-vehiculo-electrico</v>
      </c>
      <c r="E2809" s="20" t="str">
        <f t="shared" si="1"/>
        <v>1584@gmail.com</v>
      </c>
      <c r="F2809" s="21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</row>
    <row r="2810" ht="15.75" customHeight="1">
      <c r="A2810" s="18" t="str">
        <f>Descargas!A2810</f>
        <v>2197@outlook.es</v>
      </c>
      <c r="B2810" s="19" t="str">
        <f>IFERROR(__xludf.DUMMYFUNCTION("IF(OR(regexmatch(A2810,"".*@simon.es$""),REGEXMATCH(A2810,"".*@simon.pt$""),REGEXMATCH(A2810,"".*@simonelectrica.com$""),REGEXMATCH(A2810,"".*@hiberus.com$""),REGEXMATCH(A2810,"".*@simonbrico.es$""),regexmatch(A2810,"".*@simonelectric.com$"")),""null"",A2"&amp;"810)"),"2197@outlook.es")</f>
        <v>2197@outlook.es</v>
      </c>
      <c r="C2810" s="5">
        <f>IF(B2810="null","null",Descargas!B2810)</f>
        <v>43925</v>
      </c>
      <c r="D2810" s="6" t="str">
        <f>Descargas!E2810</f>
        <v>https://resources.simonelectric.com/simon-ebook-vehiculo-electrico-ppc</v>
      </c>
      <c r="E2810" s="20" t="str">
        <f t="shared" si="1"/>
        <v>2197@outlook.es</v>
      </c>
      <c r="F2810" s="21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</row>
    <row r="2811" ht="15.75" customHeight="1">
      <c r="A2811" s="18" t="str">
        <f>Descargas!A2811</f>
        <v>2198@gmail.com</v>
      </c>
      <c r="B2811" s="19" t="str">
        <f>IFERROR(__xludf.DUMMYFUNCTION("IF(OR(regexmatch(A2811,"".*@simon.es$""),REGEXMATCH(A2811,"".*@simon.pt$""),REGEXMATCH(A2811,"".*@simonelectrica.com$""),REGEXMATCH(A2811,"".*@hiberus.com$""),REGEXMATCH(A2811,"".*@simonbrico.es$""),regexmatch(A2811,"".*@simonelectric.com$"")),""null"",A2"&amp;"811)"),"2198@gmail.com")</f>
        <v>2198@gmail.com</v>
      </c>
      <c r="C2811" s="5">
        <f>IF(B2811="null","null",Descargas!B2811)</f>
        <v>43925</v>
      </c>
      <c r="D2811" s="6" t="str">
        <f>Descargas!E2811</f>
        <v>https://resources.simonelectric.com/simon-ebook-vehiculo-electrico-ppc</v>
      </c>
      <c r="E2811" s="20" t="str">
        <f t="shared" si="1"/>
        <v>2198@gmail.com</v>
      </c>
      <c r="F2811" s="21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</row>
    <row r="2812" ht="15.75" customHeight="1">
      <c r="A2812" s="18" t="str">
        <f>Descargas!A2812</f>
        <v>2199@gmail.com</v>
      </c>
      <c r="B2812" s="19" t="str">
        <f>IFERROR(__xludf.DUMMYFUNCTION("IF(OR(regexmatch(A2812,"".*@simon.es$""),REGEXMATCH(A2812,"".*@simon.pt$""),REGEXMATCH(A2812,"".*@simonelectrica.com$""),REGEXMATCH(A2812,"".*@hiberus.com$""),REGEXMATCH(A2812,"".*@simonbrico.es$""),regexmatch(A2812,"".*@simonelectric.com$"")),""null"",A2"&amp;"812)"),"2199@gmail.com")</f>
        <v>2199@gmail.com</v>
      </c>
      <c r="C2812" s="5">
        <f>IF(B2812="null","null",Descargas!B2812)</f>
        <v>43925</v>
      </c>
      <c r="D2812" s="6" t="str">
        <f>Descargas!E2812</f>
        <v>https://resources.simonelectric.com/simon-ebook-vehiculo-electrico-ppc</v>
      </c>
      <c r="E2812" s="20" t="str">
        <f t="shared" si="1"/>
        <v>2199@gmail.com</v>
      </c>
      <c r="F2812" s="21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</row>
    <row r="2813" ht="15.75" customHeight="1">
      <c r="A2813" s="18" t="str">
        <f>Descargas!A2813</f>
        <v>2140@gmail.com</v>
      </c>
      <c r="B2813" s="19" t="str">
        <f>IFERROR(__xludf.DUMMYFUNCTION("IF(OR(regexmatch(A2813,"".*@simon.es$""),REGEXMATCH(A2813,"".*@simon.pt$""),REGEXMATCH(A2813,"".*@simonelectrica.com$""),REGEXMATCH(A2813,"".*@hiberus.com$""),REGEXMATCH(A2813,"".*@simonbrico.es$""),regexmatch(A2813,"".*@simonelectric.com$"")),""null"",A2"&amp;"813)"),"2140@gmail.com")</f>
        <v>2140@gmail.com</v>
      </c>
      <c r="C2813" s="5">
        <f>IF(B2813="null","null",Descargas!B2813)</f>
        <v>43925</v>
      </c>
      <c r="D2813" s="6" t="str">
        <f>Descargas!E2813</f>
        <v>https://resources.simonelectric.com/simon-ebook-vehiculo-electrico-ppc</v>
      </c>
      <c r="E2813" s="20" t="str">
        <f t="shared" si="1"/>
        <v>2140@gmail.com</v>
      </c>
      <c r="F2813" s="21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</row>
    <row r="2814" ht="15.75" customHeight="1">
      <c r="A2814" s="18" t="str">
        <f>Descargas!A2814</f>
        <v>2200@gmail.com</v>
      </c>
      <c r="B2814" s="19" t="str">
        <f>IFERROR(__xludf.DUMMYFUNCTION("IF(OR(regexmatch(A2814,"".*@simon.es$""),REGEXMATCH(A2814,"".*@simon.pt$""),REGEXMATCH(A2814,"".*@simonelectrica.com$""),REGEXMATCH(A2814,"".*@hiberus.com$""),REGEXMATCH(A2814,"".*@simonbrico.es$""),regexmatch(A2814,"".*@simonelectric.com$"")),""null"",A2"&amp;"814)"),"2200@gmail.com")</f>
        <v>2200@gmail.com</v>
      </c>
      <c r="C2814" s="5">
        <f>IF(B2814="null","null",Descargas!B2814)</f>
        <v>43925</v>
      </c>
      <c r="D2814" s="6" t="str">
        <f>Descargas!E2814</f>
        <v>https://resources.simonelectric.com/simon-ebook-vehiculo-electrico-ppc</v>
      </c>
      <c r="E2814" s="20" t="str">
        <f t="shared" si="1"/>
        <v>2200@gmail.com</v>
      </c>
      <c r="F2814" s="21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</row>
    <row r="2815" ht="15.75" customHeight="1">
      <c r="A2815" s="18" t="str">
        <f>Descargas!A2815</f>
        <v>2201@4fils.es</v>
      </c>
      <c r="B2815" s="19" t="str">
        <f>IFERROR(__xludf.DUMMYFUNCTION("IF(OR(regexmatch(A2815,"".*@simon.es$""),REGEXMATCH(A2815,"".*@simon.pt$""),REGEXMATCH(A2815,"".*@simonelectrica.com$""),REGEXMATCH(A2815,"".*@hiberus.com$""),REGEXMATCH(A2815,"".*@simonbrico.es$""),regexmatch(A2815,"".*@simonelectric.com$"")),""null"",A2"&amp;"815)"),"2201@4fils.es")</f>
        <v>2201@4fils.es</v>
      </c>
      <c r="C2815" s="5">
        <f>IF(B2815="null","null",Descargas!B2815)</f>
        <v>43925</v>
      </c>
      <c r="D2815" s="6" t="str">
        <f>Descargas!E2815</f>
        <v>https://resources.simonelectric.com/simon-ebook-vehiculo-electrico</v>
      </c>
      <c r="E2815" s="20" t="str">
        <f t="shared" si="1"/>
        <v>2201@4fils.es</v>
      </c>
      <c r="F2815" s="21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</row>
    <row r="2816" ht="15.75" customHeight="1">
      <c r="A2816" s="18" t="str">
        <f>Descargas!A2816</f>
        <v>2202@sanjosetecno.com</v>
      </c>
      <c r="B2816" s="19" t="str">
        <f>IFERROR(__xludf.DUMMYFUNCTION("IF(OR(regexmatch(A2816,"".*@simon.es$""),REGEXMATCH(A2816,"".*@simon.pt$""),REGEXMATCH(A2816,"".*@simonelectrica.com$""),REGEXMATCH(A2816,"".*@hiberus.com$""),REGEXMATCH(A2816,"".*@simonbrico.es$""),regexmatch(A2816,"".*@simonelectric.com$"")),""null"",A2"&amp;"816)"),"2202@sanjosetecno.com")</f>
        <v>2202@sanjosetecno.com</v>
      </c>
      <c r="C2816" s="5">
        <f>IF(B2816="null","null",Descargas!B2816)</f>
        <v>43924</v>
      </c>
      <c r="D2816" s="6" t="str">
        <f>Descargas!E2816</f>
        <v>https://resources.simonelectric.com/simon-ebook-vehiculo-electrico</v>
      </c>
      <c r="E2816" s="20" t="str">
        <f t="shared" si="1"/>
        <v>2202@sanjosetecno.com</v>
      </c>
      <c r="F2816" s="21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</row>
    <row r="2817" ht="15.75" customHeight="1">
      <c r="A2817" s="18" t="str">
        <f>Descargas!A2817</f>
        <v>2203@gmail.com</v>
      </c>
      <c r="B2817" s="19" t="str">
        <f>IFERROR(__xludf.DUMMYFUNCTION("IF(OR(regexmatch(A2817,"".*@simon.es$""),REGEXMATCH(A2817,"".*@simon.pt$""),REGEXMATCH(A2817,"".*@simonelectrica.com$""),REGEXMATCH(A2817,"".*@hiberus.com$""),REGEXMATCH(A2817,"".*@simonbrico.es$""),regexmatch(A2817,"".*@simonelectric.com$"")),""null"",A2"&amp;"817)"),"2203@gmail.com")</f>
        <v>2203@gmail.com</v>
      </c>
      <c r="C2817" s="5">
        <f>IF(B2817="null","null",Descargas!B2817)</f>
        <v>43924</v>
      </c>
      <c r="D2817" s="6" t="str">
        <f>Descargas!E2817</f>
        <v>https://resources.simonelectric.com/simon-ebook-vehiculo-electrico-ppc</v>
      </c>
      <c r="E2817" s="20" t="str">
        <f t="shared" si="1"/>
        <v>2203@gmail.com</v>
      </c>
      <c r="F2817" s="21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</row>
    <row r="2818" ht="15.75" customHeight="1">
      <c r="A2818" s="18" t="str">
        <f>Descargas!A2818</f>
        <v>2204@hotmail.es</v>
      </c>
      <c r="B2818" s="19" t="str">
        <f>IFERROR(__xludf.DUMMYFUNCTION("IF(OR(regexmatch(A2818,"".*@simon.es$""),REGEXMATCH(A2818,"".*@simon.pt$""),REGEXMATCH(A2818,"".*@simonelectrica.com$""),REGEXMATCH(A2818,"".*@hiberus.com$""),REGEXMATCH(A2818,"".*@simonbrico.es$""),regexmatch(A2818,"".*@simonelectric.com$"")),""null"",A2"&amp;"818)"),"2204@hotmail.es")</f>
        <v>2204@hotmail.es</v>
      </c>
      <c r="C2818" s="5">
        <f>IF(B2818="null","null",Descargas!B2818)</f>
        <v>43924</v>
      </c>
      <c r="D2818" s="6" t="str">
        <f>Descargas!E2818</f>
        <v>https://resources.simonelectric.com/simon-ebook-vehiculo-electrico</v>
      </c>
      <c r="E2818" s="20" t="str">
        <f t="shared" si="1"/>
        <v>2204@hotmail.es</v>
      </c>
      <c r="F2818" s="21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</row>
    <row r="2819" ht="15.75" customHeight="1">
      <c r="A2819" s="18" t="str">
        <f>Descargas!A2819</f>
        <v>2205@gmail.com</v>
      </c>
      <c r="B2819" s="19" t="str">
        <f>IFERROR(__xludf.DUMMYFUNCTION("IF(OR(regexmatch(A2819,"".*@simon.es$""),REGEXMATCH(A2819,"".*@simon.pt$""),REGEXMATCH(A2819,"".*@simonelectrica.com$""),REGEXMATCH(A2819,"".*@hiberus.com$""),REGEXMATCH(A2819,"".*@simonbrico.es$""),regexmatch(A2819,"".*@simonelectric.com$"")),""null"",A2"&amp;"819)"),"2205@gmail.com")</f>
        <v>2205@gmail.com</v>
      </c>
      <c r="C2819" s="5">
        <f>IF(B2819="null","null",Descargas!B2819)</f>
        <v>43924</v>
      </c>
      <c r="D2819" s="6" t="str">
        <f>Descargas!E2819</f>
        <v>https://resources.simonelectric.com/simon-ebook-vehiculo-electrico</v>
      </c>
      <c r="E2819" s="20" t="str">
        <f t="shared" si="1"/>
        <v>2205@gmail.com</v>
      </c>
      <c r="F2819" s="21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</row>
    <row r="2820" ht="15.75" customHeight="1">
      <c r="A2820" s="18" t="str">
        <f>Descargas!A2820</f>
        <v>2206@gmail.com</v>
      </c>
      <c r="B2820" s="19" t="str">
        <f>IFERROR(__xludf.DUMMYFUNCTION("IF(OR(regexmatch(A2820,"".*@simon.es$""),REGEXMATCH(A2820,"".*@simon.pt$""),REGEXMATCH(A2820,"".*@simonelectrica.com$""),REGEXMATCH(A2820,"".*@hiberus.com$""),REGEXMATCH(A2820,"".*@simonbrico.es$""),regexmatch(A2820,"".*@simonelectric.com$"")),""null"",A2"&amp;"820)"),"2206@gmail.com")</f>
        <v>2206@gmail.com</v>
      </c>
      <c r="C2820" s="5">
        <f>IF(B2820="null","null",Descargas!B2820)</f>
        <v>43924</v>
      </c>
      <c r="D2820" s="6" t="str">
        <f>Descargas!E2820</f>
        <v>https://resources.simonelectric.com/simon-ebook-vehiculo-electrico-ppc</v>
      </c>
      <c r="E2820" s="20" t="str">
        <f t="shared" si="1"/>
        <v>2206@gmail.com</v>
      </c>
      <c r="F2820" s="21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</row>
    <row r="2821" ht="15.75" customHeight="1">
      <c r="A2821" s="18" t="str">
        <f>Descargas!A2821</f>
        <v>2207@gmail.com</v>
      </c>
      <c r="B2821" s="19" t="str">
        <f>IFERROR(__xludf.DUMMYFUNCTION("IF(OR(regexmatch(A2821,"".*@simon.es$""),REGEXMATCH(A2821,"".*@simon.pt$""),REGEXMATCH(A2821,"".*@simonelectrica.com$""),REGEXMATCH(A2821,"".*@hiberus.com$""),REGEXMATCH(A2821,"".*@simonbrico.es$""),regexmatch(A2821,"".*@simonelectric.com$"")),""null"",A2"&amp;"821)"),"2207@gmail.com")</f>
        <v>2207@gmail.com</v>
      </c>
      <c r="C2821" s="5">
        <f>IF(B2821="null","null",Descargas!B2821)</f>
        <v>43924</v>
      </c>
      <c r="D2821" s="6" t="str">
        <f>Descargas!E2821</f>
        <v>https://resources.simonelectric.com/simon-ebook-vehiculo-electrico-ppc</v>
      </c>
      <c r="E2821" s="20" t="str">
        <f t="shared" si="1"/>
        <v>2207@gmail.com</v>
      </c>
      <c r="F2821" s="21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</row>
    <row r="2822" ht="15.75" customHeight="1">
      <c r="A2822" s="18" t="str">
        <f>Descargas!A2822</f>
        <v>2208@wp.pl</v>
      </c>
      <c r="B2822" s="19" t="str">
        <f>IFERROR(__xludf.DUMMYFUNCTION("IF(OR(regexmatch(A2822,"".*@simon.es$""),REGEXMATCH(A2822,"".*@simon.pt$""),REGEXMATCH(A2822,"".*@simonelectrica.com$""),REGEXMATCH(A2822,"".*@hiberus.com$""),REGEXMATCH(A2822,"".*@simonbrico.es$""),regexmatch(A2822,"".*@simonelectric.com$"")),""null"",A2"&amp;"822)"),"2208@wp.pl")</f>
        <v>2208@wp.pl</v>
      </c>
      <c r="C2822" s="5">
        <f>IF(B2822="null","null",Descargas!B2822)</f>
        <v>43924</v>
      </c>
      <c r="D2822" s="6" t="str">
        <f>Descargas!E2822</f>
        <v>https://resources.simonelectric.com/simon-ebook-vehiculo-electrico-ppc</v>
      </c>
      <c r="E2822" s="20" t="str">
        <f t="shared" si="1"/>
        <v>2208@wp.pl</v>
      </c>
      <c r="F2822" s="21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</row>
    <row r="2823" ht="15.75" customHeight="1">
      <c r="A2823" s="18" t="str">
        <f>Descargas!A2823</f>
        <v>2209@elecem.es</v>
      </c>
      <c r="B2823" s="19" t="str">
        <f>IFERROR(__xludf.DUMMYFUNCTION("IF(OR(regexmatch(A2823,"".*@simon.es$""),REGEXMATCH(A2823,"".*@simon.pt$""),REGEXMATCH(A2823,"".*@simonelectrica.com$""),REGEXMATCH(A2823,"".*@hiberus.com$""),REGEXMATCH(A2823,"".*@simonbrico.es$""),regexmatch(A2823,"".*@simonelectric.com$"")),""null"",A2"&amp;"823)"),"2209@elecem.es")</f>
        <v>2209@elecem.es</v>
      </c>
      <c r="C2823" s="5">
        <f>IF(B2823="null","null",Descargas!B2823)</f>
        <v>43924</v>
      </c>
      <c r="D2823" s="6" t="str">
        <f>Descargas!E2823</f>
        <v>https://resources.simonelectric.com/simon-ebook-vehiculo-electrico-ppc</v>
      </c>
      <c r="E2823" s="20" t="str">
        <f t="shared" si="1"/>
        <v>2209@elecem.es</v>
      </c>
      <c r="F2823" s="21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</row>
    <row r="2824" ht="15.75" customHeight="1">
      <c r="A2824" s="18" t="str">
        <f>Descargas!A2824</f>
        <v>2210@hotmail.com</v>
      </c>
      <c r="B2824" s="19" t="str">
        <f>IFERROR(__xludf.DUMMYFUNCTION("IF(OR(regexmatch(A2824,"".*@simon.es$""),REGEXMATCH(A2824,"".*@simon.pt$""),REGEXMATCH(A2824,"".*@simonelectrica.com$""),REGEXMATCH(A2824,"".*@hiberus.com$""),REGEXMATCH(A2824,"".*@simonbrico.es$""),regexmatch(A2824,"".*@simonelectric.com$"")),""null"",A2"&amp;"824)"),"2210@hotmail.com")</f>
        <v>2210@hotmail.com</v>
      </c>
      <c r="C2824" s="5">
        <f>IF(B2824="null","null",Descargas!B2824)</f>
        <v>43924</v>
      </c>
      <c r="D2824" s="6" t="str">
        <f>Descargas!E2824</f>
        <v>https://resources.simonelectric.com/simon-ebook-vehiculo-electrico-ppc</v>
      </c>
      <c r="E2824" s="20" t="str">
        <f t="shared" si="1"/>
        <v>2210@hotmail.com</v>
      </c>
      <c r="F2824" s="21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</row>
    <row r="2825" ht="15.75" customHeight="1">
      <c r="A2825" s="18" t="str">
        <f>Descargas!A2825</f>
        <v>2211@hotmail.com</v>
      </c>
      <c r="B2825" s="19" t="str">
        <f>IFERROR(__xludf.DUMMYFUNCTION("IF(OR(regexmatch(A2825,"".*@simon.es$""),REGEXMATCH(A2825,"".*@simon.pt$""),REGEXMATCH(A2825,"".*@simonelectrica.com$""),REGEXMATCH(A2825,"".*@hiberus.com$""),REGEXMATCH(A2825,"".*@simonbrico.es$""),regexmatch(A2825,"".*@simonelectric.com$"")),""null"",A2"&amp;"825)"),"2211@hotmail.com")</f>
        <v>2211@hotmail.com</v>
      </c>
      <c r="C2825" s="5">
        <f>IF(B2825="null","null",Descargas!B2825)</f>
        <v>43924</v>
      </c>
      <c r="D2825" s="6" t="str">
        <f>Descargas!E2825</f>
        <v>https://resources.simonelectric.com/simon-ebook-vehiculo-electrico</v>
      </c>
      <c r="E2825" s="20" t="str">
        <f t="shared" si="1"/>
        <v>2211@hotmail.com</v>
      </c>
      <c r="F2825" s="21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</row>
    <row r="2826" ht="15.75" customHeight="1">
      <c r="A2826" s="18" t="str">
        <f>Descargas!A2826</f>
        <v>2212@pgiengineering.com</v>
      </c>
      <c r="B2826" s="19" t="str">
        <f>IFERROR(__xludf.DUMMYFUNCTION("IF(OR(regexmatch(A2826,"".*@simon.es$""),REGEXMATCH(A2826,"".*@simon.pt$""),REGEXMATCH(A2826,"".*@simonelectrica.com$""),REGEXMATCH(A2826,"".*@hiberus.com$""),REGEXMATCH(A2826,"".*@simonbrico.es$""),regexmatch(A2826,"".*@simonelectric.com$"")),""null"",A2"&amp;"826)"),"2212@pgiengineering.com")</f>
        <v>2212@pgiengineering.com</v>
      </c>
      <c r="C2826" s="5">
        <f>IF(B2826="null","null",Descargas!B2826)</f>
        <v>43924</v>
      </c>
      <c r="D2826" s="6" t="str">
        <f>Descargas!E2826</f>
        <v>https://resources.simonelectric.com/simon-ebook-vehiculo-electrico</v>
      </c>
      <c r="E2826" s="20" t="str">
        <f t="shared" si="1"/>
        <v>2212@pgiengineering.com</v>
      </c>
      <c r="F2826" s="21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</row>
    <row r="2827" ht="15.75" customHeight="1">
      <c r="A2827" s="18" t="str">
        <f>Descargas!A2827</f>
        <v>2212@pgiengineering.com</v>
      </c>
      <c r="B2827" s="19" t="str">
        <f>IFERROR(__xludf.DUMMYFUNCTION("IF(OR(regexmatch(A2827,"".*@simon.es$""),REGEXMATCH(A2827,"".*@simon.pt$""),REGEXMATCH(A2827,"".*@simonelectrica.com$""),REGEXMATCH(A2827,"".*@hiberus.com$""),REGEXMATCH(A2827,"".*@simonbrico.es$""),regexmatch(A2827,"".*@simonelectric.com$"")),""null"",A2"&amp;"827)"),"2212@pgiengineering.com")</f>
        <v>2212@pgiengineering.com</v>
      </c>
      <c r="C2827" s="5">
        <f>IF(B2827="null","null",Descargas!B2827)</f>
        <v>43924</v>
      </c>
      <c r="D2827" s="6" t="str">
        <f>Descargas!E2827</f>
        <v>https://resources.simonelectric.com/simon-catalogo-vehiculo-electrico</v>
      </c>
      <c r="E2827" s="20" t="str">
        <f t="shared" si="1"/>
        <v>2212@pgiengineering.com</v>
      </c>
      <c r="F2827" s="21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</row>
    <row r="2828" ht="15.75" customHeight="1">
      <c r="A2828" s="18" t="str">
        <f>Descargas!A2828</f>
        <v>2212@pgiengineering.com</v>
      </c>
      <c r="B2828" s="19" t="str">
        <f>IFERROR(__xludf.DUMMYFUNCTION("IF(OR(regexmatch(A2828,"".*@simon.es$""),REGEXMATCH(A2828,"".*@simon.pt$""),REGEXMATCH(A2828,"".*@simonelectrica.com$""),REGEXMATCH(A2828,"".*@hiberus.com$""),REGEXMATCH(A2828,"".*@simonbrico.es$""),regexmatch(A2828,"".*@simonelectric.com$"")),""null"",A2"&amp;"828)"),"2212@pgiengineering.com")</f>
        <v>2212@pgiengineering.com</v>
      </c>
      <c r="C2828" s="5">
        <f>IF(B2828="null","null",Descargas!B2828)</f>
        <v>43924</v>
      </c>
      <c r="D2828" s="6" t="str">
        <f>Descargas!E2828</f>
        <v>https://resources.simonelectric.com/simon-ebook-vehiculo-electrico</v>
      </c>
      <c r="E2828" s="20" t="str">
        <f t="shared" si="1"/>
        <v>2212@pgiengineering.com</v>
      </c>
      <c r="F2828" s="21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</row>
    <row r="2829" ht="15.75" customHeight="1">
      <c r="A2829" s="18" t="str">
        <f>Descargas!A2829</f>
        <v>2213@gmail.com</v>
      </c>
      <c r="B2829" s="19" t="str">
        <f>IFERROR(__xludf.DUMMYFUNCTION("IF(OR(regexmatch(A2829,"".*@simon.es$""),REGEXMATCH(A2829,"".*@simon.pt$""),REGEXMATCH(A2829,"".*@simonelectrica.com$""),REGEXMATCH(A2829,"".*@hiberus.com$""),REGEXMATCH(A2829,"".*@simonbrico.es$""),regexmatch(A2829,"".*@simonelectric.com$"")),""null"",A2"&amp;"829)"),"2213@gmail.com")</f>
        <v>2213@gmail.com</v>
      </c>
      <c r="C2829" s="5">
        <f>IF(B2829="null","null",Descargas!B2829)</f>
        <v>43924</v>
      </c>
      <c r="D2829" s="6" t="str">
        <f>Descargas!E2829</f>
        <v>https://resources.simonelectric.com/simon-ebook-vehiculo-electrico</v>
      </c>
      <c r="E2829" s="20" t="str">
        <f t="shared" si="1"/>
        <v>2213@gmail.com</v>
      </c>
      <c r="F2829" s="21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</row>
    <row r="2830" ht="15.75" customHeight="1">
      <c r="A2830" s="18" t="str">
        <f>Descargas!A2830</f>
        <v>2214@hotmail.com</v>
      </c>
      <c r="B2830" s="19" t="str">
        <f>IFERROR(__xludf.DUMMYFUNCTION("IF(OR(regexmatch(A2830,"".*@simon.es$""),REGEXMATCH(A2830,"".*@simon.pt$""),REGEXMATCH(A2830,"".*@simonelectrica.com$""),REGEXMATCH(A2830,"".*@hiberus.com$""),REGEXMATCH(A2830,"".*@simonbrico.es$""),regexmatch(A2830,"".*@simonelectric.com$"")),""null"",A2"&amp;"830)"),"2214@hotmail.com")</f>
        <v>2214@hotmail.com</v>
      </c>
      <c r="C2830" s="5">
        <f>IF(B2830="null","null",Descargas!B2830)</f>
        <v>43924</v>
      </c>
      <c r="D2830" s="6" t="str">
        <f>Descargas!E2830</f>
        <v>https://resources.simonelectric.com/simon-ebook-vehiculo-electrico-ppc</v>
      </c>
      <c r="E2830" s="20" t="str">
        <f t="shared" si="1"/>
        <v>2214@hotmail.com</v>
      </c>
      <c r="F2830" s="21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</row>
    <row r="2831" ht="15.75" customHeight="1">
      <c r="A2831" s="18" t="str">
        <f>Descargas!A2831</f>
        <v>2215@gmail.com</v>
      </c>
      <c r="B2831" s="19" t="str">
        <f>IFERROR(__xludf.DUMMYFUNCTION("IF(OR(regexmatch(A2831,"".*@simon.es$""),REGEXMATCH(A2831,"".*@simon.pt$""),REGEXMATCH(A2831,"".*@simonelectrica.com$""),REGEXMATCH(A2831,"".*@hiberus.com$""),REGEXMATCH(A2831,"".*@simonbrico.es$""),regexmatch(A2831,"".*@simonelectric.com$"")),""null"",A2"&amp;"831)"),"2215@gmail.com")</f>
        <v>2215@gmail.com</v>
      </c>
      <c r="C2831" s="5">
        <f>IF(B2831="null","null",Descargas!B2831)</f>
        <v>43924</v>
      </c>
      <c r="D2831" s="6" t="str">
        <f>Descargas!E2831</f>
        <v>https://resources.simonelectric.com/simon-ebook-vehiculo-electrico-0</v>
      </c>
      <c r="E2831" s="20" t="str">
        <f t="shared" si="1"/>
        <v>2215@gmail.com</v>
      </c>
      <c r="F2831" s="21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</row>
    <row r="2832" ht="15.75" customHeight="1">
      <c r="A2832" s="18" t="str">
        <f>Descargas!A2832</f>
        <v>2216@bladis.com</v>
      </c>
      <c r="B2832" s="19" t="str">
        <f>IFERROR(__xludf.DUMMYFUNCTION("IF(OR(regexmatch(A2832,"".*@simon.es$""),REGEXMATCH(A2832,"".*@simon.pt$""),REGEXMATCH(A2832,"".*@simonelectrica.com$""),REGEXMATCH(A2832,"".*@hiberus.com$""),REGEXMATCH(A2832,"".*@simonbrico.es$""),regexmatch(A2832,"".*@simonelectric.com$"")),""null"",A2"&amp;"832)"),"2216@bladis.com")</f>
        <v>2216@bladis.com</v>
      </c>
      <c r="C2832" s="5">
        <f>IF(B2832="null","null",Descargas!B2832)</f>
        <v>43924</v>
      </c>
      <c r="D2832" s="6" t="str">
        <f>Descargas!E2832</f>
        <v>https://resources.simonelectric.com/simon-ebook-vehiculo-electrico</v>
      </c>
      <c r="E2832" s="20" t="str">
        <f t="shared" si="1"/>
        <v>2216@bladis.com</v>
      </c>
      <c r="F2832" s="21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</row>
    <row r="2833" ht="15.75" customHeight="1">
      <c r="A2833" s="18" t="str">
        <f>Descargas!A2833</f>
        <v>2217@gmail.com</v>
      </c>
      <c r="B2833" s="19" t="str">
        <f>IFERROR(__xludf.DUMMYFUNCTION("IF(OR(regexmatch(A2833,"".*@simon.es$""),REGEXMATCH(A2833,"".*@simon.pt$""),REGEXMATCH(A2833,"".*@simonelectrica.com$""),REGEXMATCH(A2833,"".*@hiberus.com$""),REGEXMATCH(A2833,"".*@simonbrico.es$""),regexmatch(A2833,"".*@simonelectric.com$"")),""null"",A2"&amp;"833)"),"2217@gmail.com")</f>
        <v>2217@gmail.com</v>
      </c>
      <c r="C2833" s="5">
        <f>IF(B2833="null","null",Descargas!B2833)</f>
        <v>43924</v>
      </c>
      <c r="D2833" s="6" t="str">
        <f>Descargas!E2833</f>
        <v>https://resources.simonelectric.com/simon-ebook-vehiculo-electrico-ppc</v>
      </c>
      <c r="E2833" s="20" t="str">
        <f t="shared" si="1"/>
        <v>2217@gmail.com</v>
      </c>
      <c r="F2833" s="21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</row>
    <row r="2834" ht="15.75" customHeight="1">
      <c r="A2834" s="18" t="str">
        <f>Descargas!A2834</f>
        <v>2218@gmx.es</v>
      </c>
      <c r="B2834" s="19" t="str">
        <f>IFERROR(__xludf.DUMMYFUNCTION("IF(OR(regexmatch(A2834,"".*@simon.es$""),REGEXMATCH(A2834,"".*@simon.pt$""),REGEXMATCH(A2834,"".*@simonelectrica.com$""),REGEXMATCH(A2834,"".*@hiberus.com$""),REGEXMATCH(A2834,"".*@simonbrico.es$""),regexmatch(A2834,"".*@simonelectric.com$"")),""null"",A2"&amp;"834)"),"2218@gmx.es")</f>
        <v>2218@gmx.es</v>
      </c>
      <c r="C2834" s="5">
        <f>IF(B2834="null","null",Descargas!B2834)</f>
        <v>43924</v>
      </c>
      <c r="D2834" s="6" t="str">
        <f>Descargas!E2834</f>
        <v>https://resources.simonelectric.com/simon-ebook-vehiculo-electrico-0</v>
      </c>
      <c r="E2834" s="20" t="str">
        <f t="shared" si="1"/>
        <v>2218@gmx.es</v>
      </c>
      <c r="F2834" s="21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</row>
    <row r="2835" ht="15.75" customHeight="1">
      <c r="A2835" s="18" t="str">
        <f>Descargas!A2835</f>
        <v>2219@teigatmi.es</v>
      </c>
      <c r="B2835" s="19" t="str">
        <f>IFERROR(__xludf.DUMMYFUNCTION("IF(OR(regexmatch(A2835,"".*@simon.es$""),REGEXMATCH(A2835,"".*@simon.pt$""),REGEXMATCH(A2835,"".*@simonelectrica.com$""),REGEXMATCH(A2835,"".*@hiberus.com$""),REGEXMATCH(A2835,"".*@simonbrico.es$""),regexmatch(A2835,"".*@simonelectric.com$"")),""null"",A2"&amp;"835)"),"2219@teigatmi.es")</f>
        <v>2219@teigatmi.es</v>
      </c>
      <c r="C2835" s="5">
        <f>IF(B2835="null","null",Descargas!B2835)</f>
        <v>43923</v>
      </c>
      <c r="D2835" s="6" t="str">
        <f>Descargas!E2835</f>
        <v>https://resources.simonelectric.com/simon-ebook-vehiculo-electrico-ppc</v>
      </c>
      <c r="E2835" s="20" t="str">
        <f t="shared" si="1"/>
        <v>2219@teigatmi.es</v>
      </c>
      <c r="F2835" s="21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</row>
    <row r="2836" ht="15.75" customHeight="1">
      <c r="A2836" s="18" t="str">
        <f>Descargas!A2836</f>
        <v>2220@hotmail.com</v>
      </c>
      <c r="B2836" s="19" t="str">
        <f>IFERROR(__xludf.DUMMYFUNCTION("IF(OR(regexmatch(A2836,"".*@simon.es$""),REGEXMATCH(A2836,"".*@simon.pt$""),REGEXMATCH(A2836,"".*@simonelectrica.com$""),REGEXMATCH(A2836,"".*@hiberus.com$""),REGEXMATCH(A2836,"".*@simonbrico.es$""),regexmatch(A2836,"".*@simonelectric.com$"")),""null"",A2"&amp;"836)"),"2220@hotmail.com")</f>
        <v>2220@hotmail.com</v>
      </c>
      <c r="C2836" s="5">
        <f>IF(B2836="null","null",Descargas!B2836)</f>
        <v>43923</v>
      </c>
      <c r="D2836" s="6" t="str">
        <f>Descargas!E2836</f>
        <v>https://resources.simonelectric.com/simon-ebook-vehiculo-electrico</v>
      </c>
      <c r="E2836" s="20" t="str">
        <f t="shared" si="1"/>
        <v>2220@hotmail.com</v>
      </c>
      <c r="F2836" s="21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</row>
    <row r="2837" ht="15.75" customHeight="1">
      <c r="A2837" s="18" t="str">
        <f>Descargas!A2837</f>
        <v>2221@hotmail.com</v>
      </c>
      <c r="B2837" s="19" t="str">
        <f>IFERROR(__xludf.DUMMYFUNCTION("IF(OR(regexmatch(A2837,"".*@simon.es$""),REGEXMATCH(A2837,"".*@simon.pt$""),REGEXMATCH(A2837,"".*@simonelectrica.com$""),REGEXMATCH(A2837,"".*@hiberus.com$""),REGEXMATCH(A2837,"".*@simonbrico.es$""),regexmatch(A2837,"".*@simonelectric.com$"")),""null"",A2"&amp;"837)"),"2221@hotmail.com")</f>
        <v>2221@hotmail.com</v>
      </c>
      <c r="C2837" s="5">
        <f>IF(B2837="null","null",Descargas!B2837)</f>
        <v>43923</v>
      </c>
      <c r="D2837" s="6" t="str">
        <f>Descargas!E2837</f>
        <v>https://resources.simonelectric.com/simon-ebook-vehiculo-electrico-ppc</v>
      </c>
      <c r="E2837" s="20" t="str">
        <f t="shared" si="1"/>
        <v>2221@hotmail.com</v>
      </c>
      <c r="F2837" s="21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</row>
    <row r="2838" ht="15.75" customHeight="1">
      <c r="A2838" s="18" t="str">
        <f>Descargas!A2838</f>
        <v>2222@gmail.com</v>
      </c>
      <c r="B2838" s="19" t="str">
        <f>IFERROR(__xludf.DUMMYFUNCTION("IF(OR(regexmatch(A2838,"".*@simon.es$""),REGEXMATCH(A2838,"".*@simon.pt$""),REGEXMATCH(A2838,"".*@simonelectrica.com$""),REGEXMATCH(A2838,"".*@hiberus.com$""),REGEXMATCH(A2838,"".*@simonbrico.es$""),regexmatch(A2838,"".*@simonelectric.com$"")),""null"",A2"&amp;"838)"),"2222@gmail.com")</f>
        <v>2222@gmail.com</v>
      </c>
      <c r="C2838" s="5">
        <f>IF(B2838="null","null",Descargas!B2838)</f>
        <v>43923</v>
      </c>
      <c r="D2838" s="6" t="str">
        <f>Descargas!E2838</f>
        <v>https://resources.simonelectric.com/simon-ebook-vehiculo-electrico</v>
      </c>
      <c r="E2838" s="20" t="str">
        <f t="shared" si="1"/>
        <v>2222@gmail.com</v>
      </c>
      <c r="F2838" s="21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</row>
    <row r="2839" ht="15.75" customHeight="1">
      <c r="A2839" s="18" t="str">
        <f>Descargas!A2839</f>
        <v>2223@hotmail.com</v>
      </c>
      <c r="B2839" s="19" t="str">
        <f>IFERROR(__xludf.DUMMYFUNCTION("IF(OR(regexmatch(A2839,"".*@simon.es$""),REGEXMATCH(A2839,"".*@simon.pt$""),REGEXMATCH(A2839,"".*@simonelectrica.com$""),REGEXMATCH(A2839,"".*@hiberus.com$""),REGEXMATCH(A2839,"".*@simonbrico.es$""),regexmatch(A2839,"".*@simonelectric.com$"")),""null"",A2"&amp;"839)"),"2223@hotmail.com")</f>
        <v>2223@hotmail.com</v>
      </c>
      <c r="C2839" s="5">
        <f>IF(B2839="null","null",Descargas!B2839)</f>
        <v>43923</v>
      </c>
      <c r="D2839" s="6" t="str">
        <f>Descargas!E2839</f>
        <v>https://resources.simonelectric.com/simon-ebook-vehiculo-electrico-ppc</v>
      </c>
      <c r="E2839" s="20" t="str">
        <f t="shared" si="1"/>
        <v>2223@hotmail.com</v>
      </c>
      <c r="F2839" s="21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</row>
    <row r="2840" ht="15.75" customHeight="1">
      <c r="A2840" s="18" t="str">
        <f>Descargas!A2840</f>
        <v>2224@gmail.com</v>
      </c>
      <c r="B2840" s="19" t="str">
        <f>IFERROR(__xludf.DUMMYFUNCTION("IF(OR(regexmatch(A2840,"".*@simon.es$""),REGEXMATCH(A2840,"".*@simon.pt$""),REGEXMATCH(A2840,"".*@simonelectrica.com$""),REGEXMATCH(A2840,"".*@hiberus.com$""),REGEXMATCH(A2840,"".*@simonbrico.es$""),regexmatch(A2840,"".*@simonelectric.com$"")),""null"",A2"&amp;"840)"),"2224@gmail.com")</f>
        <v>2224@gmail.com</v>
      </c>
      <c r="C2840" s="5">
        <f>IF(B2840="null","null",Descargas!B2840)</f>
        <v>43923</v>
      </c>
      <c r="D2840" s="6" t="str">
        <f>Descargas!E2840</f>
        <v>https://resources.simonelectric.com/simon-ebook-vehiculo-electrico</v>
      </c>
      <c r="E2840" s="20" t="str">
        <f t="shared" si="1"/>
        <v>2224@gmail.com</v>
      </c>
      <c r="F2840" s="21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</row>
    <row r="2841" ht="15.75" customHeight="1">
      <c r="A2841" s="18" t="str">
        <f>Descargas!A2841</f>
        <v>971@imagogestion.com</v>
      </c>
      <c r="B2841" s="19" t="str">
        <f>IFERROR(__xludf.DUMMYFUNCTION("IF(OR(regexmatch(A2841,"".*@simon.es$""),REGEXMATCH(A2841,"".*@simon.pt$""),REGEXMATCH(A2841,"".*@simonelectrica.com$""),REGEXMATCH(A2841,"".*@hiberus.com$""),REGEXMATCH(A2841,"".*@simonbrico.es$""),regexmatch(A2841,"".*@simonelectric.com$"")),""null"",A2"&amp;"841)"),"971@imagogestion.com")</f>
        <v>971@imagogestion.com</v>
      </c>
      <c r="C2841" s="5">
        <f>IF(B2841="null","null",Descargas!B2841)</f>
        <v>43923</v>
      </c>
      <c r="D2841" s="6" t="str">
        <f>Descargas!E2841</f>
        <v>https://resources.simonelectric.com/simon-ebook-vehiculo-electrico</v>
      </c>
      <c r="E2841" s="20" t="str">
        <f t="shared" si="1"/>
        <v>971@imagogestion.com</v>
      </c>
      <c r="F2841" s="21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</row>
    <row r="2842" ht="15.75" customHeight="1">
      <c r="A2842" s="18" t="str">
        <f>Descargas!A2842</f>
        <v>2225@evectra.es</v>
      </c>
      <c r="B2842" s="19" t="str">
        <f>IFERROR(__xludf.DUMMYFUNCTION("IF(OR(regexmatch(A2842,"".*@simon.es$""),REGEXMATCH(A2842,"".*@simon.pt$""),REGEXMATCH(A2842,"".*@simonelectrica.com$""),REGEXMATCH(A2842,"".*@hiberus.com$""),REGEXMATCH(A2842,"".*@simonbrico.es$""),regexmatch(A2842,"".*@simonelectric.com$"")),""null"",A2"&amp;"842)"),"2225@evectra.es")</f>
        <v>2225@evectra.es</v>
      </c>
      <c r="C2842" s="5">
        <f>IF(B2842="null","null",Descargas!B2842)</f>
        <v>43923</v>
      </c>
      <c r="D2842" s="6" t="str">
        <f>Descargas!E2842</f>
        <v>https://resources.simonelectric.com/simon-ebook-vehiculo-electrico</v>
      </c>
      <c r="E2842" s="20" t="str">
        <f t="shared" si="1"/>
        <v>2225@evectra.es</v>
      </c>
      <c r="F2842" s="21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</row>
    <row r="2843" ht="15.75" customHeight="1">
      <c r="A2843" s="18" t="str">
        <f>Descargas!A2843</f>
        <v>1844@grupoelectrostocks.com</v>
      </c>
      <c r="B2843" s="19" t="str">
        <f>IFERROR(__xludf.DUMMYFUNCTION("IF(OR(regexmatch(A2843,"".*@simon.es$""),REGEXMATCH(A2843,"".*@simon.pt$""),REGEXMATCH(A2843,"".*@simonelectrica.com$""),REGEXMATCH(A2843,"".*@hiberus.com$""),REGEXMATCH(A2843,"".*@simonbrico.es$""),regexmatch(A2843,"".*@simonelectric.com$"")),""null"",A2"&amp;"843)"),"1844@grupoelectrostocks.com")</f>
        <v>1844@grupoelectrostocks.com</v>
      </c>
      <c r="C2843" s="5">
        <f>IF(B2843="null","null",Descargas!B2843)</f>
        <v>43923</v>
      </c>
      <c r="D2843" s="6" t="str">
        <f>Descargas!E2843</f>
        <v>https://resources.simonelectric.com/simon-catalogo-vehiculo-electrico</v>
      </c>
      <c r="E2843" s="20" t="str">
        <f t="shared" si="1"/>
        <v>1844@grupoelectrostocks.com</v>
      </c>
      <c r="F2843" s="21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</row>
    <row r="2844" ht="15.75" customHeight="1">
      <c r="A2844" s="18" t="str">
        <f>Descargas!A2844</f>
        <v>1844@grupoelectrostocks.com</v>
      </c>
      <c r="B2844" s="19" t="str">
        <f>IFERROR(__xludf.DUMMYFUNCTION("IF(OR(regexmatch(A2844,"".*@simon.es$""),REGEXMATCH(A2844,"".*@simon.pt$""),REGEXMATCH(A2844,"".*@simonelectrica.com$""),REGEXMATCH(A2844,"".*@hiberus.com$""),REGEXMATCH(A2844,"".*@simonbrico.es$""),regexmatch(A2844,"".*@simonelectric.com$"")),""null"",A2"&amp;"844)"),"1844@grupoelectrostocks.com")</f>
        <v>1844@grupoelectrostocks.com</v>
      </c>
      <c r="C2844" s="5">
        <f>IF(B2844="null","null",Descargas!B2844)</f>
        <v>43923</v>
      </c>
      <c r="D2844" s="6" t="str">
        <f>Descargas!E2844</f>
        <v>https://resources.simonelectric.com/simon-ebook-vehiculo-electrico</v>
      </c>
      <c r="E2844" s="20" t="str">
        <f t="shared" si="1"/>
        <v>1844@grupoelectrostocks.com</v>
      </c>
      <c r="F2844" s="21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</row>
    <row r="2845" ht="15.75" customHeight="1">
      <c r="A2845" s="18" t="str">
        <f>Descargas!A2845</f>
        <v>2226@hotmail.com</v>
      </c>
      <c r="B2845" s="19" t="str">
        <f>IFERROR(__xludf.DUMMYFUNCTION("IF(OR(regexmatch(A2845,"".*@simon.es$""),REGEXMATCH(A2845,"".*@simon.pt$""),REGEXMATCH(A2845,"".*@simonelectrica.com$""),REGEXMATCH(A2845,"".*@hiberus.com$""),REGEXMATCH(A2845,"".*@simonbrico.es$""),regexmatch(A2845,"".*@simonelectric.com$"")),""null"",A2"&amp;"845)"),"2226@hotmail.com")</f>
        <v>2226@hotmail.com</v>
      </c>
      <c r="C2845" s="5">
        <f>IF(B2845="null","null",Descargas!B2845)</f>
        <v>43923</v>
      </c>
      <c r="D2845" s="6" t="str">
        <f>Descargas!E2845</f>
        <v>https://resources.simonelectric.com/simon-ebook-vehiculo-electrico-ppc</v>
      </c>
      <c r="E2845" s="20" t="str">
        <f t="shared" si="1"/>
        <v>2226@hotmail.com</v>
      </c>
      <c r="F2845" s="21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</row>
    <row r="2846" ht="15.75" customHeight="1">
      <c r="A2846" s="18" t="str">
        <f>Descargas!A2846</f>
        <v>2227@gmail.com</v>
      </c>
      <c r="B2846" s="19" t="str">
        <f>IFERROR(__xludf.DUMMYFUNCTION("IF(OR(regexmatch(A2846,"".*@simon.es$""),REGEXMATCH(A2846,"".*@simon.pt$""),REGEXMATCH(A2846,"".*@simonelectrica.com$""),REGEXMATCH(A2846,"".*@hiberus.com$""),REGEXMATCH(A2846,"".*@simonbrico.es$""),regexmatch(A2846,"".*@simonelectric.com$"")),""null"",A2"&amp;"846)"),"2227@gmail.com")</f>
        <v>2227@gmail.com</v>
      </c>
      <c r="C2846" s="5">
        <f>IF(B2846="null","null",Descargas!B2846)</f>
        <v>43923</v>
      </c>
      <c r="D2846" s="6" t="str">
        <f>Descargas!E2846</f>
        <v>https://resources.simonelectric.com/simon-ebook-vehiculo-electrico</v>
      </c>
      <c r="E2846" s="20" t="str">
        <f t="shared" si="1"/>
        <v>2227@gmail.com</v>
      </c>
      <c r="F2846" s="21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</row>
    <row r="2847" ht="15.75" customHeight="1">
      <c r="A2847" s="18" t="str">
        <f>Descargas!A2847</f>
        <v>1654@movinetenergia.com</v>
      </c>
      <c r="B2847" s="19" t="str">
        <f>IFERROR(__xludf.DUMMYFUNCTION("IF(OR(regexmatch(A2847,"".*@simon.es$""),REGEXMATCH(A2847,"".*@simon.pt$""),REGEXMATCH(A2847,"".*@simonelectrica.com$""),REGEXMATCH(A2847,"".*@hiberus.com$""),REGEXMATCH(A2847,"".*@simonbrico.es$""),regexmatch(A2847,"".*@simonelectric.com$"")),""null"",A2"&amp;"847)"),"1654@movinetenergia.com")</f>
        <v>1654@movinetenergia.com</v>
      </c>
      <c r="C2847" s="5">
        <f>IF(B2847="null","null",Descargas!B2847)</f>
        <v>43923</v>
      </c>
      <c r="D2847" s="6" t="str">
        <f>Descargas!E2847</f>
        <v>https://resources.simonelectric.com/simon-ebook-vehiculo-electrico-ppc</v>
      </c>
      <c r="E2847" s="20" t="str">
        <f t="shared" si="1"/>
        <v>1654@movinetenergia.com</v>
      </c>
      <c r="F2847" s="21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</row>
    <row r="2848" ht="15.75" customHeight="1">
      <c r="A2848" s="18" t="str">
        <f>Descargas!A2848</f>
        <v>2228@gmail.com</v>
      </c>
      <c r="B2848" s="19" t="str">
        <f>IFERROR(__xludf.DUMMYFUNCTION("IF(OR(regexmatch(A2848,"".*@simon.es$""),REGEXMATCH(A2848,"".*@simon.pt$""),REGEXMATCH(A2848,"".*@simonelectrica.com$""),REGEXMATCH(A2848,"".*@hiberus.com$""),REGEXMATCH(A2848,"".*@simonbrico.es$""),regexmatch(A2848,"".*@simonelectric.com$"")),""null"",A2"&amp;"848)"),"2228@gmail.com")</f>
        <v>2228@gmail.com</v>
      </c>
      <c r="C2848" s="5">
        <f>IF(B2848="null","null",Descargas!B2848)</f>
        <v>43922</v>
      </c>
      <c r="D2848" s="6" t="str">
        <f>Descargas!E2848</f>
        <v>https://resources.simonelectric.com/simon-ebook-vehiculo-electrico-ppc</v>
      </c>
      <c r="E2848" s="20" t="str">
        <f t="shared" si="1"/>
        <v>2228@gmail.com</v>
      </c>
      <c r="F2848" s="21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</row>
    <row r="2849" ht="15.75" customHeight="1">
      <c r="A2849" s="18" t="str">
        <f>Descargas!A2849</f>
        <v>2229@enerluz.es</v>
      </c>
      <c r="B2849" s="19" t="str">
        <f>IFERROR(__xludf.DUMMYFUNCTION("IF(OR(regexmatch(A2849,"".*@simon.es$""),REGEXMATCH(A2849,"".*@simon.pt$""),REGEXMATCH(A2849,"".*@simonelectrica.com$""),REGEXMATCH(A2849,"".*@hiberus.com$""),REGEXMATCH(A2849,"".*@simonbrico.es$""),regexmatch(A2849,"".*@simonelectric.com$"")),""null"",A2"&amp;"849)"),"2229@enerluz.es")</f>
        <v>2229@enerluz.es</v>
      </c>
      <c r="C2849" s="5">
        <f>IF(B2849="null","null",Descargas!B2849)</f>
        <v>43922</v>
      </c>
      <c r="D2849" s="6" t="str">
        <f>Descargas!E2849</f>
        <v>https://resources.simonelectric.com/simon-ebook-vehiculo-electrico-ppc</v>
      </c>
      <c r="E2849" s="20" t="str">
        <f t="shared" si="1"/>
        <v>2229@enerluz.es</v>
      </c>
      <c r="F2849" s="21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</row>
    <row r="2850" ht="15.75" customHeight="1">
      <c r="A2850" s="18" t="str">
        <f>Descargas!A2850</f>
        <v>2230@hotmail.com</v>
      </c>
      <c r="B2850" s="19" t="str">
        <f>IFERROR(__xludf.DUMMYFUNCTION("IF(OR(regexmatch(A2850,"".*@simon.es$""),REGEXMATCH(A2850,"".*@simon.pt$""),REGEXMATCH(A2850,"".*@simonelectrica.com$""),REGEXMATCH(A2850,"".*@hiberus.com$""),REGEXMATCH(A2850,"".*@simonbrico.es$""),regexmatch(A2850,"".*@simonelectric.com$"")),""null"",A2"&amp;"850)"),"2230@hotmail.com")</f>
        <v>2230@hotmail.com</v>
      </c>
      <c r="C2850" s="5">
        <f>IF(B2850="null","null",Descargas!B2850)</f>
        <v>43922</v>
      </c>
      <c r="D2850" s="6" t="str">
        <f>Descargas!E2850</f>
        <v>https://resources.simonelectric.com/simon-ebook-vehiculo-electrico</v>
      </c>
      <c r="E2850" s="20" t="str">
        <f t="shared" si="1"/>
        <v>2230@hotmail.com</v>
      </c>
      <c r="F2850" s="21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</row>
    <row r="2851" ht="15.75" customHeight="1">
      <c r="A2851" s="18" t="str">
        <f>Descargas!A2851</f>
        <v>2231@hotmail.com</v>
      </c>
      <c r="B2851" s="19" t="str">
        <f>IFERROR(__xludf.DUMMYFUNCTION("IF(OR(regexmatch(A2851,"".*@simon.es$""),REGEXMATCH(A2851,"".*@simon.pt$""),REGEXMATCH(A2851,"".*@simonelectrica.com$""),REGEXMATCH(A2851,"".*@hiberus.com$""),REGEXMATCH(A2851,"".*@simonbrico.es$""),regexmatch(A2851,"".*@simonelectric.com$"")),""null"",A2"&amp;"851)"),"2231@hotmail.com")</f>
        <v>2231@hotmail.com</v>
      </c>
      <c r="C2851" s="5">
        <f>IF(B2851="null","null",Descargas!B2851)</f>
        <v>43922</v>
      </c>
      <c r="D2851" s="6" t="str">
        <f>Descargas!E2851</f>
        <v>https://resources.simonelectric.com/simon-ebook-vehiculo-electrico-ppc</v>
      </c>
      <c r="E2851" s="20" t="str">
        <f t="shared" si="1"/>
        <v>2231@hotmail.com</v>
      </c>
      <c r="F2851" s="21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</row>
    <row r="2852" ht="15.75" customHeight="1">
      <c r="A2852" s="18" t="str">
        <f>Descargas!A2852</f>
        <v>2232@gmail.com</v>
      </c>
      <c r="B2852" s="19" t="str">
        <f>IFERROR(__xludf.DUMMYFUNCTION("IF(OR(regexmatch(A2852,"".*@simon.es$""),REGEXMATCH(A2852,"".*@simon.pt$""),REGEXMATCH(A2852,"".*@simonelectrica.com$""),REGEXMATCH(A2852,"".*@hiberus.com$""),REGEXMATCH(A2852,"".*@simonbrico.es$""),regexmatch(A2852,"".*@simonelectric.com$"")),""null"",A2"&amp;"852)"),"2232@gmail.com")</f>
        <v>2232@gmail.com</v>
      </c>
      <c r="C2852" s="5">
        <f>IF(B2852="null","null",Descargas!B2852)</f>
        <v>43922</v>
      </c>
      <c r="D2852" s="6" t="str">
        <f>Descargas!E2852</f>
        <v>https://resources.simonelectric.com/simon-ebook-vehiculo-electrico</v>
      </c>
      <c r="E2852" s="20" t="str">
        <f t="shared" si="1"/>
        <v>2232@gmail.com</v>
      </c>
      <c r="F2852" s="21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</row>
    <row r="2853" ht="15.75" customHeight="1">
      <c r="A2853" s="18" t="str">
        <f>Descargas!A2853</f>
        <v>2233@gmail.com</v>
      </c>
      <c r="B2853" s="19" t="str">
        <f>IFERROR(__xludf.DUMMYFUNCTION("IF(OR(regexmatch(A2853,"".*@simon.es$""),REGEXMATCH(A2853,"".*@simon.pt$""),REGEXMATCH(A2853,"".*@simonelectrica.com$""),REGEXMATCH(A2853,"".*@hiberus.com$""),REGEXMATCH(A2853,"".*@simonbrico.es$""),regexmatch(A2853,"".*@simonelectric.com$"")),""null"",A2"&amp;"853)"),"2233@gmail.com")</f>
        <v>2233@gmail.com</v>
      </c>
      <c r="C2853" s="5">
        <f>IF(B2853="null","null",Descargas!B2853)</f>
        <v>43922</v>
      </c>
      <c r="D2853" s="6" t="str">
        <f>Descargas!E2853</f>
        <v>https://resources.simonelectric.com/simon-ebook-vehiculo-electrico-ppc</v>
      </c>
      <c r="E2853" s="20" t="str">
        <f t="shared" si="1"/>
        <v>2233@gmail.com</v>
      </c>
      <c r="F2853" s="21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</row>
    <row r="2854" ht="15.75" customHeight="1">
      <c r="A2854" s="18" t="str">
        <f>Descargas!A2854</f>
        <v>2234@hotmail.com</v>
      </c>
      <c r="B2854" s="19" t="str">
        <f>IFERROR(__xludf.DUMMYFUNCTION("IF(OR(regexmatch(A2854,"".*@simon.es$""),REGEXMATCH(A2854,"".*@simon.pt$""),REGEXMATCH(A2854,"".*@simonelectrica.com$""),REGEXMATCH(A2854,"".*@hiberus.com$""),REGEXMATCH(A2854,"".*@simonbrico.es$""),regexmatch(A2854,"".*@simonelectric.com$"")),""null"",A2"&amp;"854)"),"2234@hotmail.com")</f>
        <v>2234@hotmail.com</v>
      </c>
      <c r="C2854" s="5">
        <f>IF(B2854="null","null",Descargas!B2854)</f>
        <v>43922</v>
      </c>
      <c r="D2854" s="6" t="str">
        <f>Descargas!E2854</f>
        <v>https://resources.simonelectric.com/simon-ebook-vehiculo-electrico</v>
      </c>
      <c r="E2854" s="20" t="str">
        <f t="shared" si="1"/>
        <v>2234@hotmail.com</v>
      </c>
      <c r="F2854" s="21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</row>
    <row r="2855" ht="15.75" customHeight="1">
      <c r="A2855" s="18" t="str">
        <f>Descargas!A2855</f>
        <v>2235@hotmail.com</v>
      </c>
      <c r="B2855" s="19" t="str">
        <f>IFERROR(__xludf.DUMMYFUNCTION("IF(OR(regexmatch(A2855,"".*@simon.es$""),REGEXMATCH(A2855,"".*@simon.pt$""),REGEXMATCH(A2855,"".*@simonelectrica.com$""),REGEXMATCH(A2855,"".*@hiberus.com$""),REGEXMATCH(A2855,"".*@simonbrico.es$""),regexmatch(A2855,"".*@simonelectric.com$"")),""null"",A2"&amp;"855)"),"2235@hotmail.com")</f>
        <v>2235@hotmail.com</v>
      </c>
      <c r="C2855" s="5">
        <f>IF(B2855="null","null",Descargas!B2855)</f>
        <v>43922</v>
      </c>
      <c r="D2855" s="6" t="str">
        <f>Descargas!E2855</f>
        <v>https://resources.simonelectric.com/simon-ebook-vehiculo-electrico-ppc</v>
      </c>
      <c r="E2855" s="20" t="str">
        <f t="shared" si="1"/>
        <v>2235@hotmail.com</v>
      </c>
      <c r="F2855" s="21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</row>
    <row r="2856" ht="15.75" customHeight="1">
      <c r="A2856" s="18" t="str">
        <f>Descargas!A2856</f>
        <v>2236@hotmail.com</v>
      </c>
      <c r="B2856" s="19" t="str">
        <f>IFERROR(__xludf.DUMMYFUNCTION("IF(OR(regexmatch(A2856,"".*@simon.es$""),REGEXMATCH(A2856,"".*@simon.pt$""),REGEXMATCH(A2856,"".*@simonelectrica.com$""),REGEXMATCH(A2856,"".*@hiberus.com$""),REGEXMATCH(A2856,"".*@simonbrico.es$""),regexmatch(A2856,"".*@simonelectric.com$"")),""null"",A2"&amp;"856)"),"2236@hotmail.com")</f>
        <v>2236@hotmail.com</v>
      </c>
      <c r="C2856" s="5">
        <f>IF(B2856="null","null",Descargas!B2856)</f>
        <v>43922</v>
      </c>
      <c r="D2856" s="6" t="str">
        <f>Descargas!E2856</f>
        <v>https://resources.simonelectric.com/simon-ebook-vehiculo-electrico-ppc</v>
      </c>
      <c r="E2856" s="20" t="str">
        <f t="shared" si="1"/>
        <v>2236@hotmail.com</v>
      </c>
      <c r="F2856" s="21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</row>
    <row r="2857" ht="15.75" customHeight="1">
      <c r="A2857" s="18" t="str">
        <f>Descargas!A2857</f>
        <v>2237@simon.es</v>
      </c>
      <c r="B2857" s="19" t="str">
        <f>IFERROR(__xludf.DUMMYFUNCTION("IF(OR(regexmatch(A2857,"".*@simon.es$""),REGEXMATCH(A2857,"".*@simon.pt$""),REGEXMATCH(A2857,"".*@simonelectrica.com$""),REGEXMATCH(A2857,"".*@hiberus.com$""),REGEXMATCH(A2857,"".*@simonbrico.es$""),regexmatch(A2857,"".*@simonelectric.com$"")),""null"",A2"&amp;"857)"),"null")</f>
        <v>null</v>
      </c>
      <c r="C2857" s="5" t="str">
        <f>IF(B2857="null","null",Descargas!B2857)</f>
        <v>null</v>
      </c>
      <c r="D2857" s="6" t="str">
        <f>Descargas!E2857</f>
        <v>https://resources.simonelectric.com/simon-ebook-vehiculo-electrico</v>
      </c>
      <c r="E2857" s="24" t="str">
        <f t="shared" si="1"/>
        <v/>
      </c>
      <c r="F2857" s="21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</row>
    <row r="2858" ht="15.75" customHeight="1">
      <c r="A2858" s="18" t="str">
        <f>Descargas!A2858</f>
        <v>2238@hotmail.es</v>
      </c>
      <c r="B2858" s="19" t="str">
        <f>IFERROR(__xludf.DUMMYFUNCTION("IF(OR(regexmatch(A2858,"".*@simon.es$""),REGEXMATCH(A2858,"".*@simon.pt$""),REGEXMATCH(A2858,"".*@simonelectrica.com$""),REGEXMATCH(A2858,"".*@hiberus.com$""),REGEXMATCH(A2858,"".*@simonbrico.es$""),regexmatch(A2858,"".*@simonelectric.com$"")),""null"",A2"&amp;"858)"),"2238@hotmail.es")</f>
        <v>2238@hotmail.es</v>
      </c>
      <c r="C2858" s="5">
        <f>IF(B2858="null","null",Descargas!B2858)</f>
        <v>43922</v>
      </c>
      <c r="D2858" s="6" t="str">
        <f>Descargas!E2858</f>
        <v>https://resources.simonelectric.com/simon-ebook-vehiculo-electrico-0</v>
      </c>
      <c r="E2858" s="20" t="str">
        <f t="shared" si="1"/>
        <v>2238@hotmail.es</v>
      </c>
      <c r="F2858" s="21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</row>
    <row r="2859" ht="15.75" customHeight="1">
      <c r="A2859" s="18" t="str">
        <f>Descargas!A2859</f>
        <v>2239@gmail.com</v>
      </c>
      <c r="B2859" s="19" t="str">
        <f>IFERROR(__xludf.DUMMYFUNCTION("IF(OR(regexmatch(A2859,"".*@simon.es$""),REGEXMATCH(A2859,"".*@simon.pt$""),REGEXMATCH(A2859,"".*@simonelectrica.com$""),REGEXMATCH(A2859,"".*@hiberus.com$""),REGEXMATCH(A2859,"".*@simonbrico.es$""),regexmatch(A2859,"".*@simonelectric.com$"")),""null"",A2"&amp;"859)"),"2239@gmail.com")</f>
        <v>2239@gmail.com</v>
      </c>
      <c r="C2859" s="5">
        <f>IF(B2859="null","null",Descargas!B2859)</f>
        <v>43922</v>
      </c>
      <c r="D2859" s="6" t="str">
        <f>Descargas!E2859</f>
        <v>https://resources.simonelectric.com/simon-ebook-vehiculo-electrico-ppc</v>
      </c>
      <c r="E2859" s="20" t="str">
        <f t="shared" si="1"/>
        <v>2239@gmail.com</v>
      </c>
      <c r="F2859" s="21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</row>
    <row r="2860" ht="15.75" customHeight="1">
      <c r="A2860" s="18" t="str">
        <f>Descargas!A2860</f>
        <v>2240@coac.net</v>
      </c>
      <c r="B2860" s="19" t="str">
        <f>IFERROR(__xludf.DUMMYFUNCTION("IF(OR(regexmatch(A2860,"".*@simon.es$""),REGEXMATCH(A2860,"".*@simon.pt$""),REGEXMATCH(A2860,"".*@simonelectrica.com$""),REGEXMATCH(A2860,"".*@hiberus.com$""),REGEXMATCH(A2860,"".*@simonbrico.es$""),regexmatch(A2860,"".*@simonelectric.com$"")),""null"",A2"&amp;"860)"),"2240@coac.net")</f>
        <v>2240@coac.net</v>
      </c>
      <c r="C2860" s="5">
        <f>IF(B2860="null","null",Descargas!B2860)</f>
        <v>43922</v>
      </c>
      <c r="D2860" s="6" t="str">
        <f>Descargas!E2860</f>
        <v>https://resources.simonelectric.com/simon-ebook-vehiculo-electrico</v>
      </c>
      <c r="E2860" s="20" t="str">
        <f t="shared" si="1"/>
        <v>2240@coac.net</v>
      </c>
      <c r="F2860" s="21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</row>
    <row r="2861" ht="15.75" customHeight="1">
      <c r="A2861" s="18" t="str">
        <f>Descargas!A2861</f>
        <v>1681@gmail.com</v>
      </c>
      <c r="B2861" s="19" t="str">
        <f>IFERROR(__xludf.DUMMYFUNCTION("IF(OR(regexmatch(A2861,"".*@simon.es$""),REGEXMATCH(A2861,"".*@simon.pt$""),REGEXMATCH(A2861,"".*@simonelectrica.com$""),REGEXMATCH(A2861,"".*@hiberus.com$""),REGEXMATCH(A2861,"".*@simonbrico.es$""),regexmatch(A2861,"".*@simonelectric.com$"")),""null"",A2"&amp;"861)"),"1681@gmail.com")</f>
        <v>1681@gmail.com</v>
      </c>
      <c r="C2861" s="5">
        <f>IF(B2861="null","null",Descargas!B2861)</f>
        <v>43922</v>
      </c>
      <c r="D2861" s="6" t="str">
        <f>Descargas!E2861</f>
        <v>https://resources.simonelectric.com/simon-ebook-vehiculo-electrico-0</v>
      </c>
      <c r="E2861" s="20" t="str">
        <f t="shared" si="1"/>
        <v>1681@gmail.com</v>
      </c>
      <c r="F2861" s="21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</row>
    <row r="2862" ht="15.75" customHeight="1">
      <c r="A2862" s="18" t="str">
        <f>Descargas!A2862</f>
        <v>2241@outlook.com</v>
      </c>
      <c r="B2862" s="19" t="str">
        <f>IFERROR(__xludf.DUMMYFUNCTION("IF(OR(regexmatch(A2862,"".*@simon.es$""),REGEXMATCH(A2862,"".*@simon.pt$""),REGEXMATCH(A2862,"".*@simonelectrica.com$""),REGEXMATCH(A2862,"".*@hiberus.com$""),REGEXMATCH(A2862,"".*@simonbrico.es$""),regexmatch(A2862,"".*@simonelectric.com$"")),""null"",A2"&amp;"862)"),"2241@outlook.com")</f>
        <v>2241@outlook.com</v>
      </c>
      <c r="C2862" s="5">
        <f>IF(B2862="null","null",Descargas!B2862)</f>
        <v>43922</v>
      </c>
      <c r="D2862" s="6" t="str">
        <f>Descargas!E2862</f>
        <v>https://resources.simonelectric.com/simon-ebook-vehiculo-electrico</v>
      </c>
      <c r="E2862" s="20" t="str">
        <f t="shared" si="1"/>
        <v>2241@outlook.com</v>
      </c>
      <c r="F2862" s="21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</row>
    <row r="2863" ht="15.75" customHeight="1">
      <c r="A2863" s="18" t="str">
        <f>Descargas!A2863</f>
        <v>2242@eurogestiones.com</v>
      </c>
      <c r="B2863" s="19" t="str">
        <f>IFERROR(__xludf.DUMMYFUNCTION("IF(OR(regexmatch(A2863,"".*@simon.es$""),REGEXMATCH(A2863,"".*@simon.pt$""),REGEXMATCH(A2863,"".*@simonelectrica.com$""),REGEXMATCH(A2863,"".*@hiberus.com$""),REGEXMATCH(A2863,"".*@simonbrico.es$""),regexmatch(A2863,"".*@simonelectric.com$"")),""null"",A2"&amp;"863)"),"2242@eurogestiones.com")</f>
        <v>2242@eurogestiones.com</v>
      </c>
      <c r="C2863" s="5">
        <f>IF(B2863="null","null",Descargas!B2863)</f>
        <v>43922</v>
      </c>
      <c r="D2863" s="6" t="str">
        <f>Descargas!E2863</f>
        <v>https://resources.simonelectric.com/simon-ebook-vehiculo-electrico</v>
      </c>
      <c r="E2863" s="20" t="str">
        <f t="shared" si="1"/>
        <v>2242@eurogestiones.com</v>
      </c>
      <c r="F2863" s="21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</row>
    <row r="2864" ht="15.75" customHeight="1">
      <c r="A2864" s="18" t="str">
        <f>Descargas!A2864</f>
        <v>595@centroasturianobarcelona.com</v>
      </c>
      <c r="B2864" s="19" t="str">
        <f>IFERROR(__xludf.DUMMYFUNCTION("IF(OR(regexmatch(A2864,"".*@simon.es$""),REGEXMATCH(A2864,"".*@simon.pt$""),REGEXMATCH(A2864,"".*@simonelectrica.com$""),REGEXMATCH(A2864,"".*@hiberus.com$""),REGEXMATCH(A2864,"".*@simonbrico.es$""),regexmatch(A2864,"".*@simonelectric.com$"")),""null"",A2"&amp;"864)"),"595@centroasturianobarcelona.com")</f>
        <v>595@centroasturianobarcelona.com</v>
      </c>
      <c r="C2864" s="5">
        <f>IF(B2864="null","null",Descargas!B2864)</f>
        <v>43922</v>
      </c>
      <c r="D2864" s="6" t="str">
        <f>Descargas!E2864</f>
        <v>https://resources.simonelectric.com/simon-ebook-vehiculo-electrico</v>
      </c>
      <c r="E2864" s="20" t="str">
        <f t="shared" si="1"/>
        <v>595@centroasturianobarcelona.com</v>
      </c>
      <c r="F2864" s="21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</row>
    <row r="2865" ht="15.75" customHeight="1">
      <c r="A2865" s="18" t="str">
        <f>Descargas!A2865</f>
        <v>2243@gmail.com</v>
      </c>
      <c r="B2865" s="19" t="str">
        <f>IFERROR(__xludf.DUMMYFUNCTION("IF(OR(regexmatch(A2865,"".*@simon.es$""),REGEXMATCH(A2865,"".*@simon.pt$""),REGEXMATCH(A2865,"".*@simonelectrica.com$""),REGEXMATCH(A2865,"".*@hiberus.com$""),REGEXMATCH(A2865,"".*@simonbrico.es$""),regexmatch(A2865,"".*@simonelectric.com$"")),""null"",A2"&amp;"865)"),"2243@gmail.com")</f>
        <v>2243@gmail.com</v>
      </c>
      <c r="C2865" s="5">
        <f>IF(B2865="null","null",Descargas!B2865)</f>
        <v>43922</v>
      </c>
      <c r="D2865" s="6" t="str">
        <f>Descargas!E2865</f>
        <v>https://resources.simonelectric.com/simon-ebook-vehiculo-electrico-ppc</v>
      </c>
      <c r="E2865" s="20" t="str">
        <f t="shared" si="1"/>
        <v>2243@gmail.com</v>
      </c>
      <c r="F2865" s="21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</row>
    <row r="2866" ht="15.75" customHeight="1">
      <c r="A2866" s="18" t="str">
        <f>Descargas!A2866</f>
        <v>2244@outlook.com</v>
      </c>
      <c r="B2866" s="19" t="str">
        <f>IFERROR(__xludf.DUMMYFUNCTION("IF(OR(regexmatch(A2866,"".*@simon.es$""),REGEXMATCH(A2866,"".*@simon.pt$""),REGEXMATCH(A2866,"".*@simonelectrica.com$""),REGEXMATCH(A2866,"".*@hiberus.com$""),REGEXMATCH(A2866,"".*@simonbrico.es$""),regexmatch(A2866,"".*@simonelectric.com$"")),""null"",A2"&amp;"866)"),"2244@outlook.com")</f>
        <v>2244@outlook.com</v>
      </c>
      <c r="C2866" s="5">
        <f>IF(B2866="null","null",Descargas!B2866)</f>
        <v>43921</v>
      </c>
      <c r="D2866" s="6" t="str">
        <f>Descargas!E2866</f>
        <v>https://resources.simonelectric.com/simon-ebook-vehiculo-electrico-ppc</v>
      </c>
      <c r="E2866" s="20" t="str">
        <f t="shared" si="1"/>
        <v>2244@outlook.com</v>
      </c>
      <c r="F2866" s="21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</row>
    <row r="2867" ht="15.75" customHeight="1">
      <c r="A2867" s="18" t="str">
        <f>Descargas!A2867</f>
        <v>1048@usc.es</v>
      </c>
      <c r="B2867" s="19" t="str">
        <f>IFERROR(__xludf.DUMMYFUNCTION("IF(OR(regexmatch(A2867,"".*@simon.es$""),REGEXMATCH(A2867,"".*@simon.pt$""),REGEXMATCH(A2867,"".*@simonelectrica.com$""),REGEXMATCH(A2867,"".*@hiberus.com$""),REGEXMATCH(A2867,"".*@simonbrico.es$""),regexmatch(A2867,"".*@simonelectric.com$"")),""null"",A2"&amp;"867)"),"1048@usc.es")</f>
        <v>1048@usc.es</v>
      </c>
      <c r="C2867" s="5">
        <f>IF(B2867="null","null",Descargas!B2867)</f>
        <v>43921</v>
      </c>
      <c r="D2867" s="6" t="str">
        <f>Descargas!E2867</f>
        <v>https://resources.simonelectric.com/simon-ebook-vehiculo-electrico</v>
      </c>
      <c r="E2867" s="20" t="str">
        <f t="shared" si="1"/>
        <v>1048@usc.es</v>
      </c>
      <c r="F2867" s="21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</row>
    <row r="2868" ht="15.75" customHeight="1">
      <c r="A2868" s="18" t="str">
        <f>Descargas!A2868</f>
        <v>500@gmail.com</v>
      </c>
      <c r="B2868" s="19" t="str">
        <f>IFERROR(__xludf.DUMMYFUNCTION("IF(OR(regexmatch(A2868,"".*@simon.es$""),REGEXMATCH(A2868,"".*@simon.pt$""),REGEXMATCH(A2868,"".*@simonelectrica.com$""),REGEXMATCH(A2868,"".*@hiberus.com$""),REGEXMATCH(A2868,"".*@simonbrico.es$""),regexmatch(A2868,"".*@simonelectric.com$"")),""null"",A2"&amp;"868)"),"500@gmail.com")</f>
        <v>500@gmail.com</v>
      </c>
      <c r="C2868" s="5">
        <f>IF(B2868="null","null",Descargas!B2868)</f>
        <v>43921</v>
      </c>
      <c r="D2868" s="6" t="str">
        <f>Descargas!E2868</f>
        <v>https://resources.simonelectric.com/simon-ebook-vehiculo-electrico</v>
      </c>
      <c r="E2868" s="20" t="str">
        <f t="shared" si="1"/>
        <v>500@gmail.com</v>
      </c>
      <c r="F2868" s="21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</row>
    <row r="2869" ht="15.75" customHeight="1">
      <c r="A2869" s="18" t="str">
        <f>Descargas!A2869</f>
        <v>2124@gmail.com</v>
      </c>
      <c r="B2869" s="19" t="str">
        <f>IFERROR(__xludf.DUMMYFUNCTION("IF(OR(regexmatch(A2869,"".*@simon.es$""),REGEXMATCH(A2869,"".*@simon.pt$""),REGEXMATCH(A2869,"".*@simonelectrica.com$""),REGEXMATCH(A2869,"".*@hiberus.com$""),REGEXMATCH(A2869,"".*@simonbrico.es$""),regexmatch(A2869,"".*@simonelectric.com$"")),""null"",A2"&amp;"869)"),"2124@gmail.com")</f>
        <v>2124@gmail.com</v>
      </c>
      <c r="C2869" s="5">
        <f>IF(B2869="null","null",Descargas!B2869)</f>
        <v>43921</v>
      </c>
      <c r="D2869" s="6" t="str">
        <f>Descargas!E2869</f>
        <v>https://resources.simonelectric.com/simon-ebook-vehiculo-electrico</v>
      </c>
      <c r="E2869" s="20" t="str">
        <f t="shared" si="1"/>
        <v>2124@gmail.com</v>
      </c>
      <c r="F2869" s="21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</row>
    <row r="2870" ht="15.75" customHeight="1">
      <c r="A2870" s="18" t="str">
        <f>Descargas!A2870</f>
        <v>2245@gmail.com</v>
      </c>
      <c r="B2870" s="19" t="str">
        <f>IFERROR(__xludf.DUMMYFUNCTION("IF(OR(regexmatch(A2870,"".*@simon.es$""),REGEXMATCH(A2870,"".*@simon.pt$""),REGEXMATCH(A2870,"".*@simonelectrica.com$""),REGEXMATCH(A2870,"".*@hiberus.com$""),REGEXMATCH(A2870,"".*@simonbrico.es$""),regexmatch(A2870,"".*@simonelectric.com$"")),""null"",A2"&amp;"870)"),"2245@gmail.com")</f>
        <v>2245@gmail.com</v>
      </c>
      <c r="C2870" s="5">
        <f>IF(B2870="null","null",Descargas!B2870)</f>
        <v>43921</v>
      </c>
      <c r="D2870" s="6" t="str">
        <f>Descargas!E2870</f>
        <v>https://resources.simonelectric.com/simon-ebook-vehiculo-electrico</v>
      </c>
      <c r="E2870" s="20" t="str">
        <f t="shared" si="1"/>
        <v>2245@gmail.com</v>
      </c>
      <c r="F2870" s="21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</row>
    <row r="2871" ht="15.75" customHeight="1">
      <c r="A2871" s="18" t="str">
        <f>Descargas!A2871</f>
        <v>2246@eleko.es</v>
      </c>
      <c r="B2871" s="19" t="str">
        <f>IFERROR(__xludf.DUMMYFUNCTION("IF(OR(regexmatch(A2871,"".*@simon.es$""),REGEXMATCH(A2871,"".*@simon.pt$""),REGEXMATCH(A2871,"".*@simonelectrica.com$""),REGEXMATCH(A2871,"".*@hiberus.com$""),REGEXMATCH(A2871,"".*@simonbrico.es$""),regexmatch(A2871,"".*@simonelectric.com$"")),""null"",A2"&amp;"871)"),"2246@eleko.es")</f>
        <v>2246@eleko.es</v>
      </c>
      <c r="C2871" s="5">
        <f>IF(B2871="null","null",Descargas!B2871)</f>
        <v>43921</v>
      </c>
      <c r="D2871" s="6" t="str">
        <f>Descargas!E2871</f>
        <v>https://resources.simonelectric.com/simon-ebook-vehiculo-electrico</v>
      </c>
      <c r="E2871" s="20" t="str">
        <f t="shared" si="1"/>
        <v>2246@eleko.es</v>
      </c>
      <c r="F2871" s="21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</row>
    <row r="2872" ht="15.75" customHeight="1">
      <c r="A2872" s="18" t="str">
        <f>Descargas!A2872</f>
        <v>2213@gmail.com</v>
      </c>
      <c r="B2872" s="19" t="str">
        <f>IFERROR(__xludf.DUMMYFUNCTION("IF(OR(regexmatch(A2872,"".*@simon.es$""),REGEXMATCH(A2872,"".*@simon.pt$""),REGEXMATCH(A2872,"".*@simonelectrica.com$""),REGEXMATCH(A2872,"".*@hiberus.com$""),REGEXMATCH(A2872,"".*@simonbrico.es$""),regexmatch(A2872,"".*@simonelectric.com$"")),""null"",A2"&amp;"872)"),"2213@gmail.com")</f>
        <v>2213@gmail.com</v>
      </c>
      <c r="C2872" s="5">
        <f>IF(B2872="null","null",Descargas!B2872)</f>
        <v>43921</v>
      </c>
      <c r="D2872" s="6" t="str">
        <f>Descargas!E2872</f>
        <v>https://resources.simonelectric.com/simon-ebook-vehiculo-electrico</v>
      </c>
      <c r="E2872" s="20" t="str">
        <f t="shared" si="1"/>
        <v>2213@gmail.com</v>
      </c>
      <c r="F2872" s="21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</row>
    <row r="2873" ht="15.75" customHeight="1">
      <c r="A2873" s="18" t="str">
        <f>Descargas!A2873</f>
        <v>2247@gmail.com</v>
      </c>
      <c r="B2873" s="19" t="str">
        <f>IFERROR(__xludf.DUMMYFUNCTION("IF(OR(regexmatch(A2873,"".*@simon.es$""),REGEXMATCH(A2873,"".*@simon.pt$""),REGEXMATCH(A2873,"".*@simonelectrica.com$""),REGEXMATCH(A2873,"".*@hiberus.com$""),REGEXMATCH(A2873,"".*@simonbrico.es$""),regexmatch(A2873,"".*@simonelectric.com$"")),""null"",A2"&amp;"873)"),"2247@gmail.com")</f>
        <v>2247@gmail.com</v>
      </c>
      <c r="C2873" s="5">
        <f>IF(B2873="null","null",Descargas!B2873)</f>
        <v>43921</v>
      </c>
      <c r="D2873" s="6" t="str">
        <f>Descargas!E2873</f>
        <v>https://resources.simonelectric.com/simon-ebook-vehiculo-electrico-ppc</v>
      </c>
      <c r="E2873" s="20" t="str">
        <f t="shared" si="1"/>
        <v>2247@gmail.com</v>
      </c>
      <c r="F2873" s="21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</row>
    <row r="2874" ht="15.75" customHeight="1">
      <c r="A2874" s="18" t="str">
        <f>Descargas!A2874</f>
        <v>2248@telefonica.net</v>
      </c>
      <c r="B2874" s="19" t="str">
        <f>IFERROR(__xludf.DUMMYFUNCTION("IF(OR(regexmatch(A2874,"".*@simon.es$""),REGEXMATCH(A2874,"".*@simon.pt$""),REGEXMATCH(A2874,"".*@simonelectrica.com$""),REGEXMATCH(A2874,"".*@hiberus.com$""),REGEXMATCH(A2874,"".*@simonbrico.es$""),regexmatch(A2874,"".*@simonelectric.com$"")),""null"",A2"&amp;"874)"),"2248@telefonica.net")</f>
        <v>2248@telefonica.net</v>
      </c>
      <c r="C2874" s="5">
        <f>IF(B2874="null","null",Descargas!B2874)</f>
        <v>43921</v>
      </c>
      <c r="D2874" s="6" t="str">
        <f>Descargas!E2874</f>
        <v>https://resources.simonelectric.com/simon-ebook-vehiculo-electrico</v>
      </c>
      <c r="E2874" s="20" t="str">
        <f t="shared" si="1"/>
        <v>2248@telefonica.net</v>
      </c>
      <c r="F2874" s="21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</row>
    <row r="2875" ht="15.75" customHeight="1">
      <c r="A2875" s="18" t="str">
        <f>Descargas!A2875</f>
        <v>2249@politecnicomalaga.com</v>
      </c>
      <c r="B2875" s="19" t="str">
        <f>IFERROR(__xludf.DUMMYFUNCTION("IF(OR(regexmatch(A2875,"".*@simon.es$""),REGEXMATCH(A2875,"".*@simon.pt$""),REGEXMATCH(A2875,"".*@simonelectrica.com$""),REGEXMATCH(A2875,"".*@hiberus.com$""),REGEXMATCH(A2875,"".*@simonbrico.es$""),regexmatch(A2875,"".*@simonelectric.com$"")),""null"",A2"&amp;"875)"),"2249@politecnicomalaga.com")</f>
        <v>2249@politecnicomalaga.com</v>
      </c>
      <c r="C2875" s="5">
        <f>IF(B2875="null","null",Descargas!B2875)</f>
        <v>43921</v>
      </c>
      <c r="D2875" s="6" t="str">
        <f>Descargas!E2875</f>
        <v>https://resources.simonelectric.com/simon-catalogo-vehiculo-electrico</v>
      </c>
      <c r="E2875" s="20" t="str">
        <f t="shared" si="1"/>
        <v>2249@politecnicomalaga.com</v>
      </c>
      <c r="F2875" s="21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</row>
    <row r="2876" ht="15.75" customHeight="1">
      <c r="A2876" s="18" t="str">
        <f>Descargas!A2876</f>
        <v>2249@politecnicomalaga.com</v>
      </c>
      <c r="B2876" s="19" t="str">
        <f>IFERROR(__xludf.DUMMYFUNCTION("IF(OR(regexmatch(A2876,"".*@simon.es$""),REGEXMATCH(A2876,"".*@simon.pt$""),REGEXMATCH(A2876,"".*@simonelectrica.com$""),REGEXMATCH(A2876,"".*@hiberus.com$""),REGEXMATCH(A2876,"".*@simonbrico.es$""),regexmatch(A2876,"".*@simonelectric.com$"")),""null"",A2"&amp;"876)"),"2249@politecnicomalaga.com")</f>
        <v>2249@politecnicomalaga.com</v>
      </c>
      <c r="C2876" s="5">
        <f>IF(B2876="null","null",Descargas!B2876)</f>
        <v>43921</v>
      </c>
      <c r="D2876" s="6" t="str">
        <f>Descargas!E2876</f>
        <v>https://resources.simonelectric.com/simon-ebook-vehiculo-electrico</v>
      </c>
      <c r="E2876" s="20" t="str">
        <f t="shared" si="1"/>
        <v>2249@politecnicomalaga.com</v>
      </c>
      <c r="F2876" s="21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</row>
    <row r="2877" ht="15.75" customHeight="1">
      <c r="A2877" s="18" t="str">
        <f>Descargas!A2877</f>
        <v>2250@gmail.com</v>
      </c>
      <c r="B2877" s="19" t="str">
        <f>IFERROR(__xludf.DUMMYFUNCTION("IF(OR(regexmatch(A2877,"".*@simon.es$""),REGEXMATCH(A2877,"".*@simon.pt$""),REGEXMATCH(A2877,"".*@simonelectrica.com$""),REGEXMATCH(A2877,"".*@hiberus.com$""),REGEXMATCH(A2877,"".*@simonbrico.es$""),regexmatch(A2877,"".*@simonelectric.com$"")),""null"",A2"&amp;"877)"),"2250@gmail.com")</f>
        <v>2250@gmail.com</v>
      </c>
      <c r="C2877" s="5">
        <f>IF(B2877="null","null",Descargas!B2877)</f>
        <v>43921</v>
      </c>
      <c r="D2877" s="6" t="str">
        <f>Descargas!E2877</f>
        <v>https://resources.simonelectric.com/simon-ebook-vehiculo-electrico</v>
      </c>
      <c r="E2877" s="20" t="str">
        <f t="shared" si="1"/>
        <v>2250@gmail.com</v>
      </c>
      <c r="F2877" s="21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</row>
    <row r="2878" ht="15.75" customHeight="1">
      <c r="A2878" s="18" t="str">
        <f>Descargas!A2878</f>
        <v>2251@gmail.com</v>
      </c>
      <c r="B2878" s="19" t="str">
        <f>IFERROR(__xludf.DUMMYFUNCTION("IF(OR(regexmatch(A2878,"".*@simon.es$""),REGEXMATCH(A2878,"".*@simon.pt$""),REGEXMATCH(A2878,"".*@simonelectrica.com$""),REGEXMATCH(A2878,"".*@hiberus.com$""),REGEXMATCH(A2878,"".*@simonbrico.es$""),regexmatch(A2878,"".*@simonelectric.com$"")),""null"",A2"&amp;"878)"),"2251@gmail.com")</f>
        <v>2251@gmail.com</v>
      </c>
      <c r="C2878" s="5">
        <f>IF(B2878="null","null",Descargas!B2878)</f>
        <v>43921</v>
      </c>
      <c r="D2878" s="6" t="str">
        <f>Descargas!E2878</f>
        <v>https://resources.simonelectric.com/simon-ebook-vehiculo-electrico-ppc</v>
      </c>
      <c r="E2878" s="20" t="str">
        <f t="shared" si="1"/>
        <v>2251@gmail.com</v>
      </c>
      <c r="F2878" s="21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</row>
    <row r="2879" ht="15.75" customHeight="1">
      <c r="A2879" s="18" t="str">
        <f>Descargas!A2879</f>
        <v>2252@energestic.es</v>
      </c>
      <c r="B2879" s="19" t="str">
        <f>IFERROR(__xludf.DUMMYFUNCTION("IF(OR(regexmatch(A2879,"".*@simon.es$""),REGEXMATCH(A2879,"".*@simon.pt$""),REGEXMATCH(A2879,"".*@simonelectrica.com$""),REGEXMATCH(A2879,"".*@hiberus.com$""),REGEXMATCH(A2879,"".*@simonbrico.es$""),regexmatch(A2879,"".*@simonelectric.com$"")),""null"",A2"&amp;"879)"),"2252@energestic.es")</f>
        <v>2252@energestic.es</v>
      </c>
      <c r="C2879" s="5">
        <f>IF(B2879="null","null",Descargas!B2879)</f>
        <v>43921</v>
      </c>
      <c r="D2879" s="6" t="str">
        <f>Descargas!E2879</f>
        <v>https://resources.simonelectric.com/simon-ebook-vehiculo-electrico-0</v>
      </c>
      <c r="E2879" s="20" t="str">
        <f t="shared" si="1"/>
        <v>2252@energestic.es</v>
      </c>
      <c r="F2879" s="21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</row>
    <row r="2880" ht="15.75" customHeight="1">
      <c r="A2880" s="18" t="str">
        <f>Descargas!A2880</f>
        <v>2253@hotmail.com</v>
      </c>
      <c r="B2880" s="19" t="str">
        <f>IFERROR(__xludf.DUMMYFUNCTION("IF(OR(regexmatch(A2880,"".*@simon.es$""),REGEXMATCH(A2880,"".*@simon.pt$""),REGEXMATCH(A2880,"".*@simonelectrica.com$""),REGEXMATCH(A2880,"".*@hiberus.com$""),REGEXMATCH(A2880,"".*@simonbrico.es$""),regexmatch(A2880,"".*@simonelectric.com$"")),""null"",A2"&amp;"880)"),"2253@hotmail.com")</f>
        <v>2253@hotmail.com</v>
      </c>
      <c r="C2880" s="5">
        <f>IF(B2880="null","null",Descargas!B2880)</f>
        <v>43920</v>
      </c>
      <c r="D2880" s="6" t="str">
        <f>Descargas!E2880</f>
        <v>https://resources.simonelectric.com/simon-ebook-vehiculo-electrico-ppc</v>
      </c>
      <c r="E2880" s="20" t="str">
        <f t="shared" si="1"/>
        <v>2253@hotmail.com</v>
      </c>
      <c r="F2880" s="21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</row>
    <row r="2881" ht="15.75" customHeight="1">
      <c r="A2881" s="18" t="str">
        <f>Descargas!A2881</f>
        <v>2254@gmail.com</v>
      </c>
      <c r="B2881" s="19" t="str">
        <f>IFERROR(__xludf.DUMMYFUNCTION("IF(OR(regexmatch(A2881,"".*@simon.es$""),REGEXMATCH(A2881,"".*@simon.pt$""),REGEXMATCH(A2881,"".*@simonelectrica.com$""),REGEXMATCH(A2881,"".*@hiberus.com$""),REGEXMATCH(A2881,"".*@simonbrico.es$""),regexmatch(A2881,"".*@simonelectric.com$"")),""null"",A2"&amp;"881)"),"2254@gmail.com")</f>
        <v>2254@gmail.com</v>
      </c>
      <c r="C2881" s="5">
        <f>IF(B2881="null","null",Descargas!B2881)</f>
        <v>43920</v>
      </c>
      <c r="D2881" s="6" t="str">
        <f>Descargas!E2881</f>
        <v>https://resources.simonelectric.com/simon-ebook-vehiculo-electrico-ppc</v>
      </c>
      <c r="E2881" s="20" t="str">
        <f t="shared" si="1"/>
        <v>2254@gmail.com</v>
      </c>
      <c r="F2881" s="21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</row>
    <row r="2882" ht="15.75" customHeight="1">
      <c r="A2882" s="18" t="str">
        <f>Descargas!A2882</f>
        <v>2255@yahoo.es</v>
      </c>
      <c r="B2882" s="19" t="str">
        <f>IFERROR(__xludf.DUMMYFUNCTION("IF(OR(regexmatch(A2882,"".*@simon.es$""),REGEXMATCH(A2882,"".*@simon.pt$""),REGEXMATCH(A2882,"".*@simonelectrica.com$""),REGEXMATCH(A2882,"".*@hiberus.com$""),REGEXMATCH(A2882,"".*@simonbrico.es$""),regexmatch(A2882,"".*@simonelectric.com$"")),""null"",A2"&amp;"882)"),"2255@yahoo.es")</f>
        <v>2255@yahoo.es</v>
      </c>
      <c r="C2882" s="5">
        <f>IF(B2882="null","null",Descargas!B2882)</f>
        <v>43920</v>
      </c>
      <c r="D2882" s="6" t="str">
        <f>Descargas!E2882</f>
        <v>https://resources.simonelectric.com/simon-ebook-vehiculo-electrico-ppc</v>
      </c>
      <c r="E2882" s="20" t="str">
        <f t="shared" si="1"/>
        <v>2255@yahoo.es</v>
      </c>
      <c r="F2882" s="21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</row>
    <row r="2883" ht="15.75" customHeight="1">
      <c r="A2883" s="18" t="str">
        <f>Descargas!A2883</f>
        <v>2256@gmail.com</v>
      </c>
      <c r="B2883" s="19" t="str">
        <f>IFERROR(__xludf.DUMMYFUNCTION("IF(OR(regexmatch(A2883,"".*@simon.es$""),REGEXMATCH(A2883,"".*@simon.pt$""),REGEXMATCH(A2883,"".*@simonelectrica.com$""),REGEXMATCH(A2883,"".*@hiberus.com$""),REGEXMATCH(A2883,"".*@simonbrico.es$""),regexmatch(A2883,"".*@simonelectric.com$"")),""null"",A2"&amp;"883)"),"2256@gmail.com")</f>
        <v>2256@gmail.com</v>
      </c>
      <c r="C2883" s="5">
        <f>IF(B2883="null","null",Descargas!B2883)</f>
        <v>43920</v>
      </c>
      <c r="D2883" s="6" t="str">
        <f>Descargas!E2883</f>
        <v>https://resources.simonelectric.com/simon-ebook-vehiculo-electrico-ppc</v>
      </c>
      <c r="E2883" s="20" t="str">
        <f t="shared" si="1"/>
        <v>2256@gmail.com</v>
      </c>
      <c r="F2883" s="21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</row>
    <row r="2884" ht="15.75" customHeight="1">
      <c r="A2884" s="18" t="str">
        <f>Descargas!A2884</f>
        <v>2257@hotmail.com</v>
      </c>
      <c r="B2884" s="19" t="str">
        <f>IFERROR(__xludf.DUMMYFUNCTION("IF(OR(regexmatch(A2884,"".*@simon.es$""),REGEXMATCH(A2884,"".*@simon.pt$""),REGEXMATCH(A2884,"".*@simonelectrica.com$""),REGEXMATCH(A2884,"".*@hiberus.com$""),REGEXMATCH(A2884,"".*@simonbrico.es$""),regexmatch(A2884,"".*@simonelectric.com$"")),""null"",A2"&amp;"884)"),"2257@hotmail.com")</f>
        <v>2257@hotmail.com</v>
      </c>
      <c r="C2884" s="5">
        <f>IF(B2884="null","null",Descargas!B2884)</f>
        <v>43920</v>
      </c>
      <c r="D2884" s="6" t="str">
        <f>Descargas!E2884</f>
        <v>https://resources.simonelectric.com/simon-ebook-vehiculo-electrico-ppc</v>
      </c>
      <c r="E2884" s="20" t="str">
        <f t="shared" si="1"/>
        <v>2257@hotmail.com</v>
      </c>
      <c r="F2884" s="21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</row>
    <row r="2885" ht="15.75" customHeight="1">
      <c r="A2885" s="18" t="str">
        <f>Descargas!A2885</f>
        <v>2258@fercansa.es</v>
      </c>
      <c r="B2885" s="19" t="str">
        <f>IFERROR(__xludf.DUMMYFUNCTION("IF(OR(regexmatch(A2885,"".*@simon.es$""),REGEXMATCH(A2885,"".*@simon.pt$""),REGEXMATCH(A2885,"".*@simonelectrica.com$""),REGEXMATCH(A2885,"".*@hiberus.com$""),REGEXMATCH(A2885,"".*@simonbrico.es$""),regexmatch(A2885,"".*@simonelectric.com$"")),""null"",A2"&amp;"885)"),"2258@fercansa.es")</f>
        <v>2258@fercansa.es</v>
      </c>
      <c r="C2885" s="5">
        <f>IF(B2885="null","null",Descargas!B2885)</f>
        <v>43920</v>
      </c>
      <c r="D2885" s="6" t="str">
        <f>Descargas!E2885</f>
        <v>https://resources.simonelectric.com/simon-ebook-vehiculo-electrico</v>
      </c>
      <c r="E2885" s="20" t="str">
        <f t="shared" si="1"/>
        <v>2258@fercansa.es</v>
      </c>
      <c r="F2885" s="21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</row>
    <row r="2886" ht="15.75" customHeight="1">
      <c r="A2886" s="18" t="str">
        <f>Descargas!A2886</f>
        <v>2258@fercansa.es</v>
      </c>
      <c r="B2886" s="19" t="str">
        <f>IFERROR(__xludf.DUMMYFUNCTION("IF(OR(regexmatch(A2886,"".*@simon.es$""),REGEXMATCH(A2886,"".*@simon.pt$""),REGEXMATCH(A2886,"".*@simonelectrica.com$""),REGEXMATCH(A2886,"".*@hiberus.com$""),REGEXMATCH(A2886,"".*@simonbrico.es$""),regexmatch(A2886,"".*@simonelectric.com$"")),""null"",A2"&amp;"886)"),"2258@fercansa.es")</f>
        <v>2258@fercansa.es</v>
      </c>
      <c r="C2886" s="5">
        <f>IF(B2886="null","null",Descargas!B2886)</f>
        <v>43920</v>
      </c>
      <c r="D2886" s="6" t="str">
        <f>Descargas!E2886</f>
        <v>https://resources.simonelectric.com/simon-catalogo-vehiculo-electrico</v>
      </c>
      <c r="E2886" s="20" t="str">
        <f t="shared" si="1"/>
        <v>2258@fercansa.es</v>
      </c>
      <c r="F2886" s="21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</row>
    <row r="2887" ht="15.75" customHeight="1">
      <c r="A2887" s="18" t="str">
        <f>Descargas!A2887</f>
        <v>2181@gmail.com</v>
      </c>
      <c r="B2887" s="19" t="str">
        <f>IFERROR(__xludf.DUMMYFUNCTION("IF(OR(regexmatch(A2887,"".*@simon.es$""),REGEXMATCH(A2887,"".*@simon.pt$""),REGEXMATCH(A2887,"".*@simonelectrica.com$""),REGEXMATCH(A2887,"".*@hiberus.com$""),REGEXMATCH(A2887,"".*@simonbrico.es$""),regexmatch(A2887,"".*@simonelectric.com$"")),""null"",A2"&amp;"887)"),"2181@gmail.com")</f>
        <v>2181@gmail.com</v>
      </c>
      <c r="C2887" s="5">
        <f>IF(B2887="null","null",Descargas!B2887)</f>
        <v>43920</v>
      </c>
      <c r="D2887" s="6" t="str">
        <f>Descargas!E2887</f>
        <v>https://resources.simonelectric.com/simon-catalogo-vehiculo-electrico</v>
      </c>
      <c r="E2887" s="20" t="str">
        <f t="shared" si="1"/>
        <v>2181@gmail.com</v>
      </c>
      <c r="F2887" s="21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</row>
    <row r="2888" ht="15.75" customHeight="1">
      <c r="A2888" s="18" t="str">
        <f>Descargas!A2888</f>
        <v>2181@gmail.com</v>
      </c>
      <c r="B2888" s="19" t="str">
        <f>IFERROR(__xludf.DUMMYFUNCTION("IF(OR(regexmatch(A2888,"".*@simon.es$""),REGEXMATCH(A2888,"".*@simon.pt$""),REGEXMATCH(A2888,"".*@simonelectrica.com$""),REGEXMATCH(A2888,"".*@hiberus.com$""),REGEXMATCH(A2888,"".*@simonbrico.es$""),regexmatch(A2888,"".*@simonelectric.com$"")),""null"",A2"&amp;"888)"),"2181@gmail.com")</f>
        <v>2181@gmail.com</v>
      </c>
      <c r="C2888" s="5">
        <f>IF(B2888="null","null",Descargas!B2888)</f>
        <v>43920</v>
      </c>
      <c r="D2888" s="6" t="str">
        <f>Descargas!E2888</f>
        <v>https://resources.simonelectric.com/simon-ebook-vehiculo-electrico</v>
      </c>
      <c r="E2888" s="20" t="str">
        <f t="shared" si="1"/>
        <v>2181@gmail.com</v>
      </c>
      <c r="F2888" s="21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</row>
    <row r="2889" ht="15.75" customHeight="1">
      <c r="A2889" s="18" t="str">
        <f>Descargas!A2889</f>
        <v>2259@gmail.com</v>
      </c>
      <c r="B2889" s="19" t="str">
        <f>IFERROR(__xludf.DUMMYFUNCTION("IF(OR(regexmatch(A2889,"".*@simon.es$""),REGEXMATCH(A2889,"".*@simon.pt$""),REGEXMATCH(A2889,"".*@simonelectrica.com$""),REGEXMATCH(A2889,"".*@hiberus.com$""),REGEXMATCH(A2889,"".*@simonbrico.es$""),regexmatch(A2889,"".*@simonelectric.com$"")),""null"",A2"&amp;"889)"),"2259@gmail.com")</f>
        <v>2259@gmail.com</v>
      </c>
      <c r="C2889" s="5">
        <f>IF(B2889="null","null",Descargas!B2889)</f>
        <v>43920</v>
      </c>
      <c r="D2889" s="6" t="str">
        <f>Descargas!E2889</f>
        <v>https://resources.simonelectric.com/simon-ebook-vehiculo-electrico</v>
      </c>
      <c r="E2889" s="20" t="str">
        <f t="shared" si="1"/>
        <v>2259@gmail.com</v>
      </c>
      <c r="F2889" s="21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</row>
    <row r="2890" ht="15.75" customHeight="1">
      <c r="A2890" s="18" t="str">
        <f>Descargas!A2890</f>
        <v>137@alcar2000.com</v>
      </c>
      <c r="B2890" s="19" t="str">
        <f>IFERROR(__xludf.DUMMYFUNCTION("IF(OR(regexmatch(A2890,"".*@simon.es$""),REGEXMATCH(A2890,"".*@simon.pt$""),REGEXMATCH(A2890,"".*@simonelectrica.com$""),REGEXMATCH(A2890,"".*@hiberus.com$""),REGEXMATCH(A2890,"".*@simonbrico.es$""),regexmatch(A2890,"".*@simonelectric.com$"")),""null"",A2"&amp;"890)"),"137@alcar2000.com")</f>
        <v>137@alcar2000.com</v>
      </c>
      <c r="C2890" s="5">
        <f>IF(B2890="null","null",Descargas!B2890)</f>
        <v>43920</v>
      </c>
      <c r="D2890" s="6" t="str">
        <f>Descargas!E2890</f>
        <v>https://resources.simonelectric.com/simon-catalogo-vehiculo-electrico</v>
      </c>
      <c r="E2890" s="20" t="str">
        <f t="shared" si="1"/>
        <v>137@alcar2000.com</v>
      </c>
      <c r="F2890" s="21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</row>
    <row r="2891" ht="15.75" customHeight="1">
      <c r="A2891" s="18" t="str">
        <f>Descargas!A2891</f>
        <v>1443@hotmail.com</v>
      </c>
      <c r="B2891" s="19" t="str">
        <f>IFERROR(__xludf.DUMMYFUNCTION("IF(OR(regexmatch(A2891,"".*@simon.es$""),REGEXMATCH(A2891,"".*@simon.pt$""),REGEXMATCH(A2891,"".*@simonelectrica.com$""),REGEXMATCH(A2891,"".*@hiberus.com$""),REGEXMATCH(A2891,"".*@simonbrico.es$""),regexmatch(A2891,"".*@simonelectric.com$"")),""null"",A2"&amp;"891)"),"1443@hotmail.com")</f>
        <v>1443@hotmail.com</v>
      </c>
      <c r="C2891" s="5">
        <f>IF(B2891="null","null",Descargas!B2891)</f>
        <v>43920</v>
      </c>
      <c r="D2891" s="6" t="str">
        <f>Descargas!E2891</f>
        <v>https://resources.simonelectric.com/simon-ebook-vehiculo-electrico-ppc</v>
      </c>
      <c r="E2891" s="20" t="str">
        <f t="shared" si="1"/>
        <v>1443@hotmail.com</v>
      </c>
      <c r="F2891" s="21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</row>
    <row r="2892" ht="15.75" customHeight="1">
      <c r="A2892" s="18" t="str">
        <f>Descargas!A2892</f>
        <v>2260@gmail.com</v>
      </c>
      <c r="B2892" s="19" t="str">
        <f>IFERROR(__xludf.DUMMYFUNCTION("IF(OR(regexmatch(A2892,"".*@simon.es$""),REGEXMATCH(A2892,"".*@simon.pt$""),REGEXMATCH(A2892,"".*@simonelectrica.com$""),REGEXMATCH(A2892,"".*@hiberus.com$""),REGEXMATCH(A2892,"".*@simonbrico.es$""),regexmatch(A2892,"".*@simonelectric.com$"")),""null"",A2"&amp;"892)"),"2260@gmail.com")</f>
        <v>2260@gmail.com</v>
      </c>
      <c r="C2892" s="5">
        <f>IF(B2892="null","null",Descargas!B2892)</f>
        <v>43920</v>
      </c>
      <c r="D2892" s="6" t="str">
        <f>Descargas!E2892</f>
        <v>https://resources.simonelectric.com/simon-ebook-vehiculo-electrico</v>
      </c>
      <c r="E2892" s="20" t="str">
        <f t="shared" si="1"/>
        <v>2260@gmail.com</v>
      </c>
      <c r="F2892" s="21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</row>
    <row r="2893" ht="15.75" customHeight="1">
      <c r="A2893" s="18" t="str">
        <f>Descargas!A2893</f>
        <v>2261@grupoefelec.com</v>
      </c>
      <c r="B2893" s="19" t="str">
        <f>IFERROR(__xludf.DUMMYFUNCTION("IF(OR(regexmatch(A2893,"".*@simon.es$""),REGEXMATCH(A2893,"".*@simon.pt$""),REGEXMATCH(A2893,"".*@simonelectrica.com$""),REGEXMATCH(A2893,"".*@hiberus.com$""),REGEXMATCH(A2893,"".*@simonbrico.es$""),regexmatch(A2893,"".*@simonelectric.com$"")),""null"",A2"&amp;"893)"),"2261@grupoefelec.com")</f>
        <v>2261@grupoefelec.com</v>
      </c>
      <c r="C2893" s="5">
        <f>IF(B2893="null","null",Descargas!B2893)</f>
        <v>43920</v>
      </c>
      <c r="D2893" s="6" t="str">
        <f>Descargas!E2893</f>
        <v>https://resources.simonelectric.com/simon-catalogo-vehiculo-electrico</v>
      </c>
      <c r="E2893" s="20" t="str">
        <f t="shared" si="1"/>
        <v>2261@grupoefelec.com</v>
      </c>
      <c r="F2893" s="21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</row>
    <row r="2894" ht="15.75" customHeight="1">
      <c r="A2894" s="18" t="str">
        <f>Descargas!A2894</f>
        <v>2262@hotmail.com</v>
      </c>
      <c r="B2894" s="19" t="str">
        <f>IFERROR(__xludf.DUMMYFUNCTION("IF(OR(regexmatch(A2894,"".*@simon.es$""),REGEXMATCH(A2894,"".*@simon.pt$""),REGEXMATCH(A2894,"".*@simonelectrica.com$""),REGEXMATCH(A2894,"".*@hiberus.com$""),REGEXMATCH(A2894,"".*@simonbrico.es$""),regexmatch(A2894,"".*@simonelectric.com$"")),""null"",A2"&amp;"894)"),"2262@hotmail.com")</f>
        <v>2262@hotmail.com</v>
      </c>
      <c r="C2894" s="5">
        <f>IF(B2894="null","null",Descargas!B2894)</f>
        <v>43920</v>
      </c>
      <c r="D2894" s="6" t="str">
        <f>Descargas!E2894</f>
        <v>https://resources.simonelectric.com/simon-ebook-vehiculo-electrico</v>
      </c>
      <c r="E2894" s="20" t="str">
        <f t="shared" si="1"/>
        <v>2262@hotmail.com</v>
      </c>
      <c r="F2894" s="21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</row>
    <row r="2895" ht="15.75" customHeight="1">
      <c r="A2895" s="18" t="str">
        <f>Descargas!A2895</f>
        <v>2263@gmail.com</v>
      </c>
      <c r="B2895" s="19" t="str">
        <f>IFERROR(__xludf.DUMMYFUNCTION("IF(OR(regexmatch(A2895,"".*@simon.es$""),REGEXMATCH(A2895,"".*@simon.pt$""),REGEXMATCH(A2895,"".*@simonelectrica.com$""),REGEXMATCH(A2895,"".*@hiberus.com$""),REGEXMATCH(A2895,"".*@simonbrico.es$""),regexmatch(A2895,"".*@simonelectric.com$"")),""null"",A2"&amp;"895)"),"2263@gmail.com")</f>
        <v>2263@gmail.com</v>
      </c>
      <c r="C2895" s="5">
        <f>IF(B2895="null","null",Descargas!B2895)</f>
        <v>43919</v>
      </c>
      <c r="D2895" s="6" t="str">
        <f>Descargas!E2895</f>
        <v>https://resources.simonelectric.com/simon-ebook-vehiculo-electrico</v>
      </c>
      <c r="E2895" s="20" t="str">
        <f t="shared" si="1"/>
        <v>2263@gmail.com</v>
      </c>
      <c r="F2895" s="21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</row>
    <row r="2896" ht="15.75" customHeight="1">
      <c r="A2896" s="18" t="str">
        <f>Descargas!A2896</f>
        <v>2264@gmail.com</v>
      </c>
      <c r="B2896" s="19" t="str">
        <f>IFERROR(__xludf.DUMMYFUNCTION("IF(OR(regexmatch(A2896,"".*@simon.es$""),REGEXMATCH(A2896,"".*@simon.pt$""),REGEXMATCH(A2896,"".*@simonelectrica.com$""),REGEXMATCH(A2896,"".*@hiberus.com$""),REGEXMATCH(A2896,"".*@simonbrico.es$""),regexmatch(A2896,"".*@simonelectric.com$"")),""null"",A2"&amp;"896)"),"2264@gmail.com")</f>
        <v>2264@gmail.com</v>
      </c>
      <c r="C2896" s="5">
        <f>IF(B2896="null","null",Descargas!B2896)</f>
        <v>43919</v>
      </c>
      <c r="D2896" s="6" t="str">
        <f>Descargas!E2896</f>
        <v>https://resources.simonelectric.com/simon-ebook-vehiculo-electrico</v>
      </c>
      <c r="E2896" s="20" t="str">
        <f t="shared" si="1"/>
        <v>2264@gmail.com</v>
      </c>
      <c r="F2896" s="21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</row>
    <row r="2897" ht="15.75" customHeight="1">
      <c r="A2897" s="18" t="str">
        <f>Descargas!A2897</f>
        <v>2264@gmail.com</v>
      </c>
      <c r="B2897" s="19" t="str">
        <f>IFERROR(__xludf.DUMMYFUNCTION("IF(OR(regexmatch(A2897,"".*@simon.es$""),REGEXMATCH(A2897,"".*@simon.pt$""),REGEXMATCH(A2897,"".*@simonelectrica.com$""),REGEXMATCH(A2897,"".*@hiberus.com$""),REGEXMATCH(A2897,"".*@simonbrico.es$""),regexmatch(A2897,"".*@simonelectric.com$"")),""null"",A2"&amp;"897)"),"2264@gmail.com")</f>
        <v>2264@gmail.com</v>
      </c>
      <c r="C2897" s="5">
        <f>IF(B2897="null","null",Descargas!B2897)</f>
        <v>43919</v>
      </c>
      <c r="D2897" s="6" t="str">
        <f>Descargas!E2897</f>
        <v>https://resources.simonelectric.com/simon-ebook-vehiculo-electrico</v>
      </c>
      <c r="E2897" s="20" t="str">
        <f t="shared" si="1"/>
        <v>2264@gmail.com</v>
      </c>
      <c r="F2897" s="21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</row>
    <row r="2898" ht="15.75" customHeight="1">
      <c r="A2898" s="18" t="str">
        <f>Descargas!A2898</f>
        <v>2265@gmail.com</v>
      </c>
      <c r="B2898" s="19" t="str">
        <f>IFERROR(__xludf.DUMMYFUNCTION("IF(OR(regexmatch(A2898,"".*@simon.es$""),REGEXMATCH(A2898,"".*@simon.pt$""),REGEXMATCH(A2898,"".*@simonelectrica.com$""),REGEXMATCH(A2898,"".*@hiberus.com$""),REGEXMATCH(A2898,"".*@simonbrico.es$""),regexmatch(A2898,"".*@simonelectric.com$"")),""null"",A2"&amp;"898)"),"2265@gmail.com")</f>
        <v>2265@gmail.com</v>
      </c>
      <c r="C2898" s="5">
        <f>IF(B2898="null","null",Descargas!B2898)</f>
        <v>43919</v>
      </c>
      <c r="D2898" s="6" t="str">
        <f>Descargas!E2898</f>
        <v>https://resources.simonelectric.com/simon-ebook-vehiculo-electrico-0</v>
      </c>
      <c r="E2898" s="20" t="str">
        <f t="shared" si="1"/>
        <v>2265@gmail.com</v>
      </c>
      <c r="F2898" s="21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</row>
    <row r="2899" ht="15.75" customHeight="1">
      <c r="A2899" s="18" t="str">
        <f>Descargas!A2899</f>
        <v>1663@hotmail.com</v>
      </c>
      <c r="B2899" s="19" t="str">
        <f>IFERROR(__xludf.DUMMYFUNCTION("IF(OR(regexmatch(A2899,"".*@simon.es$""),REGEXMATCH(A2899,"".*@simon.pt$""),REGEXMATCH(A2899,"".*@simonelectrica.com$""),REGEXMATCH(A2899,"".*@hiberus.com$""),REGEXMATCH(A2899,"".*@simonbrico.es$""),regexmatch(A2899,"".*@simonelectric.com$"")),""null"",A2"&amp;"899)"),"1663@hotmail.com")</f>
        <v>1663@hotmail.com</v>
      </c>
      <c r="C2899" s="5">
        <f>IF(B2899="null","null",Descargas!B2899)</f>
        <v>43918</v>
      </c>
      <c r="D2899" s="6" t="str">
        <f>Descargas!E2899</f>
        <v>https://resources.simonelectric.com/simon-ebook-vehiculo-electrico</v>
      </c>
      <c r="E2899" s="20" t="str">
        <f t="shared" si="1"/>
        <v>1663@hotmail.com</v>
      </c>
      <c r="F2899" s="21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</row>
    <row r="2900" ht="15.75" customHeight="1">
      <c r="A2900" s="18" t="str">
        <f>Descargas!A2900</f>
        <v>2266@gmail.com</v>
      </c>
      <c r="B2900" s="19" t="str">
        <f>IFERROR(__xludf.DUMMYFUNCTION("IF(OR(regexmatch(A2900,"".*@simon.es$""),REGEXMATCH(A2900,"".*@simon.pt$""),REGEXMATCH(A2900,"".*@simonelectrica.com$""),REGEXMATCH(A2900,"".*@hiberus.com$""),REGEXMATCH(A2900,"".*@simonbrico.es$""),regexmatch(A2900,"".*@simonelectric.com$"")),""null"",A2"&amp;"900)"),"2266@gmail.com")</f>
        <v>2266@gmail.com</v>
      </c>
      <c r="C2900" s="5">
        <f>IF(B2900="null","null",Descargas!B2900)</f>
        <v>43918</v>
      </c>
      <c r="D2900" s="6" t="str">
        <f>Descargas!E2900</f>
        <v>https://resources.simonelectric.com/simon-ebook-vehiculo-electrico-0</v>
      </c>
      <c r="E2900" s="20" t="str">
        <f t="shared" si="1"/>
        <v>2266@gmail.com</v>
      </c>
      <c r="F2900" s="21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</row>
    <row r="2901" ht="15.75" customHeight="1">
      <c r="A2901" s="18" t="str">
        <f>Descargas!A2901</f>
        <v>2267@gmail.com</v>
      </c>
      <c r="B2901" s="19" t="str">
        <f>IFERROR(__xludf.DUMMYFUNCTION("IF(OR(regexmatch(A2901,"".*@simon.es$""),REGEXMATCH(A2901,"".*@simon.pt$""),REGEXMATCH(A2901,"".*@simonelectrica.com$""),REGEXMATCH(A2901,"".*@hiberus.com$""),REGEXMATCH(A2901,"".*@simonbrico.es$""),regexmatch(A2901,"".*@simonelectric.com$"")),""null"",A2"&amp;"901)"),"2267@gmail.com")</f>
        <v>2267@gmail.com</v>
      </c>
      <c r="C2901" s="5">
        <f>IF(B2901="null","null",Descargas!B2901)</f>
        <v>43917</v>
      </c>
      <c r="D2901" s="6" t="str">
        <f>Descargas!E2901</f>
        <v>https://resources.simonelectric.com/simon-ebook-vehiculo-electrico</v>
      </c>
      <c r="E2901" s="20" t="str">
        <f t="shared" si="1"/>
        <v>2267@gmail.com</v>
      </c>
      <c r="F2901" s="21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</row>
    <row r="2902" ht="15.75" customHeight="1">
      <c r="A2902" s="18" t="str">
        <f>Descargas!A2902</f>
        <v>1399@gmail.com</v>
      </c>
      <c r="B2902" s="19" t="str">
        <f>IFERROR(__xludf.DUMMYFUNCTION("IF(OR(regexmatch(A2902,"".*@simon.es$""),REGEXMATCH(A2902,"".*@simon.pt$""),REGEXMATCH(A2902,"".*@simonelectrica.com$""),REGEXMATCH(A2902,"".*@hiberus.com$""),REGEXMATCH(A2902,"".*@simonbrico.es$""),regexmatch(A2902,"".*@simonelectric.com$"")),""null"",A2"&amp;"902)"),"1399@gmail.com")</f>
        <v>1399@gmail.com</v>
      </c>
      <c r="C2902" s="5">
        <f>IF(B2902="null","null",Descargas!B2902)</f>
        <v>43917</v>
      </c>
      <c r="D2902" s="6" t="str">
        <f>Descargas!E2902</f>
        <v>https://resources.simonelectric.com/simon-ebook-vehiculo-electrico</v>
      </c>
      <c r="E2902" s="20" t="str">
        <f t="shared" si="1"/>
        <v>1399@gmail.com</v>
      </c>
      <c r="F2902" s="21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</row>
    <row r="2903" ht="15.75" customHeight="1">
      <c r="A2903" s="18" t="str">
        <f>Descargas!A2903</f>
        <v>1123@gmail.com</v>
      </c>
      <c r="B2903" s="19" t="str">
        <f>IFERROR(__xludf.DUMMYFUNCTION("IF(OR(regexmatch(A2903,"".*@simon.es$""),REGEXMATCH(A2903,"".*@simon.pt$""),REGEXMATCH(A2903,"".*@simonelectrica.com$""),REGEXMATCH(A2903,"".*@hiberus.com$""),REGEXMATCH(A2903,"".*@simonbrico.es$""),regexmatch(A2903,"".*@simonelectric.com$"")),""null"",A2"&amp;"903)"),"1123@gmail.com")</f>
        <v>1123@gmail.com</v>
      </c>
      <c r="C2903" s="5">
        <f>IF(B2903="null","null",Descargas!B2903)</f>
        <v>43917</v>
      </c>
      <c r="D2903" s="6" t="str">
        <f>Descargas!E2903</f>
        <v>https://resources.simonelectric.com/simon-ebook-vehiculo-electrico-0</v>
      </c>
      <c r="E2903" s="20" t="str">
        <f t="shared" si="1"/>
        <v>1123@gmail.com</v>
      </c>
      <c r="F2903" s="21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</row>
    <row r="2904" ht="15.75" customHeight="1">
      <c r="A2904" s="18" t="str">
        <f>Descargas!A2904</f>
        <v>2268@gmail.com</v>
      </c>
      <c r="B2904" s="19" t="str">
        <f>IFERROR(__xludf.DUMMYFUNCTION("IF(OR(regexmatch(A2904,"".*@simon.es$""),REGEXMATCH(A2904,"".*@simon.pt$""),REGEXMATCH(A2904,"".*@simonelectrica.com$""),REGEXMATCH(A2904,"".*@hiberus.com$""),REGEXMATCH(A2904,"".*@simonbrico.es$""),regexmatch(A2904,"".*@simonelectric.com$"")),""null"",A2"&amp;"904)"),"2268@gmail.com")</f>
        <v>2268@gmail.com</v>
      </c>
      <c r="C2904" s="5">
        <f>IF(B2904="null","null",Descargas!B2904)</f>
        <v>43917</v>
      </c>
      <c r="D2904" s="6" t="str">
        <f>Descargas!E2904</f>
        <v>https://resources.simonelectric.com/simon-catalogo-vehiculo-electrico</v>
      </c>
      <c r="E2904" s="20" t="str">
        <f t="shared" si="1"/>
        <v>2268@gmail.com</v>
      </c>
      <c r="F2904" s="21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</row>
    <row r="2905" ht="15.75" customHeight="1">
      <c r="A2905" s="18" t="str">
        <f>Descargas!A2905</f>
        <v>2268@gmail.com</v>
      </c>
      <c r="B2905" s="19" t="str">
        <f>IFERROR(__xludf.DUMMYFUNCTION("IF(OR(regexmatch(A2905,"".*@simon.es$""),REGEXMATCH(A2905,"".*@simon.pt$""),REGEXMATCH(A2905,"".*@simonelectrica.com$""),REGEXMATCH(A2905,"".*@hiberus.com$""),REGEXMATCH(A2905,"".*@simonbrico.es$""),regexmatch(A2905,"".*@simonelectric.com$"")),""null"",A2"&amp;"905)"),"2268@gmail.com")</f>
        <v>2268@gmail.com</v>
      </c>
      <c r="C2905" s="5">
        <f>IF(B2905="null","null",Descargas!B2905)</f>
        <v>43917</v>
      </c>
      <c r="D2905" s="6" t="str">
        <f>Descargas!E2905</f>
        <v>https://resources.simonelectric.com/simon-ebook-vehiculo-electrico</v>
      </c>
      <c r="E2905" s="20" t="str">
        <f t="shared" si="1"/>
        <v>2268@gmail.com</v>
      </c>
      <c r="F2905" s="21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</row>
    <row r="2906" ht="15.75" customHeight="1">
      <c r="A2906" s="18" t="str">
        <f>Descargas!A2906</f>
        <v>2269@qq.com</v>
      </c>
      <c r="B2906" s="19" t="str">
        <f>IFERROR(__xludf.DUMMYFUNCTION("IF(OR(regexmatch(A2906,"".*@simon.es$""),REGEXMATCH(A2906,"".*@simon.pt$""),REGEXMATCH(A2906,"".*@simonelectrica.com$""),REGEXMATCH(A2906,"".*@hiberus.com$""),REGEXMATCH(A2906,"".*@simonbrico.es$""),regexmatch(A2906,"".*@simonelectric.com$"")),""null"",A2"&amp;"906)"),"2269@qq.com")</f>
        <v>2269@qq.com</v>
      </c>
      <c r="C2906" s="5">
        <f>IF(B2906="null","null",Descargas!B2906)</f>
        <v>43917</v>
      </c>
      <c r="D2906" s="6" t="str">
        <f>Descargas!E2906</f>
        <v>https://resources.simonelectric.com/simon-ebook-vehiculo-electrico</v>
      </c>
      <c r="E2906" s="20" t="str">
        <f t="shared" si="1"/>
        <v>2269@qq.com</v>
      </c>
      <c r="F2906" s="21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</row>
    <row r="2907" ht="15.75" customHeight="1">
      <c r="A2907" s="18" t="str">
        <f>Descargas!A2907</f>
        <v>2270@hotmail.com</v>
      </c>
      <c r="B2907" s="19" t="str">
        <f>IFERROR(__xludf.DUMMYFUNCTION("IF(OR(regexmatch(A2907,"".*@simon.es$""),REGEXMATCH(A2907,"".*@simon.pt$""),REGEXMATCH(A2907,"".*@simonelectrica.com$""),REGEXMATCH(A2907,"".*@hiberus.com$""),REGEXMATCH(A2907,"".*@simonbrico.es$""),regexmatch(A2907,"".*@simonelectric.com$"")),""null"",A2"&amp;"907)"),"2270@hotmail.com")</f>
        <v>2270@hotmail.com</v>
      </c>
      <c r="C2907" s="5">
        <f>IF(B2907="null","null",Descargas!B2907)</f>
        <v>43917</v>
      </c>
      <c r="D2907" s="6" t="str">
        <f>Descargas!E2907</f>
        <v>https://resources.simonelectric.com/simon-ebook-vehiculo-electrico-0</v>
      </c>
      <c r="E2907" s="20" t="str">
        <f t="shared" si="1"/>
        <v>2270@hotmail.com</v>
      </c>
      <c r="F2907" s="21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</row>
    <row r="2908" ht="15.75" customHeight="1">
      <c r="A2908" s="18" t="str">
        <f>Descargas!A2908</f>
        <v>2269@qq.com</v>
      </c>
      <c r="B2908" s="19" t="str">
        <f>IFERROR(__xludf.DUMMYFUNCTION("IF(OR(regexmatch(A2908,"".*@simon.es$""),REGEXMATCH(A2908,"".*@simon.pt$""),REGEXMATCH(A2908,"".*@simonelectrica.com$""),REGEXMATCH(A2908,"".*@hiberus.com$""),REGEXMATCH(A2908,"".*@simonbrico.es$""),regexmatch(A2908,"".*@simonelectric.com$"")),""null"",A2"&amp;"908)"),"2269@qq.com")</f>
        <v>2269@qq.com</v>
      </c>
      <c r="C2908" s="5">
        <f>IF(B2908="null","null",Descargas!B2908)</f>
        <v>43917</v>
      </c>
      <c r="D2908" s="6" t="str">
        <f>Descargas!E2908</f>
        <v>https://resources.simonelectric.com/simon-catalogo-vehiculo-electrico</v>
      </c>
      <c r="E2908" s="20" t="str">
        <f t="shared" si="1"/>
        <v>2269@qq.com</v>
      </c>
      <c r="F2908" s="21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</row>
    <row r="2909" ht="15.75" customHeight="1">
      <c r="A2909" s="18" t="str">
        <f>Descargas!A2909</f>
        <v>2271@gmail.com</v>
      </c>
      <c r="B2909" s="19" t="str">
        <f>IFERROR(__xludf.DUMMYFUNCTION("IF(OR(regexmatch(A2909,"".*@simon.es$""),REGEXMATCH(A2909,"".*@simon.pt$""),REGEXMATCH(A2909,"".*@simonelectrica.com$""),REGEXMATCH(A2909,"".*@hiberus.com$""),REGEXMATCH(A2909,"".*@simonbrico.es$""),regexmatch(A2909,"".*@simonelectric.com$"")),""null"",A2"&amp;"909)"),"2271@gmail.com")</f>
        <v>2271@gmail.com</v>
      </c>
      <c r="C2909" s="5">
        <f>IF(B2909="null","null",Descargas!B2909)</f>
        <v>43917</v>
      </c>
      <c r="D2909" s="6" t="str">
        <f>Descargas!E2909</f>
        <v>https://resources.simonelectric.com/simon-ebook-vehiculo-electrico</v>
      </c>
      <c r="E2909" s="20" t="str">
        <f t="shared" si="1"/>
        <v>2271@gmail.com</v>
      </c>
      <c r="F2909" s="21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</row>
    <row r="2910" ht="15.75" customHeight="1">
      <c r="A2910" s="18" t="str">
        <f>Descargas!A2910</f>
        <v>2272@tiempobbdo.es</v>
      </c>
      <c r="B2910" s="19" t="str">
        <f>IFERROR(__xludf.DUMMYFUNCTION("IF(OR(regexmatch(A2910,"".*@simon.es$""),REGEXMATCH(A2910,"".*@simon.pt$""),REGEXMATCH(A2910,"".*@simonelectrica.com$""),REGEXMATCH(A2910,"".*@hiberus.com$""),REGEXMATCH(A2910,"".*@simonbrico.es$""),regexmatch(A2910,"".*@simonelectric.com$"")),""null"",A2"&amp;"910)"),"2272@tiempobbdo.es")</f>
        <v>2272@tiempobbdo.es</v>
      </c>
      <c r="C2910" s="5">
        <f>IF(B2910="null","null",Descargas!B2910)</f>
        <v>43917</v>
      </c>
      <c r="D2910" s="6" t="str">
        <f>Descargas!E2910</f>
        <v>https://resources.simonelectric.com/simon-ebook-vehiculo-electrico</v>
      </c>
      <c r="E2910" s="20" t="str">
        <f t="shared" si="1"/>
        <v>2272@tiempobbdo.es</v>
      </c>
      <c r="F2910" s="21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</row>
    <row r="2911" ht="15.75" customHeight="1">
      <c r="A2911" s="18" t="str">
        <f>Descargas!A2911</f>
        <v>2188@gmail.com</v>
      </c>
      <c r="B2911" s="19" t="str">
        <f>IFERROR(__xludf.DUMMYFUNCTION("IF(OR(regexmatch(A2911,"".*@simon.es$""),REGEXMATCH(A2911,"".*@simon.pt$""),REGEXMATCH(A2911,"".*@simonelectrica.com$""),REGEXMATCH(A2911,"".*@hiberus.com$""),REGEXMATCH(A2911,"".*@simonbrico.es$""),regexmatch(A2911,"".*@simonelectric.com$"")),""null"",A2"&amp;"911)"),"2188@gmail.com")</f>
        <v>2188@gmail.com</v>
      </c>
      <c r="C2911" s="5">
        <f>IF(B2911="null","null",Descargas!B2911)</f>
        <v>43917</v>
      </c>
      <c r="D2911" s="6" t="str">
        <f>Descargas!E2911</f>
        <v>https://resources.simonelectric.com/simon-ebook-vehiculo-electrico</v>
      </c>
      <c r="E2911" s="20" t="str">
        <f t="shared" si="1"/>
        <v>2188@gmail.com</v>
      </c>
      <c r="F2911" s="21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</row>
    <row r="2912" ht="15.75" customHeight="1">
      <c r="A2912" s="18" t="str">
        <f>Descargas!A2912</f>
        <v>2188@gmail.com</v>
      </c>
      <c r="B2912" s="19" t="str">
        <f>IFERROR(__xludf.DUMMYFUNCTION("IF(OR(regexmatch(A2912,"".*@simon.es$""),REGEXMATCH(A2912,"".*@simon.pt$""),REGEXMATCH(A2912,"".*@simonelectrica.com$""),REGEXMATCH(A2912,"".*@hiberus.com$""),REGEXMATCH(A2912,"".*@simonbrico.es$""),regexmatch(A2912,"".*@simonelectric.com$"")),""null"",A2"&amp;"912)"),"2188@gmail.com")</f>
        <v>2188@gmail.com</v>
      </c>
      <c r="C2912" s="5">
        <f>IF(B2912="null","null",Descargas!B2912)</f>
        <v>43917</v>
      </c>
      <c r="D2912" s="6" t="str">
        <f>Descargas!E2912</f>
        <v>https://resources.simonelectric.com/simon-ebook-vehiculo-electrico</v>
      </c>
      <c r="E2912" s="20" t="str">
        <f t="shared" si="1"/>
        <v>2188@gmail.com</v>
      </c>
      <c r="F2912" s="21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</row>
    <row r="2913" ht="15.75" customHeight="1">
      <c r="A2913" s="18" t="str">
        <f>Descargas!A2913</f>
        <v>2273@telefonica.net</v>
      </c>
      <c r="B2913" s="19" t="str">
        <f>IFERROR(__xludf.DUMMYFUNCTION("IF(OR(regexmatch(A2913,"".*@simon.es$""),REGEXMATCH(A2913,"".*@simon.pt$""),REGEXMATCH(A2913,"".*@simonelectrica.com$""),REGEXMATCH(A2913,"".*@hiberus.com$""),REGEXMATCH(A2913,"".*@simonbrico.es$""),regexmatch(A2913,"".*@simonelectric.com$"")),""null"",A2"&amp;"913)"),"2273@telefonica.net")</f>
        <v>2273@telefonica.net</v>
      </c>
      <c r="C2913" s="5">
        <f>IF(B2913="null","null",Descargas!B2913)</f>
        <v>43917</v>
      </c>
      <c r="D2913" s="6" t="str">
        <f>Descargas!E2913</f>
        <v>https://resources.simonelectric.com/simon-ebook-vehiculo-electrico</v>
      </c>
      <c r="E2913" s="20" t="str">
        <f t="shared" si="1"/>
        <v>2273@telefonica.net</v>
      </c>
      <c r="F2913" s="21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</row>
    <row r="2914" ht="15.75" customHeight="1">
      <c r="A2914" s="18" t="str">
        <f>Descargas!A2914</f>
        <v>2274@fersitec.com</v>
      </c>
      <c r="B2914" s="19" t="str">
        <f>IFERROR(__xludf.DUMMYFUNCTION("IF(OR(regexmatch(A2914,"".*@simon.es$""),REGEXMATCH(A2914,"".*@simon.pt$""),REGEXMATCH(A2914,"".*@simonelectrica.com$""),REGEXMATCH(A2914,"".*@hiberus.com$""),REGEXMATCH(A2914,"".*@simonbrico.es$""),regexmatch(A2914,"".*@simonelectric.com$"")),""null"",A2"&amp;"914)"),"2274@fersitec.com")</f>
        <v>2274@fersitec.com</v>
      </c>
      <c r="C2914" s="5">
        <f>IF(B2914="null","null",Descargas!B2914)</f>
        <v>43917</v>
      </c>
      <c r="D2914" s="6" t="str">
        <f>Descargas!E2914</f>
        <v>https://resources.simonelectric.com/simon-catalogo-vehiculo-electrico</v>
      </c>
      <c r="E2914" s="20" t="str">
        <f t="shared" si="1"/>
        <v>2274@fersitec.com</v>
      </c>
      <c r="F2914" s="21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</row>
    <row r="2915" ht="15.75" customHeight="1">
      <c r="A2915" s="18" t="str">
        <f>Descargas!A2915</f>
        <v>2274@fersitec.com</v>
      </c>
      <c r="B2915" s="19" t="str">
        <f>IFERROR(__xludf.DUMMYFUNCTION("IF(OR(regexmatch(A2915,"".*@simon.es$""),REGEXMATCH(A2915,"".*@simon.pt$""),REGEXMATCH(A2915,"".*@simonelectrica.com$""),REGEXMATCH(A2915,"".*@hiberus.com$""),REGEXMATCH(A2915,"".*@simonbrico.es$""),regexmatch(A2915,"".*@simonelectric.com$"")),""null"",A2"&amp;"915)"),"2274@fersitec.com")</f>
        <v>2274@fersitec.com</v>
      </c>
      <c r="C2915" s="5">
        <f>IF(B2915="null","null",Descargas!B2915)</f>
        <v>43917</v>
      </c>
      <c r="D2915" s="6" t="str">
        <f>Descargas!E2915</f>
        <v>https://resources.simonelectric.com/simon-ebook-vehiculo-electrico</v>
      </c>
      <c r="E2915" s="20" t="str">
        <f t="shared" si="1"/>
        <v>2274@fersitec.com</v>
      </c>
      <c r="F2915" s="21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</row>
    <row r="2916" ht="15.75" customHeight="1">
      <c r="A2916" s="18" t="str">
        <f>Descargas!A2916</f>
        <v>2275@rccyp.com</v>
      </c>
      <c r="B2916" s="19" t="str">
        <f>IFERROR(__xludf.DUMMYFUNCTION("IF(OR(regexmatch(A2916,"".*@simon.es$""),REGEXMATCH(A2916,"".*@simon.pt$""),REGEXMATCH(A2916,"".*@simonelectrica.com$""),REGEXMATCH(A2916,"".*@hiberus.com$""),REGEXMATCH(A2916,"".*@simonbrico.es$""),regexmatch(A2916,"".*@simonelectric.com$"")),""null"",A2"&amp;"916)"),"2275@rccyp.com")</f>
        <v>2275@rccyp.com</v>
      </c>
      <c r="C2916" s="5">
        <f>IF(B2916="null","null",Descargas!B2916)</f>
        <v>43917</v>
      </c>
      <c r="D2916" s="6" t="str">
        <f>Descargas!E2916</f>
        <v>https://resources.simonelectric.com/simon-catalogo-vehiculo-electrico</v>
      </c>
      <c r="E2916" s="20" t="str">
        <f t="shared" si="1"/>
        <v>2275@rccyp.com</v>
      </c>
      <c r="F2916" s="21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</row>
    <row r="2917" ht="15.75" customHeight="1">
      <c r="A2917" s="18" t="str">
        <f>Descargas!A2917</f>
        <v>1051@gmail.com</v>
      </c>
      <c r="B2917" s="19" t="str">
        <f>IFERROR(__xludf.DUMMYFUNCTION("IF(OR(regexmatch(A2917,"".*@simon.es$""),REGEXMATCH(A2917,"".*@simon.pt$""),REGEXMATCH(A2917,"".*@simonelectrica.com$""),REGEXMATCH(A2917,"".*@hiberus.com$""),REGEXMATCH(A2917,"".*@simonbrico.es$""),regexmatch(A2917,"".*@simonelectric.com$"")),""null"",A2"&amp;"917)"),"1051@gmail.com")</f>
        <v>1051@gmail.com</v>
      </c>
      <c r="C2917" s="5">
        <f>IF(B2917="null","null",Descargas!B2917)</f>
        <v>43916</v>
      </c>
      <c r="D2917" s="6" t="str">
        <f>Descargas!E2917</f>
        <v>https://resources.simonelectric.com/simon-ebook-vehiculo-electrico</v>
      </c>
      <c r="E2917" s="20" t="str">
        <f t="shared" si="1"/>
        <v>1051@gmail.com</v>
      </c>
      <c r="F2917" s="21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</row>
    <row r="2918" ht="15.75" customHeight="1">
      <c r="A2918" s="18" t="str">
        <f>Descargas!A2918</f>
        <v>2276@hotmail.com</v>
      </c>
      <c r="B2918" s="19" t="str">
        <f>IFERROR(__xludf.DUMMYFUNCTION("IF(OR(regexmatch(A2918,"".*@simon.es$""),REGEXMATCH(A2918,"".*@simon.pt$""),REGEXMATCH(A2918,"".*@simonelectrica.com$""),REGEXMATCH(A2918,"".*@hiberus.com$""),REGEXMATCH(A2918,"".*@simonbrico.es$""),regexmatch(A2918,"".*@simonelectric.com$"")),""null"",A2"&amp;"918)"),"2276@hotmail.com")</f>
        <v>2276@hotmail.com</v>
      </c>
      <c r="C2918" s="5">
        <f>IF(B2918="null","null",Descargas!B2918)</f>
        <v>43916</v>
      </c>
      <c r="D2918" s="6" t="str">
        <f>Descargas!E2918</f>
        <v>https://resources.simonelectric.com/simon-ebook-vehiculo-electrico</v>
      </c>
      <c r="E2918" s="20" t="str">
        <f t="shared" si="1"/>
        <v>2276@hotmail.com</v>
      </c>
      <c r="F2918" s="21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</row>
    <row r="2919" ht="15.75" customHeight="1">
      <c r="A2919" s="18" t="str">
        <f>Descargas!A2919</f>
        <v>1454@yahoo.es</v>
      </c>
      <c r="B2919" s="19" t="str">
        <f>IFERROR(__xludf.DUMMYFUNCTION("IF(OR(regexmatch(A2919,"".*@simon.es$""),REGEXMATCH(A2919,"".*@simon.pt$""),REGEXMATCH(A2919,"".*@simonelectrica.com$""),REGEXMATCH(A2919,"".*@hiberus.com$""),REGEXMATCH(A2919,"".*@simonbrico.es$""),regexmatch(A2919,"".*@simonelectric.com$"")),""null"",A2"&amp;"919)"),"1454@yahoo.es")</f>
        <v>1454@yahoo.es</v>
      </c>
      <c r="C2919" s="5">
        <f>IF(B2919="null","null",Descargas!B2919)</f>
        <v>43916</v>
      </c>
      <c r="D2919" s="6" t="str">
        <f>Descargas!E2919</f>
        <v>https://resources.simonelectric.com/simon-ebook-vehiculo-electrico</v>
      </c>
      <c r="E2919" s="20" t="str">
        <f t="shared" si="1"/>
        <v>1454@yahoo.es</v>
      </c>
      <c r="F2919" s="21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</row>
    <row r="2920" ht="15.75" customHeight="1">
      <c r="A2920" s="18" t="str">
        <f>Descargas!A2920</f>
        <v>2277@gmail.com</v>
      </c>
      <c r="B2920" s="19" t="str">
        <f>IFERROR(__xludf.DUMMYFUNCTION("IF(OR(regexmatch(A2920,"".*@simon.es$""),REGEXMATCH(A2920,"".*@simon.pt$""),REGEXMATCH(A2920,"".*@simonelectrica.com$""),REGEXMATCH(A2920,"".*@hiberus.com$""),REGEXMATCH(A2920,"".*@simonbrico.es$""),regexmatch(A2920,"".*@simonelectric.com$"")),""null"",A2"&amp;"920)"),"2277@gmail.com")</f>
        <v>2277@gmail.com</v>
      </c>
      <c r="C2920" s="5">
        <f>IF(B2920="null","null",Descargas!B2920)</f>
        <v>43916</v>
      </c>
      <c r="D2920" s="6" t="str">
        <f>Descargas!E2920</f>
        <v>https://resources.simonelectric.com/simon-ebook-vehiculo-electrico</v>
      </c>
      <c r="E2920" s="20" t="str">
        <f t="shared" si="1"/>
        <v>2277@gmail.com</v>
      </c>
      <c r="F2920" s="21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</row>
    <row r="2921" ht="15.75" customHeight="1">
      <c r="A2921" s="18" t="str">
        <f>Descargas!A2921</f>
        <v>2278@gmail.com</v>
      </c>
      <c r="B2921" s="19" t="str">
        <f>IFERROR(__xludf.DUMMYFUNCTION("IF(OR(regexmatch(A2921,"".*@simon.es$""),REGEXMATCH(A2921,"".*@simon.pt$""),REGEXMATCH(A2921,"".*@simonelectrica.com$""),REGEXMATCH(A2921,"".*@hiberus.com$""),REGEXMATCH(A2921,"".*@simonbrico.es$""),regexmatch(A2921,"".*@simonelectric.com$"")),""null"",A2"&amp;"921)"),"2278@gmail.com")</f>
        <v>2278@gmail.com</v>
      </c>
      <c r="C2921" s="5">
        <f>IF(B2921="null","null",Descargas!B2921)</f>
        <v>43916</v>
      </c>
      <c r="D2921" s="6" t="str">
        <f>Descargas!E2921</f>
        <v>https://resources.simonelectric.com/simon-catalogo-vehiculo-electrico</v>
      </c>
      <c r="E2921" s="20" t="str">
        <f t="shared" si="1"/>
        <v>2278@gmail.com</v>
      </c>
      <c r="F2921" s="21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</row>
    <row r="2922" ht="15.75" customHeight="1">
      <c r="A2922" s="18" t="str">
        <f>Descargas!A2922</f>
        <v>2279@gmail.com</v>
      </c>
      <c r="B2922" s="19" t="str">
        <f>IFERROR(__xludf.DUMMYFUNCTION("IF(OR(regexmatch(A2922,"".*@simon.es$""),REGEXMATCH(A2922,"".*@simon.pt$""),REGEXMATCH(A2922,"".*@simonelectrica.com$""),REGEXMATCH(A2922,"".*@hiberus.com$""),REGEXMATCH(A2922,"".*@simonbrico.es$""),regexmatch(A2922,"".*@simonelectric.com$"")),""null"",A2"&amp;"922)"),"2279@gmail.com")</f>
        <v>2279@gmail.com</v>
      </c>
      <c r="C2922" s="5">
        <f>IF(B2922="null","null",Descargas!B2922)</f>
        <v>43916</v>
      </c>
      <c r="D2922" s="6" t="str">
        <f>Descargas!E2922</f>
        <v>https://resources.simonelectric.com/simon-ebook-vehiculo-electrico</v>
      </c>
      <c r="E2922" s="20" t="str">
        <f t="shared" si="1"/>
        <v>2279@gmail.com</v>
      </c>
      <c r="F2922" s="21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</row>
    <row r="2923" ht="15.75" customHeight="1">
      <c r="A2923" s="18" t="str">
        <f>Descargas!A2923</f>
        <v>1630@sertec.es</v>
      </c>
      <c r="B2923" s="19" t="str">
        <f>IFERROR(__xludf.DUMMYFUNCTION("IF(OR(regexmatch(A2923,"".*@simon.es$""),REGEXMATCH(A2923,"".*@simon.pt$""),REGEXMATCH(A2923,"".*@simonelectrica.com$""),REGEXMATCH(A2923,"".*@hiberus.com$""),REGEXMATCH(A2923,"".*@simonbrico.es$""),regexmatch(A2923,"".*@simonelectric.com$"")),""null"",A2"&amp;"923)"),"1630@sertec.es")</f>
        <v>1630@sertec.es</v>
      </c>
      <c r="C2923" s="5">
        <f>IF(B2923="null","null",Descargas!B2923)</f>
        <v>43916</v>
      </c>
      <c r="D2923" s="6" t="str">
        <f>Descargas!E2923</f>
        <v>https://resources.simonelectric.com/simon-catalogo-vehiculo-electrico</v>
      </c>
      <c r="E2923" s="20" t="str">
        <f t="shared" si="1"/>
        <v>1630@sertec.es</v>
      </c>
      <c r="F2923" s="21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</row>
    <row r="2924" ht="15.75" customHeight="1">
      <c r="A2924" s="18" t="str">
        <f>Descargas!A2924</f>
        <v>1630@sertec.es</v>
      </c>
      <c r="B2924" s="19" t="str">
        <f>IFERROR(__xludf.DUMMYFUNCTION("IF(OR(regexmatch(A2924,"".*@simon.es$""),REGEXMATCH(A2924,"".*@simon.pt$""),REGEXMATCH(A2924,"".*@simonelectrica.com$""),REGEXMATCH(A2924,"".*@hiberus.com$""),REGEXMATCH(A2924,"".*@simonbrico.es$""),regexmatch(A2924,"".*@simonelectric.com$"")),""null"",A2"&amp;"924)"),"1630@sertec.es")</f>
        <v>1630@sertec.es</v>
      </c>
      <c r="C2924" s="5">
        <f>IF(B2924="null","null",Descargas!B2924)</f>
        <v>43916</v>
      </c>
      <c r="D2924" s="6" t="str">
        <f>Descargas!E2924</f>
        <v>https://resources.simonelectric.com/simon-ebook-vehiculo-electrico</v>
      </c>
      <c r="E2924" s="20" t="str">
        <f t="shared" si="1"/>
        <v>1630@sertec.es</v>
      </c>
      <c r="F2924" s="21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</row>
    <row r="2925" ht="15.75" customHeight="1">
      <c r="A2925" s="18" t="str">
        <f>Descargas!A2925</f>
        <v>1659@orpoint.com</v>
      </c>
      <c r="B2925" s="19" t="str">
        <f>IFERROR(__xludf.DUMMYFUNCTION("IF(OR(regexmatch(A2925,"".*@simon.es$""),REGEXMATCH(A2925,"".*@simon.pt$""),REGEXMATCH(A2925,"".*@simonelectrica.com$""),REGEXMATCH(A2925,"".*@hiberus.com$""),REGEXMATCH(A2925,"".*@simonbrico.es$""),regexmatch(A2925,"".*@simonelectric.com$"")),""null"",A2"&amp;"925)"),"1659@orpoint.com")</f>
        <v>1659@orpoint.com</v>
      </c>
      <c r="C2925" s="5">
        <f>IF(B2925="null","null",Descargas!B2925)</f>
        <v>43916</v>
      </c>
      <c r="D2925" s="6" t="str">
        <f>Descargas!E2925</f>
        <v>https://resources.simonelectric.com/simon-ebook-vehiculo-electrico</v>
      </c>
      <c r="E2925" s="20" t="str">
        <f t="shared" si="1"/>
        <v>1659@orpoint.com</v>
      </c>
      <c r="F2925" s="21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</row>
    <row r="2926" ht="15.75" customHeight="1">
      <c r="A2926" s="18" t="str">
        <f>Descargas!A2926</f>
        <v>2280@gmail.com</v>
      </c>
      <c r="B2926" s="19" t="str">
        <f>IFERROR(__xludf.DUMMYFUNCTION("IF(OR(regexmatch(A2926,"".*@simon.es$""),REGEXMATCH(A2926,"".*@simon.pt$""),REGEXMATCH(A2926,"".*@simonelectrica.com$""),REGEXMATCH(A2926,"".*@hiberus.com$""),REGEXMATCH(A2926,"".*@simonbrico.es$""),regexmatch(A2926,"".*@simonelectric.com$"")),""null"",A2"&amp;"926)"),"2280@gmail.com")</f>
        <v>2280@gmail.com</v>
      </c>
      <c r="C2926" s="5">
        <f>IF(B2926="null","null",Descargas!B2926)</f>
        <v>43916</v>
      </c>
      <c r="D2926" s="6" t="str">
        <f>Descargas!E2926</f>
        <v>https://resources.simonelectric.com/simon-ebook-vehiculo-electrico</v>
      </c>
      <c r="E2926" s="20" t="str">
        <f t="shared" si="1"/>
        <v>2280@gmail.com</v>
      </c>
      <c r="F2926" s="21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</row>
    <row r="2927" ht="15.75" customHeight="1">
      <c r="A2927" s="18" t="str">
        <f>Descargas!A2927</f>
        <v>2281@hotmail.com</v>
      </c>
      <c r="B2927" s="19" t="str">
        <f>IFERROR(__xludf.DUMMYFUNCTION("IF(OR(regexmatch(A2927,"".*@simon.es$""),REGEXMATCH(A2927,"".*@simon.pt$""),REGEXMATCH(A2927,"".*@simonelectrica.com$""),REGEXMATCH(A2927,"".*@hiberus.com$""),REGEXMATCH(A2927,"".*@simonbrico.es$""),regexmatch(A2927,"".*@simonelectric.com$"")),""null"",A2"&amp;"927)"),"2281@hotmail.com")</f>
        <v>2281@hotmail.com</v>
      </c>
      <c r="C2927" s="5">
        <f>IF(B2927="null","null",Descargas!B2927)</f>
        <v>43916</v>
      </c>
      <c r="D2927" s="6" t="str">
        <f>Descargas!E2927</f>
        <v>https://resources.simonelectric.com/simon-ebook-vehiculo-electrico</v>
      </c>
      <c r="E2927" s="20" t="str">
        <f t="shared" si="1"/>
        <v>2281@hotmail.com</v>
      </c>
      <c r="F2927" s="21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</row>
    <row r="2928" ht="15.75" customHeight="1">
      <c r="A2928" s="18" t="str">
        <f>Descargas!A2928</f>
        <v>2282@gmail.com</v>
      </c>
      <c r="B2928" s="19" t="str">
        <f>IFERROR(__xludf.DUMMYFUNCTION("IF(OR(regexmatch(A2928,"".*@simon.es$""),REGEXMATCH(A2928,"".*@simon.pt$""),REGEXMATCH(A2928,"".*@simonelectrica.com$""),REGEXMATCH(A2928,"".*@hiberus.com$""),REGEXMATCH(A2928,"".*@simonbrico.es$""),regexmatch(A2928,"".*@simonelectric.com$"")),""null"",A2"&amp;"928)"),"2282@gmail.com")</f>
        <v>2282@gmail.com</v>
      </c>
      <c r="C2928" s="5">
        <f>IF(B2928="null","null",Descargas!B2928)</f>
        <v>43916</v>
      </c>
      <c r="D2928" s="6" t="str">
        <f>Descargas!E2928</f>
        <v>https://resources.simonelectric.com/simon-ebook-vehiculo-electrico</v>
      </c>
      <c r="E2928" s="20" t="str">
        <f t="shared" si="1"/>
        <v>2282@gmail.com</v>
      </c>
      <c r="F2928" s="21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</row>
    <row r="2929" ht="15.75" customHeight="1">
      <c r="A2929" s="18" t="str">
        <f>Descargas!A2929</f>
        <v>2268@gmail.com</v>
      </c>
      <c r="B2929" s="19" t="str">
        <f>IFERROR(__xludf.DUMMYFUNCTION("IF(OR(regexmatch(A2929,"".*@simon.es$""),REGEXMATCH(A2929,"".*@simon.pt$""),REGEXMATCH(A2929,"".*@simonelectrica.com$""),REGEXMATCH(A2929,"".*@hiberus.com$""),REGEXMATCH(A2929,"".*@simonbrico.es$""),regexmatch(A2929,"".*@simonelectric.com$"")),""null"",A2"&amp;"929)"),"2268@gmail.com")</f>
        <v>2268@gmail.com</v>
      </c>
      <c r="C2929" s="5">
        <f>IF(B2929="null","null",Descargas!B2929)</f>
        <v>43916</v>
      </c>
      <c r="D2929" s="6" t="str">
        <f>Descargas!E2929</f>
        <v>https://resources.simonelectric.com/simon-catalogo-vehiculo-electrico</v>
      </c>
      <c r="E2929" s="20" t="str">
        <f t="shared" si="1"/>
        <v>2268@gmail.com</v>
      </c>
      <c r="F2929" s="21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</row>
    <row r="2930" ht="15.75" customHeight="1">
      <c r="A2930" s="18" t="str">
        <f>Descargas!A2930</f>
        <v>2268@gmail.com</v>
      </c>
      <c r="B2930" s="19" t="str">
        <f>IFERROR(__xludf.DUMMYFUNCTION("IF(OR(regexmatch(A2930,"".*@simon.es$""),REGEXMATCH(A2930,"".*@simon.pt$""),REGEXMATCH(A2930,"".*@simonelectrica.com$""),REGEXMATCH(A2930,"".*@hiberus.com$""),REGEXMATCH(A2930,"".*@simonbrico.es$""),regexmatch(A2930,"".*@simonelectric.com$"")),""null"",A2"&amp;"930)"),"2268@gmail.com")</f>
        <v>2268@gmail.com</v>
      </c>
      <c r="C2930" s="5">
        <f>IF(B2930="null","null",Descargas!B2930)</f>
        <v>43916</v>
      </c>
      <c r="D2930" s="6" t="str">
        <f>Descargas!E2930</f>
        <v>https://resources.simonelectric.com/simon-ebook-vehiculo-electrico</v>
      </c>
      <c r="E2930" s="20" t="str">
        <f t="shared" si="1"/>
        <v>2268@gmail.com</v>
      </c>
      <c r="F2930" s="21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</row>
    <row r="2931" ht="15.75" customHeight="1">
      <c r="A2931" s="18" t="str">
        <f>Descargas!A2931</f>
        <v>2258@fercansa.es</v>
      </c>
      <c r="B2931" s="19" t="str">
        <f>IFERROR(__xludf.DUMMYFUNCTION("IF(OR(regexmatch(A2931,"".*@simon.es$""),REGEXMATCH(A2931,"".*@simon.pt$""),REGEXMATCH(A2931,"".*@simonelectrica.com$""),REGEXMATCH(A2931,"".*@hiberus.com$""),REGEXMATCH(A2931,"".*@simonbrico.es$""),regexmatch(A2931,"".*@simonelectric.com$"")),""null"",A2"&amp;"931)"),"2258@fercansa.es")</f>
        <v>2258@fercansa.es</v>
      </c>
      <c r="C2931" s="5">
        <f>IF(B2931="null","null",Descargas!B2931)</f>
        <v>43916</v>
      </c>
      <c r="D2931" s="6" t="str">
        <f>Descargas!E2931</f>
        <v>https://resources.simonelectric.com/simon-catalogo-vehiculo-electrico</v>
      </c>
      <c r="E2931" s="20" t="str">
        <f t="shared" si="1"/>
        <v>2258@fercansa.es</v>
      </c>
      <c r="F2931" s="21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</row>
    <row r="2932" ht="15.75" customHeight="1">
      <c r="A2932" s="18" t="str">
        <f>Descargas!A2932</f>
        <v>2258@fercansa.es</v>
      </c>
      <c r="B2932" s="19" t="str">
        <f>IFERROR(__xludf.DUMMYFUNCTION("IF(OR(regexmatch(A2932,"".*@simon.es$""),REGEXMATCH(A2932,"".*@simon.pt$""),REGEXMATCH(A2932,"".*@simonelectrica.com$""),REGEXMATCH(A2932,"".*@hiberus.com$""),REGEXMATCH(A2932,"".*@simonbrico.es$""),regexmatch(A2932,"".*@simonelectric.com$"")),""null"",A2"&amp;"932)"),"2258@fercansa.es")</f>
        <v>2258@fercansa.es</v>
      </c>
      <c r="C2932" s="5">
        <f>IF(B2932="null","null",Descargas!B2932)</f>
        <v>43916</v>
      </c>
      <c r="D2932" s="6" t="str">
        <f>Descargas!E2932</f>
        <v>https://resources.simonelectric.com/simon-ebook-vehiculo-electrico</v>
      </c>
      <c r="E2932" s="20" t="str">
        <f t="shared" si="1"/>
        <v>2258@fercansa.es</v>
      </c>
      <c r="F2932" s="21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</row>
    <row r="2933" ht="15.75" customHeight="1">
      <c r="A2933" s="18" t="str">
        <f>Descargas!A2933</f>
        <v>2283@hotmail.com</v>
      </c>
      <c r="B2933" s="19" t="str">
        <f>IFERROR(__xludf.DUMMYFUNCTION("IF(OR(regexmatch(A2933,"".*@simon.es$""),REGEXMATCH(A2933,"".*@simon.pt$""),REGEXMATCH(A2933,"".*@simonelectrica.com$""),REGEXMATCH(A2933,"".*@hiberus.com$""),REGEXMATCH(A2933,"".*@simonbrico.es$""),regexmatch(A2933,"".*@simonelectric.com$"")),""null"",A2"&amp;"933)"),"2283@hotmail.com")</f>
        <v>2283@hotmail.com</v>
      </c>
      <c r="C2933" s="5">
        <f>IF(B2933="null","null",Descargas!B2933)</f>
        <v>43916</v>
      </c>
      <c r="D2933" s="6" t="str">
        <f>Descargas!E2933</f>
        <v>https://resources.simonelectric.com/simon-ebook-vehiculo-electrico</v>
      </c>
      <c r="E2933" s="20" t="str">
        <f t="shared" si="1"/>
        <v>2283@hotmail.com</v>
      </c>
      <c r="F2933" s="21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</row>
    <row r="2934" ht="15.75" customHeight="1">
      <c r="A2934" s="18" t="str">
        <f>Descargas!A2934</f>
        <v>2284@gmail.com</v>
      </c>
      <c r="B2934" s="19" t="str">
        <f>IFERROR(__xludf.DUMMYFUNCTION("IF(OR(regexmatch(A2934,"".*@simon.es$""),REGEXMATCH(A2934,"".*@simon.pt$""),REGEXMATCH(A2934,"".*@simonelectrica.com$""),REGEXMATCH(A2934,"".*@hiberus.com$""),REGEXMATCH(A2934,"".*@simonbrico.es$""),regexmatch(A2934,"".*@simonelectric.com$"")),""null"",A2"&amp;"934)"),"2284@gmail.com")</f>
        <v>2284@gmail.com</v>
      </c>
      <c r="C2934" s="5">
        <f>IF(B2934="null","null",Descargas!B2934)</f>
        <v>43916</v>
      </c>
      <c r="D2934" s="6" t="str">
        <f>Descargas!E2934</f>
        <v>https://resources.simonelectric.com/simon-ebook-vehiculo-electrico</v>
      </c>
      <c r="E2934" s="20" t="str">
        <f t="shared" si="1"/>
        <v>2284@gmail.com</v>
      </c>
      <c r="F2934" s="21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</row>
    <row r="2935" ht="15.75" customHeight="1">
      <c r="A2935" s="18" t="str">
        <f>Descargas!A2935</f>
        <v>2285@hotmail.com</v>
      </c>
      <c r="B2935" s="19" t="str">
        <f>IFERROR(__xludf.DUMMYFUNCTION("IF(OR(regexmatch(A2935,"".*@simon.es$""),REGEXMATCH(A2935,"".*@simon.pt$""),REGEXMATCH(A2935,"".*@simonelectrica.com$""),REGEXMATCH(A2935,"".*@hiberus.com$""),REGEXMATCH(A2935,"".*@simonbrico.es$""),regexmatch(A2935,"".*@simonelectric.com$"")),""null"",A2"&amp;"935)"),"2285@hotmail.com")</f>
        <v>2285@hotmail.com</v>
      </c>
      <c r="C2935" s="5">
        <f>IF(B2935="null","null",Descargas!B2935)</f>
        <v>43916</v>
      </c>
      <c r="D2935" s="6" t="str">
        <f>Descargas!E2935</f>
        <v>https://resources.simonelectric.com/simon-ebook-vehiculo-electrico</v>
      </c>
      <c r="E2935" s="20" t="str">
        <f t="shared" si="1"/>
        <v>2285@hotmail.com</v>
      </c>
      <c r="F2935" s="21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</row>
    <row r="2936" ht="15.75" customHeight="1">
      <c r="A2936" s="18" t="str">
        <f>Descargas!A2936</f>
        <v>2286@hotmail.com</v>
      </c>
      <c r="B2936" s="19" t="str">
        <f>IFERROR(__xludf.DUMMYFUNCTION("IF(OR(regexmatch(A2936,"".*@simon.es$""),REGEXMATCH(A2936,"".*@simon.pt$""),REGEXMATCH(A2936,"".*@simonelectrica.com$""),REGEXMATCH(A2936,"".*@hiberus.com$""),REGEXMATCH(A2936,"".*@simonbrico.es$""),regexmatch(A2936,"".*@simonelectric.com$"")),""null"",A2"&amp;"936)"),"2286@hotmail.com")</f>
        <v>2286@hotmail.com</v>
      </c>
      <c r="C2936" s="5">
        <f>IF(B2936="null","null",Descargas!B2936)</f>
        <v>43916</v>
      </c>
      <c r="D2936" s="6" t="str">
        <f>Descargas!E2936</f>
        <v>https://resources.simonelectric.com/simon-ebook-vehiculo-electrico</v>
      </c>
      <c r="E2936" s="20" t="str">
        <f t="shared" si="1"/>
        <v>2286@hotmail.com</v>
      </c>
      <c r="F2936" s="21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</row>
    <row r="2937" ht="15.75" customHeight="1">
      <c r="A2937" s="18" t="str">
        <f>Descargas!A2937</f>
        <v>2287@sonepar.es</v>
      </c>
      <c r="B2937" s="19" t="str">
        <f>IFERROR(__xludf.DUMMYFUNCTION("IF(OR(regexmatch(A2937,"".*@simon.es$""),REGEXMATCH(A2937,"".*@simon.pt$""),REGEXMATCH(A2937,"".*@simonelectrica.com$""),REGEXMATCH(A2937,"".*@hiberus.com$""),REGEXMATCH(A2937,"".*@simonbrico.es$""),regexmatch(A2937,"".*@simonelectric.com$"")),""null"",A2"&amp;"937)"),"2287@sonepar.es")</f>
        <v>2287@sonepar.es</v>
      </c>
      <c r="C2937" s="5">
        <f>IF(B2937="null","null",Descargas!B2937)</f>
        <v>43916</v>
      </c>
      <c r="D2937" s="6" t="str">
        <f>Descargas!E2937</f>
        <v>https://resources.simonelectric.com/simon-ebook-vehiculo-electrico</v>
      </c>
      <c r="E2937" s="20" t="str">
        <f t="shared" si="1"/>
        <v>2287@sonepar.es</v>
      </c>
      <c r="F2937" s="21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</row>
    <row r="2938" ht="15.75" customHeight="1">
      <c r="A2938" s="18" t="str">
        <f>Descargas!A2938</f>
        <v>2288@yahoo.es</v>
      </c>
      <c r="B2938" s="19" t="str">
        <f>IFERROR(__xludf.DUMMYFUNCTION("IF(OR(regexmatch(A2938,"".*@simon.es$""),REGEXMATCH(A2938,"".*@simon.pt$""),REGEXMATCH(A2938,"".*@simonelectrica.com$""),REGEXMATCH(A2938,"".*@hiberus.com$""),REGEXMATCH(A2938,"".*@simonbrico.es$""),regexmatch(A2938,"".*@simonelectric.com$"")),""null"",A2"&amp;"938)"),"2288@yahoo.es")</f>
        <v>2288@yahoo.es</v>
      </c>
      <c r="C2938" s="5">
        <f>IF(B2938="null","null",Descargas!B2938)</f>
        <v>43916</v>
      </c>
      <c r="D2938" s="6" t="str">
        <f>Descargas!E2938</f>
        <v>https://resources.simonelectric.com/simon-ebook-vehiculo-electrico</v>
      </c>
      <c r="E2938" s="20" t="str">
        <f t="shared" si="1"/>
        <v>2288@yahoo.es</v>
      </c>
      <c r="F2938" s="21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</row>
    <row r="2939" ht="15.75" customHeight="1">
      <c r="A2939" s="18" t="str">
        <f>Descargas!A2939</f>
        <v>2289@hotmail.com</v>
      </c>
      <c r="B2939" s="19" t="str">
        <f>IFERROR(__xludf.DUMMYFUNCTION("IF(OR(regexmatch(A2939,"".*@simon.es$""),REGEXMATCH(A2939,"".*@simon.pt$""),REGEXMATCH(A2939,"".*@simonelectrica.com$""),REGEXMATCH(A2939,"".*@hiberus.com$""),REGEXMATCH(A2939,"".*@simonbrico.es$""),regexmatch(A2939,"".*@simonelectric.com$"")),""null"",A2"&amp;"939)"),"2289@hotmail.com")</f>
        <v>2289@hotmail.com</v>
      </c>
      <c r="C2939" s="5">
        <f>IF(B2939="null","null",Descargas!B2939)</f>
        <v>43916</v>
      </c>
      <c r="D2939" s="6" t="str">
        <f>Descargas!E2939</f>
        <v>https://resources.simonelectric.com/simon-ebook-vehiculo-electrico-0</v>
      </c>
      <c r="E2939" s="20" t="str">
        <f t="shared" si="1"/>
        <v>2289@hotmail.com</v>
      </c>
      <c r="F2939" s="21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</row>
    <row r="2940" ht="15.75" customHeight="1">
      <c r="A2940" s="18" t="str">
        <f>Descargas!A2940</f>
        <v>2290@atmos.link</v>
      </c>
      <c r="B2940" s="19" t="str">
        <f>IFERROR(__xludf.DUMMYFUNCTION("IF(OR(regexmatch(A2940,"".*@simon.es$""),REGEXMATCH(A2940,"".*@simon.pt$""),REGEXMATCH(A2940,"".*@simonelectrica.com$""),REGEXMATCH(A2940,"".*@hiberus.com$""),REGEXMATCH(A2940,"".*@simonbrico.es$""),regexmatch(A2940,"".*@simonelectric.com$"")),""null"",A2"&amp;"940)"),"2290@atmos.link")</f>
        <v>2290@atmos.link</v>
      </c>
      <c r="C2940" s="5">
        <f>IF(B2940="null","null",Descargas!B2940)</f>
        <v>43915</v>
      </c>
      <c r="D2940" s="6" t="str">
        <f>Descargas!E2940</f>
        <v>https://resources.simonelectric.com/simon-ebook-vehiculo-electrico</v>
      </c>
      <c r="E2940" s="20" t="str">
        <f t="shared" si="1"/>
        <v>2290@atmos.link</v>
      </c>
      <c r="F2940" s="21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</row>
    <row r="2941" ht="15.75" customHeight="1">
      <c r="A2941" s="18" t="str">
        <f>Descargas!A2941</f>
        <v>1387@yahoo.com.mx</v>
      </c>
      <c r="B2941" s="19" t="str">
        <f>IFERROR(__xludf.DUMMYFUNCTION("IF(OR(regexmatch(A2941,"".*@simon.es$""),REGEXMATCH(A2941,"".*@simon.pt$""),REGEXMATCH(A2941,"".*@simonelectrica.com$""),REGEXMATCH(A2941,"".*@hiberus.com$""),REGEXMATCH(A2941,"".*@simonbrico.es$""),regexmatch(A2941,"".*@simonelectric.com$"")),""null"",A2"&amp;"941)"),"1387@yahoo.com.mx")</f>
        <v>1387@yahoo.com.mx</v>
      </c>
      <c r="C2941" s="5">
        <f>IF(B2941="null","null",Descargas!B2941)</f>
        <v>43915</v>
      </c>
      <c r="D2941" s="6" t="str">
        <f>Descargas!E2941</f>
        <v>https://resources.simonelectric.com/simon-ebook-vehiculo-electrico</v>
      </c>
      <c r="E2941" s="20" t="str">
        <f t="shared" si="1"/>
        <v>1387@yahoo.com.mx</v>
      </c>
      <c r="F2941" s="21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</row>
    <row r="2942" ht="15.75" customHeight="1">
      <c r="A2942" s="18" t="str">
        <f>Descargas!A2942</f>
        <v>1568@gmail.com</v>
      </c>
      <c r="B2942" s="19" t="str">
        <f>IFERROR(__xludf.DUMMYFUNCTION("IF(OR(regexmatch(A2942,"".*@simon.es$""),REGEXMATCH(A2942,"".*@simon.pt$""),REGEXMATCH(A2942,"".*@simonelectrica.com$""),REGEXMATCH(A2942,"".*@hiberus.com$""),REGEXMATCH(A2942,"".*@simonbrico.es$""),regexmatch(A2942,"".*@simonelectric.com$"")),""null"",A2"&amp;"942)"),"1568@gmail.com")</f>
        <v>1568@gmail.com</v>
      </c>
      <c r="C2942" s="5">
        <f>IF(B2942="null","null",Descargas!B2942)</f>
        <v>43915</v>
      </c>
      <c r="D2942" s="6" t="str">
        <f>Descargas!E2942</f>
        <v>https://resources.simonelectric.com/simon-ebook-vehiculo-electrico</v>
      </c>
      <c r="E2942" s="20" t="str">
        <f t="shared" si="1"/>
        <v>1568@gmail.com</v>
      </c>
      <c r="F2942" s="21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</row>
    <row r="2943" ht="15.75" customHeight="1">
      <c r="A2943" s="18" t="str">
        <f>Descargas!A2943</f>
        <v>2291@fegime.es</v>
      </c>
      <c r="B2943" s="19" t="str">
        <f>IFERROR(__xludf.DUMMYFUNCTION("IF(OR(regexmatch(A2943,"".*@simon.es$""),REGEXMATCH(A2943,"".*@simon.pt$""),REGEXMATCH(A2943,"".*@simonelectrica.com$""),REGEXMATCH(A2943,"".*@hiberus.com$""),REGEXMATCH(A2943,"".*@simonbrico.es$""),regexmatch(A2943,"".*@simonelectric.com$"")),""null"",A2"&amp;"943)"),"2291@fegime.es")</f>
        <v>2291@fegime.es</v>
      </c>
      <c r="C2943" s="5">
        <f>IF(B2943="null","null",Descargas!B2943)</f>
        <v>43915</v>
      </c>
      <c r="D2943" s="6" t="str">
        <f>Descargas!E2943</f>
        <v>https://resources.simonelectric.com/simon-catalogo-vehiculo-electrico</v>
      </c>
      <c r="E2943" s="20" t="str">
        <f t="shared" si="1"/>
        <v>2291@fegime.es</v>
      </c>
      <c r="F2943" s="21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</row>
    <row r="2944" ht="15.75" customHeight="1">
      <c r="A2944" s="18" t="str">
        <f>Descargas!A2944</f>
        <v>2292@gmail.com</v>
      </c>
      <c r="B2944" s="19" t="str">
        <f>IFERROR(__xludf.DUMMYFUNCTION("IF(OR(regexmatch(A2944,"".*@simon.es$""),REGEXMATCH(A2944,"".*@simon.pt$""),REGEXMATCH(A2944,"".*@simonelectrica.com$""),REGEXMATCH(A2944,"".*@hiberus.com$""),REGEXMATCH(A2944,"".*@simonbrico.es$""),regexmatch(A2944,"".*@simonelectric.com$"")),""null"",A2"&amp;"944)"),"2292@gmail.com")</f>
        <v>2292@gmail.com</v>
      </c>
      <c r="C2944" s="5">
        <f>IF(B2944="null","null",Descargas!B2944)</f>
        <v>43915</v>
      </c>
      <c r="D2944" s="6" t="str">
        <f>Descargas!E2944</f>
        <v>https://resources.simonelectric.com/simon-ebook-vehiculo-electrico</v>
      </c>
      <c r="E2944" s="20" t="str">
        <f t="shared" si="1"/>
        <v>2292@gmail.com</v>
      </c>
      <c r="F2944" s="21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</row>
    <row r="2945" ht="15.75" customHeight="1">
      <c r="A2945" s="18" t="str">
        <f>Descargas!A2945</f>
        <v>2284@gmail.com</v>
      </c>
      <c r="B2945" s="19" t="str">
        <f>IFERROR(__xludf.DUMMYFUNCTION("IF(OR(regexmatch(A2945,"".*@simon.es$""),REGEXMATCH(A2945,"".*@simon.pt$""),REGEXMATCH(A2945,"".*@simonelectrica.com$""),REGEXMATCH(A2945,"".*@hiberus.com$""),REGEXMATCH(A2945,"".*@simonbrico.es$""),regexmatch(A2945,"".*@simonelectric.com$"")),""null"",A2"&amp;"945)"),"2284@gmail.com")</f>
        <v>2284@gmail.com</v>
      </c>
      <c r="C2945" s="5">
        <f>IF(B2945="null","null",Descargas!B2945)</f>
        <v>43915</v>
      </c>
      <c r="D2945" s="6" t="str">
        <f>Descargas!E2945</f>
        <v>https://resources.simonelectric.com/simon-ebook-vehiculo-electrico</v>
      </c>
      <c r="E2945" s="20" t="str">
        <f t="shared" si="1"/>
        <v>2284@gmail.com</v>
      </c>
      <c r="F2945" s="21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</row>
    <row r="2946" ht="15.75" customHeight="1">
      <c r="A2946" s="18" t="str">
        <f>Descargas!A2946</f>
        <v>2293@usa.com</v>
      </c>
      <c r="B2946" s="19" t="str">
        <f>IFERROR(__xludf.DUMMYFUNCTION("IF(OR(regexmatch(A2946,"".*@simon.es$""),REGEXMATCH(A2946,"".*@simon.pt$""),REGEXMATCH(A2946,"".*@simonelectrica.com$""),REGEXMATCH(A2946,"".*@hiberus.com$""),REGEXMATCH(A2946,"".*@simonbrico.es$""),regexmatch(A2946,"".*@simonelectric.com$"")),""null"",A2"&amp;"946)"),"2293@usa.com")</f>
        <v>2293@usa.com</v>
      </c>
      <c r="C2946" s="5">
        <f>IF(B2946="null","null",Descargas!B2946)</f>
        <v>43915</v>
      </c>
      <c r="D2946" s="6" t="str">
        <f>Descargas!E2946</f>
        <v>https://resources.simonelectric.com/simon-ebook-vehiculo-electrico</v>
      </c>
      <c r="E2946" s="20" t="str">
        <f t="shared" si="1"/>
        <v>2293@usa.com</v>
      </c>
      <c r="F2946" s="21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</row>
    <row r="2947" ht="15.75" customHeight="1">
      <c r="A2947" s="18" t="str">
        <f>Descargas!A2947</f>
        <v>2294@gmail.com</v>
      </c>
      <c r="B2947" s="19" t="str">
        <f>IFERROR(__xludf.DUMMYFUNCTION("IF(OR(regexmatch(A2947,"".*@simon.es$""),REGEXMATCH(A2947,"".*@simon.pt$""),REGEXMATCH(A2947,"".*@simonelectrica.com$""),REGEXMATCH(A2947,"".*@hiberus.com$""),REGEXMATCH(A2947,"".*@simonbrico.es$""),regexmatch(A2947,"".*@simonelectric.com$"")),""null"",A2"&amp;"947)"),"2294@gmail.com")</f>
        <v>2294@gmail.com</v>
      </c>
      <c r="C2947" s="5">
        <f>IF(B2947="null","null",Descargas!B2947)</f>
        <v>43915</v>
      </c>
      <c r="D2947" s="6" t="str">
        <f>Descargas!E2947</f>
        <v>https://resources.simonelectric.com/simon-ebook-vehiculo-electrico</v>
      </c>
      <c r="E2947" s="20" t="str">
        <f t="shared" si="1"/>
        <v>2294@gmail.com</v>
      </c>
      <c r="F2947" s="21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</row>
    <row r="2948" ht="15.75" customHeight="1">
      <c r="A2948" s="18" t="str">
        <f>Descargas!A2948</f>
        <v>2295@msn.com</v>
      </c>
      <c r="B2948" s="19" t="str">
        <f>IFERROR(__xludf.DUMMYFUNCTION("IF(OR(regexmatch(A2948,"".*@simon.es$""),REGEXMATCH(A2948,"".*@simon.pt$""),REGEXMATCH(A2948,"".*@simonelectrica.com$""),REGEXMATCH(A2948,"".*@hiberus.com$""),REGEXMATCH(A2948,"".*@simonbrico.es$""),regexmatch(A2948,"".*@simonelectric.com$"")),""null"",A2"&amp;"948)"),"2295@msn.com")</f>
        <v>2295@msn.com</v>
      </c>
      <c r="C2948" s="5">
        <f>IF(B2948="null","null",Descargas!B2948)</f>
        <v>43915</v>
      </c>
      <c r="D2948" s="6" t="str">
        <f>Descargas!E2948</f>
        <v>https://resources.simonelectric.com/simon-ebook-vehiculo-electrico</v>
      </c>
      <c r="E2948" s="20" t="str">
        <f t="shared" si="1"/>
        <v>2295@msn.com</v>
      </c>
      <c r="F2948" s="21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</row>
    <row r="2949" ht="15.75" customHeight="1">
      <c r="A2949" s="18" t="str">
        <f>Descargas!A2949</f>
        <v>500@gmail.com</v>
      </c>
      <c r="B2949" s="19" t="str">
        <f>IFERROR(__xludf.DUMMYFUNCTION("IF(OR(regexmatch(A2949,"".*@simon.es$""),REGEXMATCH(A2949,"".*@simon.pt$""),REGEXMATCH(A2949,"".*@simonelectrica.com$""),REGEXMATCH(A2949,"".*@hiberus.com$""),REGEXMATCH(A2949,"".*@simonbrico.es$""),regexmatch(A2949,"".*@simonelectric.com$"")),""null"",A2"&amp;"949)"),"500@gmail.com")</f>
        <v>500@gmail.com</v>
      </c>
      <c r="C2949" s="5">
        <f>IF(B2949="null","null",Descargas!B2949)</f>
        <v>43915</v>
      </c>
      <c r="D2949" s="6" t="str">
        <f>Descargas!E2949</f>
        <v>https://resources.simonelectric.com/simon-ebook-vehiculo-electrico</v>
      </c>
      <c r="E2949" s="20" t="str">
        <f t="shared" si="1"/>
        <v>500@gmail.com</v>
      </c>
      <c r="F2949" s="21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</row>
    <row r="2950" ht="15.75" customHeight="1">
      <c r="A2950" s="18" t="str">
        <f>Descargas!A2950</f>
        <v>2296@gmail.com</v>
      </c>
      <c r="B2950" s="19" t="str">
        <f>IFERROR(__xludf.DUMMYFUNCTION("IF(OR(regexmatch(A2950,"".*@simon.es$""),REGEXMATCH(A2950,"".*@simon.pt$""),REGEXMATCH(A2950,"".*@simonelectrica.com$""),REGEXMATCH(A2950,"".*@hiberus.com$""),REGEXMATCH(A2950,"".*@simonbrico.es$""),regexmatch(A2950,"".*@simonelectric.com$"")),""null"",A2"&amp;"950)"),"2296@gmail.com")</f>
        <v>2296@gmail.com</v>
      </c>
      <c r="C2950" s="5">
        <f>IF(B2950="null","null",Descargas!B2950)</f>
        <v>43915</v>
      </c>
      <c r="D2950" s="6" t="str">
        <f>Descargas!E2950</f>
        <v>https://resources.simonelectric.com/simon-ebook-vehiculo-electrico</v>
      </c>
      <c r="E2950" s="20" t="str">
        <f t="shared" si="1"/>
        <v>2296@gmail.com</v>
      </c>
      <c r="F2950" s="21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</row>
    <row r="2951" ht="15.75" customHeight="1">
      <c r="A2951" s="18" t="str">
        <f>Descargas!A2951</f>
        <v>239@alfadesarrollo.com</v>
      </c>
      <c r="B2951" s="19" t="str">
        <f>IFERROR(__xludf.DUMMYFUNCTION("IF(OR(regexmatch(A2951,"".*@simon.es$""),REGEXMATCH(A2951,"".*@simon.pt$""),REGEXMATCH(A2951,"".*@simonelectrica.com$""),REGEXMATCH(A2951,"".*@hiberus.com$""),REGEXMATCH(A2951,"".*@simonbrico.es$""),regexmatch(A2951,"".*@simonelectric.com$"")),""null"",A2"&amp;"951)"),"239@alfadesarrollo.com")</f>
        <v>239@alfadesarrollo.com</v>
      </c>
      <c r="C2951" s="5">
        <f>IF(B2951="null","null",Descargas!B2951)</f>
        <v>43915</v>
      </c>
      <c r="D2951" s="6" t="str">
        <f>Descargas!E2951</f>
        <v>https://resources.simonelectric.com/simon-ebook-vehiculo-electrico</v>
      </c>
      <c r="E2951" s="20" t="str">
        <f t="shared" si="1"/>
        <v>239@alfadesarrollo.com</v>
      </c>
      <c r="F2951" s="21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</row>
    <row r="2952" ht="15.75" customHeight="1">
      <c r="A2952" s="18" t="str">
        <f>Descargas!A2952</f>
        <v>2297@sece.com</v>
      </c>
      <c r="B2952" s="19" t="str">
        <f>IFERROR(__xludf.DUMMYFUNCTION("IF(OR(regexmatch(A2952,"".*@simon.es$""),REGEXMATCH(A2952,"".*@simon.pt$""),REGEXMATCH(A2952,"".*@simonelectrica.com$""),REGEXMATCH(A2952,"".*@hiberus.com$""),REGEXMATCH(A2952,"".*@simonbrico.es$""),regexmatch(A2952,"".*@simonelectric.com$"")),""null"",A2"&amp;"952)"),"2297@sece.com")</f>
        <v>2297@sece.com</v>
      </c>
      <c r="C2952" s="5">
        <f>IF(B2952="null","null",Descargas!B2952)</f>
        <v>43915</v>
      </c>
      <c r="D2952" s="6" t="str">
        <f>Descargas!E2952</f>
        <v>https://resources.simonelectric.com/simon-ebook-vehiculo-electrico</v>
      </c>
      <c r="E2952" s="20" t="str">
        <f t="shared" si="1"/>
        <v>2297@sece.com</v>
      </c>
      <c r="F2952" s="21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</row>
    <row r="2953" ht="15.75" customHeight="1">
      <c r="A2953" s="18" t="str">
        <f>Descargas!A2953</f>
        <v>2298@sonepar.es</v>
      </c>
      <c r="B2953" s="19" t="str">
        <f>IFERROR(__xludf.DUMMYFUNCTION("IF(OR(regexmatch(A2953,"".*@simon.es$""),REGEXMATCH(A2953,"".*@simon.pt$""),REGEXMATCH(A2953,"".*@simonelectrica.com$""),REGEXMATCH(A2953,"".*@hiberus.com$""),REGEXMATCH(A2953,"".*@simonbrico.es$""),regexmatch(A2953,"".*@simonelectric.com$"")),""null"",A2"&amp;"953)"),"2298@sonepar.es")</f>
        <v>2298@sonepar.es</v>
      </c>
      <c r="C2953" s="5">
        <f>IF(B2953="null","null",Descargas!B2953)</f>
        <v>43915</v>
      </c>
      <c r="D2953" s="6" t="str">
        <f>Descargas!E2953</f>
        <v>https://resources.simonelectric.com/simon-ebook-vehiculo-electrico</v>
      </c>
      <c r="E2953" s="20" t="str">
        <f t="shared" si="1"/>
        <v>2298@sonepar.es</v>
      </c>
      <c r="F2953" s="21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</row>
    <row r="2954" ht="15.75" customHeight="1">
      <c r="A2954" s="18" t="str">
        <f>Descargas!A2954</f>
        <v>2292@gmail.com</v>
      </c>
      <c r="B2954" s="19" t="str">
        <f>IFERROR(__xludf.DUMMYFUNCTION("IF(OR(regexmatch(A2954,"".*@simon.es$""),REGEXMATCH(A2954,"".*@simon.pt$""),REGEXMATCH(A2954,"".*@simonelectrica.com$""),REGEXMATCH(A2954,"".*@hiberus.com$""),REGEXMATCH(A2954,"".*@simonbrico.es$""),regexmatch(A2954,"".*@simonelectric.com$"")),""null"",A2"&amp;"954)"),"2292@gmail.com")</f>
        <v>2292@gmail.com</v>
      </c>
      <c r="C2954" s="5">
        <f>IF(B2954="null","null",Descargas!B2954)</f>
        <v>43915</v>
      </c>
      <c r="D2954" s="6" t="str">
        <f>Descargas!E2954</f>
        <v>https://resources.simonelectric.com/simon-ebook-vehiculo-electrico</v>
      </c>
      <c r="E2954" s="20" t="str">
        <f t="shared" si="1"/>
        <v>2292@gmail.com</v>
      </c>
      <c r="F2954" s="21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</row>
    <row r="2955" ht="15.75" customHeight="1">
      <c r="A2955" s="18" t="str">
        <f>Descargas!A2955</f>
        <v>1096@mpf-ingenieria.es</v>
      </c>
      <c r="B2955" s="19" t="str">
        <f>IFERROR(__xludf.DUMMYFUNCTION("IF(OR(regexmatch(A2955,"".*@simon.es$""),REGEXMATCH(A2955,"".*@simon.pt$""),REGEXMATCH(A2955,"".*@simonelectrica.com$""),REGEXMATCH(A2955,"".*@hiberus.com$""),REGEXMATCH(A2955,"".*@simonbrico.es$""),regexmatch(A2955,"".*@simonelectric.com$"")),""null"",A2"&amp;"955)"),"1096@mpf-ingenieria.es")</f>
        <v>1096@mpf-ingenieria.es</v>
      </c>
      <c r="C2955" s="5">
        <f>IF(B2955="null","null",Descargas!B2955)</f>
        <v>43915</v>
      </c>
      <c r="D2955" s="6" t="str">
        <f>Descargas!E2955</f>
        <v>https://resources.simonelectric.com/simon-ebook-vehiculo-electrico</v>
      </c>
      <c r="E2955" s="20" t="str">
        <f t="shared" si="1"/>
        <v>1096@mpf-ingenieria.es</v>
      </c>
      <c r="F2955" s="21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</row>
    <row r="2956" ht="15.75" customHeight="1">
      <c r="A2956" s="18" t="str">
        <f>Descargas!A2956</f>
        <v>2299@protele.es</v>
      </c>
      <c r="B2956" s="19" t="str">
        <f>IFERROR(__xludf.DUMMYFUNCTION("IF(OR(regexmatch(A2956,"".*@simon.es$""),REGEXMATCH(A2956,"".*@simon.pt$""),REGEXMATCH(A2956,"".*@simonelectrica.com$""),REGEXMATCH(A2956,"".*@hiberus.com$""),REGEXMATCH(A2956,"".*@simonbrico.es$""),regexmatch(A2956,"".*@simonelectric.com$"")),""null"",A2"&amp;"956)"),"2299@protele.es")</f>
        <v>2299@protele.es</v>
      </c>
      <c r="C2956" s="5">
        <f>IF(B2956="null","null",Descargas!B2956)</f>
        <v>43915</v>
      </c>
      <c r="D2956" s="6" t="str">
        <f>Descargas!E2956</f>
        <v>https://resources.simonelectric.com/simon-ebook-vehiculo-electrico</v>
      </c>
      <c r="E2956" s="20" t="str">
        <f t="shared" si="1"/>
        <v>2299@protele.es</v>
      </c>
      <c r="F2956" s="21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</row>
    <row r="2957" ht="15.75" customHeight="1">
      <c r="A2957" s="18" t="str">
        <f>Descargas!A2957</f>
        <v>2300@grupoelectrostocks.com</v>
      </c>
      <c r="B2957" s="19" t="str">
        <f>IFERROR(__xludf.DUMMYFUNCTION("IF(OR(regexmatch(A2957,"".*@simon.es$""),REGEXMATCH(A2957,"".*@simon.pt$""),REGEXMATCH(A2957,"".*@simonelectrica.com$""),REGEXMATCH(A2957,"".*@hiberus.com$""),REGEXMATCH(A2957,"".*@simonbrico.es$""),regexmatch(A2957,"".*@simonelectric.com$"")),""null"",A2"&amp;"957)"),"2300@grupoelectrostocks.com")</f>
        <v>2300@grupoelectrostocks.com</v>
      </c>
      <c r="C2957" s="5">
        <f>IF(B2957="null","null",Descargas!B2957)</f>
        <v>43915</v>
      </c>
      <c r="D2957" s="6" t="str">
        <f>Descargas!E2957</f>
        <v>https://resources.simonelectric.com/simon-ebook-vehiculo-electrico</v>
      </c>
      <c r="E2957" s="20" t="str">
        <f t="shared" si="1"/>
        <v>2300@grupoelectrostocks.com</v>
      </c>
      <c r="F2957" s="21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</row>
    <row r="2958" ht="15.75" customHeight="1">
      <c r="A2958" s="18" t="str">
        <f>Descargas!A2958</f>
        <v>1640@infonegocio.com</v>
      </c>
      <c r="B2958" s="19" t="str">
        <f>IFERROR(__xludf.DUMMYFUNCTION("IF(OR(regexmatch(A2958,"".*@simon.es$""),REGEXMATCH(A2958,"".*@simon.pt$""),REGEXMATCH(A2958,"".*@simonelectrica.com$""),REGEXMATCH(A2958,"".*@hiberus.com$""),REGEXMATCH(A2958,"".*@simonbrico.es$""),regexmatch(A2958,"".*@simonelectric.com$"")),""null"",A2"&amp;"958)"),"1640@infonegocio.com")</f>
        <v>1640@infonegocio.com</v>
      </c>
      <c r="C2958" s="5">
        <f>IF(B2958="null","null",Descargas!B2958)</f>
        <v>43915</v>
      </c>
      <c r="D2958" s="6" t="str">
        <f>Descargas!E2958</f>
        <v>https://resources.simonelectric.com/simon-ebook-vehiculo-electrico</v>
      </c>
      <c r="E2958" s="20" t="str">
        <f t="shared" si="1"/>
        <v>1640@infonegocio.com</v>
      </c>
      <c r="F2958" s="21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</row>
    <row r="2959" ht="15.75" customHeight="1">
      <c r="A2959" s="18" t="str">
        <f>Descargas!A2959</f>
        <v>2301@sonepar.es</v>
      </c>
      <c r="B2959" s="19" t="str">
        <f>IFERROR(__xludf.DUMMYFUNCTION("IF(OR(regexmatch(A2959,"".*@simon.es$""),REGEXMATCH(A2959,"".*@simon.pt$""),REGEXMATCH(A2959,"".*@simonelectrica.com$""),REGEXMATCH(A2959,"".*@hiberus.com$""),REGEXMATCH(A2959,"".*@simonbrico.es$""),regexmatch(A2959,"".*@simonelectric.com$"")),""null"",A2"&amp;"959)"),"2301@sonepar.es")</f>
        <v>2301@sonepar.es</v>
      </c>
      <c r="C2959" s="5">
        <f>IF(B2959="null","null",Descargas!B2959)</f>
        <v>43915</v>
      </c>
      <c r="D2959" s="6" t="str">
        <f>Descargas!E2959</f>
        <v>https://resources.simonelectric.com/simon-ebook-vehiculo-electrico</v>
      </c>
      <c r="E2959" s="20" t="str">
        <f t="shared" si="1"/>
        <v>2301@sonepar.es</v>
      </c>
      <c r="F2959" s="21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</row>
    <row r="2960" ht="15.75" customHeight="1">
      <c r="A2960" s="18" t="str">
        <f>Descargas!A2960</f>
        <v>2302@agosa.es</v>
      </c>
      <c r="B2960" s="19" t="str">
        <f>IFERROR(__xludf.DUMMYFUNCTION("IF(OR(regexmatch(A2960,"".*@simon.es$""),REGEXMATCH(A2960,"".*@simon.pt$""),REGEXMATCH(A2960,"".*@simonelectrica.com$""),REGEXMATCH(A2960,"".*@hiberus.com$""),REGEXMATCH(A2960,"".*@simonbrico.es$""),regexmatch(A2960,"".*@simonelectric.com$"")),""null"",A2"&amp;"960)"),"2302@agosa.es")</f>
        <v>2302@agosa.es</v>
      </c>
      <c r="C2960" s="5">
        <f>IF(B2960="null","null",Descargas!B2960)</f>
        <v>43915</v>
      </c>
      <c r="D2960" s="6" t="str">
        <f>Descargas!E2960</f>
        <v>https://resources.simonelectric.com/simon-ebook-vehiculo-electrico</v>
      </c>
      <c r="E2960" s="20" t="str">
        <f t="shared" si="1"/>
        <v>2302@agosa.es</v>
      </c>
      <c r="F2960" s="21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</row>
    <row r="2961" ht="15.75" customHeight="1">
      <c r="A2961" s="18" t="str">
        <f>Descargas!A2961</f>
        <v>2303@industrialgines.com</v>
      </c>
      <c r="B2961" s="19" t="str">
        <f>IFERROR(__xludf.DUMMYFUNCTION("IF(OR(regexmatch(A2961,"".*@simon.es$""),REGEXMATCH(A2961,"".*@simon.pt$""),REGEXMATCH(A2961,"".*@simonelectrica.com$""),REGEXMATCH(A2961,"".*@hiberus.com$""),REGEXMATCH(A2961,"".*@simonbrico.es$""),regexmatch(A2961,"".*@simonelectric.com$"")),""null"",A2"&amp;"961)"),"2303@industrialgines.com")</f>
        <v>2303@industrialgines.com</v>
      </c>
      <c r="C2961" s="5">
        <f>IF(B2961="null","null",Descargas!B2961)</f>
        <v>43915</v>
      </c>
      <c r="D2961" s="6" t="str">
        <f>Descargas!E2961</f>
        <v>https://resources.simonelectric.com/simon-ebook-vehiculo-electrico</v>
      </c>
      <c r="E2961" s="20" t="str">
        <f t="shared" si="1"/>
        <v>2303@industrialgines.com</v>
      </c>
      <c r="F2961" s="21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</row>
    <row r="2962" ht="15.75" customHeight="1">
      <c r="A2962" s="18" t="str">
        <f>Descargas!A2962</f>
        <v>2304@gmail.com</v>
      </c>
      <c r="B2962" s="19" t="str">
        <f>IFERROR(__xludf.DUMMYFUNCTION("IF(OR(regexmatch(A2962,"".*@simon.es$""),REGEXMATCH(A2962,"".*@simon.pt$""),REGEXMATCH(A2962,"".*@simonelectrica.com$""),REGEXMATCH(A2962,"".*@hiberus.com$""),REGEXMATCH(A2962,"".*@simonbrico.es$""),regexmatch(A2962,"".*@simonelectric.com$"")),""null"",A2"&amp;"962)"),"2304@gmail.com")</f>
        <v>2304@gmail.com</v>
      </c>
      <c r="C2962" s="5">
        <f>IF(B2962="null","null",Descargas!B2962)</f>
        <v>43915</v>
      </c>
      <c r="D2962" s="6" t="str">
        <f>Descargas!E2962</f>
        <v>https://resources.simonelectric.com/simon-ebook-vehiculo-electrico</v>
      </c>
      <c r="E2962" s="20" t="str">
        <f t="shared" si="1"/>
        <v>2304@gmail.com</v>
      </c>
      <c r="F2962" s="21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</row>
    <row r="2963" ht="15.75" customHeight="1">
      <c r="A2963" s="18" t="str">
        <f>Descargas!A2963</f>
        <v>2305@hotmail.com</v>
      </c>
      <c r="B2963" s="19" t="str">
        <f>IFERROR(__xludf.DUMMYFUNCTION("IF(OR(regexmatch(A2963,"".*@simon.es$""),REGEXMATCH(A2963,"".*@simon.pt$""),REGEXMATCH(A2963,"".*@simonelectrica.com$""),REGEXMATCH(A2963,"".*@hiberus.com$""),REGEXMATCH(A2963,"".*@simonbrico.es$""),regexmatch(A2963,"".*@simonelectric.com$"")),""null"",A2"&amp;"963)"),"2305@hotmail.com")</f>
        <v>2305@hotmail.com</v>
      </c>
      <c r="C2963" s="5">
        <f>IF(B2963="null","null",Descargas!B2963)</f>
        <v>43915</v>
      </c>
      <c r="D2963" s="6" t="str">
        <f>Descargas!E2963</f>
        <v>https://resources.simonelectric.com/simon-ebook-vehiculo-electrico</v>
      </c>
      <c r="E2963" s="20" t="str">
        <f t="shared" si="1"/>
        <v>2305@hotmail.com</v>
      </c>
      <c r="F2963" s="21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</row>
    <row r="2964" ht="15.75" customHeight="1">
      <c r="A2964" s="18" t="str">
        <f>Descargas!A2964</f>
        <v>643@gmail.com</v>
      </c>
      <c r="B2964" s="19" t="str">
        <f>IFERROR(__xludf.DUMMYFUNCTION("IF(OR(regexmatch(A2964,"".*@simon.es$""),REGEXMATCH(A2964,"".*@simon.pt$""),REGEXMATCH(A2964,"".*@simonelectrica.com$""),REGEXMATCH(A2964,"".*@hiberus.com$""),REGEXMATCH(A2964,"".*@simonbrico.es$""),regexmatch(A2964,"".*@simonelectric.com$"")),""null"",A2"&amp;"964)"),"643@gmail.com")</f>
        <v>643@gmail.com</v>
      </c>
      <c r="C2964" s="5">
        <f>IF(B2964="null","null",Descargas!B2964)</f>
        <v>43915</v>
      </c>
      <c r="D2964" s="6" t="str">
        <f>Descargas!E2964</f>
        <v>https://resources.simonelectric.com/simon-ebook-vehiculo-electrico</v>
      </c>
      <c r="E2964" s="20" t="str">
        <f t="shared" si="1"/>
        <v>643@gmail.com</v>
      </c>
      <c r="F2964" s="21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</row>
    <row r="2965" ht="15.75" customHeight="1">
      <c r="A2965" s="18" t="str">
        <f>Descargas!A2965</f>
        <v>2305@hotmail.com</v>
      </c>
      <c r="B2965" s="19" t="str">
        <f>IFERROR(__xludf.DUMMYFUNCTION("IF(OR(regexmatch(A2965,"".*@simon.es$""),REGEXMATCH(A2965,"".*@simon.pt$""),REGEXMATCH(A2965,"".*@simonelectrica.com$""),REGEXMATCH(A2965,"".*@hiberus.com$""),REGEXMATCH(A2965,"".*@simonbrico.es$""),regexmatch(A2965,"".*@simonelectric.com$"")),""null"",A2"&amp;"965)"),"2305@hotmail.com")</f>
        <v>2305@hotmail.com</v>
      </c>
      <c r="C2965" s="5">
        <f>IF(B2965="null","null",Descargas!B2965)</f>
        <v>43915</v>
      </c>
      <c r="D2965" s="6" t="str">
        <f>Descargas!E2965</f>
        <v>https://resources.simonelectric.com/simon-ebook-vehiculo-electrico</v>
      </c>
      <c r="E2965" s="20" t="str">
        <f t="shared" si="1"/>
        <v>2305@hotmail.com</v>
      </c>
      <c r="F2965" s="21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</row>
    <row r="2966" ht="15.75" customHeight="1">
      <c r="A2966" s="18" t="str">
        <f>Descargas!A2966</f>
        <v>2306@somosemotion.es</v>
      </c>
      <c r="B2966" s="19" t="str">
        <f>IFERROR(__xludf.DUMMYFUNCTION("IF(OR(regexmatch(A2966,"".*@simon.es$""),REGEXMATCH(A2966,"".*@simon.pt$""),REGEXMATCH(A2966,"".*@simonelectrica.com$""),REGEXMATCH(A2966,"".*@hiberus.com$""),REGEXMATCH(A2966,"".*@simonbrico.es$""),regexmatch(A2966,"".*@simonelectric.com$"")),""null"",A2"&amp;"966)"),"2306@somosemotion.es")</f>
        <v>2306@somosemotion.es</v>
      </c>
      <c r="C2966" s="5">
        <f>IF(B2966="null","null",Descargas!B2966)</f>
        <v>43915</v>
      </c>
      <c r="D2966" s="6" t="str">
        <f>Descargas!E2966</f>
        <v>https://resources.simonelectric.com/simon-ebook-vehiculo-electrico</v>
      </c>
      <c r="E2966" s="20" t="str">
        <f t="shared" si="1"/>
        <v>2306@somosemotion.es</v>
      </c>
      <c r="F2966" s="21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</row>
    <row r="2967" ht="15.75" customHeight="1">
      <c r="A2967" s="18" t="str">
        <f>Descargas!A2967</f>
        <v>2307@gmail.com</v>
      </c>
      <c r="B2967" s="19" t="str">
        <f>IFERROR(__xludf.DUMMYFUNCTION("IF(OR(regexmatch(A2967,"".*@simon.es$""),REGEXMATCH(A2967,"".*@simon.pt$""),REGEXMATCH(A2967,"".*@simonelectrica.com$""),REGEXMATCH(A2967,"".*@hiberus.com$""),REGEXMATCH(A2967,"".*@simonbrico.es$""),regexmatch(A2967,"".*@simonelectric.com$"")),""null"",A2"&amp;"967)"),"2307@gmail.com")</f>
        <v>2307@gmail.com</v>
      </c>
      <c r="C2967" s="5">
        <f>IF(B2967="null","null",Descargas!B2967)</f>
        <v>43915</v>
      </c>
      <c r="D2967" s="6" t="str">
        <f>Descargas!E2967</f>
        <v>https://resources.simonelectric.com/simon-ebook-vehiculo-electrico</v>
      </c>
      <c r="E2967" s="20" t="str">
        <f t="shared" si="1"/>
        <v>2307@gmail.com</v>
      </c>
      <c r="F2967" s="21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</row>
    <row r="2968" ht="15.75" customHeight="1">
      <c r="A2968" s="18" t="str">
        <f>Descargas!A2968</f>
        <v>2308@gmail.com</v>
      </c>
      <c r="B2968" s="19" t="str">
        <f>IFERROR(__xludf.DUMMYFUNCTION("IF(OR(regexmatch(A2968,"".*@simon.es$""),REGEXMATCH(A2968,"".*@simon.pt$""),REGEXMATCH(A2968,"".*@simonelectrica.com$""),REGEXMATCH(A2968,"".*@hiberus.com$""),REGEXMATCH(A2968,"".*@simonbrico.es$""),regexmatch(A2968,"".*@simonelectric.com$"")),""null"",A2"&amp;"968)"),"2308@gmail.com")</f>
        <v>2308@gmail.com</v>
      </c>
      <c r="C2968" s="5">
        <f>IF(B2968="null","null",Descargas!B2968)</f>
        <v>43915</v>
      </c>
      <c r="D2968" s="6" t="str">
        <f>Descargas!E2968</f>
        <v>https://resources.simonelectric.com/simon-ebook-vehiculo-electrico</v>
      </c>
      <c r="E2968" s="20" t="str">
        <f t="shared" si="1"/>
        <v>2308@gmail.com</v>
      </c>
      <c r="F2968" s="21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</row>
    <row r="2969" ht="15.75" customHeight="1">
      <c r="A2969" s="18" t="str">
        <f>Descargas!A2969</f>
        <v>928@gmail.com</v>
      </c>
      <c r="B2969" s="19" t="str">
        <f>IFERROR(__xludf.DUMMYFUNCTION("IF(OR(regexmatch(A2969,"".*@simon.es$""),REGEXMATCH(A2969,"".*@simon.pt$""),REGEXMATCH(A2969,"".*@simonelectrica.com$""),REGEXMATCH(A2969,"".*@hiberus.com$""),REGEXMATCH(A2969,"".*@simonbrico.es$""),regexmatch(A2969,"".*@simonelectric.com$"")),""null"",A2"&amp;"969)"),"928@gmail.com")</f>
        <v>928@gmail.com</v>
      </c>
      <c r="C2969" s="5">
        <f>IF(B2969="null","null",Descargas!B2969)</f>
        <v>43915</v>
      </c>
      <c r="D2969" s="6" t="str">
        <f>Descargas!E2969</f>
        <v>https://resources.simonelectric.com/simon-ebook-vehiculo-electrico</v>
      </c>
      <c r="E2969" s="20" t="str">
        <f t="shared" si="1"/>
        <v>928@gmail.com</v>
      </c>
      <c r="F2969" s="21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</row>
    <row r="2970" ht="15.75" customHeight="1">
      <c r="A2970" s="18" t="str">
        <f>Descargas!A2970</f>
        <v>2309@hotmail.com</v>
      </c>
      <c r="B2970" s="19" t="str">
        <f>IFERROR(__xludf.DUMMYFUNCTION("IF(OR(regexmatch(A2970,"".*@simon.es$""),REGEXMATCH(A2970,"".*@simon.pt$""),REGEXMATCH(A2970,"".*@simonelectrica.com$""),REGEXMATCH(A2970,"".*@hiberus.com$""),REGEXMATCH(A2970,"".*@simonbrico.es$""),regexmatch(A2970,"".*@simonelectric.com$"")),""null"",A2"&amp;"970)"),"2309@hotmail.com")</f>
        <v>2309@hotmail.com</v>
      </c>
      <c r="C2970" s="5">
        <f>IF(B2970="null","null",Descargas!B2970)</f>
        <v>43915</v>
      </c>
      <c r="D2970" s="6" t="str">
        <f>Descargas!E2970</f>
        <v>https://resources.simonelectric.com/simon-ebook-vehiculo-electrico</v>
      </c>
      <c r="E2970" s="20" t="str">
        <f t="shared" si="1"/>
        <v>2309@hotmail.com</v>
      </c>
      <c r="F2970" s="21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</row>
    <row r="2971" ht="15.75" customHeight="1">
      <c r="A2971" s="18" t="str">
        <f>Descargas!A2971</f>
        <v>2310@yahoo.es</v>
      </c>
      <c r="B2971" s="19" t="str">
        <f>IFERROR(__xludf.DUMMYFUNCTION("IF(OR(regexmatch(A2971,"".*@simon.es$""),REGEXMATCH(A2971,"".*@simon.pt$""),REGEXMATCH(A2971,"".*@simonelectrica.com$""),REGEXMATCH(A2971,"".*@hiberus.com$""),REGEXMATCH(A2971,"".*@simonbrico.es$""),regexmatch(A2971,"".*@simonelectric.com$"")),""null"",A2"&amp;"971)"),"2310@yahoo.es")</f>
        <v>2310@yahoo.es</v>
      </c>
      <c r="C2971" s="5">
        <f>IF(B2971="null","null",Descargas!B2971)</f>
        <v>43915</v>
      </c>
      <c r="D2971" s="6" t="str">
        <f>Descargas!E2971</f>
        <v>https://resources.simonelectric.com/simon-ebook-vehiculo-electrico</v>
      </c>
      <c r="E2971" s="20" t="str">
        <f t="shared" si="1"/>
        <v>2310@yahoo.es</v>
      </c>
      <c r="F2971" s="21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</row>
    <row r="2972" ht="15.75" customHeight="1">
      <c r="A2972" s="18" t="str">
        <f>Descargas!A2972</f>
        <v>2311@deluxson.com</v>
      </c>
      <c r="B2972" s="19" t="str">
        <f>IFERROR(__xludf.DUMMYFUNCTION("IF(OR(regexmatch(A2972,"".*@simon.es$""),REGEXMATCH(A2972,"".*@simon.pt$""),REGEXMATCH(A2972,"".*@simonelectrica.com$""),REGEXMATCH(A2972,"".*@hiberus.com$""),REGEXMATCH(A2972,"".*@simonbrico.es$""),regexmatch(A2972,"".*@simonelectric.com$"")),""null"",A2"&amp;"972)"),"2311@deluxson.com")</f>
        <v>2311@deluxson.com</v>
      </c>
      <c r="C2972" s="5">
        <f>IF(B2972="null","null",Descargas!B2972)</f>
        <v>43915</v>
      </c>
      <c r="D2972" s="6" t="str">
        <f>Descargas!E2972</f>
        <v>https://resources.simonelectric.com/simon-ebook-vehiculo-electrico</v>
      </c>
      <c r="E2972" s="20" t="str">
        <f t="shared" si="1"/>
        <v>2311@deluxson.com</v>
      </c>
      <c r="F2972" s="21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</row>
    <row r="2973" ht="15.75" customHeight="1">
      <c r="A2973" s="18" t="str">
        <f>Descargas!A2973</f>
        <v>2312@yahoo.es</v>
      </c>
      <c r="B2973" s="19" t="str">
        <f>IFERROR(__xludf.DUMMYFUNCTION("IF(OR(regexmatch(A2973,"".*@simon.es$""),REGEXMATCH(A2973,"".*@simon.pt$""),REGEXMATCH(A2973,"".*@simonelectrica.com$""),REGEXMATCH(A2973,"".*@hiberus.com$""),REGEXMATCH(A2973,"".*@simonbrico.es$""),regexmatch(A2973,"".*@simonelectric.com$"")),""null"",A2"&amp;"973)"),"2312@yahoo.es")</f>
        <v>2312@yahoo.es</v>
      </c>
      <c r="C2973" s="5">
        <f>IF(B2973="null","null",Descargas!B2973)</f>
        <v>43915</v>
      </c>
      <c r="D2973" s="6" t="str">
        <f>Descargas!E2973</f>
        <v>https://resources.simonelectric.com/simon-ebook-vehiculo-electrico</v>
      </c>
      <c r="E2973" s="20" t="str">
        <f t="shared" si="1"/>
        <v>2312@yahoo.es</v>
      </c>
      <c r="F2973" s="21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</row>
    <row r="2974" ht="15.75" customHeight="1">
      <c r="A2974" s="18" t="str">
        <f>Descargas!A2974</f>
        <v>2313@gmail.com</v>
      </c>
      <c r="B2974" s="19" t="str">
        <f>IFERROR(__xludf.DUMMYFUNCTION("IF(OR(regexmatch(A2974,"".*@simon.es$""),REGEXMATCH(A2974,"".*@simon.pt$""),REGEXMATCH(A2974,"".*@simonelectrica.com$""),REGEXMATCH(A2974,"".*@hiberus.com$""),REGEXMATCH(A2974,"".*@simonbrico.es$""),regexmatch(A2974,"".*@simonelectric.com$"")),""null"",A2"&amp;"974)"),"2313@gmail.com")</f>
        <v>2313@gmail.com</v>
      </c>
      <c r="C2974" s="5">
        <f>IF(B2974="null","null",Descargas!B2974)</f>
        <v>43915</v>
      </c>
      <c r="D2974" s="6" t="str">
        <f>Descargas!E2974</f>
        <v>https://resources.simonelectric.com/simon-ebook-vehiculo-electrico</v>
      </c>
      <c r="E2974" s="20" t="str">
        <f t="shared" si="1"/>
        <v>2313@gmail.com</v>
      </c>
      <c r="F2974" s="21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</row>
    <row r="2975" ht="15.75" customHeight="1">
      <c r="A2975" s="18" t="str">
        <f>Descargas!A2975</f>
        <v>1737@salesianos.edu</v>
      </c>
      <c r="B2975" s="19" t="str">
        <f>IFERROR(__xludf.DUMMYFUNCTION("IF(OR(regexmatch(A2975,"".*@simon.es$""),REGEXMATCH(A2975,"".*@simon.pt$""),REGEXMATCH(A2975,"".*@simonelectrica.com$""),REGEXMATCH(A2975,"".*@hiberus.com$""),REGEXMATCH(A2975,"".*@simonbrico.es$""),regexmatch(A2975,"".*@simonelectric.com$"")),""null"",A2"&amp;"975)"),"1737@salesianos.edu")</f>
        <v>1737@salesianos.edu</v>
      </c>
      <c r="C2975" s="5">
        <f>IF(B2975="null","null",Descargas!B2975)</f>
        <v>43915</v>
      </c>
      <c r="D2975" s="6" t="str">
        <f>Descargas!E2975</f>
        <v>https://resources.simonelectric.com/simon-ebook-vehiculo-electrico</v>
      </c>
      <c r="E2975" s="20" t="str">
        <f t="shared" si="1"/>
        <v>1737@salesianos.edu</v>
      </c>
      <c r="F2975" s="21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</row>
    <row r="2976" ht="15.75" customHeight="1">
      <c r="A2976" s="18" t="str">
        <f>Descargas!A2976</f>
        <v>2314@gmail.com</v>
      </c>
      <c r="B2976" s="19" t="str">
        <f>IFERROR(__xludf.DUMMYFUNCTION("IF(OR(regexmatch(A2976,"".*@simon.es$""),REGEXMATCH(A2976,"".*@simon.pt$""),REGEXMATCH(A2976,"".*@simonelectrica.com$""),REGEXMATCH(A2976,"".*@hiberus.com$""),REGEXMATCH(A2976,"".*@simonbrico.es$""),regexmatch(A2976,"".*@simonelectric.com$"")),""null"",A2"&amp;"976)"),"2314@gmail.com")</f>
        <v>2314@gmail.com</v>
      </c>
      <c r="C2976" s="5">
        <f>IF(B2976="null","null",Descargas!B2976)</f>
        <v>43915</v>
      </c>
      <c r="D2976" s="6" t="str">
        <f>Descargas!E2976</f>
        <v>https://resources.simonelectric.com/simon-ebook-vehiculo-electrico</v>
      </c>
      <c r="E2976" s="20" t="str">
        <f t="shared" si="1"/>
        <v>2314@gmail.com</v>
      </c>
      <c r="F2976" s="21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</row>
    <row r="2977" ht="15.75" customHeight="1">
      <c r="A2977" s="18" t="str">
        <f>Descargas!A2977</f>
        <v>726@gmail.com</v>
      </c>
      <c r="B2977" s="19" t="str">
        <f>IFERROR(__xludf.DUMMYFUNCTION("IF(OR(regexmatch(A2977,"".*@simon.es$""),REGEXMATCH(A2977,"".*@simon.pt$""),REGEXMATCH(A2977,"".*@simonelectrica.com$""),REGEXMATCH(A2977,"".*@hiberus.com$""),REGEXMATCH(A2977,"".*@simonbrico.es$""),regexmatch(A2977,"".*@simonelectric.com$"")),""null"",A2"&amp;"977)"),"726@gmail.com")</f>
        <v>726@gmail.com</v>
      </c>
      <c r="C2977" s="5">
        <f>IF(B2977="null","null",Descargas!B2977)</f>
        <v>43915</v>
      </c>
      <c r="D2977" s="6" t="str">
        <f>Descargas!E2977</f>
        <v>https://resources.simonelectric.com/simon-ebook-vehiculo-electrico</v>
      </c>
      <c r="E2977" s="20" t="str">
        <f t="shared" si="1"/>
        <v>726@gmail.com</v>
      </c>
      <c r="F2977" s="21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</row>
    <row r="2978" ht="15.75" customHeight="1">
      <c r="A2978" s="18" t="str">
        <f>Descargas!A2978</f>
        <v>1074@hotmail.com</v>
      </c>
      <c r="B2978" s="19" t="str">
        <f>IFERROR(__xludf.DUMMYFUNCTION("IF(OR(regexmatch(A2978,"".*@simon.es$""),REGEXMATCH(A2978,"".*@simon.pt$""),REGEXMATCH(A2978,"".*@simonelectrica.com$""),REGEXMATCH(A2978,"".*@hiberus.com$""),REGEXMATCH(A2978,"".*@simonbrico.es$""),regexmatch(A2978,"".*@simonelectric.com$"")),""null"",A2"&amp;"978)"),"1074@hotmail.com")</f>
        <v>1074@hotmail.com</v>
      </c>
      <c r="C2978" s="5">
        <f>IF(B2978="null","null",Descargas!B2978)</f>
        <v>43915</v>
      </c>
      <c r="D2978" s="6" t="str">
        <f>Descargas!E2978</f>
        <v>https://resources.simonelectric.com/simon-ebook-vehiculo-electrico</v>
      </c>
      <c r="E2978" s="20" t="str">
        <f t="shared" si="1"/>
        <v>1074@hotmail.com</v>
      </c>
      <c r="F2978" s="21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</row>
    <row r="2979" ht="15.75" customHeight="1">
      <c r="A2979" s="18" t="str">
        <f>Descargas!A2979</f>
        <v>2315@electricidadguerra.com</v>
      </c>
      <c r="B2979" s="19" t="str">
        <f>IFERROR(__xludf.DUMMYFUNCTION("IF(OR(regexmatch(A2979,"".*@simon.es$""),REGEXMATCH(A2979,"".*@simon.pt$""),REGEXMATCH(A2979,"".*@simonelectrica.com$""),REGEXMATCH(A2979,"".*@hiberus.com$""),REGEXMATCH(A2979,"".*@simonbrico.es$""),regexmatch(A2979,"".*@simonelectric.com$"")),""null"",A2"&amp;"979)"),"2315@electricidadguerra.com")</f>
        <v>2315@electricidadguerra.com</v>
      </c>
      <c r="C2979" s="5">
        <f>IF(B2979="null","null",Descargas!B2979)</f>
        <v>43915</v>
      </c>
      <c r="D2979" s="6" t="str">
        <f>Descargas!E2979</f>
        <v>https://resources.simonelectric.com/simon-ebook-vehiculo-electrico</v>
      </c>
      <c r="E2979" s="20" t="str">
        <f t="shared" si="1"/>
        <v>2315@electricidadguerra.com</v>
      </c>
      <c r="F2979" s="21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</row>
    <row r="2980" ht="15.75" customHeight="1">
      <c r="A2980" s="18" t="str">
        <f>Descargas!A2980</f>
        <v>2316@telecable.es</v>
      </c>
      <c r="B2980" s="19" t="str">
        <f>IFERROR(__xludf.DUMMYFUNCTION("IF(OR(regexmatch(A2980,"".*@simon.es$""),REGEXMATCH(A2980,"".*@simon.pt$""),REGEXMATCH(A2980,"".*@simonelectrica.com$""),REGEXMATCH(A2980,"".*@hiberus.com$""),REGEXMATCH(A2980,"".*@simonbrico.es$""),regexmatch(A2980,"".*@simonelectric.com$"")),""null"",A2"&amp;"980)"),"2316@telecable.es")</f>
        <v>2316@telecable.es</v>
      </c>
      <c r="C2980" s="5">
        <f>IF(B2980="null","null",Descargas!B2980)</f>
        <v>43915</v>
      </c>
      <c r="D2980" s="6" t="str">
        <f>Descargas!E2980</f>
        <v>https://resources.simonelectric.com/simon-ebook-vehiculo-electrico-0</v>
      </c>
      <c r="E2980" s="20" t="str">
        <f t="shared" si="1"/>
        <v>2316@telecable.es</v>
      </c>
      <c r="F2980" s="21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</row>
    <row r="2981" ht="15.75" customHeight="1">
      <c r="A2981" s="18" t="str">
        <f>Descargas!A2981</f>
        <v>1554@simon.es</v>
      </c>
      <c r="B2981" s="19" t="str">
        <f>IFERROR(__xludf.DUMMYFUNCTION("IF(OR(regexmatch(A2981,"".*@simon.es$""),REGEXMATCH(A2981,"".*@simon.pt$""),REGEXMATCH(A2981,"".*@simonelectrica.com$""),REGEXMATCH(A2981,"".*@hiberus.com$""),REGEXMATCH(A2981,"".*@simonbrico.es$""),regexmatch(A2981,"".*@simonelectric.com$"")),""null"",A2"&amp;"981)"),"null")</f>
        <v>null</v>
      </c>
      <c r="C2981" s="5" t="str">
        <f>IF(B2981="null","null",Descargas!B2981)</f>
        <v>null</v>
      </c>
      <c r="D2981" s="6" t="str">
        <f>Descargas!E2981</f>
        <v>https://resources.simonelectric.com/simon-ebook-vehiculo-electrico</v>
      </c>
      <c r="E2981" s="24" t="str">
        <f t="shared" si="1"/>
        <v/>
      </c>
      <c r="F2981" s="21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</row>
    <row r="2982" ht="15.75" customHeight="1">
      <c r="A2982" s="18" t="str">
        <f>Descargas!A2982</f>
        <v>2317@eimetropolitana.com</v>
      </c>
      <c r="B2982" s="19" t="str">
        <f>IFERROR(__xludf.DUMMYFUNCTION("IF(OR(regexmatch(A2982,"".*@simon.es$""),REGEXMATCH(A2982,"".*@simon.pt$""),REGEXMATCH(A2982,"".*@simonelectrica.com$""),REGEXMATCH(A2982,"".*@hiberus.com$""),REGEXMATCH(A2982,"".*@simonbrico.es$""),regexmatch(A2982,"".*@simonelectric.com$"")),""null"",A2"&amp;"982)"),"2317@eimetropolitana.com")</f>
        <v>2317@eimetropolitana.com</v>
      </c>
      <c r="C2982" s="5">
        <f>IF(B2982="null","null",Descargas!B2982)</f>
        <v>43915</v>
      </c>
      <c r="D2982" s="6" t="str">
        <f>Descargas!E2982</f>
        <v>https://resources.simonelectric.com/simon-ebook-vehiculo-electrico</v>
      </c>
      <c r="E2982" s="20" t="str">
        <f t="shared" si="1"/>
        <v>2317@eimetropolitana.com</v>
      </c>
      <c r="F2982" s="21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</row>
    <row r="2983" ht="15.75" customHeight="1">
      <c r="A2983" s="18" t="str">
        <f>Descargas!A2983</f>
        <v>2318@grupo-jarama.com</v>
      </c>
      <c r="B2983" s="19" t="str">
        <f>IFERROR(__xludf.DUMMYFUNCTION("IF(OR(regexmatch(A2983,"".*@simon.es$""),REGEXMATCH(A2983,"".*@simon.pt$""),REGEXMATCH(A2983,"".*@simonelectrica.com$""),REGEXMATCH(A2983,"".*@hiberus.com$""),REGEXMATCH(A2983,"".*@simonbrico.es$""),regexmatch(A2983,"".*@simonelectric.com$"")),""null"",A2"&amp;"983)"),"2318@grupo-jarama.com")</f>
        <v>2318@grupo-jarama.com</v>
      </c>
      <c r="C2983" s="5">
        <f>IF(B2983="null","null",Descargas!B2983)</f>
        <v>43915</v>
      </c>
      <c r="D2983" s="6" t="str">
        <f>Descargas!E2983</f>
        <v>https://resources.simonelectric.com/simon-ebook-vehiculo-electrico</v>
      </c>
      <c r="E2983" s="20" t="str">
        <f t="shared" si="1"/>
        <v>2318@grupo-jarama.com</v>
      </c>
      <c r="F2983" s="21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</row>
    <row r="2984" ht="15.75" customHeight="1">
      <c r="A2984" s="18" t="str">
        <f>Descargas!A2984</f>
        <v>2319@gmail.com</v>
      </c>
      <c r="B2984" s="19" t="str">
        <f>IFERROR(__xludf.DUMMYFUNCTION("IF(OR(regexmatch(A2984,"".*@simon.es$""),REGEXMATCH(A2984,"".*@simon.pt$""),REGEXMATCH(A2984,"".*@simonelectrica.com$""),REGEXMATCH(A2984,"".*@hiberus.com$""),REGEXMATCH(A2984,"".*@simonbrico.es$""),regexmatch(A2984,"".*@simonelectric.com$"")),""null"",A2"&amp;"984)"),"2319@gmail.com")</f>
        <v>2319@gmail.com</v>
      </c>
      <c r="C2984" s="5">
        <f>IF(B2984="null","null",Descargas!B2984)</f>
        <v>43915</v>
      </c>
      <c r="D2984" s="6" t="str">
        <f>Descargas!E2984</f>
        <v>https://resources.simonelectric.com/simon-ebook-vehiculo-electrico</v>
      </c>
      <c r="E2984" s="20" t="str">
        <f t="shared" si="1"/>
        <v>2319@gmail.com</v>
      </c>
      <c r="F2984" s="21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</row>
    <row r="2985" ht="15.75" customHeight="1">
      <c r="A2985" s="18" t="str">
        <f>Descargas!A2985</f>
        <v>1395@cenorma.com</v>
      </c>
      <c r="B2985" s="19" t="str">
        <f>IFERROR(__xludf.DUMMYFUNCTION("IF(OR(regexmatch(A2985,"".*@simon.es$""),REGEXMATCH(A2985,"".*@simon.pt$""),REGEXMATCH(A2985,"".*@simonelectrica.com$""),REGEXMATCH(A2985,"".*@hiberus.com$""),REGEXMATCH(A2985,"".*@simonbrico.es$""),regexmatch(A2985,"".*@simonelectric.com$"")),""null"",A2"&amp;"985)"),"1395@cenorma.com")</f>
        <v>1395@cenorma.com</v>
      </c>
      <c r="C2985" s="5">
        <f>IF(B2985="null","null",Descargas!B2985)</f>
        <v>43915</v>
      </c>
      <c r="D2985" s="6" t="str">
        <f>Descargas!E2985</f>
        <v>https://resources.simonelectric.com/simon-ebook-vehiculo-electrico</v>
      </c>
      <c r="E2985" s="20" t="str">
        <f t="shared" si="1"/>
        <v>1395@cenorma.com</v>
      </c>
      <c r="F2985" s="21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</row>
    <row r="2986" ht="15.75" customHeight="1">
      <c r="A2986" s="18" t="str">
        <f>Descargas!A2986</f>
        <v>633@outlook.com</v>
      </c>
      <c r="B2986" s="19" t="str">
        <f>IFERROR(__xludf.DUMMYFUNCTION("IF(OR(regexmatch(A2986,"".*@simon.es$""),REGEXMATCH(A2986,"".*@simon.pt$""),REGEXMATCH(A2986,"".*@simonelectrica.com$""),REGEXMATCH(A2986,"".*@hiberus.com$""),REGEXMATCH(A2986,"".*@simonbrico.es$""),regexmatch(A2986,"".*@simonelectric.com$"")),""null"",A2"&amp;"986)"),"633@outlook.com")</f>
        <v>633@outlook.com</v>
      </c>
      <c r="C2986" s="5">
        <f>IF(B2986="null","null",Descargas!B2986)</f>
        <v>43915</v>
      </c>
      <c r="D2986" s="6" t="str">
        <f>Descargas!E2986</f>
        <v>https://resources.simonelectric.com/simon-ebook-vehiculo-electrico</v>
      </c>
      <c r="E2986" s="20" t="str">
        <f t="shared" si="1"/>
        <v>633@outlook.com</v>
      </c>
      <c r="F2986" s="21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</row>
    <row r="2987" ht="15.75" customHeight="1">
      <c r="A2987" s="18" t="str">
        <f>Descargas!A2987</f>
        <v>2320@electrovizcaya.com</v>
      </c>
      <c r="B2987" s="19" t="str">
        <f>IFERROR(__xludf.DUMMYFUNCTION("IF(OR(regexmatch(A2987,"".*@simon.es$""),REGEXMATCH(A2987,"".*@simon.pt$""),REGEXMATCH(A2987,"".*@simonelectrica.com$""),REGEXMATCH(A2987,"".*@hiberus.com$""),REGEXMATCH(A2987,"".*@simonbrico.es$""),regexmatch(A2987,"".*@simonelectric.com$"")),""null"",A2"&amp;"987)"),"2320@electrovizcaya.com")</f>
        <v>2320@electrovizcaya.com</v>
      </c>
      <c r="C2987" s="5">
        <f>IF(B2987="null","null",Descargas!B2987)</f>
        <v>43915</v>
      </c>
      <c r="D2987" s="6" t="str">
        <f>Descargas!E2987</f>
        <v>https://resources.simonelectric.com/simon-ebook-vehiculo-electrico</v>
      </c>
      <c r="E2987" s="20" t="str">
        <f t="shared" si="1"/>
        <v>2320@electrovizcaya.com</v>
      </c>
      <c r="F2987" s="21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</row>
    <row r="2988" ht="15.75" customHeight="1">
      <c r="A2988" s="18" t="str">
        <f>Descargas!A2988</f>
        <v>2321@coto.pro</v>
      </c>
      <c r="B2988" s="19" t="str">
        <f>IFERROR(__xludf.DUMMYFUNCTION("IF(OR(regexmatch(A2988,"".*@simon.es$""),REGEXMATCH(A2988,"".*@simon.pt$""),REGEXMATCH(A2988,"".*@simonelectrica.com$""),REGEXMATCH(A2988,"".*@hiberus.com$""),REGEXMATCH(A2988,"".*@simonbrico.es$""),regexmatch(A2988,"".*@simonelectric.com$"")),""null"",A2"&amp;"988)"),"2321@coto.pro")</f>
        <v>2321@coto.pro</v>
      </c>
      <c r="C2988" s="5">
        <f>IF(B2988="null","null",Descargas!B2988)</f>
        <v>43915</v>
      </c>
      <c r="D2988" s="6" t="str">
        <f>Descargas!E2988</f>
        <v>https://resources.simonelectric.com/simon-ebook-vehiculo-electrico</v>
      </c>
      <c r="E2988" s="20" t="str">
        <f t="shared" si="1"/>
        <v>2321@coto.pro</v>
      </c>
      <c r="F2988" s="21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</row>
    <row r="2989" ht="15.75" customHeight="1">
      <c r="A2989" s="18" t="str">
        <f>Descargas!A2989</f>
        <v>2321@coto.pro</v>
      </c>
      <c r="B2989" s="19" t="str">
        <f>IFERROR(__xludf.DUMMYFUNCTION("IF(OR(regexmatch(A2989,"".*@simon.es$""),REGEXMATCH(A2989,"".*@simon.pt$""),REGEXMATCH(A2989,"".*@simonelectrica.com$""),REGEXMATCH(A2989,"".*@hiberus.com$""),REGEXMATCH(A2989,"".*@simonbrico.es$""),regexmatch(A2989,"".*@simonelectric.com$"")),""null"",A2"&amp;"989)"),"2321@coto.pro")</f>
        <v>2321@coto.pro</v>
      </c>
      <c r="C2989" s="5">
        <f>IF(B2989="null","null",Descargas!B2989)</f>
        <v>43915</v>
      </c>
      <c r="D2989" s="6" t="str">
        <f>Descargas!E2989</f>
        <v>https://resources.simonelectric.com/simon-catalogo-vehiculo-electrico</v>
      </c>
      <c r="E2989" s="20" t="str">
        <f t="shared" si="1"/>
        <v>2321@coto.pro</v>
      </c>
      <c r="F2989" s="21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</row>
    <row r="2990" ht="15.75" customHeight="1">
      <c r="A2990" s="18" t="str">
        <f>Descargas!A2990</f>
        <v>2322@hotmail.com</v>
      </c>
      <c r="B2990" s="19" t="str">
        <f>IFERROR(__xludf.DUMMYFUNCTION("IF(OR(regexmatch(A2990,"".*@simon.es$""),REGEXMATCH(A2990,"".*@simon.pt$""),REGEXMATCH(A2990,"".*@simonelectrica.com$""),REGEXMATCH(A2990,"".*@hiberus.com$""),REGEXMATCH(A2990,"".*@simonbrico.es$""),regexmatch(A2990,"".*@simonelectric.com$"")),""null"",A2"&amp;"990)"),"2322@hotmail.com")</f>
        <v>2322@hotmail.com</v>
      </c>
      <c r="C2990" s="5">
        <f>IF(B2990="null","null",Descargas!B2990)</f>
        <v>43915</v>
      </c>
      <c r="D2990" s="6" t="str">
        <f>Descargas!E2990</f>
        <v>https://resources.simonelectric.com/simon-ebook-vehiculo-electrico</v>
      </c>
      <c r="E2990" s="20" t="str">
        <f t="shared" si="1"/>
        <v>2322@hotmail.com</v>
      </c>
      <c r="F2990" s="21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</row>
    <row r="2991" ht="15.75" customHeight="1">
      <c r="A2991" s="18" t="str">
        <f>Descargas!A2991</f>
        <v>2323@gmail.com</v>
      </c>
      <c r="B2991" s="19" t="str">
        <f>IFERROR(__xludf.DUMMYFUNCTION("IF(OR(regexmatch(A2991,"".*@simon.es$""),REGEXMATCH(A2991,"".*@simon.pt$""),REGEXMATCH(A2991,"".*@simonelectrica.com$""),REGEXMATCH(A2991,"".*@hiberus.com$""),REGEXMATCH(A2991,"".*@simonbrico.es$""),regexmatch(A2991,"".*@simonelectric.com$"")),""null"",A2"&amp;"991)"),"2323@gmail.com")</f>
        <v>2323@gmail.com</v>
      </c>
      <c r="C2991" s="5">
        <f>IF(B2991="null","null",Descargas!B2991)</f>
        <v>43915</v>
      </c>
      <c r="D2991" s="6" t="str">
        <f>Descargas!E2991</f>
        <v>https://resources.simonelectric.com/simon-ebook-vehiculo-electrico</v>
      </c>
      <c r="E2991" s="20" t="str">
        <f t="shared" si="1"/>
        <v>2323@gmail.com</v>
      </c>
      <c r="F2991" s="21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</row>
    <row r="2992" ht="15.75" customHeight="1">
      <c r="A2992" s="18" t="str">
        <f>Descargas!A2992</f>
        <v>1422@gmail.com</v>
      </c>
      <c r="B2992" s="19" t="str">
        <f>IFERROR(__xludf.DUMMYFUNCTION("IF(OR(regexmatch(A2992,"".*@simon.es$""),REGEXMATCH(A2992,"".*@simon.pt$""),REGEXMATCH(A2992,"".*@simonelectrica.com$""),REGEXMATCH(A2992,"".*@hiberus.com$""),REGEXMATCH(A2992,"".*@simonbrico.es$""),regexmatch(A2992,"".*@simonelectric.com$"")),""null"",A2"&amp;"992)"),"1422@gmail.com")</f>
        <v>1422@gmail.com</v>
      </c>
      <c r="C2992" s="5">
        <f>IF(B2992="null","null",Descargas!B2992)</f>
        <v>43914</v>
      </c>
      <c r="D2992" s="6" t="str">
        <f>Descargas!E2992</f>
        <v>https://resources.simonelectric.com/simon-ebook-vehiculo-electrico</v>
      </c>
      <c r="E2992" s="20" t="str">
        <f t="shared" si="1"/>
        <v>1422@gmail.com</v>
      </c>
      <c r="F2992" s="21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</row>
    <row r="2993" ht="15.75" customHeight="1">
      <c r="A2993" s="18" t="str">
        <f>Descargas!A2993</f>
        <v>2324@gmail.com</v>
      </c>
      <c r="B2993" s="19" t="str">
        <f>IFERROR(__xludf.DUMMYFUNCTION("IF(OR(regexmatch(A2993,"".*@simon.es$""),REGEXMATCH(A2993,"".*@simon.pt$""),REGEXMATCH(A2993,"".*@simonelectrica.com$""),REGEXMATCH(A2993,"".*@hiberus.com$""),REGEXMATCH(A2993,"".*@simonbrico.es$""),regexmatch(A2993,"".*@simonelectric.com$"")),""null"",A2"&amp;"993)"),"2324@gmail.com")</f>
        <v>2324@gmail.com</v>
      </c>
      <c r="C2993" s="5">
        <f>IF(B2993="null","null",Descargas!B2993)</f>
        <v>43914</v>
      </c>
      <c r="D2993" s="6" t="str">
        <f>Descargas!E2993</f>
        <v>https://resources.simonelectric.com/simon-ebook-vehiculo-electrico</v>
      </c>
      <c r="E2993" s="20" t="str">
        <f t="shared" si="1"/>
        <v>2324@gmail.com</v>
      </c>
      <c r="F2993" s="21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</row>
    <row r="2994" ht="15.75" customHeight="1">
      <c r="A2994" s="18" t="str">
        <f>Descargas!A2994</f>
        <v>2325@ingenierosvalladolid.es</v>
      </c>
      <c r="B2994" s="19" t="str">
        <f>IFERROR(__xludf.DUMMYFUNCTION("IF(OR(regexmatch(A2994,"".*@simon.es$""),REGEXMATCH(A2994,"".*@simon.pt$""),REGEXMATCH(A2994,"".*@simonelectrica.com$""),REGEXMATCH(A2994,"".*@hiberus.com$""),REGEXMATCH(A2994,"".*@simonbrico.es$""),regexmatch(A2994,"".*@simonelectric.com$"")),""null"",A2"&amp;"994)"),"2325@ingenierosvalladolid.es")</f>
        <v>2325@ingenierosvalladolid.es</v>
      </c>
      <c r="C2994" s="5">
        <f>IF(B2994="null","null",Descargas!B2994)</f>
        <v>43914</v>
      </c>
      <c r="D2994" s="6" t="str">
        <f>Descargas!E2994</f>
        <v>https://resources.simonelectric.com/simon-ebook-vehiculo-electrico</v>
      </c>
      <c r="E2994" s="20" t="str">
        <f t="shared" si="1"/>
        <v>2325@ingenierosvalladolid.es</v>
      </c>
      <c r="F2994" s="21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</row>
    <row r="2995" ht="15.75" customHeight="1">
      <c r="A2995" s="18" t="str">
        <f>Descargas!A2995</f>
        <v>2326@gmail.com</v>
      </c>
      <c r="B2995" s="19" t="str">
        <f>IFERROR(__xludf.DUMMYFUNCTION("IF(OR(regexmatch(A2995,"".*@simon.es$""),REGEXMATCH(A2995,"".*@simon.pt$""),REGEXMATCH(A2995,"".*@simonelectrica.com$""),REGEXMATCH(A2995,"".*@hiberus.com$""),REGEXMATCH(A2995,"".*@simonbrico.es$""),regexmatch(A2995,"".*@simonelectric.com$"")),""null"",A2"&amp;"995)"),"2326@gmail.com")</f>
        <v>2326@gmail.com</v>
      </c>
      <c r="C2995" s="5">
        <f>IF(B2995="null","null",Descargas!B2995)</f>
        <v>43914</v>
      </c>
      <c r="D2995" s="6" t="str">
        <f>Descargas!E2995</f>
        <v>https://resources.simonelectric.com/simon-ebook-vehiculo-electrico</v>
      </c>
      <c r="E2995" s="20" t="str">
        <f t="shared" si="1"/>
        <v>2326@gmail.com</v>
      </c>
      <c r="F2995" s="21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</row>
    <row r="2996" ht="15.75" customHeight="1">
      <c r="A2996" s="18" t="str">
        <f>Descargas!A2996</f>
        <v>1414@gmail.com</v>
      </c>
      <c r="B2996" s="19" t="str">
        <f>IFERROR(__xludf.DUMMYFUNCTION("IF(OR(regexmatch(A2996,"".*@simon.es$""),REGEXMATCH(A2996,"".*@simon.pt$""),REGEXMATCH(A2996,"".*@simonelectrica.com$""),REGEXMATCH(A2996,"".*@hiberus.com$""),REGEXMATCH(A2996,"".*@simonbrico.es$""),regexmatch(A2996,"".*@simonelectric.com$"")),""null"",A2"&amp;"996)"),"1414@gmail.com")</f>
        <v>1414@gmail.com</v>
      </c>
      <c r="C2996" s="5">
        <f>IF(B2996="null","null",Descargas!B2996)</f>
        <v>43914</v>
      </c>
      <c r="D2996" s="6" t="str">
        <f>Descargas!E2996</f>
        <v>https://resources.simonelectric.com/simon-ebook-vehiculo-electrico</v>
      </c>
      <c r="E2996" s="20" t="str">
        <f t="shared" si="1"/>
        <v>1414@gmail.com</v>
      </c>
      <c r="F2996" s="21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</row>
    <row r="2997" ht="15.75" customHeight="1">
      <c r="A2997" s="18" t="str">
        <f>Descargas!A2997</f>
        <v>885@gmail.com</v>
      </c>
      <c r="B2997" s="19" t="str">
        <f>IFERROR(__xludf.DUMMYFUNCTION("IF(OR(regexmatch(A2997,"".*@simon.es$""),REGEXMATCH(A2997,"".*@simon.pt$""),REGEXMATCH(A2997,"".*@simonelectrica.com$""),REGEXMATCH(A2997,"".*@hiberus.com$""),REGEXMATCH(A2997,"".*@simonbrico.es$""),regexmatch(A2997,"".*@simonelectric.com$"")),""null"",A2"&amp;"997)"),"885@gmail.com")</f>
        <v>885@gmail.com</v>
      </c>
      <c r="C2997" s="5">
        <f>IF(B2997="null","null",Descargas!B2997)</f>
        <v>43914</v>
      </c>
      <c r="D2997" s="6" t="str">
        <f>Descargas!E2997</f>
        <v>https://resources.simonelectric.com/simon-ebook-vehiculo-electrico</v>
      </c>
      <c r="E2997" s="20" t="str">
        <f t="shared" si="1"/>
        <v>885@gmail.com</v>
      </c>
      <c r="F2997" s="21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</row>
    <row r="2998" ht="15.75" customHeight="1">
      <c r="A2998" s="18" t="str">
        <f>Descargas!A2998</f>
        <v>2327@gmail.com</v>
      </c>
      <c r="B2998" s="19" t="str">
        <f>IFERROR(__xludf.DUMMYFUNCTION("IF(OR(regexmatch(A2998,"".*@simon.es$""),REGEXMATCH(A2998,"".*@simon.pt$""),REGEXMATCH(A2998,"".*@simonelectrica.com$""),REGEXMATCH(A2998,"".*@hiberus.com$""),REGEXMATCH(A2998,"".*@simonbrico.es$""),regexmatch(A2998,"".*@simonelectric.com$"")),""null"",A2"&amp;"998)"),"2327@gmail.com")</f>
        <v>2327@gmail.com</v>
      </c>
      <c r="C2998" s="5">
        <f>IF(B2998="null","null",Descargas!B2998)</f>
        <v>43914</v>
      </c>
      <c r="D2998" s="6" t="str">
        <f>Descargas!E2998</f>
        <v>https://resources.simonelectric.com/simon-catalogo-vehiculo-electrico</v>
      </c>
      <c r="E2998" s="20" t="str">
        <f t="shared" si="1"/>
        <v>2327@gmail.com</v>
      </c>
      <c r="F2998" s="21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</row>
    <row r="2999" ht="15.75" customHeight="1">
      <c r="A2999" s="18" t="str">
        <f>Descargas!A2999</f>
        <v>2327@gmail.com</v>
      </c>
      <c r="B2999" s="19" t="str">
        <f>IFERROR(__xludf.DUMMYFUNCTION("IF(OR(regexmatch(A2999,"".*@simon.es$""),REGEXMATCH(A2999,"".*@simon.pt$""),REGEXMATCH(A2999,"".*@simonelectrica.com$""),REGEXMATCH(A2999,"".*@hiberus.com$""),REGEXMATCH(A2999,"".*@simonbrico.es$""),regexmatch(A2999,"".*@simonelectric.com$"")),""null"",A2"&amp;"999)"),"2327@gmail.com")</f>
        <v>2327@gmail.com</v>
      </c>
      <c r="C2999" s="5">
        <f>IF(B2999="null","null",Descargas!B2999)</f>
        <v>43914</v>
      </c>
      <c r="D2999" s="6" t="str">
        <f>Descargas!E2999</f>
        <v>https://resources.simonelectric.com/simon-ebook-vehiculo-electrico</v>
      </c>
      <c r="E2999" s="20" t="str">
        <f t="shared" si="1"/>
        <v>2327@gmail.com</v>
      </c>
      <c r="F2999" s="21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</row>
    <row r="3000" ht="15.75" customHeight="1">
      <c r="A3000" s="18" t="str">
        <f>Descargas!A3000</f>
        <v>2328@gmail.com</v>
      </c>
      <c r="B3000" s="19" t="str">
        <f>IFERROR(__xludf.DUMMYFUNCTION("IF(OR(regexmatch(A3000,"".*@simon.es$""),REGEXMATCH(A3000,"".*@simon.pt$""),REGEXMATCH(A3000,"".*@simonelectrica.com$""),REGEXMATCH(A3000,"".*@hiberus.com$""),REGEXMATCH(A3000,"".*@simonbrico.es$""),regexmatch(A3000,"".*@simonelectric.com$"")),""null"",A3"&amp;"000)"),"2328@gmail.com")</f>
        <v>2328@gmail.com</v>
      </c>
      <c r="C3000" s="5">
        <f>IF(B3000="null","null",Descargas!B3000)</f>
        <v>43914</v>
      </c>
      <c r="D3000" s="6" t="str">
        <f>Descargas!E3000</f>
        <v>https://resources.simonelectric.com/simon-ebook-vehiculo-electrico</v>
      </c>
      <c r="E3000" s="20" t="str">
        <f t="shared" si="1"/>
        <v>2328@gmail.com</v>
      </c>
      <c r="F3000" s="21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</row>
    <row r="3001" ht="15.75" customHeight="1">
      <c r="A3001" s="18" t="str">
        <f>Descargas!A3001</f>
        <v>623@gmail.com</v>
      </c>
      <c r="B3001" s="19" t="str">
        <f>IFERROR(__xludf.DUMMYFUNCTION("IF(OR(regexmatch(A3001,"".*@simon.es$""),REGEXMATCH(A3001,"".*@simon.pt$""),REGEXMATCH(A3001,"".*@simonelectrica.com$""),REGEXMATCH(A3001,"".*@hiberus.com$""),REGEXMATCH(A3001,"".*@simonbrico.es$""),regexmatch(A3001,"".*@simonelectric.com$"")),""null"",A3"&amp;"001)"),"623@gmail.com")</f>
        <v>623@gmail.com</v>
      </c>
      <c r="C3001" s="5">
        <f>IF(B3001="null","null",Descargas!B3001)</f>
        <v>43914</v>
      </c>
      <c r="D3001" s="6" t="str">
        <f>Descargas!E3001</f>
        <v>https://resources.simonelectric.com/simon-ebook-vehiculo-electrico</v>
      </c>
      <c r="E3001" s="20" t="str">
        <f t="shared" si="1"/>
        <v>623@gmail.com</v>
      </c>
      <c r="F3001" s="21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</row>
    <row r="3002" ht="15.75" customHeight="1">
      <c r="A3002" s="18" t="str">
        <f>Descargas!A3002</f>
        <v>2329@hotmail.com</v>
      </c>
      <c r="B3002" s="19" t="str">
        <f>IFERROR(__xludf.DUMMYFUNCTION("IF(OR(regexmatch(A3002,"".*@simon.es$""),REGEXMATCH(A3002,"".*@simon.pt$""),REGEXMATCH(A3002,"".*@simonelectrica.com$""),REGEXMATCH(A3002,"".*@hiberus.com$""),REGEXMATCH(A3002,"".*@simonbrico.es$""),regexmatch(A3002,"".*@simonelectric.com$"")),""null"",A3"&amp;"002)"),"2329@hotmail.com")</f>
        <v>2329@hotmail.com</v>
      </c>
      <c r="C3002" s="5">
        <f>IF(B3002="null","null",Descargas!B3002)</f>
        <v>43914</v>
      </c>
      <c r="D3002" s="6" t="str">
        <f>Descargas!E3002</f>
        <v>https://resources.simonelectric.com/simon-ebook-vehiculo-electrico</v>
      </c>
      <c r="E3002" s="20" t="str">
        <f t="shared" si="1"/>
        <v>2329@hotmail.com</v>
      </c>
      <c r="F3002" s="21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</row>
    <row r="3003" ht="15.75" customHeight="1">
      <c r="A3003" s="18" t="str">
        <f>Descargas!A3003</f>
        <v>2330@gmail.com</v>
      </c>
      <c r="B3003" s="19" t="str">
        <f>IFERROR(__xludf.DUMMYFUNCTION("IF(OR(regexmatch(A3003,"".*@simon.es$""),REGEXMATCH(A3003,"".*@simon.pt$""),REGEXMATCH(A3003,"".*@simonelectrica.com$""),REGEXMATCH(A3003,"".*@hiberus.com$""),REGEXMATCH(A3003,"".*@simonbrico.es$""),regexmatch(A3003,"".*@simonelectric.com$"")),""null"",A3"&amp;"003)"),"2330@gmail.com")</f>
        <v>2330@gmail.com</v>
      </c>
      <c r="C3003" s="5">
        <f>IF(B3003="null","null",Descargas!B3003)</f>
        <v>43914</v>
      </c>
      <c r="D3003" s="6" t="str">
        <f>Descargas!E3003</f>
        <v>https://resources.simonelectric.com/simon-ebook-vehiculo-electrico</v>
      </c>
      <c r="E3003" s="20" t="str">
        <f t="shared" si="1"/>
        <v>2330@gmail.com</v>
      </c>
      <c r="F3003" s="21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</row>
    <row r="3004" ht="15.75" customHeight="1">
      <c r="A3004" s="18" t="str">
        <f>Descargas!A3004</f>
        <v>2331@gmail.com</v>
      </c>
      <c r="B3004" s="19" t="str">
        <f>IFERROR(__xludf.DUMMYFUNCTION("IF(OR(regexmatch(A3004,"".*@simon.es$""),REGEXMATCH(A3004,"".*@simon.pt$""),REGEXMATCH(A3004,"".*@simonelectrica.com$""),REGEXMATCH(A3004,"".*@hiberus.com$""),REGEXMATCH(A3004,"".*@simonbrico.es$""),regexmatch(A3004,"".*@simonelectric.com$"")),""null"",A3"&amp;"004)"),"2331@gmail.com")</f>
        <v>2331@gmail.com</v>
      </c>
      <c r="C3004" s="5">
        <f>IF(B3004="null","null",Descargas!B3004)</f>
        <v>43914</v>
      </c>
      <c r="D3004" s="6" t="str">
        <f>Descargas!E3004</f>
        <v>https://resources.simonelectric.com/simon-ebook-vehiculo-electrico</v>
      </c>
      <c r="E3004" s="20" t="str">
        <f t="shared" si="1"/>
        <v>2331@gmail.com</v>
      </c>
      <c r="F3004" s="21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</row>
    <row r="3005" ht="15.75" customHeight="1">
      <c r="A3005" s="18" t="str">
        <f>Descargas!A3005</f>
        <v>1392@msn.com</v>
      </c>
      <c r="B3005" s="19" t="str">
        <f>IFERROR(__xludf.DUMMYFUNCTION("IF(OR(regexmatch(A3005,"".*@simon.es$""),REGEXMATCH(A3005,"".*@simon.pt$""),REGEXMATCH(A3005,"".*@simonelectrica.com$""),REGEXMATCH(A3005,"".*@hiberus.com$""),REGEXMATCH(A3005,"".*@simonbrico.es$""),regexmatch(A3005,"".*@simonelectric.com$"")),""null"",A3"&amp;"005)"),"1392@msn.com")</f>
        <v>1392@msn.com</v>
      </c>
      <c r="C3005" s="5">
        <f>IF(B3005="null","null",Descargas!B3005)</f>
        <v>43914</v>
      </c>
      <c r="D3005" s="6" t="str">
        <f>Descargas!E3005</f>
        <v>https://resources.simonelectric.com/simon-ebook-vehiculo-electrico</v>
      </c>
      <c r="E3005" s="20" t="str">
        <f t="shared" si="1"/>
        <v>1392@msn.com</v>
      </c>
      <c r="F3005" s="21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</row>
    <row r="3006" ht="15.75" customHeight="1">
      <c r="A3006" s="18" t="str">
        <f>Descargas!A3006</f>
        <v>1720@yahoo.es</v>
      </c>
      <c r="B3006" s="19" t="str">
        <f>IFERROR(__xludf.DUMMYFUNCTION("IF(OR(regexmatch(A3006,"".*@simon.es$""),REGEXMATCH(A3006,"".*@simon.pt$""),REGEXMATCH(A3006,"".*@simonelectrica.com$""),REGEXMATCH(A3006,"".*@hiberus.com$""),REGEXMATCH(A3006,"".*@simonbrico.es$""),regexmatch(A3006,"".*@simonelectric.com$"")),""null"",A3"&amp;"006)"),"1720@yahoo.es")</f>
        <v>1720@yahoo.es</v>
      </c>
      <c r="C3006" s="5">
        <f>IF(B3006="null","null",Descargas!B3006)</f>
        <v>43914</v>
      </c>
      <c r="D3006" s="6" t="str">
        <f>Descargas!E3006</f>
        <v>https://resources.simonelectric.com/simon-ebook-vehiculo-electrico</v>
      </c>
      <c r="E3006" s="20" t="str">
        <f t="shared" si="1"/>
        <v>1720@yahoo.es</v>
      </c>
      <c r="F3006" s="21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</row>
    <row r="3007" ht="15.75" customHeight="1">
      <c r="A3007" s="18" t="str">
        <f>Descargas!A3007</f>
        <v>2332@gmail.com</v>
      </c>
      <c r="B3007" s="19" t="str">
        <f>IFERROR(__xludf.DUMMYFUNCTION("IF(OR(regexmatch(A3007,"".*@simon.es$""),REGEXMATCH(A3007,"".*@simon.pt$""),REGEXMATCH(A3007,"".*@simonelectrica.com$""),REGEXMATCH(A3007,"".*@hiberus.com$""),REGEXMATCH(A3007,"".*@simonbrico.es$""),regexmatch(A3007,"".*@simonelectric.com$"")),""null"",A3"&amp;"007)"),"2332@gmail.com")</f>
        <v>2332@gmail.com</v>
      </c>
      <c r="C3007" s="5">
        <f>IF(B3007="null","null",Descargas!B3007)</f>
        <v>43914</v>
      </c>
      <c r="D3007" s="6" t="str">
        <f>Descargas!E3007</f>
        <v>https://resources.simonelectric.com/simon-ebook-vehiculo-electrico</v>
      </c>
      <c r="E3007" s="20" t="str">
        <f t="shared" si="1"/>
        <v>2332@gmail.com</v>
      </c>
      <c r="F3007" s="21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</row>
    <row r="3008" ht="15.75" customHeight="1">
      <c r="A3008" s="18" t="str">
        <f>Descargas!A3008</f>
        <v>2333@gmail.com</v>
      </c>
      <c r="B3008" s="19" t="str">
        <f>IFERROR(__xludf.DUMMYFUNCTION("IF(OR(regexmatch(A3008,"".*@simon.es$""),REGEXMATCH(A3008,"".*@simon.pt$""),REGEXMATCH(A3008,"".*@simonelectrica.com$""),REGEXMATCH(A3008,"".*@hiberus.com$""),REGEXMATCH(A3008,"".*@simonbrico.es$""),regexmatch(A3008,"".*@simonelectric.com$"")),""null"",A3"&amp;"008)"),"2333@gmail.com")</f>
        <v>2333@gmail.com</v>
      </c>
      <c r="C3008" s="5">
        <f>IF(B3008="null","null",Descargas!B3008)</f>
        <v>43914</v>
      </c>
      <c r="D3008" s="6" t="str">
        <f>Descargas!E3008</f>
        <v>https://resources.simonelectric.com/simon-ebook-vehiculo-electrico</v>
      </c>
      <c r="E3008" s="20" t="str">
        <f t="shared" si="1"/>
        <v>2333@gmail.com</v>
      </c>
      <c r="F3008" s="21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</row>
    <row r="3009" ht="15.75" customHeight="1">
      <c r="A3009" s="18" t="str">
        <f>Descargas!A3009</f>
        <v>2334@grupoelectrostocks.com</v>
      </c>
      <c r="B3009" s="19" t="str">
        <f>IFERROR(__xludf.DUMMYFUNCTION("IF(OR(regexmatch(A3009,"".*@simon.es$""),REGEXMATCH(A3009,"".*@simon.pt$""),REGEXMATCH(A3009,"".*@simonelectrica.com$""),REGEXMATCH(A3009,"".*@hiberus.com$""),REGEXMATCH(A3009,"".*@simonbrico.es$""),regexmatch(A3009,"".*@simonelectric.com$"")),""null"",A3"&amp;"009)"),"2334@grupoelectrostocks.com")</f>
        <v>2334@grupoelectrostocks.com</v>
      </c>
      <c r="C3009" s="5">
        <f>IF(B3009="null","null",Descargas!B3009)</f>
        <v>43914</v>
      </c>
      <c r="D3009" s="6" t="str">
        <f>Descargas!E3009</f>
        <v>https://resources.simonelectric.com/simon-ebook-vehiculo-electrico</v>
      </c>
      <c r="E3009" s="20" t="str">
        <f t="shared" si="1"/>
        <v>2334@grupoelectrostocks.com</v>
      </c>
      <c r="F3009" s="21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</row>
    <row r="3010" ht="15.75" customHeight="1">
      <c r="A3010" s="18" t="str">
        <f>Descargas!A3010</f>
        <v>1694@gmail.com</v>
      </c>
      <c r="B3010" s="19" t="str">
        <f>IFERROR(__xludf.DUMMYFUNCTION("IF(OR(regexmatch(A3010,"".*@simon.es$""),REGEXMATCH(A3010,"".*@simon.pt$""),REGEXMATCH(A3010,"".*@simonelectrica.com$""),REGEXMATCH(A3010,"".*@hiberus.com$""),REGEXMATCH(A3010,"".*@simonbrico.es$""),regexmatch(A3010,"".*@simonelectric.com$"")),""null"",A3"&amp;"010)"),"1694@gmail.com")</f>
        <v>1694@gmail.com</v>
      </c>
      <c r="C3010" s="5">
        <f>IF(B3010="null","null",Descargas!B3010)</f>
        <v>43914</v>
      </c>
      <c r="D3010" s="6" t="str">
        <f>Descargas!E3010</f>
        <v>https://resources.simonelectric.com/simon-ebook-vehiculo-electrico</v>
      </c>
      <c r="E3010" s="20" t="str">
        <f t="shared" si="1"/>
        <v>1694@gmail.com</v>
      </c>
      <c r="F3010" s="21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</row>
    <row r="3011" ht="15.75" customHeight="1">
      <c r="A3011" s="18" t="str">
        <f>Descargas!A3011</f>
        <v>2335@gmail.com</v>
      </c>
      <c r="B3011" s="19" t="str">
        <f>IFERROR(__xludf.DUMMYFUNCTION("IF(OR(regexmatch(A3011,"".*@simon.es$""),REGEXMATCH(A3011,"".*@simon.pt$""),REGEXMATCH(A3011,"".*@simonelectrica.com$""),REGEXMATCH(A3011,"".*@hiberus.com$""),REGEXMATCH(A3011,"".*@simonbrico.es$""),regexmatch(A3011,"".*@simonelectric.com$"")),""null"",A3"&amp;"011)"),"2335@gmail.com")</f>
        <v>2335@gmail.com</v>
      </c>
      <c r="C3011" s="5">
        <f>IF(B3011="null","null",Descargas!B3011)</f>
        <v>43914</v>
      </c>
      <c r="D3011" s="6" t="str">
        <f>Descargas!E3011</f>
        <v>https://resources.simonelectric.com/simon-ebook-vehiculo-electrico</v>
      </c>
      <c r="E3011" s="20" t="str">
        <f t="shared" si="1"/>
        <v>2335@gmail.com</v>
      </c>
      <c r="F3011" s="21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</row>
    <row r="3012" ht="15.75" customHeight="1">
      <c r="A3012" s="18" t="str">
        <f>Descargas!A3012</f>
        <v>2336@gmail.com</v>
      </c>
      <c r="B3012" s="19" t="str">
        <f>IFERROR(__xludf.DUMMYFUNCTION("IF(OR(regexmatch(A3012,"".*@simon.es$""),REGEXMATCH(A3012,"".*@simon.pt$""),REGEXMATCH(A3012,"".*@simonelectrica.com$""),REGEXMATCH(A3012,"".*@hiberus.com$""),REGEXMATCH(A3012,"".*@simonbrico.es$""),regexmatch(A3012,"".*@simonelectric.com$"")),""null"",A3"&amp;"012)"),"2336@gmail.com")</f>
        <v>2336@gmail.com</v>
      </c>
      <c r="C3012" s="5">
        <f>IF(B3012="null","null",Descargas!B3012)</f>
        <v>43914</v>
      </c>
      <c r="D3012" s="6" t="str">
        <f>Descargas!E3012</f>
        <v>https://resources.simonelectric.com/simon-ebook-vehiculo-electrico</v>
      </c>
      <c r="E3012" s="20" t="str">
        <f t="shared" si="1"/>
        <v>2336@gmail.com</v>
      </c>
      <c r="F3012" s="21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</row>
    <row r="3013" ht="15.75" customHeight="1">
      <c r="A3013" s="18" t="str">
        <f>Descargas!A3013</f>
        <v>2337@msn.com</v>
      </c>
      <c r="B3013" s="19" t="str">
        <f>IFERROR(__xludf.DUMMYFUNCTION("IF(OR(regexmatch(A3013,"".*@simon.es$""),REGEXMATCH(A3013,"".*@simon.pt$""),REGEXMATCH(A3013,"".*@simonelectrica.com$""),REGEXMATCH(A3013,"".*@hiberus.com$""),REGEXMATCH(A3013,"".*@simonbrico.es$""),regexmatch(A3013,"".*@simonelectric.com$"")),""null"",A3"&amp;"013)"),"2337@msn.com")</f>
        <v>2337@msn.com</v>
      </c>
      <c r="C3013" s="5">
        <f>IF(B3013="null","null",Descargas!B3013)</f>
        <v>43914</v>
      </c>
      <c r="D3013" s="6" t="str">
        <f>Descargas!E3013</f>
        <v>https://resources.simonelectric.com/simon-ebook-vehiculo-electrico</v>
      </c>
      <c r="E3013" s="20" t="str">
        <f t="shared" si="1"/>
        <v>2337@msn.com</v>
      </c>
      <c r="F3013" s="21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</row>
    <row r="3014" ht="15.75" customHeight="1">
      <c r="A3014" s="18" t="str">
        <f>Descargas!A3014</f>
        <v>2338@gmail.com</v>
      </c>
      <c r="B3014" s="19" t="str">
        <f>IFERROR(__xludf.DUMMYFUNCTION("IF(OR(regexmatch(A3014,"".*@simon.es$""),REGEXMATCH(A3014,"".*@simon.pt$""),REGEXMATCH(A3014,"".*@simonelectrica.com$""),REGEXMATCH(A3014,"".*@hiberus.com$""),REGEXMATCH(A3014,"".*@simonbrico.es$""),regexmatch(A3014,"".*@simonelectric.com$"")),""null"",A3"&amp;"014)"),"2338@gmail.com")</f>
        <v>2338@gmail.com</v>
      </c>
      <c r="C3014" s="5">
        <f>IF(B3014="null","null",Descargas!B3014)</f>
        <v>43914</v>
      </c>
      <c r="D3014" s="6" t="str">
        <f>Descargas!E3014</f>
        <v>https://resources.simonelectric.com/simon-ebook-vehiculo-electrico</v>
      </c>
      <c r="E3014" s="20" t="str">
        <f t="shared" si="1"/>
        <v>2338@gmail.com</v>
      </c>
      <c r="F3014" s="21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</row>
    <row r="3015" ht="15.75" customHeight="1">
      <c r="A3015" s="18" t="str">
        <f>Descargas!A3015</f>
        <v>2339@monlau.com</v>
      </c>
      <c r="B3015" s="19" t="str">
        <f>IFERROR(__xludf.DUMMYFUNCTION("IF(OR(regexmatch(A3015,"".*@simon.es$""),REGEXMATCH(A3015,"".*@simon.pt$""),REGEXMATCH(A3015,"".*@simonelectrica.com$""),REGEXMATCH(A3015,"".*@hiberus.com$""),REGEXMATCH(A3015,"".*@simonbrico.es$""),regexmatch(A3015,"".*@simonelectric.com$"")),""null"",A3"&amp;"015)"),"2339@monlau.com")</f>
        <v>2339@monlau.com</v>
      </c>
      <c r="C3015" s="5">
        <f>IF(B3015="null","null",Descargas!B3015)</f>
        <v>43914</v>
      </c>
      <c r="D3015" s="6" t="str">
        <f>Descargas!E3015</f>
        <v>https://resources.simonelectric.com/simon-ebook-vehiculo-electrico</v>
      </c>
      <c r="E3015" s="20" t="str">
        <f t="shared" si="1"/>
        <v>2339@monlau.com</v>
      </c>
      <c r="F3015" s="21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</row>
    <row r="3016" ht="15.75" customHeight="1">
      <c r="A3016" s="18" t="str">
        <f>Descargas!A3016</f>
        <v>2340@yahoo.es</v>
      </c>
      <c r="B3016" s="19" t="str">
        <f>IFERROR(__xludf.DUMMYFUNCTION("IF(OR(regexmatch(A3016,"".*@simon.es$""),REGEXMATCH(A3016,"".*@simon.pt$""),REGEXMATCH(A3016,"".*@simonelectrica.com$""),REGEXMATCH(A3016,"".*@hiberus.com$""),REGEXMATCH(A3016,"".*@simonbrico.es$""),regexmatch(A3016,"".*@simonelectric.com$"")),""null"",A3"&amp;"016)"),"2340@yahoo.es")</f>
        <v>2340@yahoo.es</v>
      </c>
      <c r="C3016" s="5">
        <f>IF(B3016="null","null",Descargas!B3016)</f>
        <v>43914</v>
      </c>
      <c r="D3016" s="6" t="str">
        <f>Descargas!E3016</f>
        <v>https://resources.simonelectric.com/simon-ebook-vehiculo-electrico</v>
      </c>
      <c r="E3016" s="20" t="str">
        <f t="shared" si="1"/>
        <v>2340@yahoo.es</v>
      </c>
      <c r="F3016" s="21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</row>
    <row r="3017" ht="15.75" customHeight="1">
      <c r="A3017" s="18" t="str">
        <f>Descargas!A3017</f>
        <v>1831@monlau.com</v>
      </c>
      <c r="B3017" s="19" t="str">
        <f>IFERROR(__xludf.DUMMYFUNCTION("IF(OR(regexmatch(A3017,"".*@simon.es$""),REGEXMATCH(A3017,"".*@simon.pt$""),REGEXMATCH(A3017,"".*@simonelectrica.com$""),REGEXMATCH(A3017,"".*@hiberus.com$""),REGEXMATCH(A3017,"".*@simonbrico.es$""),regexmatch(A3017,"".*@simonelectric.com$"")),""null"",A3"&amp;"017)"),"1831@monlau.com")</f>
        <v>1831@monlau.com</v>
      </c>
      <c r="C3017" s="5">
        <f>IF(B3017="null","null",Descargas!B3017)</f>
        <v>43914</v>
      </c>
      <c r="D3017" s="6" t="str">
        <f>Descargas!E3017</f>
        <v>https://resources.simonelectric.com/simon-ebook-vehiculo-electrico</v>
      </c>
      <c r="E3017" s="20" t="str">
        <f t="shared" si="1"/>
        <v>1831@monlau.com</v>
      </c>
      <c r="F3017" s="21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</row>
    <row r="3018" ht="15.75" customHeight="1">
      <c r="A3018" s="18" t="str">
        <f>Descargas!A3018</f>
        <v>2341@hotmail.com</v>
      </c>
      <c r="B3018" s="19" t="str">
        <f>IFERROR(__xludf.DUMMYFUNCTION("IF(OR(regexmatch(A3018,"".*@simon.es$""),REGEXMATCH(A3018,"".*@simon.pt$""),REGEXMATCH(A3018,"".*@simonelectrica.com$""),REGEXMATCH(A3018,"".*@hiberus.com$""),REGEXMATCH(A3018,"".*@simonbrico.es$""),regexmatch(A3018,"".*@simonelectric.com$"")),""null"",A3"&amp;"018)"),"2341@hotmail.com")</f>
        <v>2341@hotmail.com</v>
      </c>
      <c r="C3018" s="5">
        <f>IF(B3018="null","null",Descargas!B3018)</f>
        <v>43914</v>
      </c>
      <c r="D3018" s="6" t="str">
        <f>Descargas!E3018</f>
        <v>https://resources.simonelectric.com/simon-ebook-vehiculo-electrico</v>
      </c>
      <c r="E3018" s="20" t="str">
        <f t="shared" si="1"/>
        <v>2341@hotmail.com</v>
      </c>
      <c r="F3018" s="21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</row>
    <row r="3019" ht="15.75" customHeight="1">
      <c r="A3019" s="18" t="str">
        <f>Descargas!A3019</f>
        <v>1569@ecag.es</v>
      </c>
      <c r="B3019" s="19" t="str">
        <f>IFERROR(__xludf.DUMMYFUNCTION("IF(OR(regexmatch(A3019,"".*@simon.es$""),REGEXMATCH(A3019,"".*@simon.pt$""),REGEXMATCH(A3019,"".*@simonelectrica.com$""),REGEXMATCH(A3019,"".*@hiberus.com$""),REGEXMATCH(A3019,"".*@simonbrico.es$""),regexmatch(A3019,"".*@simonelectric.com$"")),""null"",A3"&amp;"019)"),"1569@ecag.es")</f>
        <v>1569@ecag.es</v>
      </c>
      <c r="C3019" s="5">
        <f>IF(B3019="null","null",Descargas!B3019)</f>
        <v>43914</v>
      </c>
      <c r="D3019" s="6" t="str">
        <f>Descargas!E3019</f>
        <v>https://resources.simonelectric.com/simon-ebook-vehiculo-electrico</v>
      </c>
      <c r="E3019" s="20" t="str">
        <f t="shared" si="1"/>
        <v>1569@ecag.es</v>
      </c>
      <c r="F3019" s="21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</row>
    <row r="3020" ht="15.75" customHeight="1">
      <c r="A3020" s="18" t="str">
        <f>Descargas!A3020</f>
        <v>2342@inescoconstructora.es</v>
      </c>
      <c r="B3020" s="19" t="str">
        <f>IFERROR(__xludf.DUMMYFUNCTION("IF(OR(regexmatch(A3020,"".*@simon.es$""),REGEXMATCH(A3020,"".*@simon.pt$""),REGEXMATCH(A3020,"".*@simonelectrica.com$""),REGEXMATCH(A3020,"".*@hiberus.com$""),REGEXMATCH(A3020,"".*@simonbrico.es$""),regexmatch(A3020,"".*@simonelectric.com$"")),""null"",A3"&amp;"020)"),"2342@inescoconstructora.es")</f>
        <v>2342@inescoconstructora.es</v>
      </c>
      <c r="C3020" s="5">
        <f>IF(B3020="null","null",Descargas!B3020)</f>
        <v>43914</v>
      </c>
      <c r="D3020" s="6" t="str">
        <f>Descargas!E3020</f>
        <v>https://resources.simonelectric.com/simon-ebook-vehiculo-electrico</v>
      </c>
      <c r="E3020" s="20" t="str">
        <f t="shared" si="1"/>
        <v>2342@inescoconstructora.es</v>
      </c>
      <c r="F3020" s="21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</row>
    <row r="3021" ht="15.75" customHeight="1">
      <c r="A3021" s="18" t="str">
        <f>Descargas!A3021</f>
        <v>2343@gmail.com</v>
      </c>
      <c r="B3021" s="19" t="str">
        <f>IFERROR(__xludf.DUMMYFUNCTION("IF(OR(regexmatch(A3021,"".*@simon.es$""),REGEXMATCH(A3021,"".*@simon.pt$""),REGEXMATCH(A3021,"".*@simonelectrica.com$""),REGEXMATCH(A3021,"".*@hiberus.com$""),REGEXMATCH(A3021,"".*@simonbrico.es$""),regexmatch(A3021,"".*@simonelectric.com$"")),""null"",A3"&amp;"021)"),"2343@gmail.com")</f>
        <v>2343@gmail.com</v>
      </c>
      <c r="C3021" s="5">
        <f>IF(B3021="null","null",Descargas!B3021)</f>
        <v>43914</v>
      </c>
      <c r="D3021" s="6" t="str">
        <f>Descargas!E3021</f>
        <v>https://resources.simonelectric.com/simon-ebook-vehiculo-electrico</v>
      </c>
      <c r="E3021" s="20" t="str">
        <f t="shared" si="1"/>
        <v>2343@gmail.com</v>
      </c>
      <c r="F3021" s="21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</row>
    <row r="3022" ht="15.75" customHeight="1">
      <c r="A3022" s="18" t="str">
        <f>Descargas!A3022</f>
        <v>2344@tecmagenil.es</v>
      </c>
      <c r="B3022" s="19" t="str">
        <f>IFERROR(__xludf.DUMMYFUNCTION("IF(OR(regexmatch(A3022,"".*@simon.es$""),REGEXMATCH(A3022,"".*@simon.pt$""),REGEXMATCH(A3022,"".*@simonelectrica.com$""),REGEXMATCH(A3022,"".*@hiberus.com$""),REGEXMATCH(A3022,"".*@simonbrico.es$""),regexmatch(A3022,"".*@simonelectric.com$"")),""null"",A3"&amp;"022)"),"2344@tecmagenil.es")</f>
        <v>2344@tecmagenil.es</v>
      </c>
      <c r="C3022" s="5">
        <f>IF(B3022="null","null",Descargas!B3022)</f>
        <v>43914</v>
      </c>
      <c r="D3022" s="6" t="str">
        <f>Descargas!E3022</f>
        <v>https://resources.simonelectric.com/simon-ebook-vehiculo-electrico</v>
      </c>
      <c r="E3022" s="20" t="str">
        <f t="shared" si="1"/>
        <v>2344@tecmagenil.es</v>
      </c>
      <c r="F3022" s="21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</row>
    <row r="3023" ht="15.75" customHeight="1">
      <c r="A3023" s="18" t="str">
        <f>Descargas!A3023</f>
        <v>2345@yahoo.es</v>
      </c>
      <c r="B3023" s="19" t="str">
        <f>IFERROR(__xludf.DUMMYFUNCTION("IF(OR(regexmatch(A3023,"".*@simon.es$""),REGEXMATCH(A3023,"".*@simon.pt$""),REGEXMATCH(A3023,"".*@simonelectrica.com$""),REGEXMATCH(A3023,"".*@hiberus.com$""),REGEXMATCH(A3023,"".*@simonbrico.es$""),regexmatch(A3023,"".*@simonelectric.com$"")),""null"",A3"&amp;"023)"),"2345@yahoo.es")</f>
        <v>2345@yahoo.es</v>
      </c>
      <c r="C3023" s="5">
        <f>IF(B3023="null","null",Descargas!B3023)</f>
        <v>43914</v>
      </c>
      <c r="D3023" s="6" t="str">
        <f>Descargas!E3023</f>
        <v>https://resources.simonelectric.com/simon-ebook-vehiculo-electrico</v>
      </c>
      <c r="E3023" s="20" t="str">
        <f t="shared" si="1"/>
        <v>2345@yahoo.es</v>
      </c>
      <c r="F3023" s="21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</row>
    <row r="3024" ht="15.75" customHeight="1">
      <c r="A3024" s="18" t="str">
        <f>Descargas!A3024</f>
        <v>1298@gmail.com</v>
      </c>
      <c r="B3024" s="19" t="str">
        <f>IFERROR(__xludf.DUMMYFUNCTION("IF(OR(regexmatch(A3024,"".*@simon.es$""),REGEXMATCH(A3024,"".*@simon.pt$""),REGEXMATCH(A3024,"".*@simonelectrica.com$""),REGEXMATCH(A3024,"".*@hiberus.com$""),REGEXMATCH(A3024,"".*@simonbrico.es$""),regexmatch(A3024,"".*@simonelectric.com$"")),""null"",A3"&amp;"024)"),"1298@gmail.com")</f>
        <v>1298@gmail.com</v>
      </c>
      <c r="C3024" s="5">
        <f>IF(B3024="null","null",Descargas!B3024)</f>
        <v>43914</v>
      </c>
      <c r="D3024" s="6" t="str">
        <f>Descargas!E3024</f>
        <v>https://resources.simonelectric.com/simon-ebook-vehiculo-electrico</v>
      </c>
      <c r="E3024" s="20" t="str">
        <f t="shared" si="1"/>
        <v>1298@gmail.com</v>
      </c>
      <c r="F3024" s="21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</row>
    <row r="3025" ht="15.75" customHeight="1">
      <c r="A3025" s="18" t="str">
        <f>Descargas!A3025</f>
        <v>2346@grupoetra.com</v>
      </c>
      <c r="B3025" s="19" t="str">
        <f>IFERROR(__xludf.DUMMYFUNCTION("IF(OR(regexmatch(A3025,"".*@simon.es$""),REGEXMATCH(A3025,"".*@simon.pt$""),REGEXMATCH(A3025,"".*@simonelectrica.com$""),REGEXMATCH(A3025,"".*@hiberus.com$""),REGEXMATCH(A3025,"".*@simonbrico.es$""),regexmatch(A3025,"".*@simonelectric.com$"")),""null"",A3"&amp;"025)"),"2346@grupoetra.com")</f>
        <v>2346@grupoetra.com</v>
      </c>
      <c r="C3025" s="5">
        <f>IF(B3025="null","null",Descargas!B3025)</f>
        <v>43914</v>
      </c>
      <c r="D3025" s="6" t="str">
        <f>Descargas!E3025</f>
        <v>https://resources.simonelectric.com/simon-ebook-vehiculo-electrico</v>
      </c>
      <c r="E3025" s="20" t="str">
        <f t="shared" si="1"/>
        <v>2346@grupoetra.com</v>
      </c>
      <c r="F3025" s="21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</row>
    <row r="3026" ht="15.75" customHeight="1">
      <c r="A3026" s="18" t="str">
        <f>Descargas!A3026</f>
        <v>2347@visaonomada.pt</v>
      </c>
      <c r="B3026" s="19" t="str">
        <f>IFERROR(__xludf.DUMMYFUNCTION("IF(OR(regexmatch(A3026,"".*@simon.es$""),REGEXMATCH(A3026,"".*@simon.pt$""),REGEXMATCH(A3026,"".*@simonelectrica.com$""),REGEXMATCH(A3026,"".*@hiberus.com$""),REGEXMATCH(A3026,"".*@simonbrico.es$""),regexmatch(A3026,"".*@simonelectric.com$"")),""null"",A3"&amp;"026)"),"2347@visaonomada.pt")</f>
        <v>2347@visaonomada.pt</v>
      </c>
      <c r="C3026" s="5">
        <f>IF(B3026="null","null",Descargas!B3026)</f>
        <v>43914</v>
      </c>
      <c r="D3026" s="6" t="str">
        <f>Descargas!E3026</f>
        <v>https://resources.simonelectric.com/simon-ebook-vehiculo-electrico</v>
      </c>
      <c r="E3026" s="20" t="str">
        <f t="shared" si="1"/>
        <v>2347@visaonomada.pt</v>
      </c>
      <c r="F3026" s="21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</row>
    <row r="3027" ht="15.75" customHeight="1">
      <c r="A3027" s="18" t="str">
        <f>Descargas!A3027</f>
        <v>2348@ya.com</v>
      </c>
      <c r="B3027" s="19" t="str">
        <f>IFERROR(__xludf.DUMMYFUNCTION("IF(OR(regexmatch(A3027,"".*@simon.es$""),REGEXMATCH(A3027,"".*@simon.pt$""),REGEXMATCH(A3027,"".*@simonelectrica.com$""),REGEXMATCH(A3027,"".*@hiberus.com$""),REGEXMATCH(A3027,"".*@simonbrico.es$""),regexmatch(A3027,"".*@simonelectric.com$"")),""null"",A3"&amp;"027)"),"2348@ya.com")</f>
        <v>2348@ya.com</v>
      </c>
      <c r="C3027" s="5">
        <f>IF(B3027="null","null",Descargas!B3027)</f>
        <v>43914</v>
      </c>
      <c r="D3027" s="6" t="str">
        <f>Descargas!E3027</f>
        <v>https://resources.simonelectric.com/simon-ebook-vehiculo-electrico</v>
      </c>
      <c r="E3027" s="20" t="str">
        <f t="shared" si="1"/>
        <v>2348@ya.com</v>
      </c>
      <c r="F3027" s="21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</row>
    <row r="3028" ht="15.75" customHeight="1">
      <c r="A3028" s="18" t="str">
        <f>Descargas!A3028</f>
        <v>1469@hotmail.com</v>
      </c>
      <c r="B3028" s="19" t="str">
        <f>IFERROR(__xludf.DUMMYFUNCTION("IF(OR(regexmatch(A3028,"".*@simon.es$""),REGEXMATCH(A3028,"".*@simon.pt$""),REGEXMATCH(A3028,"".*@simonelectrica.com$""),REGEXMATCH(A3028,"".*@hiberus.com$""),REGEXMATCH(A3028,"".*@simonbrico.es$""),regexmatch(A3028,"".*@simonelectric.com$"")),""null"",A3"&amp;"028)"),"1469@hotmail.com")</f>
        <v>1469@hotmail.com</v>
      </c>
      <c r="C3028" s="5">
        <f>IF(B3028="null","null",Descargas!B3028)</f>
        <v>43914</v>
      </c>
      <c r="D3028" s="6" t="str">
        <f>Descargas!E3028</f>
        <v>https://resources.simonelectric.com/simon-ebook-vehiculo-electrico</v>
      </c>
      <c r="E3028" s="20" t="str">
        <f t="shared" si="1"/>
        <v>1469@hotmail.com</v>
      </c>
      <c r="F3028" s="21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</row>
    <row r="3029" ht="15.75" customHeight="1">
      <c r="A3029" s="18" t="str">
        <f>Descargas!A3029</f>
        <v>2245@gmail.com</v>
      </c>
      <c r="B3029" s="19" t="str">
        <f>IFERROR(__xludf.DUMMYFUNCTION("IF(OR(regexmatch(A3029,"".*@simon.es$""),REGEXMATCH(A3029,"".*@simon.pt$""),REGEXMATCH(A3029,"".*@simonelectrica.com$""),REGEXMATCH(A3029,"".*@hiberus.com$""),REGEXMATCH(A3029,"".*@simonbrico.es$""),regexmatch(A3029,"".*@simonelectric.com$"")),""null"",A3"&amp;"029)"),"2245@gmail.com")</f>
        <v>2245@gmail.com</v>
      </c>
      <c r="C3029" s="5">
        <f>IF(B3029="null","null",Descargas!B3029)</f>
        <v>43914</v>
      </c>
      <c r="D3029" s="6" t="str">
        <f>Descargas!E3029</f>
        <v>https://resources.simonelectric.com/simon-ebook-vehiculo-electrico</v>
      </c>
      <c r="E3029" s="20" t="str">
        <f t="shared" si="1"/>
        <v>2245@gmail.com</v>
      </c>
      <c r="F3029" s="21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</row>
    <row r="3030" ht="15.75" customHeight="1">
      <c r="A3030" s="18" t="str">
        <f>Descargas!A3030</f>
        <v>2349@belsanz.com</v>
      </c>
      <c r="B3030" s="19" t="str">
        <f>IFERROR(__xludf.DUMMYFUNCTION("IF(OR(regexmatch(A3030,"".*@simon.es$""),REGEXMATCH(A3030,"".*@simon.pt$""),REGEXMATCH(A3030,"".*@simonelectrica.com$""),REGEXMATCH(A3030,"".*@hiberus.com$""),REGEXMATCH(A3030,"".*@simonbrico.es$""),regexmatch(A3030,"".*@simonelectric.com$"")),""null"",A3"&amp;"030)"),"2349@belsanz.com")</f>
        <v>2349@belsanz.com</v>
      </c>
      <c r="C3030" s="5">
        <f>IF(B3030="null","null",Descargas!B3030)</f>
        <v>43914</v>
      </c>
      <c r="D3030" s="6" t="str">
        <f>Descargas!E3030</f>
        <v>https://resources.simonelectric.com/simon-ebook-vehiculo-electrico</v>
      </c>
      <c r="E3030" s="20" t="str">
        <f t="shared" si="1"/>
        <v>2349@belsanz.com</v>
      </c>
      <c r="F3030" s="21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</row>
    <row r="3031" ht="15.75" customHeight="1">
      <c r="A3031" s="18" t="str">
        <f>Descargas!A3031</f>
        <v>2350@gmail.com</v>
      </c>
      <c r="B3031" s="19" t="str">
        <f>IFERROR(__xludf.DUMMYFUNCTION("IF(OR(regexmatch(A3031,"".*@simon.es$""),REGEXMATCH(A3031,"".*@simon.pt$""),REGEXMATCH(A3031,"".*@simonelectrica.com$""),REGEXMATCH(A3031,"".*@hiberus.com$""),REGEXMATCH(A3031,"".*@simonbrico.es$""),regexmatch(A3031,"".*@simonelectric.com$"")),""null"",A3"&amp;"031)"),"2350@gmail.com")</f>
        <v>2350@gmail.com</v>
      </c>
      <c r="C3031" s="5">
        <f>IF(B3031="null","null",Descargas!B3031)</f>
        <v>43914</v>
      </c>
      <c r="D3031" s="6" t="str">
        <f>Descargas!E3031</f>
        <v>https://resources.simonelectric.com/simon-ebook-vehiculo-electrico</v>
      </c>
      <c r="E3031" s="20" t="str">
        <f t="shared" si="1"/>
        <v>2350@gmail.com</v>
      </c>
      <c r="F3031" s="21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</row>
    <row r="3032" ht="15.75" customHeight="1">
      <c r="A3032" s="18" t="str">
        <f>Descargas!A3032</f>
        <v>2351@gmail.com</v>
      </c>
      <c r="B3032" s="19" t="str">
        <f>IFERROR(__xludf.DUMMYFUNCTION("IF(OR(regexmatch(A3032,"".*@simon.es$""),REGEXMATCH(A3032,"".*@simon.pt$""),REGEXMATCH(A3032,"".*@simonelectrica.com$""),REGEXMATCH(A3032,"".*@hiberus.com$""),REGEXMATCH(A3032,"".*@simonbrico.es$""),regexmatch(A3032,"".*@simonelectric.com$"")),""null"",A3"&amp;"032)"),"2351@gmail.com")</f>
        <v>2351@gmail.com</v>
      </c>
      <c r="C3032" s="5">
        <f>IF(B3032="null","null",Descargas!B3032)</f>
        <v>43914</v>
      </c>
      <c r="D3032" s="6" t="str">
        <f>Descargas!E3032</f>
        <v>https://resources.simonelectric.com/simon-ebook-vehiculo-electrico</v>
      </c>
      <c r="E3032" s="20" t="str">
        <f t="shared" si="1"/>
        <v>2351@gmail.com</v>
      </c>
      <c r="F3032" s="21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</row>
    <row r="3033" ht="15.75" customHeight="1">
      <c r="A3033" s="18" t="str">
        <f>Descargas!A3033</f>
        <v>2352@gmail.com</v>
      </c>
      <c r="B3033" s="19" t="str">
        <f>IFERROR(__xludf.DUMMYFUNCTION("IF(OR(regexmatch(A3033,"".*@simon.es$""),REGEXMATCH(A3033,"".*@simon.pt$""),REGEXMATCH(A3033,"".*@simonelectrica.com$""),REGEXMATCH(A3033,"".*@hiberus.com$""),REGEXMATCH(A3033,"".*@simonbrico.es$""),regexmatch(A3033,"".*@simonelectric.com$"")),""null"",A3"&amp;"033)"),"2352@gmail.com")</f>
        <v>2352@gmail.com</v>
      </c>
      <c r="C3033" s="5">
        <f>IF(B3033="null","null",Descargas!B3033)</f>
        <v>43914</v>
      </c>
      <c r="D3033" s="6" t="str">
        <f>Descargas!E3033</f>
        <v>https://resources.simonelectric.com/simon-ebook-vehiculo-electrico</v>
      </c>
      <c r="E3033" s="20" t="str">
        <f t="shared" si="1"/>
        <v>2352@gmail.com</v>
      </c>
      <c r="F3033" s="21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</row>
    <row r="3034" ht="15.75" customHeight="1">
      <c r="A3034" s="18" t="str">
        <f>Descargas!A3034</f>
        <v>2353@conecta-sistemas.com</v>
      </c>
      <c r="B3034" s="19" t="str">
        <f>IFERROR(__xludf.DUMMYFUNCTION("IF(OR(regexmatch(A3034,"".*@simon.es$""),REGEXMATCH(A3034,"".*@simon.pt$""),REGEXMATCH(A3034,"".*@simonelectrica.com$""),REGEXMATCH(A3034,"".*@hiberus.com$""),REGEXMATCH(A3034,"".*@simonbrico.es$""),regexmatch(A3034,"".*@simonelectric.com$"")),""null"",A3"&amp;"034)"),"2353@conecta-sistemas.com")</f>
        <v>2353@conecta-sistemas.com</v>
      </c>
      <c r="C3034" s="5">
        <f>IF(B3034="null","null",Descargas!B3034)</f>
        <v>43914</v>
      </c>
      <c r="D3034" s="6" t="str">
        <f>Descargas!E3034</f>
        <v>https://resources.simonelectric.com/simon-ebook-vehiculo-electrico</v>
      </c>
      <c r="E3034" s="20" t="str">
        <f t="shared" si="1"/>
        <v>2353@conecta-sistemas.com</v>
      </c>
      <c r="F3034" s="21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</row>
    <row r="3035" ht="15.75" customHeight="1">
      <c r="A3035" s="18" t="str">
        <f>Descargas!A3035</f>
        <v>2353@conecta-sistemas.com</v>
      </c>
      <c r="B3035" s="19" t="str">
        <f>IFERROR(__xludf.DUMMYFUNCTION("IF(OR(regexmatch(A3035,"".*@simon.es$""),REGEXMATCH(A3035,"".*@simon.pt$""),REGEXMATCH(A3035,"".*@simonelectrica.com$""),REGEXMATCH(A3035,"".*@hiberus.com$""),REGEXMATCH(A3035,"".*@simonbrico.es$""),regexmatch(A3035,"".*@simonelectric.com$"")),""null"",A3"&amp;"035)"),"2353@conecta-sistemas.com")</f>
        <v>2353@conecta-sistemas.com</v>
      </c>
      <c r="C3035" s="5">
        <f>IF(B3035="null","null",Descargas!B3035)</f>
        <v>43914</v>
      </c>
      <c r="D3035" s="6" t="str">
        <f>Descargas!E3035</f>
        <v>https://resources.simonelectric.com/simon-catalogo-vehiculo-electrico</v>
      </c>
      <c r="E3035" s="20" t="str">
        <f t="shared" si="1"/>
        <v>2353@conecta-sistemas.com</v>
      </c>
      <c r="F3035" s="21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</row>
    <row r="3036" ht="15.75" customHeight="1">
      <c r="A3036" s="18" t="str">
        <f>Descargas!A3036</f>
        <v>1121@gmail.com</v>
      </c>
      <c r="B3036" s="19" t="str">
        <f>IFERROR(__xludf.DUMMYFUNCTION("IF(OR(regexmatch(A3036,"".*@simon.es$""),REGEXMATCH(A3036,"".*@simon.pt$""),REGEXMATCH(A3036,"".*@simonelectrica.com$""),REGEXMATCH(A3036,"".*@hiberus.com$""),REGEXMATCH(A3036,"".*@simonbrico.es$""),regexmatch(A3036,"".*@simonelectric.com$"")),""null"",A3"&amp;"036)"),"1121@gmail.com")</f>
        <v>1121@gmail.com</v>
      </c>
      <c r="C3036" s="5">
        <f>IF(B3036="null","null",Descargas!B3036)</f>
        <v>43914</v>
      </c>
      <c r="D3036" s="6" t="str">
        <f>Descargas!E3036</f>
        <v>https://resources.simonelectric.com/simon-ebook-vehiculo-electrico</v>
      </c>
      <c r="E3036" s="20" t="str">
        <f t="shared" si="1"/>
        <v>1121@gmail.com</v>
      </c>
      <c r="F3036" s="21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</row>
    <row r="3037" ht="15.75" customHeight="1">
      <c r="A3037" s="18" t="str">
        <f>Descargas!A3037</f>
        <v>1384@eringenieria.com</v>
      </c>
      <c r="B3037" s="19" t="str">
        <f>IFERROR(__xludf.DUMMYFUNCTION("IF(OR(regexmatch(A3037,"".*@simon.es$""),REGEXMATCH(A3037,"".*@simon.pt$""),REGEXMATCH(A3037,"".*@simonelectrica.com$""),REGEXMATCH(A3037,"".*@hiberus.com$""),REGEXMATCH(A3037,"".*@simonbrico.es$""),regexmatch(A3037,"".*@simonelectric.com$"")),""null"",A3"&amp;"037)"),"1384@eringenieria.com")</f>
        <v>1384@eringenieria.com</v>
      </c>
      <c r="C3037" s="5">
        <f>IF(B3037="null","null",Descargas!B3037)</f>
        <v>43914</v>
      </c>
      <c r="D3037" s="6" t="str">
        <f>Descargas!E3037</f>
        <v>https://resources.simonelectric.com/simon-ebook-vehiculo-electrico</v>
      </c>
      <c r="E3037" s="20" t="str">
        <f t="shared" si="1"/>
        <v>1384@eringenieria.com</v>
      </c>
      <c r="F3037" s="21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</row>
    <row r="3038" ht="15.75" customHeight="1">
      <c r="A3038" s="18" t="str">
        <f>Descargas!A3038</f>
        <v>2354@gmail.com</v>
      </c>
      <c r="B3038" s="19" t="str">
        <f>IFERROR(__xludf.DUMMYFUNCTION("IF(OR(regexmatch(A3038,"".*@simon.es$""),REGEXMATCH(A3038,"".*@simon.pt$""),REGEXMATCH(A3038,"".*@simonelectrica.com$""),REGEXMATCH(A3038,"".*@hiberus.com$""),REGEXMATCH(A3038,"".*@simonbrico.es$""),regexmatch(A3038,"".*@simonelectric.com$"")),""null"",A3"&amp;"038)"),"2354@gmail.com")</f>
        <v>2354@gmail.com</v>
      </c>
      <c r="C3038" s="5">
        <f>IF(B3038="null","null",Descargas!B3038)</f>
        <v>43914</v>
      </c>
      <c r="D3038" s="6" t="str">
        <f>Descargas!E3038</f>
        <v>https://resources.simonelectric.com/simon-ebook-vehiculo-electrico</v>
      </c>
      <c r="E3038" s="20" t="str">
        <f t="shared" si="1"/>
        <v>2354@gmail.com</v>
      </c>
      <c r="F3038" s="21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</row>
    <row r="3039" ht="15.75" customHeight="1">
      <c r="A3039" s="18" t="str">
        <f>Descargas!A3039</f>
        <v>1322@gmail.com</v>
      </c>
      <c r="B3039" s="19" t="str">
        <f>IFERROR(__xludf.DUMMYFUNCTION("IF(OR(regexmatch(A3039,"".*@simon.es$""),REGEXMATCH(A3039,"".*@simon.pt$""),REGEXMATCH(A3039,"".*@simonelectrica.com$""),REGEXMATCH(A3039,"".*@hiberus.com$""),REGEXMATCH(A3039,"".*@simonbrico.es$""),regexmatch(A3039,"".*@simonelectric.com$"")),""null"",A3"&amp;"039)"),"1322@gmail.com")</f>
        <v>1322@gmail.com</v>
      </c>
      <c r="C3039" s="5">
        <f>IF(B3039="null","null",Descargas!B3039)</f>
        <v>43914</v>
      </c>
      <c r="D3039" s="6" t="str">
        <f>Descargas!E3039</f>
        <v>https://resources.simonelectric.com/simon-ebook-vehiculo-electrico</v>
      </c>
      <c r="E3039" s="20" t="str">
        <f t="shared" si="1"/>
        <v>1322@gmail.com</v>
      </c>
      <c r="F3039" s="21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</row>
    <row r="3040" ht="15.75" customHeight="1">
      <c r="A3040" s="18" t="str">
        <f>Descargas!A3040</f>
        <v>2067@gmail.com</v>
      </c>
      <c r="B3040" s="19" t="str">
        <f>IFERROR(__xludf.DUMMYFUNCTION("IF(OR(regexmatch(A3040,"".*@simon.es$""),REGEXMATCH(A3040,"".*@simon.pt$""),REGEXMATCH(A3040,"".*@simonelectrica.com$""),REGEXMATCH(A3040,"".*@hiberus.com$""),REGEXMATCH(A3040,"".*@simonbrico.es$""),regexmatch(A3040,"".*@simonelectric.com$"")),""null"",A3"&amp;"040)"),"2067@gmail.com")</f>
        <v>2067@gmail.com</v>
      </c>
      <c r="C3040" s="5">
        <f>IF(B3040="null","null",Descargas!B3040)</f>
        <v>43914</v>
      </c>
      <c r="D3040" s="6" t="str">
        <f>Descargas!E3040</f>
        <v>https://resources.simonelectric.com/simon-ebook-vehiculo-electrico</v>
      </c>
      <c r="E3040" s="20" t="str">
        <f t="shared" si="1"/>
        <v>2067@gmail.com</v>
      </c>
      <c r="F3040" s="21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</row>
    <row r="3041" ht="15.75" customHeight="1">
      <c r="A3041" s="18" t="str">
        <f>Descargas!A3041</f>
        <v>2067@gmail.com</v>
      </c>
      <c r="B3041" s="19" t="str">
        <f>IFERROR(__xludf.DUMMYFUNCTION("IF(OR(regexmatch(A3041,"".*@simon.es$""),REGEXMATCH(A3041,"".*@simon.pt$""),REGEXMATCH(A3041,"".*@simonelectrica.com$""),REGEXMATCH(A3041,"".*@hiberus.com$""),REGEXMATCH(A3041,"".*@simonbrico.es$""),regexmatch(A3041,"".*@simonelectric.com$"")),""null"",A3"&amp;"041)"),"2067@gmail.com")</f>
        <v>2067@gmail.com</v>
      </c>
      <c r="C3041" s="5">
        <f>IF(B3041="null","null",Descargas!B3041)</f>
        <v>43914</v>
      </c>
      <c r="D3041" s="6" t="str">
        <f>Descargas!E3041</f>
        <v>https://resources.simonelectric.com/simon-ebook-vehiculo-electrico</v>
      </c>
      <c r="E3041" s="20" t="str">
        <f t="shared" si="1"/>
        <v>2067@gmail.com</v>
      </c>
      <c r="F3041" s="21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</row>
    <row r="3042" ht="15.75" customHeight="1">
      <c r="A3042" s="18" t="str">
        <f>Descargas!A3042</f>
        <v>2355@gmail.com</v>
      </c>
      <c r="B3042" s="19" t="str">
        <f>IFERROR(__xludf.DUMMYFUNCTION("IF(OR(regexmatch(A3042,"".*@simon.es$""),REGEXMATCH(A3042,"".*@simon.pt$""),REGEXMATCH(A3042,"".*@simonelectrica.com$""),REGEXMATCH(A3042,"".*@hiberus.com$""),REGEXMATCH(A3042,"".*@simonbrico.es$""),regexmatch(A3042,"".*@simonelectric.com$"")),""null"",A3"&amp;"042)"),"2355@gmail.com")</f>
        <v>2355@gmail.com</v>
      </c>
      <c r="C3042" s="5">
        <f>IF(B3042="null","null",Descargas!B3042)</f>
        <v>43914</v>
      </c>
      <c r="D3042" s="6" t="str">
        <f>Descargas!E3042</f>
        <v>https://resources.simonelectric.com/simon-ebook-vehiculo-electrico</v>
      </c>
      <c r="E3042" s="20" t="str">
        <f t="shared" si="1"/>
        <v>2355@gmail.com</v>
      </c>
      <c r="F3042" s="21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</row>
    <row r="3043" ht="15.75" customHeight="1">
      <c r="A3043" s="18" t="str">
        <f>Descargas!A3043</f>
        <v>2356@infova.es</v>
      </c>
      <c r="B3043" s="19" t="str">
        <f>IFERROR(__xludf.DUMMYFUNCTION("IF(OR(regexmatch(A3043,"".*@simon.es$""),REGEXMATCH(A3043,"".*@simon.pt$""),REGEXMATCH(A3043,"".*@simonelectrica.com$""),REGEXMATCH(A3043,"".*@hiberus.com$""),REGEXMATCH(A3043,"".*@simonbrico.es$""),regexmatch(A3043,"".*@simonelectric.com$"")),""null"",A3"&amp;"043)"),"2356@infova.es")</f>
        <v>2356@infova.es</v>
      </c>
      <c r="C3043" s="5">
        <f>IF(B3043="null","null",Descargas!B3043)</f>
        <v>43914</v>
      </c>
      <c r="D3043" s="6" t="str">
        <f>Descargas!E3043</f>
        <v>https://resources.simonelectric.com/simon-ebook-vehiculo-electrico</v>
      </c>
      <c r="E3043" s="20" t="str">
        <f t="shared" si="1"/>
        <v>2356@infova.es</v>
      </c>
      <c r="F3043" s="21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</row>
    <row r="3044" ht="15.75" customHeight="1">
      <c r="A3044" s="18" t="str">
        <f>Descargas!A3044</f>
        <v>2357@gmail.com</v>
      </c>
      <c r="B3044" s="19" t="str">
        <f>IFERROR(__xludf.DUMMYFUNCTION("IF(OR(regexmatch(A3044,"".*@simon.es$""),REGEXMATCH(A3044,"".*@simon.pt$""),REGEXMATCH(A3044,"".*@simonelectrica.com$""),REGEXMATCH(A3044,"".*@hiberus.com$""),REGEXMATCH(A3044,"".*@simonbrico.es$""),regexmatch(A3044,"".*@simonelectric.com$"")),""null"",A3"&amp;"044)"),"2357@gmail.com")</f>
        <v>2357@gmail.com</v>
      </c>
      <c r="C3044" s="5">
        <f>IF(B3044="null","null",Descargas!B3044)</f>
        <v>43914</v>
      </c>
      <c r="D3044" s="6" t="str">
        <f>Descargas!E3044</f>
        <v>https://resources.simonelectric.com/simon-ebook-vehiculo-electrico</v>
      </c>
      <c r="E3044" s="20" t="str">
        <f t="shared" si="1"/>
        <v>2357@gmail.com</v>
      </c>
      <c r="F3044" s="21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</row>
    <row r="3045" ht="15.75" customHeight="1">
      <c r="A3045" s="18" t="str">
        <f>Descargas!A3045</f>
        <v>2358@hotmail.es</v>
      </c>
      <c r="B3045" s="19" t="str">
        <f>IFERROR(__xludf.DUMMYFUNCTION("IF(OR(regexmatch(A3045,"".*@simon.es$""),REGEXMATCH(A3045,"".*@simon.pt$""),REGEXMATCH(A3045,"".*@simonelectrica.com$""),REGEXMATCH(A3045,"".*@hiberus.com$""),REGEXMATCH(A3045,"".*@simonbrico.es$""),regexmatch(A3045,"".*@simonelectric.com$"")),""null"",A3"&amp;"045)"),"2358@hotmail.es")</f>
        <v>2358@hotmail.es</v>
      </c>
      <c r="C3045" s="5">
        <f>IF(B3045="null","null",Descargas!B3045)</f>
        <v>43914</v>
      </c>
      <c r="D3045" s="6" t="str">
        <f>Descargas!E3045</f>
        <v>https://resources.simonelectric.com/simon-ebook-vehiculo-electrico</v>
      </c>
      <c r="E3045" s="20" t="str">
        <f t="shared" si="1"/>
        <v>2358@hotmail.es</v>
      </c>
      <c r="F3045" s="21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</row>
    <row r="3046" ht="15.75" customHeight="1">
      <c r="A3046" s="18" t="str">
        <f>Descargas!A3046</f>
        <v>2359@hotmail.com</v>
      </c>
      <c r="B3046" s="19" t="str">
        <f>IFERROR(__xludf.DUMMYFUNCTION("IF(OR(regexmatch(A3046,"".*@simon.es$""),REGEXMATCH(A3046,"".*@simon.pt$""),REGEXMATCH(A3046,"".*@simonelectrica.com$""),REGEXMATCH(A3046,"".*@hiberus.com$""),REGEXMATCH(A3046,"".*@simonbrico.es$""),regexmatch(A3046,"".*@simonelectric.com$"")),""null"",A3"&amp;"046)"),"2359@hotmail.com")</f>
        <v>2359@hotmail.com</v>
      </c>
      <c r="C3046" s="5">
        <f>IF(B3046="null","null",Descargas!B3046)</f>
        <v>43914</v>
      </c>
      <c r="D3046" s="6" t="str">
        <f>Descargas!E3046</f>
        <v>https://resources.simonelectric.com/simon-ebook-vehiculo-electrico</v>
      </c>
      <c r="E3046" s="20" t="str">
        <f t="shared" si="1"/>
        <v>2359@hotmail.com</v>
      </c>
      <c r="F3046" s="21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</row>
    <row r="3047" ht="15.75" customHeight="1">
      <c r="A3047" s="18" t="str">
        <f>Descargas!A3047</f>
        <v>2360@viplaro.com</v>
      </c>
      <c r="B3047" s="19" t="str">
        <f>IFERROR(__xludf.DUMMYFUNCTION("IF(OR(regexmatch(A3047,"".*@simon.es$""),REGEXMATCH(A3047,"".*@simon.pt$""),REGEXMATCH(A3047,"".*@simonelectrica.com$""),REGEXMATCH(A3047,"".*@hiberus.com$""),REGEXMATCH(A3047,"".*@simonbrico.es$""),regexmatch(A3047,"".*@simonelectric.com$"")),""null"",A3"&amp;"047)"),"2360@viplaro.com")</f>
        <v>2360@viplaro.com</v>
      </c>
      <c r="C3047" s="5">
        <f>IF(B3047="null","null",Descargas!B3047)</f>
        <v>43914</v>
      </c>
      <c r="D3047" s="6" t="str">
        <f>Descargas!E3047</f>
        <v>https://resources.simonelectric.com/simon-ebook-vehiculo-electrico</v>
      </c>
      <c r="E3047" s="20" t="str">
        <f t="shared" si="1"/>
        <v>2360@viplaro.com</v>
      </c>
      <c r="F3047" s="21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</row>
    <row r="3048" ht="15.75" customHeight="1">
      <c r="A3048" s="18" t="str">
        <f>Descargas!A3048</f>
        <v>2361@gmail.com</v>
      </c>
      <c r="B3048" s="19" t="str">
        <f>IFERROR(__xludf.DUMMYFUNCTION("IF(OR(regexmatch(A3048,"".*@simon.es$""),REGEXMATCH(A3048,"".*@simon.pt$""),REGEXMATCH(A3048,"".*@simonelectrica.com$""),REGEXMATCH(A3048,"".*@hiberus.com$""),REGEXMATCH(A3048,"".*@simonbrico.es$""),regexmatch(A3048,"".*@simonelectric.com$"")),""null"",A3"&amp;"048)"),"2361@gmail.com")</f>
        <v>2361@gmail.com</v>
      </c>
      <c r="C3048" s="5">
        <f>IF(B3048="null","null",Descargas!B3048)</f>
        <v>43914</v>
      </c>
      <c r="D3048" s="6" t="str">
        <f>Descargas!E3048</f>
        <v>https://resources.simonelectric.com/simon-ebook-vehiculo-electrico</v>
      </c>
      <c r="E3048" s="20" t="str">
        <f t="shared" si="1"/>
        <v>2361@gmail.com</v>
      </c>
      <c r="F3048" s="21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</row>
    <row r="3049" ht="15.75" customHeight="1">
      <c r="A3049" s="18" t="str">
        <f>Descargas!A3049</f>
        <v>859@hotmail.com</v>
      </c>
      <c r="B3049" s="19" t="str">
        <f>IFERROR(__xludf.DUMMYFUNCTION("IF(OR(regexmatch(A3049,"".*@simon.es$""),REGEXMATCH(A3049,"".*@simon.pt$""),REGEXMATCH(A3049,"".*@simonelectrica.com$""),REGEXMATCH(A3049,"".*@hiberus.com$""),REGEXMATCH(A3049,"".*@simonbrico.es$""),regexmatch(A3049,"".*@simonelectric.com$"")),""null"",A3"&amp;"049)"),"859@hotmail.com")</f>
        <v>859@hotmail.com</v>
      </c>
      <c r="C3049" s="5">
        <f>IF(B3049="null","null",Descargas!B3049)</f>
        <v>43914</v>
      </c>
      <c r="D3049" s="6" t="str">
        <f>Descargas!E3049</f>
        <v>https://resources.simonelectric.com/simon-ebook-vehiculo-electrico</v>
      </c>
      <c r="E3049" s="20" t="str">
        <f t="shared" si="1"/>
        <v>859@hotmail.com</v>
      </c>
      <c r="F3049" s="21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</row>
    <row r="3050" ht="15.75" customHeight="1">
      <c r="A3050" s="18" t="str">
        <f>Descargas!A3050</f>
        <v>1841@infova.es</v>
      </c>
      <c r="B3050" s="19" t="str">
        <f>IFERROR(__xludf.DUMMYFUNCTION("IF(OR(regexmatch(A3050,"".*@simon.es$""),REGEXMATCH(A3050,"".*@simon.pt$""),REGEXMATCH(A3050,"".*@simonelectrica.com$""),REGEXMATCH(A3050,"".*@hiberus.com$""),REGEXMATCH(A3050,"".*@simonbrico.es$""),regexmatch(A3050,"".*@simonelectric.com$"")),""null"",A3"&amp;"050)"),"1841@infova.es")</f>
        <v>1841@infova.es</v>
      </c>
      <c r="C3050" s="5">
        <f>IF(B3050="null","null",Descargas!B3050)</f>
        <v>43914</v>
      </c>
      <c r="D3050" s="6" t="str">
        <f>Descargas!E3050</f>
        <v>https://resources.simonelectric.com/simon-ebook-vehiculo-electrico</v>
      </c>
      <c r="E3050" s="20" t="str">
        <f t="shared" si="1"/>
        <v>1841@infova.es</v>
      </c>
      <c r="F3050" s="21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</row>
    <row r="3051" ht="15.75" customHeight="1">
      <c r="A3051" s="18" t="str">
        <f>Descargas!A3051</f>
        <v>2362@telefonica.net</v>
      </c>
      <c r="B3051" s="19" t="str">
        <f>IFERROR(__xludf.DUMMYFUNCTION("IF(OR(regexmatch(A3051,"".*@simon.es$""),REGEXMATCH(A3051,"".*@simon.pt$""),REGEXMATCH(A3051,"".*@simonelectrica.com$""),REGEXMATCH(A3051,"".*@hiberus.com$""),REGEXMATCH(A3051,"".*@simonbrico.es$""),regexmatch(A3051,"".*@simonelectric.com$"")),""null"",A3"&amp;"051)"),"2362@telefonica.net")</f>
        <v>2362@telefonica.net</v>
      </c>
      <c r="C3051" s="5">
        <f>IF(B3051="null","null",Descargas!B3051)</f>
        <v>43914</v>
      </c>
      <c r="D3051" s="6" t="str">
        <f>Descargas!E3051</f>
        <v>https://resources.simonelectric.com/simon-ebook-vehiculo-electrico</v>
      </c>
      <c r="E3051" s="20" t="str">
        <f t="shared" si="1"/>
        <v>2362@telefonica.net</v>
      </c>
      <c r="F3051" s="21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</row>
    <row r="3052" ht="15.75" customHeight="1">
      <c r="A3052" s="18" t="str">
        <f>Descargas!A3052</f>
        <v>2363@hotmail.com</v>
      </c>
      <c r="B3052" s="19" t="str">
        <f>IFERROR(__xludf.DUMMYFUNCTION("IF(OR(regexmatch(A3052,"".*@simon.es$""),REGEXMATCH(A3052,"".*@simon.pt$""),REGEXMATCH(A3052,"".*@simonelectrica.com$""),REGEXMATCH(A3052,"".*@hiberus.com$""),REGEXMATCH(A3052,"".*@simonbrico.es$""),regexmatch(A3052,"".*@simonelectric.com$"")),""null"",A3"&amp;"052)"),"2363@hotmail.com")</f>
        <v>2363@hotmail.com</v>
      </c>
      <c r="C3052" s="5">
        <f>IF(B3052="null","null",Descargas!B3052)</f>
        <v>43914</v>
      </c>
      <c r="D3052" s="6" t="str">
        <f>Descargas!E3052</f>
        <v>https://resources.simonelectric.com/simon-ebook-vehiculo-electrico</v>
      </c>
      <c r="E3052" s="20" t="str">
        <f t="shared" si="1"/>
        <v>2363@hotmail.com</v>
      </c>
      <c r="F3052" s="21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</row>
    <row r="3053" ht="15.75" customHeight="1">
      <c r="A3053" s="18" t="str">
        <f>Descargas!A3053</f>
        <v>708@zaker.com</v>
      </c>
      <c r="B3053" s="19" t="str">
        <f>IFERROR(__xludf.DUMMYFUNCTION("IF(OR(regexmatch(A3053,"".*@simon.es$""),REGEXMATCH(A3053,"".*@simon.pt$""),REGEXMATCH(A3053,"".*@simonelectrica.com$""),REGEXMATCH(A3053,"".*@hiberus.com$""),REGEXMATCH(A3053,"".*@simonbrico.es$""),regexmatch(A3053,"".*@simonelectric.com$"")),""null"",A3"&amp;"053)"),"708@zaker.com")</f>
        <v>708@zaker.com</v>
      </c>
      <c r="C3053" s="5">
        <f>IF(B3053="null","null",Descargas!B3053)</f>
        <v>43914</v>
      </c>
      <c r="D3053" s="6" t="str">
        <f>Descargas!E3053</f>
        <v>https://resources.simonelectric.com/simon-ebook-vehiculo-electrico</v>
      </c>
      <c r="E3053" s="20" t="str">
        <f t="shared" si="1"/>
        <v>708@zaker.com</v>
      </c>
      <c r="F3053" s="21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</row>
    <row r="3054" ht="15.75" customHeight="1">
      <c r="A3054" s="18" t="str">
        <f>Descargas!A3054</f>
        <v>700@gmail.com</v>
      </c>
      <c r="B3054" s="19" t="str">
        <f>IFERROR(__xludf.DUMMYFUNCTION("IF(OR(regexmatch(A3054,"".*@simon.es$""),REGEXMATCH(A3054,"".*@simon.pt$""),REGEXMATCH(A3054,"".*@simonelectrica.com$""),REGEXMATCH(A3054,"".*@hiberus.com$""),REGEXMATCH(A3054,"".*@simonbrico.es$""),regexmatch(A3054,"".*@simonelectric.com$"")),""null"",A3"&amp;"054)"),"700@gmail.com")</f>
        <v>700@gmail.com</v>
      </c>
      <c r="C3054" s="5">
        <f>IF(B3054="null","null",Descargas!B3054)</f>
        <v>43914</v>
      </c>
      <c r="D3054" s="6" t="str">
        <f>Descargas!E3054</f>
        <v>https://resources.simonelectric.com/simon-ebook-vehiculo-electrico</v>
      </c>
      <c r="E3054" s="20" t="str">
        <f t="shared" si="1"/>
        <v>700@gmail.com</v>
      </c>
      <c r="F3054" s="21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</row>
    <row r="3055" ht="15.75" customHeight="1">
      <c r="A3055" s="18" t="str">
        <f>Descargas!A3055</f>
        <v>2364@agmundet.es</v>
      </c>
      <c r="B3055" s="19" t="str">
        <f>IFERROR(__xludf.DUMMYFUNCTION("IF(OR(regexmatch(A3055,"".*@simon.es$""),REGEXMATCH(A3055,"".*@simon.pt$""),REGEXMATCH(A3055,"".*@simonelectrica.com$""),REGEXMATCH(A3055,"".*@hiberus.com$""),REGEXMATCH(A3055,"".*@simonbrico.es$""),regexmatch(A3055,"".*@simonelectric.com$"")),""null"",A3"&amp;"055)"),"2364@agmundet.es")</f>
        <v>2364@agmundet.es</v>
      </c>
      <c r="C3055" s="5">
        <f>IF(B3055="null","null",Descargas!B3055)</f>
        <v>43914</v>
      </c>
      <c r="D3055" s="6" t="str">
        <f>Descargas!E3055</f>
        <v>https://resources.simonelectric.com/simon-ebook-vehiculo-electrico</v>
      </c>
      <c r="E3055" s="20" t="str">
        <f t="shared" si="1"/>
        <v>2364@agmundet.es</v>
      </c>
      <c r="F3055" s="21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</row>
    <row r="3056" ht="15.75" customHeight="1">
      <c r="A3056" s="18" t="str">
        <f>Descargas!A3056</f>
        <v>2365@jazzfree.com</v>
      </c>
      <c r="B3056" s="19" t="str">
        <f>IFERROR(__xludf.DUMMYFUNCTION("IF(OR(regexmatch(A3056,"".*@simon.es$""),REGEXMATCH(A3056,"".*@simon.pt$""),REGEXMATCH(A3056,"".*@simonelectrica.com$""),REGEXMATCH(A3056,"".*@hiberus.com$""),REGEXMATCH(A3056,"".*@simonbrico.es$""),regexmatch(A3056,"".*@simonelectric.com$"")),""null"",A3"&amp;"056)"),"2365@jazzfree.com")</f>
        <v>2365@jazzfree.com</v>
      </c>
      <c r="C3056" s="5">
        <f>IF(B3056="null","null",Descargas!B3056)</f>
        <v>43914</v>
      </c>
      <c r="D3056" s="6" t="str">
        <f>Descargas!E3056</f>
        <v>https://resources.simonelectric.com/simon-ebook-vehiculo-electrico</v>
      </c>
      <c r="E3056" s="20" t="str">
        <f t="shared" si="1"/>
        <v>2365@jazzfree.com</v>
      </c>
      <c r="F3056" s="21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</row>
    <row r="3057" ht="15.75" customHeight="1">
      <c r="A3057" s="18" t="str">
        <f>Descargas!A3057</f>
        <v>1595@gmail.com</v>
      </c>
      <c r="B3057" s="19" t="str">
        <f>IFERROR(__xludf.DUMMYFUNCTION("IF(OR(regexmatch(A3057,"".*@simon.es$""),REGEXMATCH(A3057,"".*@simon.pt$""),REGEXMATCH(A3057,"".*@simonelectrica.com$""),REGEXMATCH(A3057,"".*@hiberus.com$""),REGEXMATCH(A3057,"".*@simonbrico.es$""),regexmatch(A3057,"".*@simonelectric.com$"")),""null"",A3"&amp;"057)"),"1595@gmail.com")</f>
        <v>1595@gmail.com</v>
      </c>
      <c r="C3057" s="5">
        <f>IF(B3057="null","null",Descargas!B3057)</f>
        <v>43914</v>
      </c>
      <c r="D3057" s="6" t="str">
        <f>Descargas!E3057</f>
        <v>https://resources.simonelectric.com/simon-ebook-vehiculo-electrico</v>
      </c>
      <c r="E3057" s="20" t="str">
        <f t="shared" si="1"/>
        <v>1595@gmail.com</v>
      </c>
      <c r="F3057" s="21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</row>
    <row r="3058" ht="15.75" customHeight="1">
      <c r="A3058" s="18" t="str">
        <f>Descargas!A3058</f>
        <v>2366@energies.cat</v>
      </c>
      <c r="B3058" s="19" t="str">
        <f>IFERROR(__xludf.DUMMYFUNCTION("IF(OR(regexmatch(A3058,"".*@simon.es$""),REGEXMATCH(A3058,"".*@simon.pt$""),REGEXMATCH(A3058,"".*@simonelectrica.com$""),REGEXMATCH(A3058,"".*@hiberus.com$""),REGEXMATCH(A3058,"".*@simonbrico.es$""),regexmatch(A3058,"".*@simonelectric.com$"")),""null"",A3"&amp;"058)"),"2366@energies.cat")</f>
        <v>2366@energies.cat</v>
      </c>
      <c r="C3058" s="5">
        <f>IF(B3058="null","null",Descargas!B3058)</f>
        <v>43914</v>
      </c>
      <c r="D3058" s="6" t="str">
        <f>Descargas!E3058</f>
        <v>https://resources.simonelectric.com/simon-ebook-vehiculo-electrico</v>
      </c>
      <c r="E3058" s="20" t="str">
        <f t="shared" si="1"/>
        <v>2366@energies.cat</v>
      </c>
      <c r="F3058" s="21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</row>
    <row r="3059" ht="15.75" customHeight="1">
      <c r="A3059" s="18" t="str">
        <f>Descargas!A3059</f>
        <v>1275@sonepar.es</v>
      </c>
      <c r="B3059" s="19" t="str">
        <f>IFERROR(__xludf.DUMMYFUNCTION("IF(OR(regexmatch(A3059,"".*@simon.es$""),REGEXMATCH(A3059,"".*@simon.pt$""),REGEXMATCH(A3059,"".*@simonelectrica.com$""),REGEXMATCH(A3059,"".*@hiberus.com$""),REGEXMATCH(A3059,"".*@simonbrico.es$""),regexmatch(A3059,"".*@simonelectric.com$"")),""null"",A3"&amp;"059)"),"1275@sonepar.es")</f>
        <v>1275@sonepar.es</v>
      </c>
      <c r="C3059" s="5">
        <f>IF(B3059="null","null",Descargas!B3059)</f>
        <v>43914</v>
      </c>
      <c r="D3059" s="6" t="str">
        <f>Descargas!E3059</f>
        <v>https://resources.simonelectric.com/simon-ebook-vehiculo-electrico</v>
      </c>
      <c r="E3059" s="20" t="str">
        <f t="shared" si="1"/>
        <v>1275@sonepar.es</v>
      </c>
      <c r="F3059" s="21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</row>
    <row r="3060" ht="15.75" customHeight="1">
      <c r="A3060" s="18" t="str">
        <f>Descargas!A3060</f>
        <v>2367@yahoo.es</v>
      </c>
      <c r="B3060" s="19" t="str">
        <f>IFERROR(__xludf.DUMMYFUNCTION("IF(OR(regexmatch(A3060,"".*@simon.es$""),REGEXMATCH(A3060,"".*@simon.pt$""),REGEXMATCH(A3060,"".*@simonelectrica.com$""),REGEXMATCH(A3060,"".*@hiberus.com$""),REGEXMATCH(A3060,"".*@simonbrico.es$""),regexmatch(A3060,"".*@simonelectric.com$"")),""null"",A3"&amp;"060)"),"2367@yahoo.es")</f>
        <v>2367@yahoo.es</v>
      </c>
      <c r="C3060" s="5">
        <f>IF(B3060="null","null",Descargas!B3060)</f>
        <v>43914</v>
      </c>
      <c r="D3060" s="6" t="str">
        <f>Descargas!E3060</f>
        <v>https://resources.simonelectric.com/simon-ebook-vehiculo-electrico</v>
      </c>
      <c r="E3060" s="20" t="str">
        <f t="shared" si="1"/>
        <v>2367@yahoo.es</v>
      </c>
      <c r="F3060" s="21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</row>
    <row r="3061" ht="15.75" customHeight="1">
      <c r="A3061" s="18" t="str">
        <f>Descargas!A3061</f>
        <v>2368@gmail.com</v>
      </c>
      <c r="B3061" s="19" t="str">
        <f>IFERROR(__xludf.DUMMYFUNCTION("IF(OR(regexmatch(A3061,"".*@simon.es$""),REGEXMATCH(A3061,"".*@simon.pt$""),REGEXMATCH(A3061,"".*@simonelectrica.com$""),REGEXMATCH(A3061,"".*@hiberus.com$""),REGEXMATCH(A3061,"".*@simonbrico.es$""),regexmatch(A3061,"".*@simonelectric.com$"")),""null"",A3"&amp;"061)"),"2368@gmail.com")</f>
        <v>2368@gmail.com</v>
      </c>
      <c r="C3061" s="5">
        <f>IF(B3061="null","null",Descargas!B3061)</f>
        <v>43914</v>
      </c>
      <c r="D3061" s="6" t="str">
        <f>Descargas!E3061</f>
        <v>https://resources.simonelectric.com/simon-ebook-vehiculo-electrico</v>
      </c>
      <c r="E3061" s="20" t="str">
        <f t="shared" si="1"/>
        <v>2368@gmail.com</v>
      </c>
      <c r="F3061" s="21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</row>
    <row r="3062" ht="15.75" customHeight="1">
      <c r="A3062" s="18" t="str">
        <f>Descargas!A3062</f>
        <v>961@gmail.com</v>
      </c>
      <c r="B3062" s="19" t="str">
        <f>IFERROR(__xludf.DUMMYFUNCTION("IF(OR(regexmatch(A3062,"".*@simon.es$""),REGEXMATCH(A3062,"".*@simon.pt$""),REGEXMATCH(A3062,"".*@simonelectrica.com$""),REGEXMATCH(A3062,"".*@hiberus.com$""),REGEXMATCH(A3062,"".*@simonbrico.es$""),regexmatch(A3062,"".*@simonelectric.com$"")),""null"",A3"&amp;"062)"),"961@gmail.com")</f>
        <v>961@gmail.com</v>
      </c>
      <c r="C3062" s="5">
        <f>IF(B3062="null","null",Descargas!B3062)</f>
        <v>43914</v>
      </c>
      <c r="D3062" s="6" t="str">
        <f>Descargas!E3062</f>
        <v>https://resources.simonelectric.com/simon-ebook-vehiculo-electrico</v>
      </c>
      <c r="E3062" s="20" t="str">
        <f t="shared" si="1"/>
        <v>961@gmail.com</v>
      </c>
      <c r="F3062" s="21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</row>
    <row r="3063" ht="15.75" customHeight="1">
      <c r="A3063" s="18" t="str">
        <f>Descargas!A3063</f>
        <v>2369@cataliaga.com</v>
      </c>
      <c r="B3063" s="19" t="str">
        <f>IFERROR(__xludf.DUMMYFUNCTION("IF(OR(regexmatch(A3063,"".*@simon.es$""),REGEXMATCH(A3063,"".*@simon.pt$""),REGEXMATCH(A3063,"".*@simonelectrica.com$""),REGEXMATCH(A3063,"".*@hiberus.com$""),REGEXMATCH(A3063,"".*@simonbrico.es$""),regexmatch(A3063,"".*@simonelectric.com$"")),""null"",A3"&amp;"063)"),"2369@cataliaga.com")</f>
        <v>2369@cataliaga.com</v>
      </c>
      <c r="C3063" s="5">
        <f>IF(B3063="null","null",Descargas!B3063)</f>
        <v>43914</v>
      </c>
      <c r="D3063" s="6" t="str">
        <f>Descargas!E3063</f>
        <v>https://resources.simonelectric.com/simon-ebook-vehiculo-electrico</v>
      </c>
      <c r="E3063" s="20" t="str">
        <f t="shared" si="1"/>
        <v>2369@cataliaga.com</v>
      </c>
      <c r="F3063" s="21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</row>
    <row r="3064" ht="15.75" customHeight="1">
      <c r="A3064" s="18" t="str">
        <f>Descargas!A3064</f>
        <v>166@napols.net</v>
      </c>
      <c r="B3064" s="19" t="str">
        <f>IFERROR(__xludf.DUMMYFUNCTION("IF(OR(regexmatch(A3064,"".*@simon.es$""),REGEXMATCH(A3064,"".*@simon.pt$""),REGEXMATCH(A3064,"".*@simonelectrica.com$""),REGEXMATCH(A3064,"".*@hiberus.com$""),REGEXMATCH(A3064,"".*@simonbrico.es$""),regexmatch(A3064,"".*@simonelectric.com$"")),""null"",A3"&amp;"064)"),"166@napols.net")</f>
        <v>166@napols.net</v>
      </c>
      <c r="C3064" s="5">
        <f>IF(B3064="null","null",Descargas!B3064)</f>
        <v>43914</v>
      </c>
      <c r="D3064" s="6" t="str">
        <f>Descargas!E3064</f>
        <v>https://resources.simonelectric.com/simon-ebook-vehiculo-electrico</v>
      </c>
      <c r="E3064" s="20" t="str">
        <f t="shared" si="1"/>
        <v>166@napols.net</v>
      </c>
      <c r="F3064" s="21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</row>
    <row r="3065" ht="15.75" customHeight="1">
      <c r="A3065" s="18" t="str">
        <f>Descargas!A3065</f>
        <v>1467@agave-broadcast.es</v>
      </c>
      <c r="B3065" s="19" t="str">
        <f>IFERROR(__xludf.DUMMYFUNCTION("IF(OR(regexmatch(A3065,"".*@simon.es$""),REGEXMATCH(A3065,"".*@simon.pt$""),REGEXMATCH(A3065,"".*@simonelectrica.com$""),REGEXMATCH(A3065,"".*@hiberus.com$""),REGEXMATCH(A3065,"".*@simonbrico.es$""),regexmatch(A3065,"".*@simonelectric.com$"")),""null"",A3"&amp;"065)"),"1467@agave-broadcast.es")</f>
        <v>1467@agave-broadcast.es</v>
      </c>
      <c r="C3065" s="5">
        <f>IF(B3065="null","null",Descargas!B3065)</f>
        <v>43914</v>
      </c>
      <c r="D3065" s="6" t="str">
        <f>Descargas!E3065</f>
        <v>https://resources.simonelectric.com/simon-ebook-vehiculo-electrico</v>
      </c>
      <c r="E3065" s="20" t="str">
        <f t="shared" si="1"/>
        <v>1467@agave-broadcast.es</v>
      </c>
      <c r="F3065" s="21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</row>
    <row r="3066" ht="15.75" customHeight="1">
      <c r="A3066" s="18" t="str">
        <f>Descargas!A3066</f>
        <v>2370@gmail.com</v>
      </c>
      <c r="B3066" s="19" t="str">
        <f>IFERROR(__xludf.DUMMYFUNCTION("IF(OR(regexmatch(A3066,"".*@simon.es$""),REGEXMATCH(A3066,"".*@simon.pt$""),REGEXMATCH(A3066,"".*@simonelectrica.com$""),REGEXMATCH(A3066,"".*@hiberus.com$""),REGEXMATCH(A3066,"".*@simonbrico.es$""),regexmatch(A3066,"".*@simonelectric.com$"")),""null"",A3"&amp;"066)"),"2370@gmail.com")</f>
        <v>2370@gmail.com</v>
      </c>
      <c r="C3066" s="5">
        <f>IF(B3066="null","null",Descargas!B3066)</f>
        <v>43914</v>
      </c>
      <c r="D3066" s="6" t="str">
        <f>Descargas!E3066</f>
        <v>https://resources.simonelectric.com/simon-ebook-vehiculo-electrico</v>
      </c>
      <c r="E3066" s="20" t="str">
        <f t="shared" si="1"/>
        <v>2370@gmail.com</v>
      </c>
      <c r="F3066" s="21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</row>
    <row r="3067" ht="15.75" customHeight="1">
      <c r="A3067" s="18" t="str">
        <f>Descargas!A3067</f>
        <v>1292@gmail.com</v>
      </c>
      <c r="B3067" s="19" t="str">
        <f>IFERROR(__xludf.DUMMYFUNCTION("IF(OR(regexmatch(A3067,"".*@simon.es$""),REGEXMATCH(A3067,"".*@simon.pt$""),REGEXMATCH(A3067,"".*@simonelectrica.com$""),REGEXMATCH(A3067,"".*@hiberus.com$""),REGEXMATCH(A3067,"".*@simonbrico.es$""),regexmatch(A3067,"".*@simonelectric.com$"")),""null"",A3"&amp;"067)"),"1292@gmail.com")</f>
        <v>1292@gmail.com</v>
      </c>
      <c r="C3067" s="5">
        <f>IF(B3067="null","null",Descargas!B3067)</f>
        <v>43914</v>
      </c>
      <c r="D3067" s="6" t="str">
        <f>Descargas!E3067</f>
        <v>https://resources.simonelectric.com/simon-ebook-vehiculo-electrico</v>
      </c>
      <c r="E3067" s="20" t="str">
        <f t="shared" si="1"/>
        <v>1292@gmail.com</v>
      </c>
      <c r="F3067" s="21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</row>
    <row r="3068" ht="15.75" customHeight="1">
      <c r="A3068" s="18" t="str">
        <f>Descargas!A3068</f>
        <v>2371@fhiguero.es</v>
      </c>
      <c r="B3068" s="19" t="str">
        <f>IFERROR(__xludf.DUMMYFUNCTION("IF(OR(regexmatch(A3068,"".*@simon.es$""),REGEXMATCH(A3068,"".*@simon.pt$""),REGEXMATCH(A3068,"".*@simonelectrica.com$""),REGEXMATCH(A3068,"".*@hiberus.com$""),REGEXMATCH(A3068,"".*@simonbrico.es$""),regexmatch(A3068,"".*@simonelectric.com$"")),""null"",A3"&amp;"068)"),"2371@fhiguero.es")</f>
        <v>2371@fhiguero.es</v>
      </c>
      <c r="C3068" s="5">
        <f>IF(B3068="null","null",Descargas!B3068)</f>
        <v>43914</v>
      </c>
      <c r="D3068" s="6" t="str">
        <f>Descargas!E3068</f>
        <v>https://resources.simonelectric.com/simon-ebook-vehiculo-electrico</v>
      </c>
      <c r="E3068" s="20" t="str">
        <f t="shared" si="1"/>
        <v>2371@fhiguero.es</v>
      </c>
      <c r="F3068" s="21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</row>
    <row r="3069" ht="15.75" customHeight="1">
      <c r="A3069" s="18" t="str">
        <f>Descargas!A3069</f>
        <v>1617@e-noses.com</v>
      </c>
      <c r="B3069" s="19" t="str">
        <f>IFERROR(__xludf.DUMMYFUNCTION("IF(OR(regexmatch(A3069,"".*@simon.es$""),REGEXMATCH(A3069,"".*@simon.pt$""),REGEXMATCH(A3069,"".*@simonelectrica.com$""),REGEXMATCH(A3069,"".*@hiberus.com$""),REGEXMATCH(A3069,"".*@simonbrico.es$""),regexmatch(A3069,"".*@simonelectric.com$"")),""null"",A3"&amp;"069)"),"1617@e-noses.com")</f>
        <v>1617@e-noses.com</v>
      </c>
      <c r="C3069" s="5">
        <f>IF(B3069="null","null",Descargas!B3069)</f>
        <v>43914</v>
      </c>
      <c r="D3069" s="6" t="str">
        <f>Descargas!E3069</f>
        <v>https://resources.simonelectric.com/simon-ebook-vehiculo-electrico</v>
      </c>
      <c r="E3069" s="20" t="str">
        <f t="shared" si="1"/>
        <v>1617@e-noses.com</v>
      </c>
      <c r="F3069" s="21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</row>
    <row r="3070" ht="15.75" customHeight="1">
      <c r="A3070" s="18" t="str">
        <f>Descargas!A3070</f>
        <v>2372@gmail.com</v>
      </c>
      <c r="B3070" s="19" t="str">
        <f>IFERROR(__xludf.DUMMYFUNCTION("IF(OR(regexmatch(A3070,"".*@simon.es$""),REGEXMATCH(A3070,"".*@simon.pt$""),REGEXMATCH(A3070,"".*@simonelectrica.com$""),REGEXMATCH(A3070,"".*@hiberus.com$""),REGEXMATCH(A3070,"".*@simonbrico.es$""),regexmatch(A3070,"".*@simonelectric.com$"")),""null"",A3"&amp;"070)"),"2372@gmail.com")</f>
        <v>2372@gmail.com</v>
      </c>
      <c r="C3070" s="5">
        <f>IF(B3070="null","null",Descargas!B3070)</f>
        <v>43914</v>
      </c>
      <c r="D3070" s="6" t="str">
        <f>Descargas!E3070</f>
        <v>https://resources.simonelectric.com/simon-ebook-vehiculo-electrico</v>
      </c>
      <c r="E3070" s="20" t="str">
        <f t="shared" si="1"/>
        <v>2372@gmail.com</v>
      </c>
      <c r="F3070" s="21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</row>
    <row r="3071" ht="15.75" customHeight="1">
      <c r="A3071" s="18" t="str">
        <f>Descargas!A3071</f>
        <v>2373@grupoelectrostocks.com</v>
      </c>
      <c r="B3071" s="19" t="str">
        <f>IFERROR(__xludf.DUMMYFUNCTION("IF(OR(regexmatch(A3071,"".*@simon.es$""),REGEXMATCH(A3071,"".*@simon.pt$""),REGEXMATCH(A3071,"".*@simonelectrica.com$""),REGEXMATCH(A3071,"".*@hiberus.com$""),REGEXMATCH(A3071,"".*@simonbrico.es$""),regexmatch(A3071,"".*@simonelectric.com$"")),""null"",A3"&amp;"071)"),"2373@grupoelectrostocks.com")</f>
        <v>2373@grupoelectrostocks.com</v>
      </c>
      <c r="C3071" s="5">
        <f>IF(B3071="null","null",Descargas!B3071)</f>
        <v>43914</v>
      </c>
      <c r="D3071" s="6" t="str">
        <f>Descargas!E3071</f>
        <v>https://resources.simonelectric.com/simon-ebook-vehiculo-electrico</v>
      </c>
      <c r="E3071" s="20" t="str">
        <f t="shared" si="1"/>
        <v>2373@grupoelectrostocks.com</v>
      </c>
      <c r="F3071" s="21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</row>
    <row r="3072" ht="15.75" customHeight="1">
      <c r="A3072" s="18" t="str">
        <f>Descargas!A3072</f>
        <v>2374@yahoo.com</v>
      </c>
      <c r="B3072" s="19" t="str">
        <f>IFERROR(__xludf.DUMMYFUNCTION("IF(OR(regexmatch(A3072,"".*@simon.es$""),REGEXMATCH(A3072,"".*@simon.pt$""),REGEXMATCH(A3072,"".*@simonelectrica.com$""),REGEXMATCH(A3072,"".*@hiberus.com$""),REGEXMATCH(A3072,"".*@simonbrico.es$""),regexmatch(A3072,"".*@simonelectric.com$"")),""null"",A3"&amp;"072)"),"2374@yahoo.com")</f>
        <v>2374@yahoo.com</v>
      </c>
      <c r="C3072" s="5">
        <f>IF(B3072="null","null",Descargas!B3072)</f>
        <v>43914</v>
      </c>
      <c r="D3072" s="6" t="str">
        <f>Descargas!E3072</f>
        <v>https://resources.simonelectric.com/simon-ebook-vehiculo-electrico</v>
      </c>
      <c r="E3072" s="20" t="str">
        <f t="shared" si="1"/>
        <v>2374@yahoo.com</v>
      </c>
      <c r="F3072" s="21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</row>
    <row r="3073" ht="15.75" customHeight="1">
      <c r="A3073" s="18" t="str">
        <f>Descargas!A3073</f>
        <v>2372@gmail.com</v>
      </c>
      <c r="B3073" s="19" t="str">
        <f>IFERROR(__xludf.DUMMYFUNCTION("IF(OR(regexmatch(A3073,"".*@simon.es$""),REGEXMATCH(A3073,"".*@simon.pt$""),REGEXMATCH(A3073,"".*@simonelectrica.com$""),REGEXMATCH(A3073,"".*@hiberus.com$""),REGEXMATCH(A3073,"".*@simonbrico.es$""),regexmatch(A3073,"".*@simonelectric.com$"")),""null"",A3"&amp;"073)"),"2372@gmail.com")</f>
        <v>2372@gmail.com</v>
      </c>
      <c r="C3073" s="5">
        <f>IF(B3073="null","null",Descargas!B3073)</f>
        <v>43914</v>
      </c>
      <c r="D3073" s="6" t="str">
        <f>Descargas!E3073</f>
        <v>https://resources.simonelectric.com/simon-ebook-vehiculo-electrico</v>
      </c>
      <c r="E3073" s="20" t="str">
        <f t="shared" si="1"/>
        <v>2372@gmail.com</v>
      </c>
      <c r="F3073" s="21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</row>
    <row r="3074" ht="15.75" customHeight="1">
      <c r="A3074" s="18" t="str">
        <f>Descargas!A3074</f>
        <v>2375@m4servicios.es</v>
      </c>
      <c r="B3074" s="19" t="str">
        <f>IFERROR(__xludf.DUMMYFUNCTION("IF(OR(regexmatch(A3074,"".*@simon.es$""),REGEXMATCH(A3074,"".*@simon.pt$""),REGEXMATCH(A3074,"".*@simonelectrica.com$""),REGEXMATCH(A3074,"".*@hiberus.com$""),REGEXMATCH(A3074,"".*@simonbrico.es$""),regexmatch(A3074,"".*@simonelectric.com$"")),""null"",A3"&amp;"074)"),"2375@m4servicios.es")</f>
        <v>2375@m4servicios.es</v>
      </c>
      <c r="C3074" s="5">
        <f>IF(B3074="null","null",Descargas!B3074)</f>
        <v>43914</v>
      </c>
      <c r="D3074" s="6" t="str">
        <f>Descargas!E3074</f>
        <v>https://resources.simonelectric.com/simon-ebook-vehiculo-electrico</v>
      </c>
      <c r="E3074" s="20" t="str">
        <f t="shared" si="1"/>
        <v>2375@m4servicios.es</v>
      </c>
      <c r="F3074" s="21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</row>
    <row r="3075" ht="15.75" customHeight="1">
      <c r="A3075" s="18" t="str">
        <f>Descargas!A3075</f>
        <v>2376@gmail.com</v>
      </c>
      <c r="B3075" s="19" t="str">
        <f>IFERROR(__xludf.DUMMYFUNCTION("IF(OR(regexmatch(A3075,"".*@simon.es$""),REGEXMATCH(A3075,"".*@simon.pt$""),REGEXMATCH(A3075,"".*@simonelectrica.com$""),REGEXMATCH(A3075,"".*@hiberus.com$""),REGEXMATCH(A3075,"".*@simonbrico.es$""),regexmatch(A3075,"".*@simonelectric.com$"")),""null"",A3"&amp;"075)"),"2376@gmail.com")</f>
        <v>2376@gmail.com</v>
      </c>
      <c r="C3075" s="5">
        <f>IF(B3075="null","null",Descargas!B3075)</f>
        <v>43914</v>
      </c>
      <c r="D3075" s="6" t="str">
        <f>Descargas!E3075</f>
        <v>https://resources.simonelectric.com/simon-ebook-vehiculo-electrico</v>
      </c>
      <c r="E3075" s="20" t="str">
        <f t="shared" si="1"/>
        <v>2376@gmail.com</v>
      </c>
      <c r="F3075" s="21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</row>
    <row r="3076" ht="15.75" customHeight="1">
      <c r="A3076" s="18" t="str">
        <f>Descargas!A3076</f>
        <v>2377@conmasa.cat</v>
      </c>
      <c r="B3076" s="19" t="str">
        <f>IFERROR(__xludf.DUMMYFUNCTION("IF(OR(regexmatch(A3076,"".*@simon.es$""),REGEXMATCH(A3076,"".*@simon.pt$""),REGEXMATCH(A3076,"".*@simonelectrica.com$""),REGEXMATCH(A3076,"".*@hiberus.com$""),REGEXMATCH(A3076,"".*@simonbrico.es$""),regexmatch(A3076,"".*@simonelectric.com$"")),""null"",A3"&amp;"076)"),"2377@conmasa.cat")</f>
        <v>2377@conmasa.cat</v>
      </c>
      <c r="C3076" s="5">
        <f>IF(B3076="null","null",Descargas!B3076)</f>
        <v>43914</v>
      </c>
      <c r="D3076" s="6" t="str">
        <f>Descargas!E3076</f>
        <v>https://resources.simonelectric.com/simon-catalogo-vehiculo-electrico</v>
      </c>
      <c r="E3076" s="20" t="str">
        <f t="shared" si="1"/>
        <v>2377@conmasa.cat</v>
      </c>
      <c r="F3076" s="21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</row>
    <row r="3077" ht="15.75" customHeight="1">
      <c r="A3077" s="18" t="str">
        <f>Descargas!A3077</f>
        <v>2377@conmasa.cat</v>
      </c>
      <c r="B3077" s="19" t="str">
        <f>IFERROR(__xludf.DUMMYFUNCTION("IF(OR(regexmatch(A3077,"".*@simon.es$""),REGEXMATCH(A3077,"".*@simon.pt$""),REGEXMATCH(A3077,"".*@simonelectrica.com$""),REGEXMATCH(A3077,"".*@hiberus.com$""),REGEXMATCH(A3077,"".*@simonbrico.es$""),regexmatch(A3077,"".*@simonelectric.com$"")),""null"",A3"&amp;"077)"),"2377@conmasa.cat")</f>
        <v>2377@conmasa.cat</v>
      </c>
      <c r="C3077" s="5">
        <f>IF(B3077="null","null",Descargas!B3077)</f>
        <v>43914</v>
      </c>
      <c r="D3077" s="6" t="str">
        <f>Descargas!E3077</f>
        <v>https://resources.simonelectric.com/simon-ebook-vehiculo-electrico</v>
      </c>
      <c r="E3077" s="20" t="str">
        <f t="shared" si="1"/>
        <v>2377@conmasa.cat</v>
      </c>
      <c r="F3077" s="21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</row>
    <row r="3078" ht="15.75" customHeight="1">
      <c r="A3078" s="18" t="str">
        <f>Descargas!A3078</f>
        <v>2378@montajesjep.com</v>
      </c>
      <c r="B3078" s="19" t="str">
        <f>IFERROR(__xludf.DUMMYFUNCTION("IF(OR(regexmatch(A3078,"".*@simon.es$""),REGEXMATCH(A3078,"".*@simon.pt$""),REGEXMATCH(A3078,"".*@simonelectrica.com$""),REGEXMATCH(A3078,"".*@hiberus.com$""),REGEXMATCH(A3078,"".*@simonbrico.es$""),regexmatch(A3078,"".*@simonelectric.com$"")),""null"",A3"&amp;"078)"),"2378@montajesjep.com")</f>
        <v>2378@montajesjep.com</v>
      </c>
      <c r="C3078" s="5">
        <f>IF(B3078="null","null",Descargas!B3078)</f>
        <v>43914</v>
      </c>
      <c r="D3078" s="6" t="str">
        <f>Descargas!E3078</f>
        <v>https://resources.simonelectric.com/simon-ebook-vehiculo-electrico</v>
      </c>
      <c r="E3078" s="20" t="str">
        <f t="shared" si="1"/>
        <v>2378@montajesjep.com</v>
      </c>
      <c r="F3078" s="21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</row>
    <row r="3079" ht="15.75" customHeight="1">
      <c r="A3079" s="18" t="str">
        <f>Descargas!A3079</f>
        <v>2379@erf.cat</v>
      </c>
      <c r="B3079" s="19" t="str">
        <f>IFERROR(__xludf.DUMMYFUNCTION("IF(OR(regexmatch(A3079,"".*@simon.es$""),REGEXMATCH(A3079,"".*@simon.pt$""),REGEXMATCH(A3079,"".*@simonelectrica.com$""),REGEXMATCH(A3079,"".*@hiberus.com$""),REGEXMATCH(A3079,"".*@simonbrico.es$""),regexmatch(A3079,"".*@simonelectric.com$"")),""null"",A3"&amp;"079)"),"2379@erf.cat")</f>
        <v>2379@erf.cat</v>
      </c>
      <c r="C3079" s="5">
        <f>IF(B3079="null","null",Descargas!B3079)</f>
        <v>43914</v>
      </c>
      <c r="D3079" s="6" t="str">
        <f>Descargas!E3079</f>
        <v>https://resources.simonelectric.com/simon-ebook-vehiculo-electrico</v>
      </c>
      <c r="E3079" s="20" t="str">
        <f t="shared" si="1"/>
        <v>2379@erf.cat</v>
      </c>
      <c r="F3079" s="21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</row>
    <row r="3080" ht="15.75" customHeight="1">
      <c r="A3080" s="18" t="str">
        <f>Descargas!A3080</f>
        <v>2380@gmail.com</v>
      </c>
      <c r="B3080" s="19" t="str">
        <f>IFERROR(__xludf.DUMMYFUNCTION("IF(OR(regexmatch(A3080,"".*@simon.es$""),REGEXMATCH(A3080,"".*@simon.pt$""),REGEXMATCH(A3080,"".*@simonelectrica.com$""),REGEXMATCH(A3080,"".*@hiberus.com$""),REGEXMATCH(A3080,"".*@simonbrico.es$""),regexmatch(A3080,"".*@simonelectric.com$"")),""null"",A3"&amp;"080)"),"2380@gmail.com")</f>
        <v>2380@gmail.com</v>
      </c>
      <c r="C3080" s="5">
        <f>IF(B3080="null","null",Descargas!B3080)</f>
        <v>43914</v>
      </c>
      <c r="D3080" s="6" t="str">
        <f>Descargas!E3080</f>
        <v>https://resources.simonelectric.com/simon-ebook-vehiculo-electrico</v>
      </c>
      <c r="E3080" s="20" t="str">
        <f t="shared" si="1"/>
        <v>2380@gmail.com</v>
      </c>
      <c r="F3080" s="21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</row>
    <row r="3081" ht="15.75" customHeight="1">
      <c r="A3081" s="18" t="str">
        <f>Descargas!A3081</f>
        <v>2381@outlook.com</v>
      </c>
      <c r="B3081" s="19" t="str">
        <f>IFERROR(__xludf.DUMMYFUNCTION("IF(OR(regexmatch(A3081,"".*@simon.es$""),REGEXMATCH(A3081,"".*@simon.pt$""),REGEXMATCH(A3081,"".*@simonelectrica.com$""),REGEXMATCH(A3081,"".*@hiberus.com$""),REGEXMATCH(A3081,"".*@simonbrico.es$""),regexmatch(A3081,"".*@simonelectric.com$"")),""null"",A3"&amp;"081)"),"2381@outlook.com")</f>
        <v>2381@outlook.com</v>
      </c>
      <c r="C3081" s="5">
        <f>IF(B3081="null","null",Descargas!B3081)</f>
        <v>43914</v>
      </c>
      <c r="D3081" s="6" t="str">
        <f>Descargas!E3081</f>
        <v>https://resources.simonelectric.com/simon-ebook-vehiculo-electrico</v>
      </c>
      <c r="E3081" s="20" t="str">
        <f t="shared" si="1"/>
        <v>2381@outlook.com</v>
      </c>
      <c r="F3081" s="21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</row>
    <row r="3082" ht="15.75" customHeight="1">
      <c r="A3082" s="18" t="str">
        <f>Descargas!A3082</f>
        <v>1923@agosa.es</v>
      </c>
      <c r="B3082" s="19" t="str">
        <f>IFERROR(__xludf.DUMMYFUNCTION("IF(OR(regexmatch(A3082,"".*@simon.es$""),REGEXMATCH(A3082,"".*@simon.pt$""),REGEXMATCH(A3082,"".*@simonelectrica.com$""),REGEXMATCH(A3082,"".*@hiberus.com$""),REGEXMATCH(A3082,"".*@simonbrico.es$""),regexmatch(A3082,"".*@simonelectric.com$"")),""null"",A3"&amp;"082)"),"1923@agosa.es")</f>
        <v>1923@agosa.es</v>
      </c>
      <c r="C3082" s="5">
        <f>IF(B3082="null","null",Descargas!B3082)</f>
        <v>43914</v>
      </c>
      <c r="D3082" s="6" t="str">
        <f>Descargas!E3082</f>
        <v>https://resources.simonelectric.com/simon-ebook-vehiculo-electrico</v>
      </c>
      <c r="E3082" s="20" t="str">
        <f t="shared" si="1"/>
        <v>1923@agosa.es</v>
      </c>
      <c r="F3082" s="21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</row>
    <row r="3083" ht="15.75" customHeight="1">
      <c r="A3083" s="18" t="str">
        <f>Descargas!A3083</f>
        <v>2382@hotmail.com</v>
      </c>
      <c r="B3083" s="19" t="str">
        <f>IFERROR(__xludf.DUMMYFUNCTION("IF(OR(regexmatch(A3083,"".*@simon.es$""),REGEXMATCH(A3083,"".*@simon.pt$""),REGEXMATCH(A3083,"".*@simonelectrica.com$""),REGEXMATCH(A3083,"".*@hiberus.com$""),REGEXMATCH(A3083,"".*@simonbrico.es$""),regexmatch(A3083,"".*@simonelectric.com$"")),""null"",A3"&amp;"083)"),"2382@hotmail.com")</f>
        <v>2382@hotmail.com</v>
      </c>
      <c r="C3083" s="5">
        <f>IF(B3083="null","null",Descargas!B3083)</f>
        <v>43914</v>
      </c>
      <c r="D3083" s="6" t="str">
        <f>Descargas!E3083</f>
        <v>https://resources.simonelectric.com/simon-ebook-vehiculo-electrico</v>
      </c>
      <c r="E3083" s="20" t="str">
        <f t="shared" si="1"/>
        <v>2382@hotmail.com</v>
      </c>
      <c r="F3083" s="21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</row>
    <row r="3084" ht="15.75" customHeight="1">
      <c r="A3084" s="18" t="str">
        <f>Descargas!A3084</f>
        <v>1393@electricidadguerra.com</v>
      </c>
      <c r="B3084" s="19" t="str">
        <f>IFERROR(__xludf.DUMMYFUNCTION("IF(OR(regexmatch(A3084,"".*@simon.es$""),REGEXMATCH(A3084,"".*@simon.pt$""),REGEXMATCH(A3084,"".*@simonelectrica.com$""),REGEXMATCH(A3084,"".*@hiberus.com$""),REGEXMATCH(A3084,"".*@simonbrico.es$""),regexmatch(A3084,"".*@simonelectric.com$"")),""null"",A3"&amp;"084)"),"1393@electricidadguerra.com")</f>
        <v>1393@electricidadguerra.com</v>
      </c>
      <c r="C3084" s="5">
        <f>IF(B3084="null","null",Descargas!B3084)</f>
        <v>43914</v>
      </c>
      <c r="D3084" s="6" t="str">
        <f>Descargas!E3084</f>
        <v>https://resources.simonelectric.com/simon-ebook-vehiculo-electrico</v>
      </c>
      <c r="E3084" s="20" t="str">
        <f t="shared" si="1"/>
        <v>1393@electricidadguerra.com</v>
      </c>
      <c r="F3084" s="21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</row>
    <row r="3085" ht="15.75" customHeight="1">
      <c r="A3085" s="18" t="str">
        <f>Descargas!A3085</f>
        <v>2383@fff.com</v>
      </c>
      <c r="B3085" s="19" t="str">
        <f>IFERROR(__xludf.DUMMYFUNCTION("IF(OR(regexmatch(A3085,"".*@simon.es$""),REGEXMATCH(A3085,"".*@simon.pt$""),REGEXMATCH(A3085,"".*@simonelectrica.com$""),REGEXMATCH(A3085,"".*@hiberus.com$""),REGEXMATCH(A3085,"".*@simonbrico.es$""),regexmatch(A3085,"".*@simonelectric.com$"")),""null"",A3"&amp;"085)"),"2383@fff.com")</f>
        <v>2383@fff.com</v>
      </c>
      <c r="C3085" s="5">
        <f>IF(B3085="null","null",Descargas!B3085)</f>
        <v>43914</v>
      </c>
      <c r="D3085" s="6" t="str">
        <f>Descargas!E3085</f>
        <v>https://resources.simonelectric.com/simon-catalogo-vehiculo-electrico</v>
      </c>
      <c r="E3085" s="20" t="str">
        <f t="shared" si="1"/>
        <v>2383@fff.com</v>
      </c>
      <c r="F3085" s="21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</row>
    <row r="3086" ht="15.75" customHeight="1">
      <c r="A3086" s="18" t="str">
        <f>Descargas!A3086</f>
        <v>2384@kapsch.net</v>
      </c>
      <c r="B3086" s="19" t="str">
        <f>IFERROR(__xludf.DUMMYFUNCTION("IF(OR(regexmatch(A3086,"".*@simon.es$""),REGEXMATCH(A3086,"".*@simon.pt$""),REGEXMATCH(A3086,"".*@simonelectrica.com$""),REGEXMATCH(A3086,"".*@hiberus.com$""),REGEXMATCH(A3086,"".*@simonbrico.es$""),regexmatch(A3086,"".*@simonelectric.com$"")),""null"",A3"&amp;"086)"),"2384@kapsch.net")</f>
        <v>2384@kapsch.net</v>
      </c>
      <c r="C3086" s="5">
        <f>IF(B3086="null","null",Descargas!B3086)</f>
        <v>43914</v>
      </c>
      <c r="D3086" s="6" t="str">
        <f>Descargas!E3086</f>
        <v>https://resources.simonelectric.com/simon-ebook-vehiculo-electrico</v>
      </c>
      <c r="E3086" s="20" t="str">
        <f t="shared" si="1"/>
        <v>2384@kapsch.net</v>
      </c>
      <c r="F3086" s="21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</row>
    <row r="3087" ht="15.75" customHeight="1">
      <c r="A3087" s="18" t="str">
        <f>Descargas!A3087</f>
        <v>2385@gg.com</v>
      </c>
      <c r="B3087" s="19" t="str">
        <f>IFERROR(__xludf.DUMMYFUNCTION("IF(OR(regexmatch(A3087,"".*@simon.es$""),REGEXMATCH(A3087,"".*@simon.pt$""),REGEXMATCH(A3087,"".*@simonelectrica.com$""),REGEXMATCH(A3087,"".*@hiberus.com$""),REGEXMATCH(A3087,"".*@simonbrico.es$""),regexmatch(A3087,"".*@simonelectric.com$"")),""null"",A3"&amp;"087)"),"2385@gg.com")</f>
        <v>2385@gg.com</v>
      </c>
      <c r="C3087" s="5">
        <f>IF(B3087="null","null",Descargas!B3087)</f>
        <v>43914</v>
      </c>
      <c r="D3087" s="6" t="str">
        <f>Descargas!E3087</f>
        <v>https://resources.simonelectric.com/simon-ebook-vehiculo-electrico</v>
      </c>
      <c r="E3087" s="20" t="str">
        <f t="shared" si="1"/>
        <v>2385@gg.com</v>
      </c>
      <c r="F3087" s="21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</row>
    <row r="3088" ht="15.75" customHeight="1">
      <c r="A3088" s="18" t="str">
        <f>Descargas!A3088</f>
        <v>2386@agosa.es</v>
      </c>
      <c r="B3088" s="19" t="str">
        <f>IFERROR(__xludf.DUMMYFUNCTION("IF(OR(regexmatch(A3088,"".*@simon.es$""),REGEXMATCH(A3088,"".*@simon.pt$""),REGEXMATCH(A3088,"".*@simonelectrica.com$""),REGEXMATCH(A3088,"".*@hiberus.com$""),REGEXMATCH(A3088,"".*@simonbrico.es$""),regexmatch(A3088,"".*@simonelectric.com$"")),""null"",A3"&amp;"088)"),"2386@agosa.es")</f>
        <v>2386@agosa.es</v>
      </c>
      <c r="C3088" s="5">
        <f>IF(B3088="null","null",Descargas!B3088)</f>
        <v>43914</v>
      </c>
      <c r="D3088" s="6" t="str">
        <f>Descargas!E3088</f>
        <v>https://resources.simonelectric.com/simon-ebook-vehiculo-electrico</v>
      </c>
      <c r="E3088" s="20" t="str">
        <f t="shared" si="1"/>
        <v>2386@agosa.es</v>
      </c>
      <c r="F3088" s="21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</row>
    <row r="3089" ht="15.75" customHeight="1">
      <c r="A3089" s="18" t="str">
        <f>Descargas!A3089</f>
        <v>2387@yahoo.es</v>
      </c>
      <c r="B3089" s="19" t="str">
        <f>IFERROR(__xludf.DUMMYFUNCTION("IF(OR(regexmatch(A3089,"".*@simon.es$""),REGEXMATCH(A3089,"".*@simon.pt$""),REGEXMATCH(A3089,"".*@simonelectrica.com$""),REGEXMATCH(A3089,"".*@hiberus.com$""),REGEXMATCH(A3089,"".*@simonbrico.es$""),regexmatch(A3089,"".*@simonelectric.com$"")),""null"",A3"&amp;"089)"),"2387@yahoo.es")</f>
        <v>2387@yahoo.es</v>
      </c>
      <c r="C3089" s="5">
        <f>IF(B3089="null","null",Descargas!B3089)</f>
        <v>43914</v>
      </c>
      <c r="D3089" s="6" t="str">
        <f>Descargas!E3089</f>
        <v>https://resources.simonelectric.com/simon-ebook-vehiculo-electrico</v>
      </c>
      <c r="E3089" s="20" t="str">
        <f t="shared" si="1"/>
        <v>2387@yahoo.es</v>
      </c>
      <c r="F3089" s="21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</row>
    <row r="3090" ht="15.75" customHeight="1">
      <c r="A3090" s="18" t="str">
        <f>Descargas!A3090</f>
        <v>2388@gmail.com</v>
      </c>
      <c r="B3090" s="19" t="str">
        <f>IFERROR(__xludf.DUMMYFUNCTION("IF(OR(regexmatch(A3090,"".*@simon.es$""),REGEXMATCH(A3090,"".*@simon.pt$""),REGEXMATCH(A3090,"".*@simonelectrica.com$""),REGEXMATCH(A3090,"".*@hiberus.com$""),REGEXMATCH(A3090,"".*@simonbrico.es$""),regexmatch(A3090,"".*@simonelectric.com$"")),""null"",A3"&amp;"090)"),"2388@gmail.com")</f>
        <v>2388@gmail.com</v>
      </c>
      <c r="C3090" s="5">
        <f>IF(B3090="null","null",Descargas!B3090)</f>
        <v>43914</v>
      </c>
      <c r="D3090" s="6" t="str">
        <f>Descargas!E3090</f>
        <v>https://resources.simonelectric.com/simon-ebook-vehiculo-electrico</v>
      </c>
      <c r="E3090" s="20" t="str">
        <f t="shared" si="1"/>
        <v>2388@gmail.com</v>
      </c>
      <c r="F3090" s="21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</row>
    <row r="3091" ht="15.75" customHeight="1">
      <c r="A3091" s="18" t="str">
        <f>Descargas!A3091</f>
        <v>2174@wurth.es</v>
      </c>
      <c r="B3091" s="19" t="str">
        <f>IFERROR(__xludf.DUMMYFUNCTION("IF(OR(regexmatch(A3091,"".*@simon.es$""),REGEXMATCH(A3091,"".*@simon.pt$""),REGEXMATCH(A3091,"".*@simonelectrica.com$""),REGEXMATCH(A3091,"".*@hiberus.com$""),REGEXMATCH(A3091,"".*@simonbrico.es$""),regexmatch(A3091,"".*@simonelectric.com$"")),""null"",A3"&amp;"091)"),"2174@wurth.es")</f>
        <v>2174@wurth.es</v>
      </c>
      <c r="C3091" s="5">
        <f>IF(B3091="null","null",Descargas!B3091)</f>
        <v>43914</v>
      </c>
      <c r="D3091" s="6" t="str">
        <f>Descargas!E3091</f>
        <v>https://resources.simonelectric.com/simon-ebook-vehiculo-electrico</v>
      </c>
      <c r="E3091" s="20" t="str">
        <f t="shared" si="1"/>
        <v>2174@wurth.es</v>
      </c>
      <c r="F3091" s="21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</row>
    <row r="3092" ht="15.75" customHeight="1">
      <c r="A3092" s="18" t="str">
        <f>Descargas!A3092</f>
        <v>2389@gruponovelec.com</v>
      </c>
      <c r="B3092" s="19" t="str">
        <f>IFERROR(__xludf.DUMMYFUNCTION("IF(OR(regexmatch(A3092,"".*@simon.es$""),REGEXMATCH(A3092,"".*@simon.pt$""),REGEXMATCH(A3092,"".*@simonelectrica.com$""),REGEXMATCH(A3092,"".*@hiberus.com$""),REGEXMATCH(A3092,"".*@simonbrico.es$""),regexmatch(A3092,"".*@simonelectric.com$"")),""null"",A3"&amp;"092)"),"2389@gruponovelec.com")</f>
        <v>2389@gruponovelec.com</v>
      </c>
      <c r="C3092" s="5">
        <f>IF(B3092="null","null",Descargas!B3092)</f>
        <v>43914</v>
      </c>
      <c r="D3092" s="6" t="str">
        <f>Descargas!E3092</f>
        <v>https://resources.simonelectric.com/simon-ebook-vehiculo-electrico</v>
      </c>
      <c r="E3092" s="20" t="str">
        <f t="shared" si="1"/>
        <v>2389@gruponovelec.com</v>
      </c>
      <c r="F3092" s="21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</row>
    <row r="3093" ht="15.75" customHeight="1">
      <c r="A3093" s="18" t="str">
        <f>Descargas!A3093</f>
        <v>2390@gmail.com</v>
      </c>
      <c r="B3093" s="19" t="str">
        <f>IFERROR(__xludf.DUMMYFUNCTION("IF(OR(regexmatch(A3093,"".*@simon.es$""),REGEXMATCH(A3093,"".*@simon.pt$""),REGEXMATCH(A3093,"".*@simonelectrica.com$""),REGEXMATCH(A3093,"".*@hiberus.com$""),REGEXMATCH(A3093,"".*@simonbrico.es$""),regexmatch(A3093,"".*@simonelectric.com$"")),""null"",A3"&amp;"093)"),"2390@gmail.com")</f>
        <v>2390@gmail.com</v>
      </c>
      <c r="C3093" s="5">
        <f>IF(B3093="null","null",Descargas!B3093)</f>
        <v>43914</v>
      </c>
      <c r="D3093" s="6" t="str">
        <f>Descargas!E3093</f>
        <v>https://resources.simonelectric.com/simon-ebook-vehiculo-electrico</v>
      </c>
      <c r="E3093" s="20" t="str">
        <f t="shared" si="1"/>
        <v>2390@gmail.com</v>
      </c>
      <c r="F3093" s="21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</row>
    <row r="3094" ht="15.75" customHeight="1">
      <c r="A3094" s="18" t="str">
        <f>Descargas!A3094</f>
        <v>2391@casamarquez.es</v>
      </c>
      <c r="B3094" s="19" t="str">
        <f>IFERROR(__xludf.DUMMYFUNCTION("IF(OR(regexmatch(A3094,"".*@simon.es$""),REGEXMATCH(A3094,"".*@simon.pt$""),REGEXMATCH(A3094,"".*@simonelectrica.com$""),REGEXMATCH(A3094,"".*@hiberus.com$""),REGEXMATCH(A3094,"".*@simonbrico.es$""),regexmatch(A3094,"".*@simonelectric.com$"")),""null"",A3"&amp;"094)"),"2391@casamarquez.es")</f>
        <v>2391@casamarquez.es</v>
      </c>
      <c r="C3094" s="5">
        <f>IF(B3094="null","null",Descargas!B3094)</f>
        <v>43914</v>
      </c>
      <c r="D3094" s="6" t="str">
        <f>Descargas!E3094</f>
        <v>https://resources.simonelectric.com/simon-ebook-vehiculo-electrico</v>
      </c>
      <c r="E3094" s="20" t="str">
        <f t="shared" si="1"/>
        <v>2391@casamarquez.es</v>
      </c>
      <c r="F3094" s="21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</row>
    <row r="3095" ht="15.75" customHeight="1">
      <c r="A3095" s="18" t="str">
        <f>Descargas!A3095</f>
        <v>2392@gmail.com</v>
      </c>
      <c r="B3095" s="19" t="str">
        <f>IFERROR(__xludf.DUMMYFUNCTION("IF(OR(regexmatch(A3095,"".*@simon.es$""),REGEXMATCH(A3095,"".*@simon.pt$""),REGEXMATCH(A3095,"".*@simonelectrica.com$""),REGEXMATCH(A3095,"".*@hiberus.com$""),REGEXMATCH(A3095,"".*@simonbrico.es$""),regexmatch(A3095,"".*@simonelectric.com$"")),""null"",A3"&amp;"095)"),"2392@gmail.com")</f>
        <v>2392@gmail.com</v>
      </c>
      <c r="C3095" s="5">
        <f>IF(B3095="null","null",Descargas!B3095)</f>
        <v>43914</v>
      </c>
      <c r="D3095" s="6" t="str">
        <f>Descargas!E3095</f>
        <v>https://resources.simonelectric.com/simon-ebook-vehiculo-electrico</v>
      </c>
      <c r="E3095" s="20" t="str">
        <f t="shared" si="1"/>
        <v>2392@gmail.com</v>
      </c>
      <c r="F3095" s="21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</row>
    <row r="3096" ht="15.75" customHeight="1">
      <c r="A3096" s="18" t="str">
        <f>Descargas!A3096</f>
        <v>2393@gmail.com</v>
      </c>
      <c r="B3096" s="19" t="str">
        <f>IFERROR(__xludf.DUMMYFUNCTION("IF(OR(regexmatch(A3096,"".*@simon.es$""),REGEXMATCH(A3096,"".*@simon.pt$""),REGEXMATCH(A3096,"".*@simonelectrica.com$""),REGEXMATCH(A3096,"".*@hiberus.com$""),REGEXMATCH(A3096,"".*@simonbrico.es$""),regexmatch(A3096,"".*@simonelectric.com$"")),""null"",A3"&amp;"096)"),"2393@gmail.com")</f>
        <v>2393@gmail.com</v>
      </c>
      <c r="C3096" s="5">
        <f>IF(B3096="null","null",Descargas!B3096)</f>
        <v>43914</v>
      </c>
      <c r="D3096" s="6" t="str">
        <f>Descargas!E3096</f>
        <v>https://resources.simonelectric.com/simon-ebook-vehiculo-electrico</v>
      </c>
      <c r="E3096" s="20" t="str">
        <f t="shared" si="1"/>
        <v>2393@gmail.com</v>
      </c>
      <c r="F3096" s="21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</row>
    <row r="3097" ht="15.75" customHeight="1">
      <c r="A3097" s="18" t="str">
        <f>Descargas!A3097</f>
        <v>2394@bladis.com</v>
      </c>
      <c r="B3097" s="19" t="str">
        <f>IFERROR(__xludf.DUMMYFUNCTION("IF(OR(regexmatch(A3097,"".*@simon.es$""),REGEXMATCH(A3097,"".*@simon.pt$""),REGEXMATCH(A3097,"".*@simonelectrica.com$""),REGEXMATCH(A3097,"".*@hiberus.com$""),REGEXMATCH(A3097,"".*@simonbrico.es$""),regexmatch(A3097,"".*@simonelectric.com$"")),""null"",A3"&amp;"097)"),"2394@bladis.com")</f>
        <v>2394@bladis.com</v>
      </c>
      <c r="C3097" s="5">
        <f>IF(B3097="null","null",Descargas!B3097)</f>
        <v>43914</v>
      </c>
      <c r="D3097" s="6" t="str">
        <f>Descargas!E3097</f>
        <v>https://resources.simonelectric.com/simon-ebook-vehiculo-electrico-0</v>
      </c>
      <c r="E3097" s="20" t="str">
        <f t="shared" si="1"/>
        <v>2394@bladis.com</v>
      </c>
      <c r="F3097" s="21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</row>
    <row r="3098" ht="15.75" customHeight="1">
      <c r="A3098" s="18" t="str">
        <f>Descargas!A3098</f>
        <v>1220@sanitariosbosco.es</v>
      </c>
      <c r="B3098" s="19" t="str">
        <f>IFERROR(__xludf.DUMMYFUNCTION("IF(OR(regexmatch(A3098,"".*@simon.es$""),REGEXMATCH(A3098,"".*@simon.pt$""),REGEXMATCH(A3098,"".*@simonelectrica.com$""),REGEXMATCH(A3098,"".*@hiberus.com$""),REGEXMATCH(A3098,"".*@simonbrico.es$""),regexmatch(A3098,"".*@simonelectric.com$"")),""null"",A3"&amp;"098)"),"1220@sanitariosbosco.es")</f>
        <v>1220@sanitariosbosco.es</v>
      </c>
      <c r="C3098" s="5">
        <f>IF(B3098="null","null",Descargas!B3098)</f>
        <v>43914</v>
      </c>
      <c r="D3098" s="6" t="str">
        <f>Descargas!E3098</f>
        <v>https://resources.simonelectric.com/simon-ebook-vehiculo-electrico</v>
      </c>
      <c r="E3098" s="20" t="str">
        <f t="shared" si="1"/>
        <v>1220@sanitariosbosco.es</v>
      </c>
      <c r="F3098" s="21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</row>
    <row r="3099" ht="15.75" customHeight="1">
      <c r="A3099" s="18" t="str">
        <f>Descargas!A3099</f>
        <v>2395@gruponovelec.com</v>
      </c>
      <c r="B3099" s="19" t="str">
        <f>IFERROR(__xludf.DUMMYFUNCTION("IF(OR(regexmatch(A3099,"".*@simon.es$""),REGEXMATCH(A3099,"".*@simon.pt$""),REGEXMATCH(A3099,"".*@simonelectrica.com$""),REGEXMATCH(A3099,"".*@hiberus.com$""),REGEXMATCH(A3099,"".*@simonbrico.es$""),regexmatch(A3099,"".*@simonelectric.com$"")),""null"",A3"&amp;"099)"),"2395@gruponovelec.com")</f>
        <v>2395@gruponovelec.com</v>
      </c>
      <c r="C3099" s="5">
        <f>IF(B3099="null","null",Descargas!B3099)</f>
        <v>43914</v>
      </c>
      <c r="D3099" s="6" t="str">
        <f>Descargas!E3099</f>
        <v>https://resources.simonelectric.com/simon-ebook-vehiculo-electrico</v>
      </c>
      <c r="E3099" s="20" t="str">
        <f t="shared" si="1"/>
        <v>2395@gruponovelec.com</v>
      </c>
      <c r="F3099" s="21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</row>
    <row r="3100" ht="15.75" customHeight="1">
      <c r="A3100" s="18" t="str">
        <f>Descargas!A3100</f>
        <v>1096@mpf-ingenieria.es</v>
      </c>
      <c r="B3100" s="19" t="str">
        <f>IFERROR(__xludf.DUMMYFUNCTION("IF(OR(regexmatch(A3100,"".*@simon.es$""),REGEXMATCH(A3100,"".*@simon.pt$""),REGEXMATCH(A3100,"".*@simonelectrica.com$""),REGEXMATCH(A3100,"".*@hiberus.com$""),REGEXMATCH(A3100,"".*@simonbrico.es$""),regexmatch(A3100,"".*@simonelectric.com$"")),""null"",A3"&amp;"100)"),"1096@mpf-ingenieria.es")</f>
        <v>1096@mpf-ingenieria.es</v>
      </c>
      <c r="C3100" s="5">
        <f>IF(B3100="null","null",Descargas!B3100)</f>
        <v>43914</v>
      </c>
      <c r="D3100" s="6" t="str">
        <f>Descargas!E3100</f>
        <v>https://resources.simonelectric.com/simon-ebook-vehiculo-electrico</v>
      </c>
      <c r="E3100" s="20" t="str">
        <f t="shared" si="1"/>
        <v>1096@mpf-ingenieria.es</v>
      </c>
      <c r="F3100" s="21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</row>
    <row r="3101" ht="15.75" customHeight="1">
      <c r="A3101" s="18" t="str">
        <f>Descargas!A3101</f>
        <v>925@eco-voltaica.com</v>
      </c>
      <c r="B3101" s="19" t="str">
        <f>IFERROR(__xludf.DUMMYFUNCTION("IF(OR(regexmatch(A3101,"".*@simon.es$""),REGEXMATCH(A3101,"".*@simon.pt$""),REGEXMATCH(A3101,"".*@simonelectrica.com$""),REGEXMATCH(A3101,"".*@hiberus.com$""),REGEXMATCH(A3101,"".*@simonbrico.es$""),regexmatch(A3101,"".*@simonelectric.com$"")),""null"",A3"&amp;"101)"),"925@eco-voltaica.com")</f>
        <v>925@eco-voltaica.com</v>
      </c>
      <c r="C3101" s="5">
        <f>IF(B3101="null","null",Descargas!B3101)</f>
        <v>43914</v>
      </c>
      <c r="D3101" s="6" t="str">
        <f>Descargas!E3101</f>
        <v>https://resources.simonelectric.com/simon-ebook-vehiculo-electrico</v>
      </c>
      <c r="E3101" s="20" t="str">
        <f t="shared" si="1"/>
        <v>925@eco-voltaica.com</v>
      </c>
      <c r="F3101" s="21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</row>
    <row r="3102" ht="15.75" customHeight="1">
      <c r="A3102" s="18" t="str">
        <f>Descargas!A3102</f>
        <v>2396@sonepar.es</v>
      </c>
      <c r="B3102" s="19" t="str">
        <f>IFERROR(__xludf.DUMMYFUNCTION("IF(OR(regexmatch(A3102,"".*@simon.es$""),REGEXMATCH(A3102,"".*@simon.pt$""),REGEXMATCH(A3102,"".*@simonelectrica.com$""),REGEXMATCH(A3102,"".*@hiberus.com$""),REGEXMATCH(A3102,"".*@simonbrico.es$""),regexmatch(A3102,"".*@simonelectric.com$"")),""null"",A3"&amp;"102)"),"2396@sonepar.es")</f>
        <v>2396@sonepar.es</v>
      </c>
      <c r="C3102" s="5">
        <f>IF(B3102="null","null",Descargas!B3102)</f>
        <v>43914</v>
      </c>
      <c r="D3102" s="6" t="str">
        <f>Descargas!E3102</f>
        <v>https://resources.simonelectric.com/simon-ebook-vehiculo-electrico</v>
      </c>
      <c r="E3102" s="20" t="str">
        <f t="shared" si="1"/>
        <v>2396@sonepar.es</v>
      </c>
      <c r="F3102" s="21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</row>
    <row r="3103" ht="15.75" customHeight="1">
      <c r="A3103" s="18" t="str">
        <f>Descargas!A3103</f>
        <v>2397@a2bingenieros.com</v>
      </c>
      <c r="B3103" s="19" t="str">
        <f>IFERROR(__xludf.DUMMYFUNCTION("IF(OR(regexmatch(A3103,"".*@simon.es$""),REGEXMATCH(A3103,"".*@simon.pt$""),REGEXMATCH(A3103,"".*@simonelectrica.com$""),REGEXMATCH(A3103,"".*@hiberus.com$""),REGEXMATCH(A3103,"".*@simonbrico.es$""),regexmatch(A3103,"".*@simonelectric.com$"")),""null"",A3"&amp;"103)"),"2397@a2bingenieros.com")</f>
        <v>2397@a2bingenieros.com</v>
      </c>
      <c r="C3103" s="5">
        <f>IF(B3103="null","null",Descargas!B3103)</f>
        <v>43914</v>
      </c>
      <c r="D3103" s="6" t="str">
        <f>Descargas!E3103</f>
        <v>https://resources.simonelectric.com/simon-ebook-vehiculo-electrico</v>
      </c>
      <c r="E3103" s="20" t="str">
        <f t="shared" si="1"/>
        <v>2397@a2bingenieros.com</v>
      </c>
      <c r="F3103" s="21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</row>
    <row r="3104" ht="15.75" customHeight="1">
      <c r="A3104" s="18" t="str">
        <f>Descargas!A3104</f>
        <v>2398@hotmail.com</v>
      </c>
      <c r="B3104" s="19" t="str">
        <f>IFERROR(__xludf.DUMMYFUNCTION("IF(OR(regexmatch(A3104,"".*@simon.es$""),REGEXMATCH(A3104,"".*@simon.pt$""),REGEXMATCH(A3104,"".*@simonelectrica.com$""),REGEXMATCH(A3104,"".*@hiberus.com$""),REGEXMATCH(A3104,"".*@simonbrico.es$""),regexmatch(A3104,"".*@simonelectric.com$"")),""null"",A3"&amp;"104)"),"2398@hotmail.com")</f>
        <v>2398@hotmail.com</v>
      </c>
      <c r="C3104" s="5">
        <f>IF(B3104="null","null",Descargas!B3104)</f>
        <v>43914</v>
      </c>
      <c r="D3104" s="6" t="str">
        <f>Descargas!E3104</f>
        <v>https://resources.simonelectric.com/simon-ebook-vehiculo-electrico</v>
      </c>
      <c r="E3104" s="20" t="str">
        <f t="shared" si="1"/>
        <v>2398@hotmail.com</v>
      </c>
      <c r="F3104" s="21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</row>
    <row r="3105" ht="15.75" customHeight="1">
      <c r="A3105" s="18" t="str">
        <f>Descargas!A3105</f>
        <v>2399@teclisa.com</v>
      </c>
      <c r="B3105" s="19" t="str">
        <f>IFERROR(__xludf.DUMMYFUNCTION("IF(OR(regexmatch(A3105,"".*@simon.es$""),REGEXMATCH(A3105,"".*@simon.pt$""),REGEXMATCH(A3105,"".*@simonelectrica.com$""),REGEXMATCH(A3105,"".*@hiberus.com$""),REGEXMATCH(A3105,"".*@simonbrico.es$""),regexmatch(A3105,"".*@simonelectric.com$"")),""null"",A3"&amp;"105)"),"2399@teclisa.com")</f>
        <v>2399@teclisa.com</v>
      </c>
      <c r="C3105" s="5">
        <f>IF(B3105="null","null",Descargas!B3105)</f>
        <v>43914</v>
      </c>
      <c r="D3105" s="6" t="str">
        <f>Descargas!E3105</f>
        <v>https://resources.simonelectric.com/simon-ebook-vehiculo-electrico</v>
      </c>
      <c r="E3105" s="20" t="str">
        <f t="shared" si="1"/>
        <v>2399@teclisa.com</v>
      </c>
      <c r="F3105" s="21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</row>
    <row r="3106" ht="15.75" customHeight="1">
      <c r="A3106" s="18" t="str">
        <f>Descargas!A3106</f>
        <v>2400@ormazabal.com</v>
      </c>
      <c r="B3106" s="19" t="str">
        <f>IFERROR(__xludf.DUMMYFUNCTION("IF(OR(regexmatch(A3106,"".*@simon.es$""),REGEXMATCH(A3106,"".*@simon.pt$""),REGEXMATCH(A3106,"".*@simonelectrica.com$""),REGEXMATCH(A3106,"".*@hiberus.com$""),REGEXMATCH(A3106,"".*@simonbrico.es$""),regexmatch(A3106,"".*@simonelectric.com$"")),""null"",A3"&amp;"106)"),"2400@ormazabal.com")</f>
        <v>2400@ormazabal.com</v>
      </c>
      <c r="C3106" s="5">
        <f>IF(B3106="null","null",Descargas!B3106)</f>
        <v>43914</v>
      </c>
      <c r="D3106" s="6" t="str">
        <f>Descargas!E3106</f>
        <v>https://resources.simonelectric.com/simon-ebook-vehiculo-electrico</v>
      </c>
      <c r="E3106" s="20" t="str">
        <f t="shared" si="1"/>
        <v>2400@ormazabal.com</v>
      </c>
      <c r="F3106" s="21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</row>
    <row r="3107" ht="15.75" customHeight="1">
      <c r="A3107" s="18" t="str">
        <f>Descargas!A3107</f>
        <v>2401@hotmail.com</v>
      </c>
      <c r="B3107" s="19" t="str">
        <f>IFERROR(__xludf.DUMMYFUNCTION("IF(OR(regexmatch(A3107,"".*@simon.es$""),REGEXMATCH(A3107,"".*@simon.pt$""),REGEXMATCH(A3107,"".*@simonelectrica.com$""),REGEXMATCH(A3107,"".*@hiberus.com$""),REGEXMATCH(A3107,"".*@simonbrico.es$""),regexmatch(A3107,"".*@simonelectric.com$"")),""null"",A3"&amp;"107)"),"2401@hotmail.com")</f>
        <v>2401@hotmail.com</v>
      </c>
      <c r="C3107" s="5">
        <f>IF(B3107="null","null",Descargas!B3107)</f>
        <v>43914</v>
      </c>
      <c r="D3107" s="6" t="str">
        <f>Descargas!E3107</f>
        <v>https://resources.simonelectric.com/simon-ebook-vehiculo-electrico</v>
      </c>
      <c r="E3107" s="20" t="str">
        <f t="shared" si="1"/>
        <v>2401@hotmail.com</v>
      </c>
      <c r="F3107" s="21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</row>
    <row r="3108" ht="15.75" customHeight="1">
      <c r="A3108" s="18" t="str">
        <f>Descargas!A3108</f>
        <v>2402@adtel.es</v>
      </c>
      <c r="B3108" s="19" t="str">
        <f>IFERROR(__xludf.DUMMYFUNCTION("IF(OR(regexmatch(A3108,"".*@simon.es$""),REGEXMATCH(A3108,"".*@simon.pt$""),REGEXMATCH(A3108,"".*@simonelectrica.com$""),REGEXMATCH(A3108,"".*@hiberus.com$""),REGEXMATCH(A3108,"".*@simonbrico.es$""),regexmatch(A3108,"".*@simonelectric.com$"")),""null"",A3"&amp;"108)"),"2402@adtel.es")</f>
        <v>2402@adtel.es</v>
      </c>
      <c r="C3108" s="5">
        <f>IF(B3108="null","null",Descargas!B3108)</f>
        <v>43914</v>
      </c>
      <c r="D3108" s="6" t="str">
        <f>Descargas!E3108</f>
        <v>https://resources.simonelectric.com/simon-ebook-vehiculo-electrico</v>
      </c>
      <c r="E3108" s="20" t="str">
        <f t="shared" si="1"/>
        <v>2402@adtel.es</v>
      </c>
      <c r="F3108" s="21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</row>
    <row r="3109" ht="15.75" customHeight="1">
      <c r="A3109" s="18" t="str">
        <f>Descargas!A3109</f>
        <v>1471@tcasertec.com</v>
      </c>
      <c r="B3109" s="19" t="str">
        <f>IFERROR(__xludf.DUMMYFUNCTION("IF(OR(regexmatch(A3109,"".*@simon.es$""),REGEXMATCH(A3109,"".*@simon.pt$""),REGEXMATCH(A3109,"".*@simonelectrica.com$""),REGEXMATCH(A3109,"".*@hiberus.com$""),REGEXMATCH(A3109,"".*@simonbrico.es$""),regexmatch(A3109,"".*@simonelectric.com$"")),""null"",A3"&amp;"109)"),"1471@tcasertec.com")</f>
        <v>1471@tcasertec.com</v>
      </c>
      <c r="C3109" s="5">
        <f>IF(B3109="null","null",Descargas!B3109)</f>
        <v>43914</v>
      </c>
      <c r="D3109" s="6" t="str">
        <f>Descargas!E3109</f>
        <v>https://resources.simonelectric.com/simon-ebook-vehiculo-electrico</v>
      </c>
      <c r="E3109" s="20" t="str">
        <f t="shared" si="1"/>
        <v>1471@tcasertec.com</v>
      </c>
      <c r="F3109" s="21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</row>
    <row r="3110" ht="15.75" customHeight="1">
      <c r="A3110" s="18" t="str">
        <f>Descargas!A3110</f>
        <v>1335@santalucia.es</v>
      </c>
      <c r="B3110" s="19" t="str">
        <f>IFERROR(__xludf.DUMMYFUNCTION("IF(OR(regexmatch(A3110,"".*@simon.es$""),REGEXMATCH(A3110,"".*@simon.pt$""),REGEXMATCH(A3110,"".*@simonelectrica.com$""),REGEXMATCH(A3110,"".*@hiberus.com$""),REGEXMATCH(A3110,"".*@simonbrico.es$""),regexmatch(A3110,"".*@simonelectric.com$"")),""null"",A3"&amp;"110)"),"1335@santalucia.es")</f>
        <v>1335@santalucia.es</v>
      </c>
      <c r="C3110" s="5">
        <f>IF(B3110="null","null",Descargas!B3110)</f>
        <v>43914</v>
      </c>
      <c r="D3110" s="6" t="str">
        <f>Descargas!E3110</f>
        <v>https://resources.simonelectric.com/simon-ebook-vehiculo-electrico</v>
      </c>
      <c r="E3110" s="20" t="str">
        <f t="shared" si="1"/>
        <v>1335@santalucia.es</v>
      </c>
      <c r="F3110" s="21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</row>
    <row r="3111" ht="15.75" customHeight="1">
      <c r="A3111" s="18" t="str">
        <f>Descargas!A3111</f>
        <v>2403@gmail.com</v>
      </c>
      <c r="B3111" s="19" t="str">
        <f>IFERROR(__xludf.DUMMYFUNCTION("IF(OR(regexmatch(A3111,"".*@simon.es$""),REGEXMATCH(A3111,"".*@simon.pt$""),REGEXMATCH(A3111,"".*@simonelectrica.com$""),REGEXMATCH(A3111,"".*@hiberus.com$""),REGEXMATCH(A3111,"".*@simonbrico.es$""),regexmatch(A3111,"".*@simonelectric.com$"")),""null"",A3"&amp;"111)"),"2403@gmail.com")</f>
        <v>2403@gmail.com</v>
      </c>
      <c r="C3111" s="5">
        <f>IF(B3111="null","null",Descargas!B3111)</f>
        <v>43914</v>
      </c>
      <c r="D3111" s="6" t="str">
        <f>Descargas!E3111</f>
        <v>https://resources.simonelectric.com/simon-ebook-vehiculo-electrico</v>
      </c>
      <c r="E3111" s="20" t="str">
        <f t="shared" si="1"/>
        <v>2403@gmail.com</v>
      </c>
      <c r="F3111" s="21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</row>
    <row r="3112" ht="15.75" customHeight="1">
      <c r="A3112" s="18" t="str">
        <f>Descargas!A3112</f>
        <v>2404@gmail.com</v>
      </c>
      <c r="B3112" s="19" t="str">
        <f>IFERROR(__xludf.DUMMYFUNCTION("IF(OR(regexmatch(A3112,"".*@simon.es$""),REGEXMATCH(A3112,"".*@simon.pt$""),REGEXMATCH(A3112,"".*@simonelectrica.com$""),REGEXMATCH(A3112,"".*@hiberus.com$""),REGEXMATCH(A3112,"".*@simonbrico.es$""),regexmatch(A3112,"".*@simonelectric.com$"")),""null"",A3"&amp;"112)"),"2404@gmail.com")</f>
        <v>2404@gmail.com</v>
      </c>
      <c r="C3112" s="5">
        <f>IF(B3112="null","null",Descargas!B3112)</f>
        <v>43914</v>
      </c>
      <c r="D3112" s="6" t="str">
        <f>Descargas!E3112</f>
        <v>https://resources.simonelectric.com/simon-ebook-vehiculo-electrico</v>
      </c>
      <c r="E3112" s="20" t="str">
        <f t="shared" si="1"/>
        <v>2404@gmail.com</v>
      </c>
      <c r="F3112" s="21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</row>
    <row r="3113" ht="15.75" customHeight="1">
      <c r="A3113" s="18" t="str">
        <f>Descargas!A3113</f>
        <v>1337@grupoelectrostocks.com</v>
      </c>
      <c r="B3113" s="19" t="str">
        <f>IFERROR(__xludf.DUMMYFUNCTION("IF(OR(regexmatch(A3113,"".*@simon.es$""),REGEXMATCH(A3113,"".*@simon.pt$""),REGEXMATCH(A3113,"".*@simonelectrica.com$""),REGEXMATCH(A3113,"".*@hiberus.com$""),REGEXMATCH(A3113,"".*@simonbrico.es$""),regexmatch(A3113,"".*@simonelectric.com$"")),""null"",A3"&amp;"113)"),"1337@grupoelectrostocks.com")</f>
        <v>1337@grupoelectrostocks.com</v>
      </c>
      <c r="C3113" s="5">
        <f>IF(B3113="null","null",Descargas!B3113)</f>
        <v>43914</v>
      </c>
      <c r="D3113" s="6" t="str">
        <f>Descargas!E3113</f>
        <v>https://resources.simonelectric.com/simon-ebook-vehiculo-electrico</v>
      </c>
      <c r="E3113" s="20" t="str">
        <f t="shared" si="1"/>
        <v>1337@grupoelectrostocks.com</v>
      </c>
      <c r="F3113" s="21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</row>
    <row r="3114" ht="15.75" customHeight="1">
      <c r="A3114" s="18" t="str">
        <f>Descargas!A3114</f>
        <v>2405@simon.es</v>
      </c>
      <c r="B3114" s="19" t="str">
        <f>IFERROR(__xludf.DUMMYFUNCTION("IF(OR(regexmatch(A3114,"".*@simon.es$""),REGEXMATCH(A3114,"".*@simon.pt$""),REGEXMATCH(A3114,"".*@simonelectrica.com$""),REGEXMATCH(A3114,"".*@hiberus.com$""),REGEXMATCH(A3114,"".*@simonbrico.es$""),regexmatch(A3114,"".*@simonelectric.com$"")),""null"",A3"&amp;"114)"),"null")</f>
        <v>null</v>
      </c>
      <c r="C3114" s="5" t="str">
        <f>IF(B3114="null","null",Descargas!B3114)</f>
        <v>null</v>
      </c>
      <c r="D3114" s="6" t="str">
        <f>Descargas!E3114</f>
        <v>https://resources.simonelectric.com/simon-ebook-vehiculo-electrico</v>
      </c>
      <c r="E3114" s="24" t="str">
        <f t="shared" si="1"/>
        <v/>
      </c>
      <c r="F3114" s="21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</row>
    <row r="3115" ht="15.75" customHeight="1">
      <c r="A3115" s="18" t="str">
        <f>Descargas!A3115</f>
        <v>2292@gmail.com</v>
      </c>
      <c r="B3115" s="19" t="str">
        <f>IFERROR(__xludf.DUMMYFUNCTION("IF(OR(regexmatch(A3115,"".*@simon.es$""),REGEXMATCH(A3115,"".*@simon.pt$""),REGEXMATCH(A3115,"".*@simonelectrica.com$""),REGEXMATCH(A3115,"".*@hiberus.com$""),REGEXMATCH(A3115,"".*@simonbrico.es$""),regexmatch(A3115,"".*@simonelectric.com$"")),""null"",A3"&amp;"115)"),"2292@gmail.com")</f>
        <v>2292@gmail.com</v>
      </c>
      <c r="C3115" s="5">
        <f>IF(B3115="null","null",Descargas!B3115)</f>
        <v>43914</v>
      </c>
      <c r="D3115" s="6" t="str">
        <f>Descargas!E3115</f>
        <v>https://resources.simonelectric.com/simon-ebook-vehiculo-electrico</v>
      </c>
      <c r="E3115" s="20" t="str">
        <f t="shared" si="1"/>
        <v>2292@gmail.com</v>
      </c>
      <c r="F3115" s="21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</row>
    <row r="3116" ht="15.75" customHeight="1">
      <c r="A3116" s="18" t="str">
        <f>Descargas!A3116</f>
        <v>2406@gmail.com</v>
      </c>
      <c r="B3116" s="19" t="str">
        <f>IFERROR(__xludf.DUMMYFUNCTION("IF(OR(regexmatch(A3116,"".*@simon.es$""),REGEXMATCH(A3116,"".*@simon.pt$""),REGEXMATCH(A3116,"".*@simonelectrica.com$""),REGEXMATCH(A3116,"".*@hiberus.com$""),REGEXMATCH(A3116,"".*@simonbrico.es$""),regexmatch(A3116,"".*@simonelectric.com$"")),""null"",A3"&amp;"116)"),"2406@gmail.com")</f>
        <v>2406@gmail.com</v>
      </c>
      <c r="C3116" s="5">
        <f>IF(B3116="null","null",Descargas!B3116)</f>
        <v>43914</v>
      </c>
      <c r="D3116" s="6" t="str">
        <f>Descargas!E3116</f>
        <v>https://resources.simonelectric.com/simon-ebook-vehiculo-electrico</v>
      </c>
      <c r="E3116" s="20" t="str">
        <f t="shared" si="1"/>
        <v>2406@gmail.com</v>
      </c>
      <c r="F3116" s="21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</row>
    <row r="3117" ht="15.75" customHeight="1">
      <c r="A3117" s="18" t="str">
        <f>Descargas!A3117</f>
        <v>2407@msn.com</v>
      </c>
      <c r="B3117" s="19" t="str">
        <f>IFERROR(__xludf.DUMMYFUNCTION("IF(OR(regexmatch(A3117,"".*@simon.es$""),REGEXMATCH(A3117,"".*@simon.pt$""),REGEXMATCH(A3117,"".*@simonelectrica.com$""),REGEXMATCH(A3117,"".*@hiberus.com$""),REGEXMATCH(A3117,"".*@simonbrico.es$""),regexmatch(A3117,"".*@simonelectric.com$"")),""null"",A3"&amp;"117)"),"2407@msn.com")</f>
        <v>2407@msn.com</v>
      </c>
      <c r="C3117" s="5">
        <f>IF(B3117="null","null",Descargas!B3117)</f>
        <v>43914</v>
      </c>
      <c r="D3117" s="6" t="str">
        <f>Descargas!E3117</f>
        <v>https://resources.simonelectric.com/simon-ebook-vehiculo-electrico</v>
      </c>
      <c r="E3117" s="20" t="str">
        <f t="shared" si="1"/>
        <v>2407@msn.com</v>
      </c>
      <c r="F3117" s="21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</row>
    <row r="3118" ht="15.75" customHeight="1">
      <c r="A3118" s="18" t="str">
        <f>Descargas!A3118</f>
        <v>2408@me.com</v>
      </c>
      <c r="B3118" s="19" t="str">
        <f>IFERROR(__xludf.DUMMYFUNCTION("IF(OR(regexmatch(A3118,"".*@simon.es$""),REGEXMATCH(A3118,"".*@simon.pt$""),REGEXMATCH(A3118,"".*@simonelectrica.com$""),REGEXMATCH(A3118,"".*@hiberus.com$""),REGEXMATCH(A3118,"".*@simonbrico.es$""),regexmatch(A3118,"".*@simonelectric.com$"")),""null"",A3"&amp;"118)"),"2408@me.com")</f>
        <v>2408@me.com</v>
      </c>
      <c r="C3118" s="5">
        <f>IF(B3118="null","null",Descargas!B3118)</f>
        <v>43914</v>
      </c>
      <c r="D3118" s="6" t="str">
        <f>Descargas!E3118</f>
        <v>https://resources.simonelectric.com/simon-ebook-vehiculo-electrico</v>
      </c>
      <c r="E3118" s="20" t="str">
        <f t="shared" si="1"/>
        <v>2408@me.com</v>
      </c>
      <c r="F3118" s="21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</row>
    <row r="3119" ht="15.75" customHeight="1">
      <c r="A3119" s="18" t="str">
        <f>Descargas!A3119</f>
        <v>2409@eufon.com</v>
      </c>
      <c r="B3119" s="19" t="str">
        <f>IFERROR(__xludf.DUMMYFUNCTION("IF(OR(regexmatch(A3119,"".*@simon.es$""),REGEXMATCH(A3119,"".*@simon.pt$""),REGEXMATCH(A3119,"".*@simonelectrica.com$""),REGEXMATCH(A3119,"".*@hiberus.com$""),REGEXMATCH(A3119,"".*@simonbrico.es$""),regexmatch(A3119,"".*@simonelectric.com$"")),""null"",A3"&amp;"119)"),"2409@eufon.com")</f>
        <v>2409@eufon.com</v>
      </c>
      <c r="C3119" s="5">
        <f>IF(B3119="null","null",Descargas!B3119)</f>
        <v>43914</v>
      </c>
      <c r="D3119" s="6" t="str">
        <f>Descargas!E3119</f>
        <v>https://resources.simonelectric.com/simon-ebook-vehiculo-electrico</v>
      </c>
      <c r="E3119" s="20" t="str">
        <f t="shared" si="1"/>
        <v>2409@eufon.com</v>
      </c>
      <c r="F3119" s="21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</row>
    <row r="3120" ht="15.75" customHeight="1">
      <c r="A3120" s="18" t="str">
        <f>Descargas!A3120</f>
        <v>2410@me.com</v>
      </c>
      <c r="B3120" s="19" t="str">
        <f>IFERROR(__xludf.DUMMYFUNCTION("IF(OR(regexmatch(A3120,"".*@simon.es$""),REGEXMATCH(A3120,"".*@simon.pt$""),REGEXMATCH(A3120,"".*@simonelectrica.com$""),REGEXMATCH(A3120,"".*@hiberus.com$""),REGEXMATCH(A3120,"".*@simonbrico.es$""),regexmatch(A3120,"".*@simonelectric.com$"")),""null"",A3"&amp;"120)"),"2410@me.com")</f>
        <v>2410@me.com</v>
      </c>
      <c r="C3120" s="5">
        <f>IF(B3120="null","null",Descargas!B3120)</f>
        <v>43914</v>
      </c>
      <c r="D3120" s="6" t="str">
        <f>Descargas!E3120</f>
        <v>https://resources.simonelectric.com/simon-ebook-vehiculo-electrico</v>
      </c>
      <c r="E3120" s="20" t="str">
        <f t="shared" si="1"/>
        <v>2410@me.com</v>
      </c>
      <c r="F3120" s="21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</row>
    <row r="3121" ht="15.75" customHeight="1">
      <c r="A3121" s="18" t="str">
        <f>Descargas!A3121</f>
        <v>210@simon.pt</v>
      </c>
      <c r="B3121" s="19" t="str">
        <f>IFERROR(__xludf.DUMMYFUNCTION("IF(OR(regexmatch(A3121,"".*@simon.es$""),REGEXMATCH(A3121,"".*@simon.pt$""),REGEXMATCH(A3121,"".*@simonelectrica.com$""),REGEXMATCH(A3121,"".*@hiberus.com$""),REGEXMATCH(A3121,"".*@simonbrico.es$""),regexmatch(A3121,"".*@simonelectric.com$"")),""null"",A3"&amp;"121)"),"null")</f>
        <v>null</v>
      </c>
      <c r="C3121" s="5" t="str">
        <f>IF(B3121="null","null",Descargas!B3121)</f>
        <v>null</v>
      </c>
      <c r="D3121" s="6" t="str">
        <f>Descargas!E3121</f>
        <v>https://resources.simonelectric.com/simon-ebook-vehiculo-electrico</v>
      </c>
      <c r="E3121" s="24" t="str">
        <f t="shared" si="1"/>
        <v/>
      </c>
      <c r="F3121" s="21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</row>
    <row r="3122" ht="15.75" customHeight="1">
      <c r="A3122" s="18" t="str">
        <f>Descargas!A3122</f>
        <v>2411@hotmail.com</v>
      </c>
      <c r="B3122" s="19" t="str">
        <f>IFERROR(__xludf.DUMMYFUNCTION("IF(OR(regexmatch(A3122,"".*@simon.es$""),REGEXMATCH(A3122,"".*@simon.pt$""),REGEXMATCH(A3122,"".*@simonelectrica.com$""),REGEXMATCH(A3122,"".*@hiberus.com$""),REGEXMATCH(A3122,"".*@simonbrico.es$""),regexmatch(A3122,"".*@simonelectric.com$"")),""null"",A3"&amp;"122)"),"2411@hotmail.com")</f>
        <v>2411@hotmail.com</v>
      </c>
      <c r="C3122" s="5">
        <f>IF(B3122="null","null",Descargas!B3122)</f>
        <v>43914</v>
      </c>
      <c r="D3122" s="6" t="str">
        <f>Descargas!E3122</f>
        <v>https://resources.simonelectric.com/simon-ebook-vehiculo-electrico</v>
      </c>
      <c r="E3122" s="20" t="str">
        <f t="shared" si="1"/>
        <v>2411@hotmail.com</v>
      </c>
      <c r="F3122" s="21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</row>
    <row r="3123" ht="15.75" customHeight="1">
      <c r="A3123" s="18" t="str">
        <f>Descargas!A3123</f>
        <v>2412@conmasa.cat</v>
      </c>
      <c r="B3123" s="19" t="str">
        <f>IFERROR(__xludf.DUMMYFUNCTION("IF(OR(regexmatch(A3123,"".*@simon.es$""),REGEXMATCH(A3123,"".*@simon.pt$""),REGEXMATCH(A3123,"".*@simonelectrica.com$""),REGEXMATCH(A3123,"".*@hiberus.com$""),REGEXMATCH(A3123,"".*@simonbrico.es$""),regexmatch(A3123,"".*@simonelectric.com$"")),""null"",A3"&amp;"123)"),"2412@conmasa.cat")</f>
        <v>2412@conmasa.cat</v>
      </c>
      <c r="C3123" s="5">
        <f>IF(B3123="null","null",Descargas!B3123)</f>
        <v>43914</v>
      </c>
      <c r="D3123" s="6" t="str">
        <f>Descargas!E3123</f>
        <v>https://resources.simonelectric.com/simon-ebook-vehiculo-electrico</v>
      </c>
      <c r="E3123" s="20" t="str">
        <f t="shared" si="1"/>
        <v>2412@conmasa.cat</v>
      </c>
      <c r="F3123" s="21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</row>
    <row r="3124" ht="15.75" customHeight="1">
      <c r="A3124" s="18" t="str">
        <f>Descargas!A3124</f>
        <v>2413@siemensgamesa.com</v>
      </c>
      <c r="B3124" s="19" t="str">
        <f>IFERROR(__xludf.DUMMYFUNCTION("IF(OR(regexmatch(A3124,"".*@simon.es$""),REGEXMATCH(A3124,"".*@simon.pt$""),REGEXMATCH(A3124,"".*@simonelectrica.com$""),REGEXMATCH(A3124,"".*@hiberus.com$""),REGEXMATCH(A3124,"".*@simonbrico.es$""),regexmatch(A3124,"".*@simonelectric.com$"")),""null"",A3"&amp;"124)"),"2413@siemensgamesa.com")</f>
        <v>2413@siemensgamesa.com</v>
      </c>
      <c r="C3124" s="5">
        <f>IF(B3124="null","null",Descargas!B3124)</f>
        <v>43914</v>
      </c>
      <c r="D3124" s="6" t="str">
        <f>Descargas!E3124</f>
        <v>https://resources.simonelectric.com/simon-ebook-vehiculo-electrico</v>
      </c>
      <c r="E3124" s="20" t="str">
        <f t="shared" si="1"/>
        <v>2413@siemensgamesa.com</v>
      </c>
      <c r="F3124" s="21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</row>
    <row r="3125" ht="15.75" customHeight="1">
      <c r="A3125" s="18" t="str">
        <f>Descargas!A3125</f>
        <v>2414@saenzdesanpedro.com</v>
      </c>
      <c r="B3125" s="19" t="str">
        <f>IFERROR(__xludf.DUMMYFUNCTION("IF(OR(regexmatch(A3125,"".*@simon.es$""),REGEXMATCH(A3125,"".*@simon.pt$""),REGEXMATCH(A3125,"".*@simonelectrica.com$""),REGEXMATCH(A3125,"".*@hiberus.com$""),REGEXMATCH(A3125,"".*@simonbrico.es$""),regexmatch(A3125,"".*@simonelectric.com$"")),""null"",A3"&amp;"125)"),"2414@saenzdesanpedro.com")</f>
        <v>2414@saenzdesanpedro.com</v>
      </c>
      <c r="C3125" s="5">
        <f>IF(B3125="null","null",Descargas!B3125)</f>
        <v>43914</v>
      </c>
      <c r="D3125" s="6" t="str">
        <f>Descargas!E3125</f>
        <v>https://resources.simonelectric.com/simon-ebook-vehiculo-electrico</v>
      </c>
      <c r="E3125" s="20" t="str">
        <f t="shared" si="1"/>
        <v>2414@saenzdesanpedro.com</v>
      </c>
      <c r="F3125" s="21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</row>
    <row r="3126" ht="15.75" customHeight="1">
      <c r="A3126" s="18" t="str">
        <f>Descargas!A3126</f>
        <v>1700@padrao.com.pt</v>
      </c>
      <c r="B3126" s="19" t="str">
        <f>IFERROR(__xludf.DUMMYFUNCTION("IF(OR(regexmatch(A3126,"".*@simon.es$""),REGEXMATCH(A3126,"".*@simon.pt$""),REGEXMATCH(A3126,"".*@simonelectrica.com$""),REGEXMATCH(A3126,"".*@hiberus.com$""),REGEXMATCH(A3126,"".*@simonbrico.es$""),regexmatch(A3126,"".*@simonelectric.com$"")),""null"",A3"&amp;"126)"),"1700@padrao.com.pt")</f>
        <v>1700@padrao.com.pt</v>
      </c>
      <c r="C3126" s="5">
        <f>IF(B3126="null","null",Descargas!B3126)</f>
        <v>43914</v>
      </c>
      <c r="D3126" s="6" t="str">
        <f>Descargas!E3126</f>
        <v>https://resources.simonelectric.com/simon-ebook-vehiculo-electrico</v>
      </c>
      <c r="E3126" s="20" t="str">
        <f t="shared" si="1"/>
        <v>1700@padrao.com.pt</v>
      </c>
      <c r="F3126" s="21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</row>
    <row r="3127" ht="15.75" customHeight="1">
      <c r="A3127" s="18" t="str">
        <f>Descargas!A3127</f>
        <v>1826@gestionservicios.com</v>
      </c>
      <c r="B3127" s="19" t="str">
        <f>IFERROR(__xludf.DUMMYFUNCTION("IF(OR(regexmatch(A3127,"".*@simon.es$""),REGEXMATCH(A3127,"".*@simon.pt$""),REGEXMATCH(A3127,"".*@simonelectrica.com$""),REGEXMATCH(A3127,"".*@hiberus.com$""),REGEXMATCH(A3127,"".*@simonbrico.es$""),regexmatch(A3127,"".*@simonelectric.com$"")),""null"",A3"&amp;"127)"),"1826@gestionservicios.com")</f>
        <v>1826@gestionservicios.com</v>
      </c>
      <c r="C3127" s="5">
        <f>IF(B3127="null","null",Descargas!B3127)</f>
        <v>43914</v>
      </c>
      <c r="D3127" s="6" t="str">
        <f>Descargas!E3127</f>
        <v>https://resources.simonelectric.com/simon-ebook-vehiculo-electrico</v>
      </c>
      <c r="E3127" s="20" t="str">
        <f t="shared" si="1"/>
        <v>1826@gestionservicios.com</v>
      </c>
      <c r="F3127" s="21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</row>
    <row r="3128" ht="15.75" customHeight="1">
      <c r="A3128" s="18" t="str">
        <f>Descargas!A3128</f>
        <v>2415@gmail.com</v>
      </c>
      <c r="B3128" s="19" t="str">
        <f>IFERROR(__xludf.DUMMYFUNCTION("IF(OR(regexmatch(A3128,"".*@simon.es$""),REGEXMATCH(A3128,"".*@simon.pt$""),REGEXMATCH(A3128,"".*@simonelectrica.com$""),REGEXMATCH(A3128,"".*@hiberus.com$""),REGEXMATCH(A3128,"".*@simonbrico.es$""),regexmatch(A3128,"".*@simonelectric.com$"")),""null"",A3"&amp;"128)"),"2415@gmail.com")</f>
        <v>2415@gmail.com</v>
      </c>
      <c r="C3128" s="5">
        <f>IF(B3128="null","null",Descargas!B3128)</f>
        <v>43914</v>
      </c>
      <c r="D3128" s="6" t="str">
        <f>Descargas!E3128</f>
        <v>https://resources.simonelectric.com/simon-ebook-vehiculo-electrico</v>
      </c>
      <c r="E3128" s="20" t="str">
        <f t="shared" si="1"/>
        <v>2415@gmail.com</v>
      </c>
      <c r="F3128" s="21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</row>
    <row r="3129" ht="15.75" customHeight="1">
      <c r="A3129" s="18" t="str">
        <f>Descargas!A3129</f>
        <v>1822@diexfe.com</v>
      </c>
      <c r="B3129" s="19" t="str">
        <f>IFERROR(__xludf.DUMMYFUNCTION("IF(OR(regexmatch(A3129,"".*@simon.es$""),REGEXMATCH(A3129,"".*@simon.pt$""),REGEXMATCH(A3129,"".*@simonelectrica.com$""),REGEXMATCH(A3129,"".*@hiberus.com$""),REGEXMATCH(A3129,"".*@simonbrico.es$""),regexmatch(A3129,"".*@simonelectric.com$"")),""null"",A3"&amp;"129)"),"1822@diexfe.com")</f>
        <v>1822@diexfe.com</v>
      </c>
      <c r="C3129" s="5">
        <f>IF(B3129="null","null",Descargas!B3129)</f>
        <v>43914</v>
      </c>
      <c r="D3129" s="6" t="str">
        <f>Descargas!E3129</f>
        <v>https://resources.simonelectric.com/simon-ebook-vehiculo-electrico</v>
      </c>
      <c r="E3129" s="20" t="str">
        <f t="shared" si="1"/>
        <v>1822@diexfe.com</v>
      </c>
      <c r="F3129" s="21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</row>
    <row r="3130" ht="15.75" customHeight="1">
      <c r="A3130" s="18" t="str">
        <f>Descargas!A3130</f>
        <v>2416@veolia.com</v>
      </c>
      <c r="B3130" s="19" t="str">
        <f>IFERROR(__xludf.DUMMYFUNCTION("IF(OR(regexmatch(A3130,"".*@simon.es$""),REGEXMATCH(A3130,"".*@simon.pt$""),REGEXMATCH(A3130,"".*@simonelectrica.com$""),REGEXMATCH(A3130,"".*@hiberus.com$""),REGEXMATCH(A3130,"".*@simonbrico.es$""),regexmatch(A3130,"".*@simonelectric.com$"")),""null"",A3"&amp;"130)"),"2416@veolia.com")</f>
        <v>2416@veolia.com</v>
      </c>
      <c r="C3130" s="5">
        <f>IF(B3130="null","null",Descargas!B3130)</f>
        <v>43914</v>
      </c>
      <c r="D3130" s="6" t="str">
        <f>Descargas!E3130</f>
        <v>https://resources.simonelectric.com/simon-ebook-vehiculo-electrico</v>
      </c>
      <c r="E3130" s="20" t="str">
        <f t="shared" si="1"/>
        <v>2416@veolia.com</v>
      </c>
      <c r="F3130" s="21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</row>
    <row r="3131" ht="15.75" customHeight="1">
      <c r="A3131" s="18" t="str">
        <f>Descargas!A3131</f>
        <v>2417@rexel.es</v>
      </c>
      <c r="B3131" s="19" t="str">
        <f>IFERROR(__xludf.DUMMYFUNCTION("IF(OR(regexmatch(A3131,"".*@simon.es$""),REGEXMATCH(A3131,"".*@simon.pt$""),REGEXMATCH(A3131,"".*@simonelectrica.com$""),REGEXMATCH(A3131,"".*@hiberus.com$""),REGEXMATCH(A3131,"".*@simonbrico.es$""),regexmatch(A3131,"".*@simonelectric.com$"")),""null"",A3"&amp;"131)"),"2417@rexel.es")</f>
        <v>2417@rexel.es</v>
      </c>
      <c r="C3131" s="5">
        <f>IF(B3131="null","null",Descargas!B3131)</f>
        <v>43914</v>
      </c>
      <c r="D3131" s="6" t="str">
        <f>Descargas!E3131</f>
        <v>https://resources.simonelectric.com/simon-ebook-vehiculo-electrico</v>
      </c>
      <c r="E3131" s="20" t="str">
        <f t="shared" si="1"/>
        <v>2417@rexel.es</v>
      </c>
      <c r="F3131" s="21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</row>
    <row r="3132" ht="15.75" customHeight="1">
      <c r="A3132" s="18" t="str">
        <f>Descargas!A3132</f>
        <v>606@gmail.com</v>
      </c>
      <c r="B3132" s="19" t="str">
        <f>IFERROR(__xludf.DUMMYFUNCTION("IF(OR(regexmatch(A3132,"".*@simon.es$""),REGEXMATCH(A3132,"".*@simon.pt$""),REGEXMATCH(A3132,"".*@simonelectrica.com$""),REGEXMATCH(A3132,"".*@hiberus.com$""),REGEXMATCH(A3132,"".*@simonbrico.es$""),regexmatch(A3132,"".*@simonelectric.com$"")),""null"",A3"&amp;"132)"),"606@gmail.com")</f>
        <v>606@gmail.com</v>
      </c>
      <c r="C3132" s="5">
        <f>IF(B3132="null","null",Descargas!B3132)</f>
        <v>43914</v>
      </c>
      <c r="D3132" s="6" t="str">
        <f>Descargas!E3132</f>
        <v>https://resources.simonelectric.com/simon-catalogo-vehiculo-electrico</v>
      </c>
      <c r="E3132" s="20" t="str">
        <f t="shared" si="1"/>
        <v>606@gmail.com</v>
      </c>
      <c r="F3132" s="21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</row>
    <row r="3133" ht="15.75" customHeight="1">
      <c r="A3133" s="18" t="str">
        <f>Descargas!A3133</f>
        <v>1434@planamar.com</v>
      </c>
      <c r="B3133" s="19" t="str">
        <f>IFERROR(__xludf.DUMMYFUNCTION("IF(OR(regexmatch(A3133,"".*@simon.es$""),REGEXMATCH(A3133,"".*@simon.pt$""),REGEXMATCH(A3133,"".*@simonelectrica.com$""),REGEXMATCH(A3133,"".*@hiberus.com$""),REGEXMATCH(A3133,"".*@simonbrico.es$""),regexmatch(A3133,"".*@simonelectric.com$"")),""null"",A3"&amp;"133)"),"1434@planamar.com")</f>
        <v>1434@planamar.com</v>
      </c>
      <c r="C3133" s="5">
        <f>IF(B3133="null","null",Descargas!B3133)</f>
        <v>43914</v>
      </c>
      <c r="D3133" s="6" t="str">
        <f>Descargas!E3133</f>
        <v>https://resources.simonelectric.com/simon-ebook-vehiculo-electrico</v>
      </c>
      <c r="E3133" s="20" t="str">
        <f t="shared" si="1"/>
        <v>1434@planamar.com</v>
      </c>
      <c r="F3133" s="21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</row>
    <row r="3134" ht="15.75" customHeight="1">
      <c r="A3134" s="18" t="str">
        <f>Descargas!A3134</f>
        <v>606@gmail.com</v>
      </c>
      <c r="B3134" s="19" t="str">
        <f>IFERROR(__xludf.DUMMYFUNCTION("IF(OR(regexmatch(A3134,"".*@simon.es$""),REGEXMATCH(A3134,"".*@simon.pt$""),REGEXMATCH(A3134,"".*@simonelectrica.com$""),REGEXMATCH(A3134,"".*@hiberus.com$""),REGEXMATCH(A3134,"".*@simonbrico.es$""),regexmatch(A3134,"".*@simonelectric.com$"")),""null"",A3"&amp;"134)"),"606@gmail.com")</f>
        <v>606@gmail.com</v>
      </c>
      <c r="C3134" s="5">
        <f>IF(B3134="null","null",Descargas!B3134)</f>
        <v>43914</v>
      </c>
      <c r="D3134" s="6" t="str">
        <f>Descargas!E3134</f>
        <v>https://resources.simonelectric.com/simon-ebook-vehiculo-electrico</v>
      </c>
      <c r="E3134" s="20" t="str">
        <f t="shared" si="1"/>
        <v>606@gmail.com</v>
      </c>
      <c r="F3134" s="21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</row>
    <row r="3135" ht="15.75" customHeight="1">
      <c r="A3135" s="18" t="str">
        <f>Descargas!A3135</f>
        <v>2418@ompsl.com</v>
      </c>
      <c r="B3135" s="19" t="str">
        <f>IFERROR(__xludf.DUMMYFUNCTION("IF(OR(regexmatch(A3135,"".*@simon.es$""),REGEXMATCH(A3135,"".*@simon.pt$""),REGEXMATCH(A3135,"".*@simonelectrica.com$""),REGEXMATCH(A3135,"".*@hiberus.com$""),REGEXMATCH(A3135,"".*@simonbrico.es$""),regexmatch(A3135,"".*@simonelectric.com$"")),""null"",A3"&amp;"135)"),"2418@ompsl.com")</f>
        <v>2418@ompsl.com</v>
      </c>
      <c r="C3135" s="5">
        <f>IF(B3135="null","null",Descargas!B3135)</f>
        <v>43914</v>
      </c>
      <c r="D3135" s="6" t="str">
        <f>Descargas!E3135</f>
        <v>https://resources.simonelectric.com/simon-ebook-vehiculo-electrico</v>
      </c>
      <c r="E3135" s="20" t="str">
        <f t="shared" si="1"/>
        <v>2418@ompsl.com</v>
      </c>
      <c r="F3135" s="21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</row>
    <row r="3136" ht="15.75" customHeight="1">
      <c r="A3136" s="18" t="str">
        <f>Descargas!A3136</f>
        <v>2419@aiguesdebarcelona.cat</v>
      </c>
      <c r="B3136" s="19" t="str">
        <f>IFERROR(__xludf.DUMMYFUNCTION("IF(OR(regexmatch(A3136,"".*@simon.es$""),REGEXMATCH(A3136,"".*@simon.pt$""),REGEXMATCH(A3136,"".*@simonelectrica.com$""),REGEXMATCH(A3136,"".*@hiberus.com$""),REGEXMATCH(A3136,"".*@simonbrico.es$""),regexmatch(A3136,"".*@simonelectric.com$"")),""null"",A3"&amp;"136)"),"2419@aiguesdebarcelona.cat")</f>
        <v>2419@aiguesdebarcelona.cat</v>
      </c>
      <c r="C3136" s="5">
        <f>IF(B3136="null","null",Descargas!B3136)</f>
        <v>43914</v>
      </c>
      <c r="D3136" s="6" t="str">
        <f>Descargas!E3136</f>
        <v>https://resources.simonelectric.com/simon-ebook-vehiculo-electrico</v>
      </c>
      <c r="E3136" s="20" t="str">
        <f t="shared" si="1"/>
        <v>2419@aiguesdebarcelona.cat</v>
      </c>
      <c r="F3136" s="21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</row>
    <row r="3137" ht="15.75" customHeight="1">
      <c r="A3137" s="18" t="str">
        <f>Descargas!A3137</f>
        <v>2420@gmail.com</v>
      </c>
      <c r="B3137" s="19" t="str">
        <f>IFERROR(__xludf.DUMMYFUNCTION("IF(OR(regexmatch(A3137,"".*@simon.es$""),REGEXMATCH(A3137,"".*@simon.pt$""),REGEXMATCH(A3137,"".*@simonelectrica.com$""),REGEXMATCH(A3137,"".*@hiberus.com$""),REGEXMATCH(A3137,"".*@simonbrico.es$""),regexmatch(A3137,"".*@simonelectric.com$"")),""null"",A3"&amp;"137)"),"2420@gmail.com")</f>
        <v>2420@gmail.com</v>
      </c>
      <c r="C3137" s="5">
        <f>IF(B3137="null","null",Descargas!B3137)</f>
        <v>43914</v>
      </c>
      <c r="D3137" s="6" t="str">
        <f>Descargas!E3137</f>
        <v>https://resources.simonelectric.com/simon-ebook-vehiculo-electrico</v>
      </c>
      <c r="E3137" s="20" t="str">
        <f t="shared" si="1"/>
        <v>2420@gmail.com</v>
      </c>
      <c r="F3137" s="21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</row>
    <row r="3138" ht="15.75" customHeight="1">
      <c r="A3138" s="18" t="str">
        <f>Descargas!A3138</f>
        <v>2421@rexel.es</v>
      </c>
      <c r="B3138" s="19" t="str">
        <f>IFERROR(__xludf.DUMMYFUNCTION("IF(OR(regexmatch(A3138,"".*@simon.es$""),REGEXMATCH(A3138,"".*@simon.pt$""),REGEXMATCH(A3138,"".*@simonelectrica.com$""),REGEXMATCH(A3138,"".*@hiberus.com$""),REGEXMATCH(A3138,"".*@simonbrico.es$""),regexmatch(A3138,"".*@simonelectric.com$"")),""null"",A3"&amp;"138)"),"2421@rexel.es")</f>
        <v>2421@rexel.es</v>
      </c>
      <c r="C3138" s="5">
        <f>IF(B3138="null","null",Descargas!B3138)</f>
        <v>43914</v>
      </c>
      <c r="D3138" s="6" t="str">
        <f>Descargas!E3138</f>
        <v>https://resources.simonelectric.com/simon-ebook-vehiculo-electrico</v>
      </c>
      <c r="E3138" s="20" t="str">
        <f t="shared" si="1"/>
        <v>2421@rexel.es</v>
      </c>
      <c r="F3138" s="21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</row>
    <row r="3139" ht="15.75" customHeight="1">
      <c r="A3139" s="18" t="str">
        <f>Descargas!A3139</f>
        <v>1181@mapfre.com</v>
      </c>
      <c r="B3139" s="19" t="str">
        <f>IFERROR(__xludf.DUMMYFUNCTION("IF(OR(regexmatch(A3139,"".*@simon.es$""),REGEXMATCH(A3139,"".*@simon.pt$""),REGEXMATCH(A3139,"".*@simonelectrica.com$""),REGEXMATCH(A3139,"".*@hiberus.com$""),REGEXMATCH(A3139,"".*@simonbrico.es$""),regexmatch(A3139,"".*@simonelectric.com$"")),""null"",A3"&amp;"139)"),"1181@mapfre.com")</f>
        <v>1181@mapfre.com</v>
      </c>
      <c r="C3139" s="5">
        <f>IF(B3139="null","null",Descargas!B3139)</f>
        <v>43914</v>
      </c>
      <c r="D3139" s="6" t="str">
        <f>Descargas!E3139</f>
        <v>https://resources.simonelectric.com/simon-ebook-vehiculo-electrico</v>
      </c>
      <c r="E3139" s="20" t="str">
        <f t="shared" si="1"/>
        <v>1181@mapfre.com</v>
      </c>
      <c r="F3139" s="21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</row>
    <row r="3140" ht="15.75" customHeight="1">
      <c r="A3140" s="18" t="str">
        <f>Descargas!A3140</f>
        <v>2422@hotmail.com</v>
      </c>
      <c r="B3140" s="19" t="str">
        <f>IFERROR(__xludf.DUMMYFUNCTION("IF(OR(regexmatch(A3140,"".*@simon.es$""),REGEXMATCH(A3140,"".*@simon.pt$""),REGEXMATCH(A3140,"".*@simonelectrica.com$""),REGEXMATCH(A3140,"".*@hiberus.com$""),REGEXMATCH(A3140,"".*@simonbrico.es$""),regexmatch(A3140,"".*@simonelectric.com$"")),""null"",A3"&amp;"140)"),"2422@hotmail.com")</f>
        <v>2422@hotmail.com</v>
      </c>
      <c r="C3140" s="5">
        <f>IF(B3140="null","null",Descargas!B3140)</f>
        <v>43914</v>
      </c>
      <c r="D3140" s="6" t="str">
        <f>Descargas!E3140</f>
        <v>https://resources.simonelectric.com/simon-ebook-vehiculo-electrico</v>
      </c>
      <c r="E3140" s="20" t="str">
        <f t="shared" si="1"/>
        <v>2422@hotmail.com</v>
      </c>
      <c r="F3140" s="21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</row>
    <row r="3141" ht="15.75" customHeight="1">
      <c r="A3141" s="18" t="str">
        <f>Descargas!A3141</f>
        <v>2423@jccifuentes.com</v>
      </c>
      <c r="B3141" s="19" t="str">
        <f>IFERROR(__xludf.DUMMYFUNCTION("IF(OR(regexmatch(A3141,"".*@simon.es$""),REGEXMATCH(A3141,"".*@simon.pt$""),REGEXMATCH(A3141,"".*@simonelectrica.com$""),REGEXMATCH(A3141,"".*@hiberus.com$""),REGEXMATCH(A3141,"".*@simonbrico.es$""),regexmatch(A3141,"".*@simonelectric.com$"")),""null"",A3"&amp;"141)"),"2423@jccifuentes.com")</f>
        <v>2423@jccifuentes.com</v>
      </c>
      <c r="C3141" s="5">
        <f>IF(B3141="null","null",Descargas!B3141)</f>
        <v>43914</v>
      </c>
      <c r="D3141" s="6" t="str">
        <f>Descargas!E3141</f>
        <v>https://resources.simonelectric.com/simon-ebook-vehiculo-electrico</v>
      </c>
      <c r="E3141" s="20" t="str">
        <f t="shared" si="1"/>
        <v>2423@jccifuentes.com</v>
      </c>
      <c r="F3141" s="21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</row>
    <row r="3142" ht="15.75" customHeight="1">
      <c r="A3142" s="18" t="str">
        <f>Descargas!A3142</f>
        <v>2424@sonepar.es</v>
      </c>
      <c r="B3142" s="19" t="str">
        <f>IFERROR(__xludf.DUMMYFUNCTION("IF(OR(regexmatch(A3142,"".*@simon.es$""),REGEXMATCH(A3142,"".*@simon.pt$""),REGEXMATCH(A3142,"".*@simonelectrica.com$""),REGEXMATCH(A3142,"".*@hiberus.com$""),REGEXMATCH(A3142,"".*@simonbrico.es$""),regexmatch(A3142,"".*@simonelectric.com$"")),""null"",A3"&amp;"142)"),"2424@sonepar.es")</f>
        <v>2424@sonepar.es</v>
      </c>
      <c r="C3142" s="5">
        <f>IF(B3142="null","null",Descargas!B3142)</f>
        <v>43914</v>
      </c>
      <c r="D3142" s="6" t="str">
        <f>Descargas!E3142</f>
        <v>https://resources.simonelectric.com/simon-ebook-vehiculo-electrico</v>
      </c>
      <c r="E3142" s="20" t="str">
        <f t="shared" si="1"/>
        <v>2424@sonepar.es</v>
      </c>
      <c r="F3142" s="21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</row>
    <row r="3143" ht="15.75" customHeight="1">
      <c r="A3143" s="18" t="str">
        <f>Descargas!A3143</f>
        <v>1310@hotmail.com</v>
      </c>
      <c r="B3143" s="19" t="str">
        <f>IFERROR(__xludf.DUMMYFUNCTION("IF(OR(regexmatch(A3143,"".*@simon.es$""),REGEXMATCH(A3143,"".*@simon.pt$""),REGEXMATCH(A3143,"".*@simonelectrica.com$""),REGEXMATCH(A3143,"".*@hiberus.com$""),REGEXMATCH(A3143,"".*@simonbrico.es$""),regexmatch(A3143,"".*@simonelectric.com$"")),""null"",A3"&amp;"143)"),"1310@hotmail.com")</f>
        <v>1310@hotmail.com</v>
      </c>
      <c r="C3143" s="5">
        <f>IF(B3143="null","null",Descargas!B3143)</f>
        <v>43914</v>
      </c>
      <c r="D3143" s="6" t="str">
        <f>Descargas!E3143</f>
        <v>https://resources.simonelectric.com/simon-ebook-vehiculo-electrico</v>
      </c>
      <c r="E3143" s="20" t="str">
        <f t="shared" si="1"/>
        <v>1310@hotmail.com</v>
      </c>
      <c r="F3143" s="21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</row>
    <row r="3144" ht="15.75" customHeight="1">
      <c r="A3144" s="18" t="str">
        <f>Descargas!A3144</f>
        <v>2425@hotmail.com</v>
      </c>
      <c r="B3144" s="19" t="str">
        <f>IFERROR(__xludf.DUMMYFUNCTION("IF(OR(regexmatch(A3144,"".*@simon.es$""),REGEXMATCH(A3144,"".*@simon.pt$""),REGEXMATCH(A3144,"".*@simonelectrica.com$""),REGEXMATCH(A3144,"".*@hiberus.com$""),REGEXMATCH(A3144,"".*@simonbrico.es$""),regexmatch(A3144,"".*@simonelectric.com$"")),""null"",A3"&amp;"144)"),"2425@hotmail.com")</f>
        <v>2425@hotmail.com</v>
      </c>
      <c r="C3144" s="5">
        <f>IF(B3144="null","null",Descargas!B3144)</f>
        <v>43914</v>
      </c>
      <c r="D3144" s="6" t="str">
        <f>Descargas!E3144</f>
        <v>https://resources.simonelectric.com/simon-ebook-vehiculo-electrico</v>
      </c>
      <c r="E3144" s="20" t="str">
        <f t="shared" si="1"/>
        <v>2425@hotmail.com</v>
      </c>
      <c r="F3144" s="21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</row>
    <row r="3145" ht="15.75" customHeight="1">
      <c r="A3145" s="18" t="str">
        <f>Descargas!A3145</f>
        <v>2426@gmail.com</v>
      </c>
      <c r="B3145" s="19" t="str">
        <f>IFERROR(__xludf.DUMMYFUNCTION("IF(OR(regexmatch(A3145,"".*@simon.es$""),REGEXMATCH(A3145,"".*@simon.pt$""),REGEXMATCH(A3145,"".*@simonelectrica.com$""),REGEXMATCH(A3145,"".*@hiberus.com$""),REGEXMATCH(A3145,"".*@simonbrico.es$""),regexmatch(A3145,"".*@simonelectric.com$"")),""null"",A3"&amp;"145)"),"2426@gmail.com")</f>
        <v>2426@gmail.com</v>
      </c>
      <c r="C3145" s="5">
        <f>IF(B3145="null","null",Descargas!B3145)</f>
        <v>43914</v>
      </c>
      <c r="D3145" s="6" t="str">
        <f>Descargas!E3145</f>
        <v>https://resources.simonelectric.com/simon-ebook-vehiculo-electrico</v>
      </c>
      <c r="E3145" s="20" t="str">
        <f t="shared" si="1"/>
        <v>2426@gmail.com</v>
      </c>
      <c r="F3145" s="21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</row>
    <row r="3146" ht="15.75" customHeight="1">
      <c r="A3146" s="18" t="str">
        <f>Descargas!A3146</f>
        <v>2427@valnu.es</v>
      </c>
      <c r="B3146" s="19" t="str">
        <f>IFERROR(__xludf.DUMMYFUNCTION("IF(OR(regexmatch(A3146,"".*@simon.es$""),REGEXMATCH(A3146,"".*@simon.pt$""),REGEXMATCH(A3146,"".*@simonelectrica.com$""),REGEXMATCH(A3146,"".*@hiberus.com$""),REGEXMATCH(A3146,"".*@simonbrico.es$""),regexmatch(A3146,"".*@simonelectric.com$"")),""null"",A3"&amp;"146)"),"2427@valnu.es")</f>
        <v>2427@valnu.es</v>
      </c>
      <c r="C3146" s="5">
        <f>IF(B3146="null","null",Descargas!B3146)</f>
        <v>43914</v>
      </c>
      <c r="D3146" s="6" t="str">
        <f>Descargas!E3146</f>
        <v>https://resources.simonelectric.com/simon-ebook-vehiculo-electrico</v>
      </c>
      <c r="E3146" s="20" t="str">
        <f t="shared" si="1"/>
        <v>2427@valnu.es</v>
      </c>
      <c r="F3146" s="21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</row>
    <row r="3147" ht="15.75" customHeight="1">
      <c r="A3147" s="18" t="str">
        <f>Descargas!A3147</f>
        <v>2428@saltoki.es</v>
      </c>
      <c r="B3147" s="19" t="str">
        <f>IFERROR(__xludf.DUMMYFUNCTION("IF(OR(regexmatch(A3147,"".*@simon.es$""),REGEXMATCH(A3147,"".*@simon.pt$""),REGEXMATCH(A3147,"".*@simonelectrica.com$""),REGEXMATCH(A3147,"".*@hiberus.com$""),REGEXMATCH(A3147,"".*@simonbrico.es$""),regexmatch(A3147,"".*@simonelectric.com$"")),""null"",A3"&amp;"147)"),"2428@saltoki.es")</f>
        <v>2428@saltoki.es</v>
      </c>
      <c r="C3147" s="5">
        <f>IF(B3147="null","null",Descargas!B3147)</f>
        <v>43914</v>
      </c>
      <c r="D3147" s="6" t="str">
        <f>Descargas!E3147</f>
        <v>https://resources.simonelectric.com/simon-ebook-vehiculo-electrico</v>
      </c>
      <c r="E3147" s="20" t="str">
        <f t="shared" si="1"/>
        <v>2428@saltoki.es</v>
      </c>
      <c r="F3147" s="21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</row>
    <row r="3148" ht="15.75" customHeight="1">
      <c r="A3148" s="18" t="str">
        <f>Descargas!A3148</f>
        <v>606@gmail.com</v>
      </c>
      <c r="B3148" s="19" t="str">
        <f>IFERROR(__xludf.DUMMYFUNCTION("IF(OR(regexmatch(A3148,"".*@simon.es$""),REGEXMATCH(A3148,"".*@simon.pt$""),REGEXMATCH(A3148,"".*@simonelectrica.com$""),REGEXMATCH(A3148,"".*@hiberus.com$""),REGEXMATCH(A3148,"".*@simonbrico.es$""),regexmatch(A3148,"".*@simonelectric.com$"")),""null"",A3"&amp;"148)"),"606@gmail.com")</f>
        <v>606@gmail.com</v>
      </c>
      <c r="C3148" s="5">
        <f>IF(B3148="null","null",Descargas!B3148)</f>
        <v>43914</v>
      </c>
      <c r="D3148" s="6" t="str">
        <f>Descargas!E3148</f>
        <v>https://resources.simonelectric.com/simon-ebook-vehiculo-electrico</v>
      </c>
      <c r="E3148" s="20" t="str">
        <f t="shared" si="1"/>
        <v>606@gmail.com</v>
      </c>
      <c r="F3148" s="21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</row>
    <row r="3149" ht="15.75" customHeight="1">
      <c r="A3149" s="18" t="str">
        <f>Descargas!A3149</f>
        <v>386@xtec.cat</v>
      </c>
      <c r="B3149" s="19" t="str">
        <f>IFERROR(__xludf.DUMMYFUNCTION("IF(OR(regexmatch(A3149,"".*@simon.es$""),REGEXMATCH(A3149,"".*@simon.pt$""),REGEXMATCH(A3149,"".*@simonelectrica.com$""),REGEXMATCH(A3149,"".*@hiberus.com$""),REGEXMATCH(A3149,"".*@simonbrico.es$""),regexmatch(A3149,"".*@simonelectric.com$"")),""null"",A3"&amp;"149)"),"386@xtec.cat")</f>
        <v>386@xtec.cat</v>
      </c>
      <c r="C3149" s="5">
        <f>IF(B3149="null","null",Descargas!B3149)</f>
        <v>43914</v>
      </c>
      <c r="D3149" s="6" t="str">
        <f>Descargas!E3149</f>
        <v>https://resources.simonelectric.com/simon-ebook-vehiculo-electrico</v>
      </c>
      <c r="E3149" s="20" t="str">
        <f t="shared" si="1"/>
        <v>386@xtec.cat</v>
      </c>
      <c r="F3149" s="21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</row>
    <row r="3150" ht="15.75" customHeight="1">
      <c r="A3150" s="18" t="str">
        <f>Descargas!A3150</f>
        <v>2429@hotmail.com</v>
      </c>
      <c r="B3150" s="19" t="str">
        <f>IFERROR(__xludf.DUMMYFUNCTION("IF(OR(regexmatch(A3150,"".*@simon.es$""),REGEXMATCH(A3150,"".*@simon.pt$""),REGEXMATCH(A3150,"".*@simonelectrica.com$""),REGEXMATCH(A3150,"".*@hiberus.com$""),REGEXMATCH(A3150,"".*@simonbrico.es$""),regexmatch(A3150,"".*@simonelectric.com$"")),""null"",A3"&amp;"150)"),"2429@hotmail.com")</f>
        <v>2429@hotmail.com</v>
      </c>
      <c r="C3150" s="5">
        <f>IF(B3150="null","null",Descargas!B3150)</f>
        <v>43914</v>
      </c>
      <c r="D3150" s="6" t="str">
        <f>Descargas!E3150</f>
        <v>https://resources.simonelectric.com/simon-ebook-vehiculo-electrico</v>
      </c>
      <c r="E3150" s="20" t="str">
        <f t="shared" si="1"/>
        <v>2429@hotmail.com</v>
      </c>
      <c r="F3150" s="21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</row>
    <row r="3151" ht="15.75" customHeight="1">
      <c r="A3151" s="18" t="str">
        <f>Descargas!A3151</f>
        <v>1641@gmail.com</v>
      </c>
      <c r="B3151" s="19" t="str">
        <f>IFERROR(__xludf.DUMMYFUNCTION("IF(OR(regexmatch(A3151,"".*@simon.es$""),REGEXMATCH(A3151,"".*@simon.pt$""),REGEXMATCH(A3151,"".*@simonelectrica.com$""),REGEXMATCH(A3151,"".*@hiberus.com$""),REGEXMATCH(A3151,"".*@simonbrico.es$""),regexmatch(A3151,"".*@simonelectric.com$"")),""null"",A3"&amp;"151)"),"1641@gmail.com")</f>
        <v>1641@gmail.com</v>
      </c>
      <c r="C3151" s="5">
        <f>IF(B3151="null","null",Descargas!B3151)</f>
        <v>43914</v>
      </c>
      <c r="D3151" s="6" t="str">
        <f>Descargas!E3151</f>
        <v>https://resources.simonelectric.com/simon-ebook-vehiculo-electrico</v>
      </c>
      <c r="E3151" s="20" t="str">
        <f t="shared" si="1"/>
        <v>1641@gmail.com</v>
      </c>
      <c r="F3151" s="21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</row>
    <row r="3152" ht="15.75" customHeight="1">
      <c r="A3152" s="18" t="str">
        <f>Descargas!A3152</f>
        <v>1661@turelectric.com</v>
      </c>
      <c r="B3152" s="19" t="str">
        <f>IFERROR(__xludf.DUMMYFUNCTION("IF(OR(regexmatch(A3152,"".*@simon.es$""),REGEXMATCH(A3152,"".*@simon.pt$""),REGEXMATCH(A3152,"".*@simonelectrica.com$""),REGEXMATCH(A3152,"".*@hiberus.com$""),REGEXMATCH(A3152,"".*@simonbrico.es$""),regexmatch(A3152,"".*@simonelectric.com$"")),""null"",A3"&amp;"152)"),"1661@turelectric.com")</f>
        <v>1661@turelectric.com</v>
      </c>
      <c r="C3152" s="5">
        <f>IF(B3152="null","null",Descargas!B3152)</f>
        <v>43914</v>
      </c>
      <c r="D3152" s="6" t="str">
        <f>Descargas!E3152</f>
        <v>https://resources.simonelectric.com/simon-ebook-vehiculo-electrico</v>
      </c>
      <c r="E3152" s="20" t="str">
        <f t="shared" si="1"/>
        <v>1661@turelectric.com</v>
      </c>
      <c r="F3152" s="21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</row>
    <row r="3153" ht="15.75" customHeight="1">
      <c r="A3153" s="18" t="str">
        <f>Descargas!A3153</f>
        <v>2430@tenmega.pt</v>
      </c>
      <c r="B3153" s="19" t="str">
        <f>IFERROR(__xludf.DUMMYFUNCTION("IF(OR(regexmatch(A3153,"".*@simon.es$""),REGEXMATCH(A3153,"".*@simon.pt$""),REGEXMATCH(A3153,"".*@simonelectrica.com$""),REGEXMATCH(A3153,"".*@hiberus.com$""),REGEXMATCH(A3153,"".*@simonbrico.es$""),regexmatch(A3153,"".*@simonelectric.com$"")),""null"",A3"&amp;"153)"),"2430@tenmega.pt")</f>
        <v>2430@tenmega.pt</v>
      </c>
      <c r="C3153" s="5">
        <f>IF(B3153="null","null",Descargas!B3153)</f>
        <v>43914</v>
      </c>
      <c r="D3153" s="6" t="str">
        <f>Descargas!E3153</f>
        <v>https://resources.simonelectric.com/simon-ebook-vehiculo-electrico</v>
      </c>
      <c r="E3153" s="20" t="str">
        <f t="shared" si="1"/>
        <v>2430@tenmega.pt</v>
      </c>
      <c r="F3153" s="21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</row>
    <row r="3154" ht="15.75" customHeight="1">
      <c r="A3154" s="18" t="str">
        <f>Descargas!A3154</f>
        <v>2431@gmail.com</v>
      </c>
      <c r="B3154" s="19" t="str">
        <f>IFERROR(__xludf.DUMMYFUNCTION("IF(OR(regexmatch(A3154,"".*@simon.es$""),REGEXMATCH(A3154,"".*@simon.pt$""),REGEXMATCH(A3154,"".*@simonelectrica.com$""),REGEXMATCH(A3154,"".*@hiberus.com$""),REGEXMATCH(A3154,"".*@simonbrico.es$""),regexmatch(A3154,"".*@simonelectric.com$"")),""null"",A3"&amp;"154)"),"2431@gmail.com")</f>
        <v>2431@gmail.com</v>
      </c>
      <c r="C3154" s="5">
        <f>IF(B3154="null","null",Descargas!B3154)</f>
        <v>43914</v>
      </c>
      <c r="D3154" s="6" t="str">
        <f>Descargas!E3154</f>
        <v>https://resources.simonelectric.com/simon-ebook-vehiculo-electrico</v>
      </c>
      <c r="E3154" s="20" t="str">
        <f t="shared" si="1"/>
        <v>2431@gmail.com</v>
      </c>
      <c r="F3154" s="21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</row>
    <row r="3155" ht="15.75" customHeight="1">
      <c r="A3155" s="18" t="str">
        <f>Descargas!A3155</f>
        <v>2432@telefonica.net</v>
      </c>
      <c r="B3155" s="19" t="str">
        <f>IFERROR(__xludf.DUMMYFUNCTION("IF(OR(regexmatch(A3155,"".*@simon.es$""),REGEXMATCH(A3155,"".*@simon.pt$""),REGEXMATCH(A3155,"".*@simonelectrica.com$""),REGEXMATCH(A3155,"".*@hiberus.com$""),REGEXMATCH(A3155,"".*@simonbrico.es$""),regexmatch(A3155,"".*@simonelectric.com$"")),""null"",A3"&amp;"155)"),"2432@telefonica.net")</f>
        <v>2432@telefonica.net</v>
      </c>
      <c r="C3155" s="5">
        <f>IF(B3155="null","null",Descargas!B3155)</f>
        <v>43914</v>
      </c>
      <c r="D3155" s="6" t="str">
        <f>Descargas!E3155</f>
        <v>https://resources.simonelectric.com/simon-ebook-vehiculo-electrico</v>
      </c>
      <c r="E3155" s="20" t="str">
        <f t="shared" si="1"/>
        <v>2432@telefonica.net</v>
      </c>
      <c r="F3155" s="21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</row>
    <row r="3156" ht="15.75" customHeight="1">
      <c r="A3156" s="18" t="str">
        <f>Descargas!A3156</f>
        <v>647@apis-ing.es</v>
      </c>
      <c r="B3156" s="19" t="str">
        <f>IFERROR(__xludf.DUMMYFUNCTION("IF(OR(regexmatch(A3156,"".*@simon.es$""),REGEXMATCH(A3156,"".*@simon.pt$""),REGEXMATCH(A3156,"".*@simonelectrica.com$""),REGEXMATCH(A3156,"".*@hiberus.com$""),REGEXMATCH(A3156,"".*@simonbrico.es$""),regexmatch(A3156,"".*@simonelectric.com$"")),""null"",A3"&amp;"156)"),"647@apis-ing.es")</f>
        <v>647@apis-ing.es</v>
      </c>
      <c r="C3156" s="5">
        <f>IF(B3156="null","null",Descargas!B3156)</f>
        <v>43914</v>
      </c>
      <c r="D3156" s="6" t="str">
        <f>Descargas!E3156</f>
        <v>https://resources.simonelectric.com/simon-ebook-vehiculo-electrico</v>
      </c>
      <c r="E3156" s="20" t="str">
        <f t="shared" si="1"/>
        <v>647@apis-ing.es</v>
      </c>
      <c r="F3156" s="21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</row>
    <row r="3157" ht="15.75" customHeight="1">
      <c r="A3157" s="18" t="str">
        <f>Descargas!A3157</f>
        <v>380@acp-level.es</v>
      </c>
      <c r="B3157" s="19" t="str">
        <f>IFERROR(__xludf.DUMMYFUNCTION("IF(OR(regexmatch(A3157,"".*@simon.es$""),REGEXMATCH(A3157,"".*@simon.pt$""),REGEXMATCH(A3157,"".*@simonelectrica.com$""),REGEXMATCH(A3157,"".*@hiberus.com$""),REGEXMATCH(A3157,"".*@simonbrico.es$""),regexmatch(A3157,"".*@simonelectric.com$"")),""null"",A3"&amp;"157)"),"380@acp-level.es")</f>
        <v>380@acp-level.es</v>
      </c>
      <c r="C3157" s="5">
        <f>IF(B3157="null","null",Descargas!B3157)</f>
        <v>43914</v>
      </c>
      <c r="D3157" s="6" t="str">
        <f>Descargas!E3157</f>
        <v>https://resources.simonelectric.com/simon-ebook-vehiculo-electrico</v>
      </c>
      <c r="E3157" s="20" t="str">
        <f t="shared" si="1"/>
        <v>380@acp-level.es</v>
      </c>
      <c r="F3157" s="21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</row>
    <row r="3158" ht="15.75" customHeight="1">
      <c r="A3158" s="18" t="str">
        <f>Descargas!A3158</f>
        <v>2433@sonepar.es</v>
      </c>
      <c r="B3158" s="19" t="str">
        <f>IFERROR(__xludf.DUMMYFUNCTION("IF(OR(regexmatch(A3158,"".*@simon.es$""),REGEXMATCH(A3158,"".*@simon.pt$""),REGEXMATCH(A3158,"".*@simonelectrica.com$""),REGEXMATCH(A3158,"".*@hiberus.com$""),REGEXMATCH(A3158,"".*@simonbrico.es$""),regexmatch(A3158,"".*@simonelectric.com$"")),""null"",A3"&amp;"158)"),"2433@sonepar.es")</f>
        <v>2433@sonepar.es</v>
      </c>
      <c r="C3158" s="5">
        <f>IF(B3158="null","null",Descargas!B3158)</f>
        <v>43914</v>
      </c>
      <c r="D3158" s="6" t="str">
        <f>Descargas!E3158</f>
        <v>https://resources.simonelectric.com/simon-ebook-vehiculo-electrico</v>
      </c>
      <c r="E3158" s="20" t="str">
        <f t="shared" si="1"/>
        <v>2433@sonepar.es</v>
      </c>
      <c r="F3158" s="21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</row>
    <row r="3159" ht="15.75" customHeight="1">
      <c r="A3159" s="18" t="str">
        <f>Descargas!A3159</f>
        <v>1553@arfecons.es</v>
      </c>
      <c r="B3159" s="19" t="str">
        <f>IFERROR(__xludf.DUMMYFUNCTION("IF(OR(regexmatch(A3159,"".*@simon.es$""),REGEXMATCH(A3159,"".*@simon.pt$""),REGEXMATCH(A3159,"".*@simonelectrica.com$""),REGEXMATCH(A3159,"".*@hiberus.com$""),REGEXMATCH(A3159,"".*@simonbrico.es$""),regexmatch(A3159,"".*@simonelectric.com$"")),""null"",A3"&amp;"159)"),"1553@arfecons.es")</f>
        <v>1553@arfecons.es</v>
      </c>
      <c r="C3159" s="5">
        <f>IF(B3159="null","null",Descargas!B3159)</f>
        <v>43914</v>
      </c>
      <c r="D3159" s="6" t="str">
        <f>Descargas!E3159</f>
        <v>https://resources.simonelectric.com/simon-ebook-vehiculo-electrico</v>
      </c>
      <c r="E3159" s="20" t="str">
        <f t="shared" si="1"/>
        <v>1553@arfecons.es</v>
      </c>
      <c r="F3159" s="21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</row>
    <row r="3160" ht="15.75" customHeight="1">
      <c r="A3160" s="18" t="str">
        <f>Descargas!A3160</f>
        <v>2434@gmail.com</v>
      </c>
      <c r="B3160" s="19" t="str">
        <f>IFERROR(__xludf.DUMMYFUNCTION("IF(OR(regexmatch(A3160,"".*@simon.es$""),REGEXMATCH(A3160,"".*@simon.pt$""),REGEXMATCH(A3160,"".*@simonelectrica.com$""),REGEXMATCH(A3160,"".*@hiberus.com$""),REGEXMATCH(A3160,"".*@simonbrico.es$""),regexmatch(A3160,"".*@simonelectric.com$"")),""null"",A3"&amp;"160)"),"2434@gmail.com")</f>
        <v>2434@gmail.com</v>
      </c>
      <c r="C3160" s="5">
        <f>IF(B3160="null","null",Descargas!B3160)</f>
        <v>43914</v>
      </c>
      <c r="D3160" s="6" t="str">
        <f>Descargas!E3160</f>
        <v>https://resources.simonelectric.com/simon-ebook-vehiculo-electrico</v>
      </c>
      <c r="E3160" s="20" t="str">
        <f t="shared" si="1"/>
        <v>2434@gmail.com</v>
      </c>
      <c r="F3160" s="21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</row>
    <row r="3161" ht="15.75" customHeight="1">
      <c r="A3161" s="18" t="str">
        <f>Descargas!A3161</f>
        <v>1233@hotmail.com</v>
      </c>
      <c r="B3161" s="19" t="str">
        <f>IFERROR(__xludf.DUMMYFUNCTION("IF(OR(regexmatch(A3161,"".*@simon.es$""),REGEXMATCH(A3161,"".*@simon.pt$""),REGEXMATCH(A3161,"".*@simonelectrica.com$""),REGEXMATCH(A3161,"".*@hiberus.com$""),REGEXMATCH(A3161,"".*@simonbrico.es$""),regexmatch(A3161,"".*@simonelectric.com$"")),""null"",A3"&amp;"161)"),"1233@hotmail.com")</f>
        <v>1233@hotmail.com</v>
      </c>
      <c r="C3161" s="5">
        <f>IF(B3161="null","null",Descargas!B3161)</f>
        <v>43913</v>
      </c>
      <c r="D3161" s="6" t="str">
        <f>Descargas!E3161</f>
        <v>https://resources.simonelectric.com/simon-ebook-vehiculo-electrico</v>
      </c>
      <c r="E3161" s="20" t="str">
        <f t="shared" si="1"/>
        <v>1233@hotmail.com</v>
      </c>
      <c r="F3161" s="21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</row>
    <row r="3162" ht="15.75" customHeight="1">
      <c r="A3162" s="18" t="str">
        <f>Descargas!A3162</f>
        <v>2435@indasasl.es</v>
      </c>
      <c r="B3162" s="19" t="str">
        <f>IFERROR(__xludf.DUMMYFUNCTION("IF(OR(regexmatch(A3162,"".*@simon.es$""),REGEXMATCH(A3162,"".*@simon.pt$""),REGEXMATCH(A3162,"".*@simonelectrica.com$""),REGEXMATCH(A3162,"".*@hiberus.com$""),REGEXMATCH(A3162,"".*@simonbrico.es$""),regexmatch(A3162,"".*@simonelectric.com$"")),""null"",A3"&amp;"162)"),"2435@indasasl.es")</f>
        <v>2435@indasasl.es</v>
      </c>
      <c r="C3162" s="5">
        <f>IF(B3162="null","null",Descargas!B3162)</f>
        <v>43913</v>
      </c>
      <c r="D3162" s="6" t="str">
        <f>Descargas!E3162</f>
        <v>https://resources.simonelectric.com/simon-ebook-vehiculo-electrico</v>
      </c>
      <c r="E3162" s="20" t="str">
        <f t="shared" si="1"/>
        <v>2435@indasasl.es</v>
      </c>
      <c r="F3162" s="21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</row>
    <row r="3163" ht="15.75" customHeight="1">
      <c r="A3163" s="18" t="str">
        <f>Descargas!A3163</f>
        <v>1687@gestilar.com</v>
      </c>
      <c r="B3163" s="19" t="str">
        <f>IFERROR(__xludf.DUMMYFUNCTION("IF(OR(regexmatch(A3163,"".*@simon.es$""),REGEXMATCH(A3163,"".*@simon.pt$""),REGEXMATCH(A3163,"".*@simonelectrica.com$""),REGEXMATCH(A3163,"".*@hiberus.com$""),REGEXMATCH(A3163,"".*@simonbrico.es$""),regexmatch(A3163,"".*@simonelectric.com$"")),""null"",A3"&amp;"163)"),"1687@gestilar.com")</f>
        <v>1687@gestilar.com</v>
      </c>
      <c r="C3163" s="5">
        <f>IF(B3163="null","null",Descargas!B3163)</f>
        <v>43913</v>
      </c>
      <c r="D3163" s="6" t="str">
        <f>Descargas!E3163</f>
        <v>https://resources.simonelectric.com/simon-ebook-vehiculo-electrico</v>
      </c>
      <c r="E3163" s="20" t="str">
        <f t="shared" si="1"/>
        <v>1687@gestilar.com</v>
      </c>
      <c r="F3163" s="21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</row>
    <row r="3164" ht="15.75" customHeight="1">
      <c r="A3164" s="18" t="str">
        <f>Descargas!A3164</f>
        <v>1411@ujaen.es</v>
      </c>
      <c r="B3164" s="19" t="str">
        <f>IFERROR(__xludf.DUMMYFUNCTION("IF(OR(regexmatch(A3164,"".*@simon.es$""),REGEXMATCH(A3164,"".*@simon.pt$""),REGEXMATCH(A3164,"".*@simonelectrica.com$""),REGEXMATCH(A3164,"".*@hiberus.com$""),REGEXMATCH(A3164,"".*@simonbrico.es$""),regexmatch(A3164,"".*@simonelectric.com$"")),""null"",A3"&amp;"164)"),"1411@ujaen.es")</f>
        <v>1411@ujaen.es</v>
      </c>
      <c r="C3164" s="5">
        <f>IF(B3164="null","null",Descargas!B3164)</f>
        <v>43913</v>
      </c>
      <c r="D3164" s="6" t="str">
        <f>Descargas!E3164</f>
        <v>https://resources.simonelectric.com/simon-ebook-vehiculo-electrico</v>
      </c>
      <c r="E3164" s="20" t="str">
        <f t="shared" si="1"/>
        <v>1411@ujaen.es</v>
      </c>
      <c r="F3164" s="21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</row>
    <row r="3165" ht="15.75" customHeight="1">
      <c r="A3165" s="18" t="str">
        <f>Descargas!A3165</f>
        <v>2436@ydrolia.com</v>
      </c>
      <c r="B3165" s="19" t="str">
        <f>IFERROR(__xludf.DUMMYFUNCTION("IF(OR(regexmatch(A3165,"".*@simon.es$""),REGEXMATCH(A3165,"".*@simon.pt$""),REGEXMATCH(A3165,"".*@simonelectrica.com$""),REGEXMATCH(A3165,"".*@hiberus.com$""),REGEXMATCH(A3165,"".*@simonbrico.es$""),regexmatch(A3165,"".*@simonelectric.com$"")),""null"",A3"&amp;"165)"),"2436@ydrolia.com")</f>
        <v>2436@ydrolia.com</v>
      </c>
      <c r="C3165" s="5">
        <f>IF(B3165="null","null",Descargas!B3165)</f>
        <v>43913</v>
      </c>
      <c r="D3165" s="6" t="str">
        <f>Descargas!E3165</f>
        <v>https://resources.simonelectric.com/simon-ebook-vehiculo-electrico</v>
      </c>
      <c r="E3165" s="20" t="str">
        <f t="shared" si="1"/>
        <v>2436@ydrolia.com</v>
      </c>
      <c r="F3165" s="21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</row>
    <row r="3166" ht="15.75" customHeight="1">
      <c r="A3166" s="18" t="str">
        <f>Descargas!A3166</f>
        <v>2437@dos-atf.es</v>
      </c>
      <c r="B3166" s="19" t="str">
        <f>IFERROR(__xludf.DUMMYFUNCTION("IF(OR(regexmatch(A3166,"".*@simon.es$""),REGEXMATCH(A3166,"".*@simon.pt$""),REGEXMATCH(A3166,"".*@simonelectrica.com$""),REGEXMATCH(A3166,"".*@hiberus.com$""),REGEXMATCH(A3166,"".*@simonbrico.es$""),regexmatch(A3166,"".*@simonelectric.com$"")),""null"",A3"&amp;"166)"),"2437@dos-atf.es")</f>
        <v>2437@dos-atf.es</v>
      </c>
      <c r="C3166" s="5">
        <f>IF(B3166="null","null",Descargas!B3166)</f>
        <v>43913</v>
      </c>
      <c r="D3166" s="6" t="str">
        <f>Descargas!E3166</f>
        <v>https://resources.simonelectric.com/simon-catalogo-vehiculo-electrico</v>
      </c>
      <c r="E3166" s="20" t="str">
        <f t="shared" si="1"/>
        <v>2437@dos-atf.es</v>
      </c>
      <c r="F3166" s="21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</row>
    <row r="3167" ht="15.75" customHeight="1">
      <c r="A3167" s="18" t="str">
        <f>Descargas!A3167</f>
        <v>2438@gmail.com</v>
      </c>
      <c r="B3167" s="19" t="str">
        <f>IFERROR(__xludf.DUMMYFUNCTION("IF(OR(regexmatch(A3167,"".*@simon.es$""),REGEXMATCH(A3167,"".*@simon.pt$""),REGEXMATCH(A3167,"".*@simonelectrica.com$""),REGEXMATCH(A3167,"".*@hiberus.com$""),REGEXMATCH(A3167,"".*@simonbrico.es$""),regexmatch(A3167,"".*@simonelectric.com$"")),""null"",A3"&amp;"167)"),"2438@gmail.com")</f>
        <v>2438@gmail.com</v>
      </c>
      <c r="C3167" s="5">
        <f>IF(B3167="null","null",Descargas!B3167)</f>
        <v>43913</v>
      </c>
      <c r="D3167" s="6" t="str">
        <f>Descargas!E3167</f>
        <v>https://resources.simonelectric.com/simon-catalogo-vehiculo-electrico</v>
      </c>
      <c r="E3167" s="20" t="str">
        <f t="shared" si="1"/>
        <v>2438@gmail.com</v>
      </c>
      <c r="F3167" s="21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</row>
    <row r="3168" ht="15.75" customHeight="1">
      <c r="A3168" s="18" t="str">
        <f>Descargas!A3168</f>
        <v>2439@hotmail.com</v>
      </c>
      <c r="B3168" s="19" t="str">
        <f>IFERROR(__xludf.DUMMYFUNCTION("IF(OR(regexmatch(A3168,"".*@simon.es$""),REGEXMATCH(A3168,"".*@simon.pt$""),REGEXMATCH(A3168,"".*@simonelectrica.com$""),REGEXMATCH(A3168,"".*@hiberus.com$""),REGEXMATCH(A3168,"".*@simonbrico.es$""),regexmatch(A3168,"".*@simonelectric.com$"")),""null"",A3"&amp;"168)"),"2439@hotmail.com")</f>
        <v>2439@hotmail.com</v>
      </c>
      <c r="C3168" s="5">
        <f>IF(B3168="null","null",Descargas!B3168)</f>
        <v>43913</v>
      </c>
      <c r="D3168" s="6" t="str">
        <f>Descargas!E3168</f>
        <v>https://resources.simonelectric.com/simon-ebook-vehiculo-electrico</v>
      </c>
      <c r="E3168" s="20" t="str">
        <f t="shared" si="1"/>
        <v>2439@hotmail.com</v>
      </c>
      <c r="F3168" s="21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</row>
    <row r="3169" ht="15.75" customHeight="1">
      <c r="A3169" s="18" t="str">
        <f>Descargas!A3169</f>
        <v>1120@sonepar.es</v>
      </c>
      <c r="B3169" s="19" t="str">
        <f>IFERROR(__xludf.DUMMYFUNCTION("IF(OR(regexmatch(A3169,"".*@simon.es$""),REGEXMATCH(A3169,"".*@simon.pt$""),REGEXMATCH(A3169,"".*@simonelectrica.com$""),REGEXMATCH(A3169,"".*@hiberus.com$""),REGEXMATCH(A3169,"".*@simonbrico.es$""),regexmatch(A3169,"".*@simonelectric.com$"")),""null"",A3"&amp;"169)"),"1120@sonepar.es")</f>
        <v>1120@sonepar.es</v>
      </c>
      <c r="C3169" s="5">
        <f>IF(B3169="null","null",Descargas!B3169)</f>
        <v>43913</v>
      </c>
      <c r="D3169" s="6" t="str">
        <f>Descargas!E3169</f>
        <v>https://resources.simonelectric.com/simon-catalogo-vehiculo-electrico</v>
      </c>
      <c r="E3169" s="20" t="str">
        <f t="shared" si="1"/>
        <v>1120@sonepar.es</v>
      </c>
      <c r="F3169" s="21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</row>
    <row r="3170" ht="15.75" customHeight="1">
      <c r="A3170" s="18" t="str">
        <f>Descargas!A3170</f>
        <v>2440@imanzanera.com</v>
      </c>
      <c r="B3170" s="19" t="str">
        <f>IFERROR(__xludf.DUMMYFUNCTION("IF(OR(regexmatch(A3170,"".*@simon.es$""),REGEXMATCH(A3170,"".*@simon.pt$""),REGEXMATCH(A3170,"".*@simonelectrica.com$""),REGEXMATCH(A3170,"".*@hiberus.com$""),REGEXMATCH(A3170,"".*@simonbrico.es$""),regexmatch(A3170,"".*@simonelectric.com$"")),""null"",A3"&amp;"170)"),"2440@imanzanera.com")</f>
        <v>2440@imanzanera.com</v>
      </c>
      <c r="C3170" s="5">
        <f>IF(B3170="null","null",Descargas!B3170)</f>
        <v>43912</v>
      </c>
      <c r="D3170" s="6" t="str">
        <f>Descargas!E3170</f>
        <v>https://resources.simonelectric.com/simon-catalogo-vehiculo-electrico</v>
      </c>
      <c r="E3170" s="20" t="str">
        <f t="shared" si="1"/>
        <v>2440@imanzanera.com</v>
      </c>
      <c r="F3170" s="21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</row>
    <row r="3171" ht="15.75" customHeight="1">
      <c r="A3171" s="18" t="str">
        <f>Descargas!A3171</f>
        <v>2441@berdin.com</v>
      </c>
      <c r="B3171" s="19" t="str">
        <f>IFERROR(__xludf.DUMMYFUNCTION("IF(OR(regexmatch(A3171,"".*@simon.es$""),REGEXMATCH(A3171,"".*@simon.pt$""),REGEXMATCH(A3171,"".*@simonelectrica.com$""),REGEXMATCH(A3171,"".*@hiberus.com$""),REGEXMATCH(A3171,"".*@simonbrico.es$""),regexmatch(A3171,"".*@simonelectric.com$"")),""null"",A3"&amp;"171)"),"2441@berdin.com")</f>
        <v>2441@berdin.com</v>
      </c>
      <c r="C3171" s="5">
        <f>IF(B3171="null","null",Descargas!B3171)</f>
        <v>43912</v>
      </c>
      <c r="D3171" s="6" t="str">
        <f>Descargas!E3171</f>
        <v>https://resources.simonelectric.com/simon-ebook-vehiculo-electrico</v>
      </c>
      <c r="E3171" s="20" t="str">
        <f t="shared" si="1"/>
        <v>2441@berdin.com</v>
      </c>
      <c r="F3171" s="21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</row>
    <row r="3172" ht="15.75" customHeight="1">
      <c r="A3172" s="18" t="str">
        <f>Descargas!A3172</f>
        <v>2187@hotmail.com</v>
      </c>
      <c r="B3172" s="19" t="str">
        <f>IFERROR(__xludf.DUMMYFUNCTION("IF(OR(regexmatch(A3172,"".*@simon.es$""),REGEXMATCH(A3172,"".*@simon.pt$""),REGEXMATCH(A3172,"".*@simonelectrica.com$""),REGEXMATCH(A3172,"".*@hiberus.com$""),REGEXMATCH(A3172,"".*@simonbrico.es$""),regexmatch(A3172,"".*@simonelectric.com$"")),""null"",A3"&amp;"172)"),"2187@hotmail.com")</f>
        <v>2187@hotmail.com</v>
      </c>
      <c r="C3172" s="5">
        <f>IF(B3172="null","null",Descargas!B3172)</f>
        <v>43911</v>
      </c>
      <c r="D3172" s="6" t="str">
        <f>Descargas!E3172</f>
        <v>https://resources.simonelectric.com/simon-ebook-vehiculo-electrico</v>
      </c>
      <c r="E3172" s="20" t="str">
        <f t="shared" si="1"/>
        <v>2187@hotmail.com</v>
      </c>
      <c r="F3172" s="21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</row>
    <row r="3173" ht="15.75" customHeight="1">
      <c r="A3173" s="18" t="str">
        <f>Descargas!A3173</f>
        <v>2442@gmail.com</v>
      </c>
      <c r="B3173" s="19" t="str">
        <f>IFERROR(__xludf.DUMMYFUNCTION("IF(OR(regexmatch(A3173,"".*@simon.es$""),REGEXMATCH(A3173,"".*@simon.pt$""),REGEXMATCH(A3173,"".*@simonelectrica.com$""),REGEXMATCH(A3173,"".*@hiberus.com$""),REGEXMATCH(A3173,"".*@simonbrico.es$""),regexmatch(A3173,"".*@simonelectric.com$"")),""null"",A3"&amp;"173)"),"2442@gmail.com")</f>
        <v>2442@gmail.com</v>
      </c>
      <c r="C3173" s="5">
        <f>IF(B3173="null","null",Descargas!B3173)</f>
        <v>43911</v>
      </c>
      <c r="D3173" s="6" t="str">
        <f>Descargas!E3173</f>
        <v>https://resources.simonelectric.com/simon-ebook-vehiculo-electrico</v>
      </c>
      <c r="E3173" s="20" t="str">
        <f t="shared" si="1"/>
        <v>2442@gmail.com</v>
      </c>
      <c r="F3173" s="21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</row>
    <row r="3174" ht="15.75" customHeight="1">
      <c r="A3174" s="18" t="str">
        <f>Descargas!A3174</f>
        <v>1663@hotmail.com</v>
      </c>
      <c r="B3174" s="19" t="str">
        <f>IFERROR(__xludf.DUMMYFUNCTION("IF(OR(regexmatch(A3174,"".*@simon.es$""),REGEXMATCH(A3174,"".*@simon.pt$""),REGEXMATCH(A3174,"".*@simonelectrica.com$""),REGEXMATCH(A3174,"".*@hiberus.com$""),REGEXMATCH(A3174,"".*@simonbrico.es$""),regexmatch(A3174,"".*@simonelectric.com$"")),""null"",A3"&amp;"174)"),"1663@hotmail.com")</f>
        <v>1663@hotmail.com</v>
      </c>
      <c r="C3174" s="5">
        <f>IF(B3174="null","null",Descargas!B3174)</f>
        <v>43911</v>
      </c>
      <c r="D3174" s="6" t="str">
        <f>Descargas!E3174</f>
        <v>https://resources.simonelectric.com/simon-ebook-vehiculo-electrico</v>
      </c>
      <c r="E3174" s="20" t="str">
        <f t="shared" si="1"/>
        <v>1663@hotmail.com</v>
      </c>
      <c r="F3174" s="21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</row>
    <row r="3175" ht="15.75" customHeight="1">
      <c r="A3175" s="18" t="str">
        <f>Descargas!A3175</f>
        <v>1149@fillsdelluissureda.cat</v>
      </c>
      <c r="B3175" s="19" t="str">
        <f>IFERROR(__xludf.DUMMYFUNCTION("IF(OR(regexmatch(A3175,"".*@simon.es$""),REGEXMATCH(A3175,"".*@simon.pt$""),REGEXMATCH(A3175,"".*@simonelectrica.com$""),REGEXMATCH(A3175,"".*@hiberus.com$""),REGEXMATCH(A3175,"".*@simonbrico.es$""),regexmatch(A3175,"".*@simonelectric.com$"")),""null"",A3"&amp;"175)"),"1149@fillsdelluissureda.cat")</f>
        <v>1149@fillsdelluissureda.cat</v>
      </c>
      <c r="C3175" s="5">
        <f>IF(B3175="null","null",Descargas!B3175)</f>
        <v>43911</v>
      </c>
      <c r="D3175" s="6" t="str">
        <f>Descargas!E3175</f>
        <v>https://resources.simonelectric.com/simon-ebook-vehiculo-electrico</v>
      </c>
      <c r="E3175" s="20" t="str">
        <f t="shared" si="1"/>
        <v>1149@fillsdelluissureda.cat</v>
      </c>
      <c r="F3175" s="21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</row>
    <row r="3176" ht="15.75" customHeight="1">
      <c r="A3176" s="18" t="str">
        <f>Descargas!A3176</f>
        <v>2443@gmail.com</v>
      </c>
      <c r="B3176" s="19" t="str">
        <f>IFERROR(__xludf.DUMMYFUNCTION("IF(OR(regexmatch(A3176,"".*@simon.es$""),REGEXMATCH(A3176,"".*@simon.pt$""),REGEXMATCH(A3176,"".*@simonelectrica.com$""),REGEXMATCH(A3176,"".*@hiberus.com$""),REGEXMATCH(A3176,"".*@simonbrico.es$""),regexmatch(A3176,"".*@simonelectric.com$"")),""null"",A3"&amp;"176)"),"2443@gmail.com")</f>
        <v>2443@gmail.com</v>
      </c>
      <c r="C3176" s="5">
        <f>IF(B3176="null","null",Descargas!B3176)</f>
        <v>43911</v>
      </c>
      <c r="D3176" s="6" t="str">
        <f>Descargas!E3176</f>
        <v>https://resources.simonelectric.com/simon-ebook-vehiculo-electrico</v>
      </c>
      <c r="E3176" s="20" t="str">
        <f t="shared" si="1"/>
        <v>2443@gmail.com</v>
      </c>
      <c r="F3176" s="21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</row>
    <row r="3177" ht="15.75" customHeight="1">
      <c r="A3177" s="18" t="str">
        <f>Descargas!A3177</f>
        <v>2444@gmail.com</v>
      </c>
      <c r="B3177" s="19" t="str">
        <f>IFERROR(__xludf.DUMMYFUNCTION("IF(OR(regexmatch(A3177,"".*@simon.es$""),REGEXMATCH(A3177,"".*@simon.pt$""),REGEXMATCH(A3177,"".*@simonelectrica.com$""),REGEXMATCH(A3177,"".*@hiberus.com$""),REGEXMATCH(A3177,"".*@simonbrico.es$""),regexmatch(A3177,"".*@simonelectric.com$"")),""null"",A3"&amp;"177)"),"2444@gmail.com")</f>
        <v>2444@gmail.com</v>
      </c>
      <c r="C3177" s="5">
        <f>IF(B3177="null","null",Descargas!B3177)</f>
        <v>43910</v>
      </c>
      <c r="D3177" s="6" t="str">
        <f>Descargas!E3177</f>
        <v>https://resources.simonelectric.com/simon-ebook-vehiculo-electrico</v>
      </c>
      <c r="E3177" s="20" t="str">
        <f t="shared" si="1"/>
        <v>2444@gmail.com</v>
      </c>
      <c r="F3177" s="21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</row>
    <row r="3178" ht="15.75" customHeight="1">
      <c r="A3178" s="18" t="str">
        <f>Descargas!A3178</f>
        <v>2445@wallbox.com</v>
      </c>
      <c r="B3178" s="19" t="str">
        <f>IFERROR(__xludf.DUMMYFUNCTION("IF(OR(regexmatch(A3178,"".*@simon.es$""),REGEXMATCH(A3178,"".*@simon.pt$""),REGEXMATCH(A3178,"".*@simonelectrica.com$""),REGEXMATCH(A3178,"".*@hiberus.com$""),REGEXMATCH(A3178,"".*@simonbrico.es$""),regexmatch(A3178,"".*@simonelectric.com$"")),""null"",A3"&amp;"178)"),"2445@wallbox.com")</f>
        <v>2445@wallbox.com</v>
      </c>
      <c r="C3178" s="5">
        <f>IF(B3178="null","null",Descargas!B3178)</f>
        <v>43910</v>
      </c>
      <c r="D3178" s="6" t="str">
        <f>Descargas!E3178</f>
        <v>https://resources.simonelectric.com/simon-ebook-vehiculo-electrico</v>
      </c>
      <c r="E3178" s="20" t="str">
        <f t="shared" si="1"/>
        <v>2445@wallbox.com</v>
      </c>
      <c r="F3178" s="21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</row>
    <row r="3179" ht="15.75" customHeight="1">
      <c r="A3179" s="18" t="str">
        <f>Descargas!A3179</f>
        <v>2443@gmail.com</v>
      </c>
      <c r="B3179" s="19" t="str">
        <f>IFERROR(__xludf.DUMMYFUNCTION("IF(OR(regexmatch(A3179,"".*@simon.es$""),REGEXMATCH(A3179,"".*@simon.pt$""),REGEXMATCH(A3179,"".*@simonelectrica.com$""),REGEXMATCH(A3179,"".*@hiberus.com$""),REGEXMATCH(A3179,"".*@simonbrico.es$""),regexmatch(A3179,"".*@simonelectric.com$"")),""null"",A3"&amp;"179)"),"2443@gmail.com")</f>
        <v>2443@gmail.com</v>
      </c>
      <c r="C3179" s="5">
        <f>IF(B3179="null","null",Descargas!B3179)</f>
        <v>43910</v>
      </c>
      <c r="D3179" s="6" t="str">
        <f>Descargas!E3179</f>
        <v>https://resources.simonelectric.com/simon-ebook-vehiculo-electrico</v>
      </c>
      <c r="E3179" s="20" t="str">
        <f t="shared" si="1"/>
        <v>2443@gmail.com</v>
      </c>
      <c r="F3179" s="21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</row>
    <row r="3180" ht="15.75" customHeight="1">
      <c r="A3180" s="18" t="str">
        <f>Descargas!A3180</f>
        <v>2446@hotmail.com</v>
      </c>
      <c r="B3180" s="19" t="str">
        <f>IFERROR(__xludf.DUMMYFUNCTION("IF(OR(regexmatch(A3180,"".*@simon.es$""),REGEXMATCH(A3180,"".*@simon.pt$""),REGEXMATCH(A3180,"".*@simonelectrica.com$""),REGEXMATCH(A3180,"".*@hiberus.com$""),REGEXMATCH(A3180,"".*@simonbrico.es$""),regexmatch(A3180,"".*@simonelectric.com$"")),""null"",A3"&amp;"180)"),"2446@hotmail.com")</f>
        <v>2446@hotmail.com</v>
      </c>
      <c r="C3180" s="5">
        <f>IF(B3180="null","null",Descargas!B3180)</f>
        <v>43910</v>
      </c>
      <c r="D3180" s="6" t="str">
        <f>Descargas!E3180</f>
        <v>https://resources.simonelectric.com/simon-ebook-vehiculo-electrico</v>
      </c>
      <c r="E3180" s="20" t="str">
        <f t="shared" si="1"/>
        <v>2446@hotmail.com</v>
      </c>
      <c r="F3180" s="21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</row>
    <row r="3181" ht="15.75" customHeight="1">
      <c r="A3181" s="18" t="str">
        <f>Descargas!A3181</f>
        <v>2447@etecnic.es</v>
      </c>
      <c r="B3181" s="19" t="str">
        <f>IFERROR(__xludf.DUMMYFUNCTION("IF(OR(regexmatch(A3181,"".*@simon.es$""),REGEXMATCH(A3181,"".*@simon.pt$""),REGEXMATCH(A3181,"".*@simonelectrica.com$""),REGEXMATCH(A3181,"".*@hiberus.com$""),REGEXMATCH(A3181,"".*@simonbrico.es$""),regexmatch(A3181,"".*@simonelectric.com$"")),""null"",A3"&amp;"181)"),"2447@etecnic.es")</f>
        <v>2447@etecnic.es</v>
      </c>
      <c r="C3181" s="5">
        <f>IF(B3181="null","null",Descargas!B3181)</f>
        <v>43910</v>
      </c>
      <c r="D3181" s="6" t="str">
        <f>Descargas!E3181</f>
        <v>https://resources.simonelectric.com/simon-ebook-vehiculo-electrico</v>
      </c>
      <c r="E3181" s="20" t="str">
        <f t="shared" si="1"/>
        <v>2447@etecnic.es</v>
      </c>
      <c r="F3181" s="21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</row>
    <row r="3182" ht="15.75" customHeight="1">
      <c r="A3182" s="18" t="str">
        <f>Descargas!A3182</f>
        <v>1310@hotmail.com</v>
      </c>
      <c r="B3182" s="19" t="str">
        <f>IFERROR(__xludf.DUMMYFUNCTION("IF(OR(regexmatch(A3182,"".*@simon.es$""),REGEXMATCH(A3182,"".*@simon.pt$""),REGEXMATCH(A3182,"".*@simonelectrica.com$""),REGEXMATCH(A3182,"".*@hiberus.com$""),REGEXMATCH(A3182,"".*@simonbrico.es$""),regexmatch(A3182,"".*@simonelectric.com$"")),""null"",A3"&amp;"182)"),"1310@hotmail.com")</f>
        <v>1310@hotmail.com</v>
      </c>
      <c r="C3182" s="5">
        <f>IF(B3182="null","null",Descargas!B3182)</f>
        <v>43910</v>
      </c>
      <c r="D3182" s="6" t="str">
        <f>Descargas!E3182</f>
        <v>https://resources.simonelectric.com/simon-catalogo-vehiculo-electrico</v>
      </c>
      <c r="E3182" s="20" t="str">
        <f t="shared" si="1"/>
        <v>1310@hotmail.com</v>
      </c>
      <c r="F3182" s="21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</row>
    <row r="3183" ht="15.75" customHeight="1">
      <c r="A3183" s="18" t="str">
        <f>Descargas!A3183</f>
        <v>792@gva.es</v>
      </c>
      <c r="B3183" s="19" t="str">
        <f>IFERROR(__xludf.DUMMYFUNCTION("IF(OR(regexmatch(A3183,"".*@simon.es$""),REGEXMATCH(A3183,"".*@simon.pt$""),REGEXMATCH(A3183,"".*@simonelectrica.com$""),REGEXMATCH(A3183,"".*@hiberus.com$""),REGEXMATCH(A3183,"".*@simonbrico.es$""),regexmatch(A3183,"".*@simonelectric.com$"")),""null"",A3"&amp;"183)"),"792@gva.es")</f>
        <v>792@gva.es</v>
      </c>
      <c r="C3183" s="5">
        <f>IF(B3183="null","null",Descargas!B3183)</f>
        <v>43910</v>
      </c>
      <c r="D3183" s="6" t="str">
        <f>Descargas!E3183</f>
        <v>https://resources.simonelectric.com/simon-ebook-vehiculo-electrico</v>
      </c>
      <c r="E3183" s="20" t="str">
        <f t="shared" si="1"/>
        <v>792@gva.es</v>
      </c>
      <c r="F3183" s="21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</row>
    <row r="3184" ht="15.75" customHeight="1">
      <c r="A3184" s="18" t="str">
        <f>Descargas!A3184</f>
        <v>2448@uvigo.es</v>
      </c>
      <c r="B3184" s="19" t="str">
        <f>IFERROR(__xludf.DUMMYFUNCTION("IF(OR(regexmatch(A3184,"".*@simon.es$""),REGEXMATCH(A3184,"".*@simon.pt$""),REGEXMATCH(A3184,"".*@simonelectrica.com$""),REGEXMATCH(A3184,"".*@hiberus.com$""),REGEXMATCH(A3184,"".*@simonbrico.es$""),regexmatch(A3184,"".*@simonelectric.com$"")),""null"",A3"&amp;"184)"),"2448@uvigo.es")</f>
        <v>2448@uvigo.es</v>
      </c>
      <c r="C3184" s="5">
        <f>IF(B3184="null","null",Descargas!B3184)</f>
        <v>43910</v>
      </c>
      <c r="D3184" s="6" t="str">
        <f>Descargas!E3184</f>
        <v>https://resources.simonelectric.com/simon-ebook-vehiculo-electrico</v>
      </c>
      <c r="E3184" s="20" t="str">
        <f t="shared" si="1"/>
        <v>2448@uvigo.es</v>
      </c>
      <c r="F3184" s="21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</row>
    <row r="3185" ht="15.75" customHeight="1">
      <c r="A3185" s="18" t="str">
        <f>Descargas!A3185</f>
        <v>1336@yahoo.es</v>
      </c>
      <c r="B3185" s="19" t="str">
        <f>IFERROR(__xludf.DUMMYFUNCTION("IF(OR(regexmatch(A3185,"".*@simon.es$""),REGEXMATCH(A3185,"".*@simon.pt$""),REGEXMATCH(A3185,"".*@simonelectrica.com$""),REGEXMATCH(A3185,"".*@hiberus.com$""),REGEXMATCH(A3185,"".*@simonbrico.es$""),regexmatch(A3185,"".*@simonelectric.com$"")),""null"",A3"&amp;"185)"),"1336@yahoo.es")</f>
        <v>1336@yahoo.es</v>
      </c>
      <c r="C3185" s="5">
        <f>IF(B3185="null","null",Descargas!B3185)</f>
        <v>43909</v>
      </c>
      <c r="D3185" s="6" t="str">
        <f>Descargas!E3185</f>
        <v>https://resources.simonelectric.com/simon-ebook-vehiculo-electrico</v>
      </c>
      <c r="E3185" s="20" t="str">
        <f t="shared" si="1"/>
        <v>1336@yahoo.es</v>
      </c>
      <c r="F3185" s="21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</row>
    <row r="3186" ht="15.75" customHeight="1">
      <c r="A3186" s="18" t="str">
        <f>Descargas!A3186</f>
        <v>2443@gmail.com</v>
      </c>
      <c r="B3186" s="19" t="str">
        <f>IFERROR(__xludf.DUMMYFUNCTION("IF(OR(regexmatch(A3186,"".*@simon.es$""),REGEXMATCH(A3186,"".*@simon.pt$""),REGEXMATCH(A3186,"".*@simonelectrica.com$""),REGEXMATCH(A3186,"".*@hiberus.com$""),REGEXMATCH(A3186,"".*@simonbrico.es$""),regexmatch(A3186,"".*@simonelectric.com$"")),""null"",A3"&amp;"186)"),"2443@gmail.com")</f>
        <v>2443@gmail.com</v>
      </c>
      <c r="C3186" s="5">
        <f>IF(B3186="null","null",Descargas!B3186)</f>
        <v>43909</v>
      </c>
      <c r="D3186" s="6" t="str">
        <f>Descargas!E3186</f>
        <v>https://resources.simonelectric.com/simon-ebook-vehiculo-electrico</v>
      </c>
      <c r="E3186" s="20" t="str">
        <f t="shared" si="1"/>
        <v>2443@gmail.com</v>
      </c>
      <c r="F3186" s="21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</row>
    <row r="3187" ht="15.75" customHeight="1">
      <c r="A3187" s="18" t="str">
        <f>Descargas!A3187</f>
        <v>2443@gmail.com</v>
      </c>
      <c r="B3187" s="19" t="str">
        <f>IFERROR(__xludf.DUMMYFUNCTION("IF(OR(regexmatch(A3187,"".*@simon.es$""),REGEXMATCH(A3187,"".*@simon.pt$""),REGEXMATCH(A3187,"".*@simonelectrica.com$""),REGEXMATCH(A3187,"".*@hiberus.com$""),REGEXMATCH(A3187,"".*@simonbrico.es$""),regexmatch(A3187,"".*@simonelectric.com$"")),""null"",A3"&amp;"187)"),"2443@gmail.com")</f>
        <v>2443@gmail.com</v>
      </c>
      <c r="C3187" s="5">
        <f>IF(B3187="null","null",Descargas!B3187)</f>
        <v>43909</v>
      </c>
      <c r="D3187" s="6" t="str">
        <f>Descargas!E3187</f>
        <v>https://resources.simonelectric.com/simon-ebook-vehiculo-electrico</v>
      </c>
      <c r="E3187" s="20" t="str">
        <f t="shared" si="1"/>
        <v>2443@gmail.com</v>
      </c>
      <c r="F3187" s="21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</row>
    <row r="3188" ht="15.75" customHeight="1">
      <c r="A3188" s="18" t="str">
        <f>Descargas!A3188</f>
        <v>2449@magtel.es</v>
      </c>
      <c r="B3188" s="19" t="str">
        <f>IFERROR(__xludf.DUMMYFUNCTION("IF(OR(regexmatch(A3188,"".*@simon.es$""),REGEXMATCH(A3188,"".*@simon.pt$""),REGEXMATCH(A3188,"".*@simonelectrica.com$""),REGEXMATCH(A3188,"".*@hiberus.com$""),REGEXMATCH(A3188,"".*@simonbrico.es$""),regexmatch(A3188,"".*@simonelectric.com$"")),""null"",A3"&amp;"188)"),"2449@magtel.es")</f>
        <v>2449@magtel.es</v>
      </c>
      <c r="C3188" s="5">
        <f>IF(B3188="null","null",Descargas!B3188)</f>
        <v>43909</v>
      </c>
      <c r="D3188" s="6" t="str">
        <f>Descargas!E3188</f>
        <v>https://resources.simonelectric.com/simon-ebook-vehiculo-electrico</v>
      </c>
      <c r="E3188" s="20" t="str">
        <f t="shared" si="1"/>
        <v>2449@magtel.es</v>
      </c>
      <c r="F3188" s="21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</row>
    <row r="3189" ht="15.75" customHeight="1">
      <c r="A3189" s="18" t="str">
        <f>Descargas!A3189</f>
        <v>2450@sonepar.es</v>
      </c>
      <c r="B3189" s="19" t="str">
        <f>IFERROR(__xludf.DUMMYFUNCTION("IF(OR(regexmatch(A3189,"".*@simon.es$""),REGEXMATCH(A3189,"".*@simon.pt$""),REGEXMATCH(A3189,"".*@simonelectrica.com$""),REGEXMATCH(A3189,"".*@hiberus.com$""),REGEXMATCH(A3189,"".*@simonbrico.es$""),regexmatch(A3189,"".*@simonelectric.com$"")),""null"",A3"&amp;"189)"),"2450@sonepar.es")</f>
        <v>2450@sonepar.es</v>
      </c>
      <c r="C3189" s="5">
        <f>IF(B3189="null","null",Descargas!B3189)</f>
        <v>43908</v>
      </c>
      <c r="D3189" s="6" t="str">
        <f>Descargas!E3189</f>
        <v>https://resources.simonelectric.com/simon-ebook-vehiculo-electrico</v>
      </c>
      <c r="E3189" s="20" t="str">
        <f t="shared" si="1"/>
        <v>2450@sonepar.es</v>
      </c>
      <c r="F3189" s="21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</row>
    <row r="3190" ht="15.75" customHeight="1">
      <c r="A3190" s="18" t="str">
        <f>Descargas!A3190</f>
        <v>2281@hotmail.com</v>
      </c>
      <c r="B3190" s="19" t="str">
        <f>IFERROR(__xludf.DUMMYFUNCTION("IF(OR(regexmatch(A3190,"".*@simon.es$""),REGEXMATCH(A3190,"".*@simon.pt$""),REGEXMATCH(A3190,"".*@simonelectrica.com$""),REGEXMATCH(A3190,"".*@hiberus.com$""),REGEXMATCH(A3190,"".*@simonbrico.es$""),regexmatch(A3190,"".*@simonelectric.com$"")),""null"",A3"&amp;"190)"),"2281@hotmail.com")</f>
        <v>2281@hotmail.com</v>
      </c>
      <c r="C3190" s="5">
        <f>IF(B3190="null","null",Descargas!B3190)</f>
        <v>43907</v>
      </c>
      <c r="D3190" s="6" t="str">
        <f>Descargas!E3190</f>
        <v>https://resources.simonelectric.com/simon-catalogo-vehiculo-electrico</v>
      </c>
      <c r="E3190" s="20" t="str">
        <f t="shared" si="1"/>
        <v>2281@hotmail.com</v>
      </c>
      <c r="F3190" s="21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</row>
    <row r="3191" ht="15.75" customHeight="1">
      <c r="A3191" s="18" t="str">
        <f>Descargas!A3191</f>
        <v>834@gmail.com</v>
      </c>
      <c r="B3191" s="19" t="str">
        <f>IFERROR(__xludf.DUMMYFUNCTION("IF(OR(regexmatch(A3191,"".*@simon.es$""),REGEXMATCH(A3191,"".*@simon.pt$""),REGEXMATCH(A3191,"".*@simonelectrica.com$""),REGEXMATCH(A3191,"".*@hiberus.com$""),REGEXMATCH(A3191,"".*@simonbrico.es$""),regexmatch(A3191,"".*@simonelectric.com$"")),""null"",A3"&amp;"191)"),"834@gmail.com")</f>
        <v>834@gmail.com</v>
      </c>
      <c r="C3191" s="5">
        <f>IF(B3191="null","null",Descargas!B3191)</f>
        <v>43907</v>
      </c>
      <c r="D3191" s="6" t="str">
        <f>Descargas!E3191</f>
        <v>https://resources.simonelectric.com/simon-ebook-vehiculo-electrico</v>
      </c>
      <c r="E3191" s="20" t="str">
        <f t="shared" si="1"/>
        <v>834@gmail.com</v>
      </c>
      <c r="F3191" s="21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</row>
    <row r="3192" ht="15.75" customHeight="1">
      <c r="A3192" s="18" t="str">
        <f>Descargas!A3192</f>
        <v>2451@gmail.com</v>
      </c>
      <c r="B3192" s="19" t="str">
        <f>IFERROR(__xludf.DUMMYFUNCTION("IF(OR(regexmatch(A3192,"".*@simon.es$""),REGEXMATCH(A3192,"".*@simon.pt$""),REGEXMATCH(A3192,"".*@simonelectrica.com$""),REGEXMATCH(A3192,"".*@hiberus.com$""),REGEXMATCH(A3192,"".*@simonbrico.es$""),regexmatch(A3192,"".*@simonelectric.com$"")),""null"",A3"&amp;"192)"),"2451@gmail.com")</f>
        <v>2451@gmail.com</v>
      </c>
      <c r="C3192" s="5">
        <f>IF(B3192="null","null",Descargas!B3192)</f>
        <v>43907</v>
      </c>
      <c r="D3192" s="6" t="str">
        <f>Descargas!E3192</f>
        <v>https://resources.simonelectric.com/simon-ebook-vehiculo-electrico</v>
      </c>
      <c r="E3192" s="20" t="str">
        <f t="shared" si="1"/>
        <v>2451@gmail.com</v>
      </c>
      <c r="F3192" s="21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</row>
    <row r="3193" ht="15.75" customHeight="1">
      <c r="A3193" s="18" t="str">
        <f>Descargas!A3193</f>
        <v>2451@gmail.com</v>
      </c>
      <c r="B3193" s="19" t="str">
        <f>IFERROR(__xludf.DUMMYFUNCTION("IF(OR(regexmatch(A3193,"".*@simon.es$""),REGEXMATCH(A3193,"".*@simon.pt$""),REGEXMATCH(A3193,"".*@simonelectrica.com$""),REGEXMATCH(A3193,"".*@hiberus.com$""),REGEXMATCH(A3193,"".*@simonbrico.es$""),regexmatch(A3193,"".*@simonelectric.com$"")),""null"",A3"&amp;"193)"),"2451@gmail.com")</f>
        <v>2451@gmail.com</v>
      </c>
      <c r="C3193" s="5">
        <f>IF(B3193="null","null",Descargas!B3193)</f>
        <v>43907</v>
      </c>
      <c r="D3193" s="6" t="str">
        <f>Descargas!E3193</f>
        <v>https://resources.simonelectric.com/simon-ebook-vehiculo-electrico</v>
      </c>
      <c r="E3193" s="20" t="str">
        <f t="shared" si="1"/>
        <v>2451@gmail.com</v>
      </c>
      <c r="F3193" s="21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</row>
    <row r="3194" ht="15.75" customHeight="1">
      <c r="A3194" s="18" t="str">
        <f>Descargas!A3194</f>
        <v>1919@simon.pt</v>
      </c>
      <c r="B3194" s="19" t="str">
        <f>IFERROR(__xludf.DUMMYFUNCTION("IF(OR(regexmatch(A3194,"".*@simon.es$""),REGEXMATCH(A3194,"".*@simon.pt$""),REGEXMATCH(A3194,"".*@simonelectrica.com$""),REGEXMATCH(A3194,"".*@hiberus.com$""),REGEXMATCH(A3194,"".*@simonbrico.es$""),regexmatch(A3194,"".*@simonelectric.com$"")),""null"",A3"&amp;"194)"),"null")</f>
        <v>null</v>
      </c>
      <c r="C3194" s="5" t="str">
        <f>IF(B3194="null","null",Descargas!B3194)</f>
        <v>null</v>
      </c>
      <c r="D3194" s="6" t="str">
        <f>Descargas!E3194</f>
        <v>https://resources.simonelectric.com/simon-ebook-vehiculo-electrico</v>
      </c>
      <c r="E3194" s="24" t="str">
        <f t="shared" si="1"/>
        <v/>
      </c>
      <c r="F3194" s="21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</row>
    <row r="3195" ht="15.75" customHeight="1">
      <c r="A3195" s="18" t="str">
        <f>Descargas!A3195</f>
        <v>2452@fi-group.com</v>
      </c>
      <c r="B3195" s="19" t="str">
        <f>IFERROR(__xludf.DUMMYFUNCTION("IF(OR(regexmatch(A3195,"".*@simon.es$""),REGEXMATCH(A3195,"".*@simon.pt$""),REGEXMATCH(A3195,"".*@simonelectrica.com$""),REGEXMATCH(A3195,"".*@hiberus.com$""),REGEXMATCH(A3195,"".*@simonbrico.es$""),regexmatch(A3195,"".*@simonelectric.com$"")),""null"",A3"&amp;"195)"),"2452@fi-group.com")</f>
        <v>2452@fi-group.com</v>
      </c>
      <c r="C3195" s="5">
        <f>IF(B3195="null","null",Descargas!B3195)</f>
        <v>43907</v>
      </c>
      <c r="D3195" s="6" t="str">
        <f>Descargas!E3195</f>
        <v>https://resources.simonelectric.com/simon-ebook-vehiculo-electrico</v>
      </c>
      <c r="E3195" s="20" t="str">
        <f t="shared" si="1"/>
        <v>2452@fi-group.com</v>
      </c>
      <c r="F3195" s="21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</row>
    <row r="3196" ht="15.75" customHeight="1">
      <c r="A3196" s="18" t="str">
        <f>Descargas!A3196</f>
        <v>416@dominguezelectricidad.es</v>
      </c>
      <c r="B3196" s="19" t="str">
        <f>IFERROR(__xludf.DUMMYFUNCTION("IF(OR(regexmatch(A3196,"".*@simon.es$""),REGEXMATCH(A3196,"".*@simon.pt$""),REGEXMATCH(A3196,"".*@simonelectrica.com$""),REGEXMATCH(A3196,"".*@hiberus.com$""),REGEXMATCH(A3196,"".*@simonbrico.es$""),regexmatch(A3196,"".*@simonelectric.com$"")),""null"",A3"&amp;"196)"),"416@dominguezelectricidad.es")</f>
        <v>416@dominguezelectricidad.es</v>
      </c>
      <c r="C3196" s="5">
        <f>IF(B3196="null","null",Descargas!B3196)</f>
        <v>43907</v>
      </c>
      <c r="D3196" s="6" t="str">
        <f>Descargas!E3196</f>
        <v>https://resources.simonelectric.com/simon-ebook-vehiculo-electrico</v>
      </c>
      <c r="E3196" s="20" t="str">
        <f t="shared" si="1"/>
        <v>416@dominguezelectricidad.es</v>
      </c>
      <c r="F3196" s="21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</row>
    <row r="3197" ht="15.75" customHeight="1">
      <c r="A3197" s="18" t="str">
        <f>Descargas!A3197</f>
        <v>2453@insitecaingenieros.com</v>
      </c>
      <c r="B3197" s="19" t="str">
        <f>IFERROR(__xludf.DUMMYFUNCTION("IF(OR(regexmatch(A3197,"".*@simon.es$""),REGEXMATCH(A3197,"".*@simon.pt$""),REGEXMATCH(A3197,"".*@simonelectrica.com$""),REGEXMATCH(A3197,"".*@hiberus.com$""),REGEXMATCH(A3197,"".*@simonbrico.es$""),regexmatch(A3197,"".*@simonelectric.com$"")),""null"",A3"&amp;"197)"),"2453@insitecaingenieros.com")</f>
        <v>2453@insitecaingenieros.com</v>
      </c>
      <c r="C3197" s="5">
        <f>IF(B3197="null","null",Descargas!B3197)</f>
        <v>43907</v>
      </c>
      <c r="D3197" s="6" t="str">
        <f>Descargas!E3197</f>
        <v>https://resources.simonelectric.com/simon-catalogo-vehiculo-electrico</v>
      </c>
      <c r="E3197" s="20" t="str">
        <f t="shared" si="1"/>
        <v>2453@insitecaingenieros.com</v>
      </c>
      <c r="F3197" s="21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</row>
    <row r="3198" ht="15.75" customHeight="1">
      <c r="A3198" s="18" t="str">
        <f>Descargas!A3198</f>
        <v>2453@insitecaingenieros.com</v>
      </c>
      <c r="B3198" s="19" t="str">
        <f>IFERROR(__xludf.DUMMYFUNCTION("IF(OR(regexmatch(A3198,"".*@simon.es$""),REGEXMATCH(A3198,"".*@simon.pt$""),REGEXMATCH(A3198,"".*@simonelectrica.com$""),REGEXMATCH(A3198,"".*@hiberus.com$""),REGEXMATCH(A3198,"".*@simonbrico.es$""),regexmatch(A3198,"".*@simonelectric.com$"")),""null"",A3"&amp;"198)"),"2453@insitecaingenieros.com")</f>
        <v>2453@insitecaingenieros.com</v>
      </c>
      <c r="C3198" s="5">
        <f>IF(B3198="null","null",Descargas!B3198)</f>
        <v>43907</v>
      </c>
      <c r="D3198" s="6" t="str">
        <f>Descargas!E3198</f>
        <v>https://resources.simonelectric.com/simon-ebook-vehiculo-electrico</v>
      </c>
      <c r="E3198" s="20" t="str">
        <f t="shared" si="1"/>
        <v>2453@insitecaingenieros.com</v>
      </c>
      <c r="F3198" s="21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</row>
    <row r="3199" ht="15.75" customHeight="1">
      <c r="A3199" s="18" t="str">
        <f>Descargas!A3199</f>
        <v>416@dominguezelectricidad.es</v>
      </c>
      <c r="B3199" s="19" t="str">
        <f>IFERROR(__xludf.DUMMYFUNCTION("IF(OR(regexmatch(A3199,"".*@simon.es$""),REGEXMATCH(A3199,"".*@simon.pt$""),REGEXMATCH(A3199,"".*@simonelectrica.com$""),REGEXMATCH(A3199,"".*@hiberus.com$""),REGEXMATCH(A3199,"".*@simonbrico.es$""),regexmatch(A3199,"".*@simonelectric.com$"")),""null"",A3"&amp;"199)"),"416@dominguezelectricidad.es")</f>
        <v>416@dominguezelectricidad.es</v>
      </c>
      <c r="C3199" s="5">
        <f>IF(B3199="null","null",Descargas!B3199)</f>
        <v>43907</v>
      </c>
      <c r="D3199" s="6" t="str">
        <f>Descargas!E3199</f>
        <v>https://resources.simonelectric.com/simon-ebook-vehiculo-electrico</v>
      </c>
      <c r="E3199" s="20" t="str">
        <f t="shared" si="1"/>
        <v>416@dominguezelectricidad.es</v>
      </c>
      <c r="F3199" s="21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</row>
    <row r="3200" ht="15.75" customHeight="1">
      <c r="A3200" s="18" t="str">
        <f>Descargas!A3200</f>
        <v>1454@yahoo.es</v>
      </c>
      <c r="B3200" s="19" t="str">
        <f>IFERROR(__xludf.DUMMYFUNCTION("IF(OR(regexmatch(A3200,"".*@simon.es$""),REGEXMATCH(A3200,"".*@simon.pt$""),REGEXMATCH(A3200,"".*@simonelectrica.com$""),REGEXMATCH(A3200,"".*@hiberus.com$""),REGEXMATCH(A3200,"".*@simonbrico.es$""),regexmatch(A3200,"".*@simonelectric.com$"")),""null"",A3"&amp;"200)"),"1454@yahoo.es")</f>
        <v>1454@yahoo.es</v>
      </c>
      <c r="C3200" s="5">
        <f>IF(B3200="null","null",Descargas!B3200)</f>
        <v>43907</v>
      </c>
      <c r="D3200" s="6" t="str">
        <f>Descargas!E3200</f>
        <v>https://resources.simonelectric.com/simon-ebook-vehiculo-electrico</v>
      </c>
      <c r="E3200" s="20" t="str">
        <f t="shared" si="1"/>
        <v>1454@yahoo.es</v>
      </c>
      <c r="F3200" s="21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</row>
    <row r="3201" ht="15.75" customHeight="1">
      <c r="A3201" s="18" t="str">
        <f>Descargas!A3201</f>
        <v>2454@gmail.com</v>
      </c>
      <c r="B3201" s="19" t="str">
        <f>IFERROR(__xludf.DUMMYFUNCTION("IF(OR(regexmatch(A3201,"".*@simon.es$""),REGEXMATCH(A3201,"".*@simon.pt$""),REGEXMATCH(A3201,"".*@simonelectrica.com$""),REGEXMATCH(A3201,"".*@hiberus.com$""),REGEXMATCH(A3201,"".*@simonbrico.es$""),regexmatch(A3201,"".*@simonelectric.com$"")),""null"",A3"&amp;"201)"),"2454@gmail.com")</f>
        <v>2454@gmail.com</v>
      </c>
      <c r="C3201" s="5">
        <f>IF(B3201="null","null",Descargas!B3201)</f>
        <v>43907</v>
      </c>
      <c r="D3201" s="6" t="str">
        <f>Descargas!E3201</f>
        <v>https://resources.simonelectric.com/simon-ebook-vehiculo-electrico</v>
      </c>
      <c r="E3201" s="20" t="str">
        <f t="shared" si="1"/>
        <v>2454@gmail.com</v>
      </c>
      <c r="F3201" s="21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</row>
    <row r="3202" ht="15.75" customHeight="1">
      <c r="A3202" s="18" t="str">
        <f>Descargas!A3202</f>
        <v>2455@gmail.com</v>
      </c>
      <c r="B3202" s="19" t="str">
        <f>IFERROR(__xludf.DUMMYFUNCTION("IF(OR(regexmatch(A3202,"".*@simon.es$""),REGEXMATCH(A3202,"".*@simon.pt$""),REGEXMATCH(A3202,"".*@simonelectrica.com$""),REGEXMATCH(A3202,"".*@hiberus.com$""),REGEXMATCH(A3202,"".*@simonbrico.es$""),regexmatch(A3202,"".*@simonelectric.com$"")),""null"",A3"&amp;"202)"),"2455@gmail.com")</f>
        <v>2455@gmail.com</v>
      </c>
      <c r="C3202" s="5">
        <f>IF(B3202="null","null",Descargas!B3202)</f>
        <v>43907</v>
      </c>
      <c r="D3202" s="6" t="str">
        <f>Descargas!E3202</f>
        <v>https://resources.simonelectric.com/simon-ebook-vehiculo-electrico</v>
      </c>
      <c r="E3202" s="20" t="str">
        <f t="shared" si="1"/>
        <v>2455@gmail.com</v>
      </c>
      <c r="F3202" s="21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</row>
    <row r="3203" ht="15.75" customHeight="1">
      <c r="A3203" s="18" t="str">
        <f>Descargas!A3203</f>
        <v>2456@serlujua.com</v>
      </c>
      <c r="B3203" s="19" t="str">
        <f>IFERROR(__xludf.DUMMYFUNCTION("IF(OR(regexmatch(A3203,"".*@simon.es$""),REGEXMATCH(A3203,"".*@simon.pt$""),REGEXMATCH(A3203,"".*@simonelectrica.com$""),REGEXMATCH(A3203,"".*@hiberus.com$""),REGEXMATCH(A3203,"".*@simonbrico.es$""),regexmatch(A3203,"".*@simonelectric.com$"")),""null"",A3"&amp;"203)"),"2456@serlujua.com")</f>
        <v>2456@serlujua.com</v>
      </c>
      <c r="C3203" s="5">
        <f>IF(B3203="null","null",Descargas!B3203)</f>
        <v>43907</v>
      </c>
      <c r="D3203" s="6" t="str">
        <f>Descargas!E3203</f>
        <v>https://resources.simonelectric.com/simon-catalogo-vehiculo-electrico</v>
      </c>
      <c r="E3203" s="20" t="str">
        <f t="shared" si="1"/>
        <v>2456@serlujua.com</v>
      </c>
      <c r="F3203" s="21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</row>
    <row r="3204" ht="15.75" customHeight="1">
      <c r="A3204" s="18" t="str">
        <f>Descargas!A3204</f>
        <v>2457@gmail.com</v>
      </c>
      <c r="B3204" s="19" t="str">
        <f>IFERROR(__xludf.DUMMYFUNCTION("IF(OR(regexmatch(A3204,"".*@simon.es$""),REGEXMATCH(A3204,"".*@simon.pt$""),REGEXMATCH(A3204,"".*@simonelectrica.com$""),REGEXMATCH(A3204,"".*@hiberus.com$""),REGEXMATCH(A3204,"".*@simonbrico.es$""),regexmatch(A3204,"".*@simonelectric.com$"")),""null"",A3"&amp;"204)"),"2457@gmail.com")</f>
        <v>2457@gmail.com</v>
      </c>
      <c r="C3204" s="5">
        <f>IF(B3204="null","null",Descargas!B3204)</f>
        <v>43907</v>
      </c>
      <c r="D3204" s="6" t="str">
        <f>Descargas!E3204</f>
        <v>https://resources.simonelectric.com/simon-ebook-vehiculo-electrico</v>
      </c>
      <c r="E3204" s="20" t="str">
        <f t="shared" si="1"/>
        <v>2457@gmail.com</v>
      </c>
      <c r="F3204" s="21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</row>
    <row r="3205" ht="15.75" customHeight="1">
      <c r="A3205" s="18" t="str">
        <f>Descargas!A3205</f>
        <v>1106@gruponoria.com</v>
      </c>
      <c r="B3205" s="19" t="str">
        <f>IFERROR(__xludf.DUMMYFUNCTION("IF(OR(regexmatch(A3205,"".*@simon.es$""),REGEXMATCH(A3205,"".*@simon.pt$""),REGEXMATCH(A3205,"".*@simonelectrica.com$""),REGEXMATCH(A3205,"".*@hiberus.com$""),REGEXMATCH(A3205,"".*@simonbrico.es$""),regexmatch(A3205,"".*@simonelectric.com$"")),""null"",A3"&amp;"205)"),"1106@gruponoria.com")</f>
        <v>1106@gruponoria.com</v>
      </c>
      <c r="C3205" s="5">
        <f>IF(B3205="null","null",Descargas!B3205)</f>
        <v>43907</v>
      </c>
      <c r="D3205" s="6" t="str">
        <f>Descargas!E3205</f>
        <v>https://resources.simonelectric.com/simon-ebook-vehiculo-electrico</v>
      </c>
      <c r="E3205" s="20" t="str">
        <f t="shared" si="1"/>
        <v>1106@gruponoria.com</v>
      </c>
      <c r="F3205" s="21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</row>
    <row r="3206" ht="15.75" customHeight="1">
      <c r="A3206" s="18" t="str">
        <f>Descargas!A3206</f>
        <v>2458@gmail.com</v>
      </c>
      <c r="B3206" s="19" t="str">
        <f>IFERROR(__xludf.DUMMYFUNCTION("IF(OR(regexmatch(A3206,"".*@simon.es$""),REGEXMATCH(A3206,"".*@simon.pt$""),REGEXMATCH(A3206,"".*@simonelectrica.com$""),REGEXMATCH(A3206,"".*@hiberus.com$""),REGEXMATCH(A3206,"".*@simonbrico.es$""),regexmatch(A3206,"".*@simonelectric.com$"")),""null"",A3"&amp;"206)"),"2458@gmail.com")</f>
        <v>2458@gmail.com</v>
      </c>
      <c r="C3206" s="5">
        <f>IF(B3206="null","null",Descargas!B3206)</f>
        <v>43907</v>
      </c>
      <c r="D3206" s="6" t="str">
        <f>Descargas!E3206</f>
        <v>https://resources.simonelectric.com/simon-ebook-vehiculo-electrico-0</v>
      </c>
      <c r="E3206" s="20" t="str">
        <f t="shared" si="1"/>
        <v>2458@gmail.com</v>
      </c>
      <c r="F3206" s="21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</row>
    <row r="3207" ht="15.75" customHeight="1">
      <c r="A3207" s="18" t="str">
        <f>Descargas!A3207</f>
        <v>2459@grupoelectrostocks.com</v>
      </c>
      <c r="B3207" s="19" t="str">
        <f>IFERROR(__xludf.DUMMYFUNCTION("IF(OR(regexmatch(A3207,"".*@simon.es$""),REGEXMATCH(A3207,"".*@simon.pt$""),REGEXMATCH(A3207,"".*@simonelectrica.com$""),REGEXMATCH(A3207,"".*@hiberus.com$""),REGEXMATCH(A3207,"".*@simonbrico.es$""),regexmatch(A3207,"".*@simonelectric.com$"")),""null"",A3"&amp;"207)"),"2459@grupoelectrostocks.com")</f>
        <v>2459@grupoelectrostocks.com</v>
      </c>
      <c r="C3207" s="5">
        <f>IF(B3207="null","null",Descargas!B3207)</f>
        <v>43906</v>
      </c>
      <c r="D3207" s="6" t="str">
        <f>Descargas!E3207</f>
        <v>https://resources.simonelectric.com/simon-ebook-vehiculo-electrico</v>
      </c>
      <c r="E3207" s="20" t="str">
        <f t="shared" si="1"/>
        <v>2459@grupoelectrostocks.com</v>
      </c>
      <c r="F3207" s="21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</row>
    <row r="3208" ht="15.75" customHeight="1">
      <c r="A3208" s="18" t="str">
        <f>Descargas!A3208</f>
        <v>2459@grupoelectrostocks.com</v>
      </c>
      <c r="B3208" s="19" t="str">
        <f>IFERROR(__xludf.DUMMYFUNCTION("IF(OR(regexmatch(A3208,"".*@simon.es$""),REGEXMATCH(A3208,"".*@simon.pt$""),REGEXMATCH(A3208,"".*@simonelectrica.com$""),REGEXMATCH(A3208,"".*@hiberus.com$""),REGEXMATCH(A3208,"".*@simonbrico.es$""),regexmatch(A3208,"".*@simonelectric.com$"")),""null"",A3"&amp;"208)"),"2459@grupoelectrostocks.com")</f>
        <v>2459@grupoelectrostocks.com</v>
      </c>
      <c r="C3208" s="5">
        <f>IF(B3208="null","null",Descargas!B3208)</f>
        <v>43906</v>
      </c>
      <c r="D3208" s="6" t="str">
        <f>Descargas!E3208</f>
        <v>https://resources.simonelectric.com/simon-ebook-vehiculo-electrico</v>
      </c>
      <c r="E3208" s="20" t="str">
        <f t="shared" si="1"/>
        <v>2459@grupoelectrostocks.com</v>
      </c>
      <c r="F3208" s="21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</row>
    <row r="3209" ht="15.75" customHeight="1">
      <c r="A3209" s="18" t="str">
        <f>Descargas!A3209</f>
        <v>2460@gmail.com</v>
      </c>
      <c r="B3209" s="19" t="str">
        <f>IFERROR(__xludf.DUMMYFUNCTION("IF(OR(regexmatch(A3209,"".*@simon.es$""),REGEXMATCH(A3209,"".*@simon.pt$""),REGEXMATCH(A3209,"".*@simonelectrica.com$""),REGEXMATCH(A3209,"".*@hiberus.com$""),REGEXMATCH(A3209,"".*@simonbrico.es$""),regexmatch(A3209,"".*@simonelectric.com$"")),""null"",A3"&amp;"209)"),"2460@gmail.com")</f>
        <v>2460@gmail.com</v>
      </c>
      <c r="C3209" s="5">
        <f>IF(B3209="null","null",Descargas!B3209)</f>
        <v>43906</v>
      </c>
      <c r="D3209" s="6" t="str">
        <f>Descargas!E3209</f>
        <v>https://resources.simonelectric.com/simon-ebook-vehiculo-electrico</v>
      </c>
      <c r="E3209" s="20" t="str">
        <f t="shared" si="1"/>
        <v>2460@gmail.com</v>
      </c>
      <c r="F3209" s="21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</row>
    <row r="3210" ht="15.75" customHeight="1">
      <c r="A3210" s="18" t="str">
        <f>Descargas!A3210</f>
        <v>2460@gmail.com</v>
      </c>
      <c r="B3210" s="19" t="str">
        <f>IFERROR(__xludf.DUMMYFUNCTION("IF(OR(regexmatch(A3210,"".*@simon.es$""),REGEXMATCH(A3210,"".*@simon.pt$""),REGEXMATCH(A3210,"".*@simonelectrica.com$""),REGEXMATCH(A3210,"".*@hiberus.com$""),REGEXMATCH(A3210,"".*@simonbrico.es$""),regexmatch(A3210,"".*@simonelectric.com$"")),""null"",A3"&amp;"210)"),"2460@gmail.com")</f>
        <v>2460@gmail.com</v>
      </c>
      <c r="C3210" s="5">
        <f>IF(B3210="null","null",Descargas!B3210)</f>
        <v>43906</v>
      </c>
      <c r="D3210" s="6" t="str">
        <f>Descargas!E3210</f>
        <v>https://resources.simonelectric.com/simon-catalogo-vehiculo-electrico</v>
      </c>
      <c r="E3210" s="20" t="str">
        <f t="shared" si="1"/>
        <v>2460@gmail.com</v>
      </c>
      <c r="F3210" s="21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</row>
    <row r="3211" ht="15.75" customHeight="1">
      <c r="A3211" s="18" t="str">
        <f>Descargas!A3211</f>
        <v>2461@yahoo.es</v>
      </c>
      <c r="B3211" s="19" t="str">
        <f>IFERROR(__xludf.DUMMYFUNCTION("IF(OR(regexmatch(A3211,"".*@simon.es$""),REGEXMATCH(A3211,"".*@simon.pt$""),REGEXMATCH(A3211,"".*@simonelectrica.com$""),REGEXMATCH(A3211,"".*@hiberus.com$""),REGEXMATCH(A3211,"".*@simonbrico.es$""),regexmatch(A3211,"".*@simonelectric.com$"")),""null"",A3"&amp;"211)"),"2461@yahoo.es")</f>
        <v>2461@yahoo.es</v>
      </c>
      <c r="C3211" s="5">
        <f>IF(B3211="null","null",Descargas!B3211)</f>
        <v>43906</v>
      </c>
      <c r="D3211" s="6" t="str">
        <f>Descargas!E3211</f>
        <v>https://resources.simonelectric.com/simon-catalogo-vehiculo-electrico</v>
      </c>
      <c r="E3211" s="20" t="str">
        <f t="shared" si="1"/>
        <v>2461@yahoo.es</v>
      </c>
      <c r="F3211" s="21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</row>
    <row r="3212" ht="15.75" customHeight="1">
      <c r="A3212" s="18" t="str">
        <f>Descargas!A3212</f>
        <v>2462@gmail.com</v>
      </c>
      <c r="B3212" s="19" t="str">
        <f>IFERROR(__xludf.DUMMYFUNCTION("IF(OR(regexmatch(A3212,"".*@simon.es$""),REGEXMATCH(A3212,"".*@simon.pt$""),REGEXMATCH(A3212,"".*@simonelectrica.com$""),REGEXMATCH(A3212,"".*@hiberus.com$""),REGEXMATCH(A3212,"".*@simonbrico.es$""),regexmatch(A3212,"".*@simonelectric.com$"")),""null"",A3"&amp;"212)"),"2462@gmail.com")</f>
        <v>2462@gmail.com</v>
      </c>
      <c r="C3212" s="5">
        <f>IF(B3212="null","null",Descargas!B3212)</f>
        <v>43906</v>
      </c>
      <c r="D3212" s="6" t="str">
        <f>Descargas!E3212</f>
        <v>https://resources.simonelectric.com/simon-catalogo-vehiculo-electrico</v>
      </c>
      <c r="E3212" s="20" t="str">
        <f t="shared" si="1"/>
        <v>2462@gmail.com</v>
      </c>
      <c r="F3212" s="21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</row>
    <row r="3213" ht="15.75" customHeight="1">
      <c r="A3213" s="18" t="str">
        <f>Descargas!A3213</f>
        <v>2462@gmail.com</v>
      </c>
      <c r="B3213" s="19" t="str">
        <f>IFERROR(__xludf.DUMMYFUNCTION("IF(OR(regexmatch(A3213,"".*@simon.es$""),REGEXMATCH(A3213,"".*@simon.pt$""),REGEXMATCH(A3213,"".*@simonelectrica.com$""),REGEXMATCH(A3213,"".*@hiberus.com$""),REGEXMATCH(A3213,"".*@simonbrico.es$""),regexmatch(A3213,"".*@simonelectric.com$"")),""null"",A3"&amp;"213)"),"2462@gmail.com")</f>
        <v>2462@gmail.com</v>
      </c>
      <c r="C3213" s="5">
        <f>IF(B3213="null","null",Descargas!B3213)</f>
        <v>43906</v>
      </c>
      <c r="D3213" s="6" t="str">
        <f>Descargas!E3213</f>
        <v>https://resources.simonelectric.com/simon-ebook-vehiculo-electrico</v>
      </c>
      <c r="E3213" s="20" t="str">
        <f t="shared" si="1"/>
        <v>2462@gmail.com</v>
      </c>
      <c r="F3213" s="21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</row>
    <row r="3214" ht="15.75" customHeight="1">
      <c r="A3214" s="18" t="str">
        <f>Descargas!A3214</f>
        <v>2463@ise40.com</v>
      </c>
      <c r="B3214" s="19" t="str">
        <f>IFERROR(__xludf.DUMMYFUNCTION("IF(OR(regexmatch(A3214,"".*@simon.es$""),REGEXMATCH(A3214,"".*@simon.pt$""),REGEXMATCH(A3214,"".*@simonelectrica.com$""),REGEXMATCH(A3214,"".*@hiberus.com$""),REGEXMATCH(A3214,"".*@simonbrico.es$""),regexmatch(A3214,"".*@simonelectric.com$"")),""null"",A3"&amp;"214)"),"2463@ise40.com")</f>
        <v>2463@ise40.com</v>
      </c>
      <c r="C3214" s="5">
        <f>IF(B3214="null","null",Descargas!B3214)</f>
        <v>43906</v>
      </c>
      <c r="D3214" s="6" t="str">
        <f>Descargas!E3214</f>
        <v>https://resources.simonelectric.com/simon-ebook-vehiculo-electrico</v>
      </c>
      <c r="E3214" s="20" t="str">
        <f t="shared" si="1"/>
        <v>2463@ise40.com</v>
      </c>
      <c r="F3214" s="21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</row>
    <row r="3215" ht="15.75" customHeight="1">
      <c r="A3215" s="18" t="str">
        <f>Descargas!A3215</f>
        <v>2464@pas.uned.es</v>
      </c>
      <c r="B3215" s="19" t="str">
        <f>IFERROR(__xludf.DUMMYFUNCTION("IF(OR(regexmatch(A3215,"".*@simon.es$""),REGEXMATCH(A3215,"".*@simon.pt$""),REGEXMATCH(A3215,"".*@simonelectrica.com$""),REGEXMATCH(A3215,"".*@hiberus.com$""),REGEXMATCH(A3215,"".*@simonbrico.es$""),regexmatch(A3215,"".*@simonelectric.com$"")),""null"",A3"&amp;"215)"),"2464@pas.uned.es")</f>
        <v>2464@pas.uned.es</v>
      </c>
      <c r="C3215" s="5">
        <f>IF(B3215="null","null",Descargas!B3215)</f>
        <v>43906</v>
      </c>
      <c r="D3215" s="6" t="str">
        <f>Descargas!E3215</f>
        <v>https://resources.simonelectric.com/simon-ebook-vehiculo-electrico</v>
      </c>
      <c r="E3215" s="20" t="str">
        <f t="shared" si="1"/>
        <v>2464@pas.uned.es</v>
      </c>
      <c r="F3215" s="21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</row>
    <row r="3216" ht="15.75" customHeight="1">
      <c r="A3216" s="18" t="str">
        <f>Descargas!A3216</f>
        <v>2465@gmail.com</v>
      </c>
      <c r="B3216" s="19" t="str">
        <f>IFERROR(__xludf.DUMMYFUNCTION("IF(OR(regexmatch(A3216,"".*@simon.es$""),REGEXMATCH(A3216,"".*@simon.pt$""),REGEXMATCH(A3216,"".*@simonelectrica.com$""),REGEXMATCH(A3216,"".*@hiberus.com$""),REGEXMATCH(A3216,"".*@simonbrico.es$""),regexmatch(A3216,"".*@simonelectric.com$"")),""null"",A3"&amp;"216)"),"2465@gmail.com")</f>
        <v>2465@gmail.com</v>
      </c>
      <c r="C3216" s="5">
        <f>IF(B3216="null","null",Descargas!B3216)</f>
        <v>43904</v>
      </c>
      <c r="D3216" s="6" t="str">
        <f>Descargas!E3216</f>
        <v>https://resources.simonelectric.com/simon-ebook-vehiculo-electrico</v>
      </c>
      <c r="E3216" s="20" t="str">
        <f t="shared" si="1"/>
        <v>2465@gmail.com</v>
      </c>
      <c r="F3216" s="21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</row>
    <row r="3217" ht="15.75" customHeight="1">
      <c r="A3217" s="18" t="str">
        <f>Descargas!A3217</f>
        <v>2466@hotmail.com</v>
      </c>
      <c r="B3217" s="19" t="str">
        <f>IFERROR(__xludf.DUMMYFUNCTION("IF(OR(regexmatch(A3217,"".*@simon.es$""),REGEXMATCH(A3217,"".*@simon.pt$""),REGEXMATCH(A3217,"".*@simonelectrica.com$""),REGEXMATCH(A3217,"".*@hiberus.com$""),REGEXMATCH(A3217,"".*@simonbrico.es$""),regexmatch(A3217,"".*@simonelectric.com$"")),""null"",A3"&amp;"217)"),"2466@hotmail.com")</f>
        <v>2466@hotmail.com</v>
      </c>
      <c r="C3217" s="5">
        <f>IF(B3217="null","null",Descargas!B3217)</f>
        <v>43903</v>
      </c>
      <c r="D3217" s="6" t="str">
        <f>Descargas!E3217</f>
        <v>https://resources.simonelectric.com/simon-ebook-vehiculo-electrico</v>
      </c>
      <c r="E3217" s="20" t="str">
        <f t="shared" si="1"/>
        <v>2466@hotmail.com</v>
      </c>
      <c r="F3217" s="21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</row>
    <row r="3218" ht="15.75" customHeight="1">
      <c r="A3218" s="18" t="str">
        <f>Descargas!A3218</f>
        <v>2459@grupoelectrostocks.com</v>
      </c>
      <c r="B3218" s="19" t="str">
        <f>IFERROR(__xludf.DUMMYFUNCTION("IF(OR(regexmatch(A3218,"".*@simon.es$""),REGEXMATCH(A3218,"".*@simon.pt$""),REGEXMATCH(A3218,"".*@simonelectrica.com$""),REGEXMATCH(A3218,"".*@hiberus.com$""),REGEXMATCH(A3218,"".*@simonbrico.es$""),regexmatch(A3218,"".*@simonelectric.com$"")),""null"",A3"&amp;"218)"),"2459@grupoelectrostocks.com")</f>
        <v>2459@grupoelectrostocks.com</v>
      </c>
      <c r="C3218" s="5">
        <f>IF(B3218="null","null",Descargas!B3218)</f>
        <v>43903</v>
      </c>
      <c r="D3218" s="6" t="str">
        <f>Descargas!E3218</f>
        <v>https://resources.simonelectric.com/simon-ebook-vehiculo-electrico</v>
      </c>
      <c r="E3218" s="20" t="str">
        <f t="shared" si="1"/>
        <v>2459@grupoelectrostocks.com</v>
      </c>
      <c r="F3218" s="21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</row>
    <row r="3219" ht="15.75" customHeight="1">
      <c r="A3219" s="18" t="str">
        <f>Descargas!A3219</f>
        <v>2467@gmail.com</v>
      </c>
      <c r="B3219" s="19" t="str">
        <f>IFERROR(__xludf.DUMMYFUNCTION("IF(OR(regexmatch(A3219,"".*@simon.es$""),REGEXMATCH(A3219,"".*@simon.pt$""),REGEXMATCH(A3219,"".*@simonelectrica.com$""),REGEXMATCH(A3219,"".*@hiberus.com$""),REGEXMATCH(A3219,"".*@simonbrico.es$""),regexmatch(A3219,"".*@simonelectric.com$"")),""null"",A3"&amp;"219)"),"2467@gmail.com")</f>
        <v>2467@gmail.com</v>
      </c>
      <c r="C3219" s="5">
        <f>IF(B3219="null","null",Descargas!B3219)</f>
        <v>43903</v>
      </c>
      <c r="D3219" s="6" t="str">
        <f>Descargas!E3219</f>
        <v>https://resources.simonelectric.com/simon-ebook-vehiculo-electrico</v>
      </c>
      <c r="E3219" s="20" t="str">
        <f t="shared" si="1"/>
        <v>2467@gmail.com</v>
      </c>
      <c r="F3219" s="21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</row>
    <row r="3220" ht="15.75" customHeight="1">
      <c r="A3220" s="18" t="str">
        <f>Descargas!A3220</f>
        <v>1188@gmail.com</v>
      </c>
      <c r="B3220" s="19" t="str">
        <f>IFERROR(__xludf.DUMMYFUNCTION("IF(OR(regexmatch(A3220,"".*@simon.es$""),REGEXMATCH(A3220,"".*@simon.pt$""),REGEXMATCH(A3220,"".*@simonelectrica.com$""),REGEXMATCH(A3220,"".*@hiberus.com$""),REGEXMATCH(A3220,"".*@simonbrico.es$""),regexmatch(A3220,"".*@simonelectric.com$"")),""null"",A3"&amp;"220)"),"1188@gmail.com")</f>
        <v>1188@gmail.com</v>
      </c>
      <c r="C3220" s="5">
        <f>IF(B3220="null","null",Descargas!B3220)</f>
        <v>43903</v>
      </c>
      <c r="D3220" s="6" t="str">
        <f>Descargas!E3220</f>
        <v>https://resources.simonelectric.com/simon-ebook-vehiculo-electrico</v>
      </c>
      <c r="E3220" s="20" t="str">
        <f t="shared" si="1"/>
        <v>1188@gmail.com</v>
      </c>
      <c r="F3220" s="21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</row>
    <row r="3221" ht="15.75" customHeight="1">
      <c r="A3221" s="18" t="str">
        <f>Descargas!A3221</f>
        <v>1974@proluxingenieros.com</v>
      </c>
      <c r="B3221" s="19" t="str">
        <f>IFERROR(__xludf.DUMMYFUNCTION("IF(OR(regexmatch(A3221,"".*@simon.es$""),REGEXMATCH(A3221,"".*@simon.pt$""),REGEXMATCH(A3221,"".*@simonelectrica.com$""),REGEXMATCH(A3221,"".*@hiberus.com$""),REGEXMATCH(A3221,"".*@simonbrico.es$""),regexmatch(A3221,"".*@simonelectric.com$"")),""null"",A3"&amp;"221)"),"1974@proluxingenieros.com")</f>
        <v>1974@proluxingenieros.com</v>
      </c>
      <c r="C3221" s="5">
        <f>IF(B3221="null","null",Descargas!B3221)</f>
        <v>43903</v>
      </c>
      <c r="D3221" s="6" t="str">
        <f>Descargas!E3221</f>
        <v>https://resources.simonelectric.com/simon-ebook-vehiculo-electrico</v>
      </c>
      <c r="E3221" s="20" t="str">
        <f t="shared" si="1"/>
        <v>1974@proluxingenieros.com</v>
      </c>
      <c r="F3221" s="21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</row>
    <row r="3222" ht="15.75" customHeight="1">
      <c r="A3222" s="18" t="str">
        <f>Descargas!A3222</f>
        <v>2468@gmail.com</v>
      </c>
      <c r="B3222" s="19" t="str">
        <f>IFERROR(__xludf.DUMMYFUNCTION("IF(OR(regexmatch(A3222,"".*@simon.es$""),REGEXMATCH(A3222,"".*@simon.pt$""),REGEXMATCH(A3222,"".*@simonelectrica.com$""),REGEXMATCH(A3222,"".*@hiberus.com$""),REGEXMATCH(A3222,"".*@simonbrico.es$""),regexmatch(A3222,"".*@simonelectric.com$"")),""null"",A3"&amp;"222)"),"2468@gmail.com")</f>
        <v>2468@gmail.com</v>
      </c>
      <c r="C3222" s="5">
        <f>IF(B3222="null","null",Descargas!B3222)</f>
        <v>43903</v>
      </c>
      <c r="D3222" s="6" t="str">
        <f>Descargas!E3222</f>
        <v>https://resources.simonelectric.com/simon-ebook-vehiculo-electrico</v>
      </c>
      <c r="E3222" s="20" t="str">
        <f t="shared" si="1"/>
        <v>2468@gmail.com</v>
      </c>
      <c r="F3222" s="21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</row>
    <row r="3223" ht="15.75" customHeight="1">
      <c r="A3223" s="18" t="str">
        <f>Descargas!A3223</f>
        <v>1274@gmail.com</v>
      </c>
      <c r="B3223" s="19" t="str">
        <f>IFERROR(__xludf.DUMMYFUNCTION("IF(OR(regexmatch(A3223,"".*@simon.es$""),REGEXMATCH(A3223,"".*@simon.pt$""),REGEXMATCH(A3223,"".*@simonelectrica.com$""),REGEXMATCH(A3223,"".*@hiberus.com$""),REGEXMATCH(A3223,"".*@simonbrico.es$""),regexmatch(A3223,"".*@simonelectric.com$"")),""null"",A3"&amp;"223)"),"1274@gmail.com")</f>
        <v>1274@gmail.com</v>
      </c>
      <c r="C3223" s="5">
        <f>IF(B3223="null","null",Descargas!B3223)</f>
        <v>43903</v>
      </c>
      <c r="D3223" s="6" t="str">
        <f>Descargas!E3223</f>
        <v>https://resources.simonelectric.com/simon-catalogo-vehiculo-electrico</v>
      </c>
      <c r="E3223" s="20" t="str">
        <f t="shared" si="1"/>
        <v>1274@gmail.com</v>
      </c>
      <c r="F3223" s="21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</row>
    <row r="3224" ht="15.75" customHeight="1">
      <c r="A3224" s="18" t="str">
        <f>Descargas!A3224</f>
        <v>2469@yca.es</v>
      </c>
      <c r="B3224" s="19" t="str">
        <f>IFERROR(__xludf.DUMMYFUNCTION("IF(OR(regexmatch(A3224,"".*@simon.es$""),REGEXMATCH(A3224,"".*@simon.pt$""),REGEXMATCH(A3224,"".*@simonelectrica.com$""),REGEXMATCH(A3224,"".*@hiberus.com$""),REGEXMATCH(A3224,"".*@simonbrico.es$""),regexmatch(A3224,"".*@simonelectric.com$"")),""null"",A3"&amp;"224)"),"2469@yca.es")</f>
        <v>2469@yca.es</v>
      </c>
      <c r="C3224" s="5">
        <f>IF(B3224="null","null",Descargas!B3224)</f>
        <v>43903</v>
      </c>
      <c r="D3224" s="6" t="str">
        <f>Descargas!E3224</f>
        <v>https://resources.simonelectric.com/simon-ebook-vehiculo-electrico</v>
      </c>
      <c r="E3224" s="20" t="str">
        <f t="shared" si="1"/>
        <v>2469@yca.es</v>
      </c>
      <c r="F3224" s="21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</row>
    <row r="3225" ht="15.75" customHeight="1">
      <c r="A3225" s="18" t="str">
        <f>Descargas!A3225</f>
        <v>2470@gmail.com</v>
      </c>
      <c r="B3225" s="19" t="str">
        <f>IFERROR(__xludf.DUMMYFUNCTION("IF(OR(regexmatch(A3225,"".*@simon.es$""),REGEXMATCH(A3225,"".*@simon.pt$""),REGEXMATCH(A3225,"".*@simonelectrica.com$""),REGEXMATCH(A3225,"".*@hiberus.com$""),REGEXMATCH(A3225,"".*@simonbrico.es$""),regexmatch(A3225,"".*@simonelectric.com$"")),""null"",A3"&amp;"225)"),"2470@gmail.com")</f>
        <v>2470@gmail.com</v>
      </c>
      <c r="C3225" s="5">
        <f>IF(B3225="null","null",Descargas!B3225)</f>
        <v>43903</v>
      </c>
      <c r="D3225" s="6" t="str">
        <f>Descargas!E3225</f>
        <v>https://resources.simonelectric.com/simon-ebook-vehiculo-electrico</v>
      </c>
      <c r="E3225" s="20" t="str">
        <f t="shared" si="1"/>
        <v>2470@gmail.com</v>
      </c>
      <c r="F3225" s="21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</row>
    <row r="3226" ht="15.75" customHeight="1">
      <c r="A3226" s="18" t="str">
        <f>Descargas!A3226</f>
        <v>2471@gmail.com</v>
      </c>
      <c r="B3226" s="19" t="str">
        <f>IFERROR(__xludf.DUMMYFUNCTION("IF(OR(regexmatch(A3226,"".*@simon.es$""),REGEXMATCH(A3226,"".*@simon.pt$""),REGEXMATCH(A3226,"".*@simonelectrica.com$""),REGEXMATCH(A3226,"".*@hiberus.com$""),REGEXMATCH(A3226,"".*@simonbrico.es$""),regexmatch(A3226,"".*@simonelectric.com$"")),""null"",A3"&amp;"226)"),"2471@gmail.com")</f>
        <v>2471@gmail.com</v>
      </c>
      <c r="C3226" s="5">
        <f>IF(B3226="null","null",Descargas!B3226)</f>
        <v>43903</v>
      </c>
      <c r="D3226" s="6" t="str">
        <f>Descargas!E3226</f>
        <v>https://resources.simonelectric.com/simon-catalogo-vehiculo-electrico</v>
      </c>
      <c r="E3226" s="20" t="str">
        <f t="shared" si="1"/>
        <v>2471@gmail.com</v>
      </c>
      <c r="F3226" s="21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</row>
    <row r="3227" ht="15.75" customHeight="1">
      <c r="A3227" s="18" t="str">
        <f>Descargas!A3227</f>
        <v>2472@gmail.com</v>
      </c>
      <c r="B3227" s="19" t="str">
        <f>IFERROR(__xludf.DUMMYFUNCTION("IF(OR(regexmatch(A3227,"".*@simon.es$""),REGEXMATCH(A3227,"".*@simon.pt$""),REGEXMATCH(A3227,"".*@simonelectrica.com$""),REGEXMATCH(A3227,"".*@hiberus.com$""),REGEXMATCH(A3227,"".*@simonbrico.es$""),regexmatch(A3227,"".*@simonelectric.com$"")),""null"",A3"&amp;"227)"),"2472@gmail.com")</f>
        <v>2472@gmail.com</v>
      </c>
      <c r="C3227" s="5">
        <f>IF(B3227="null","null",Descargas!B3227)</f>
        <v>43902</v>
      </c>
      <c r="D3227" s="6" t="str">
        <f>Descargas!E3227</f>
        <v>https://resources.simonelectric.com/simon-ebook-vehiculo-electrico</v>
      </c>
      <c r="E3227" s="20" t="str">
        <f t="shared" si="1"/>
        <v>2472@gmail.com</v>
      </c>
      <c r="F3227" s="21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</row>
    <row r="3228" ht="15.75" customHeight="1">
      <c r="A3228" s="18" t="str">
        <f>Descargas!A3228</f>
        <v>2473@hotmail.com</v>
      </c>
      <c r="B3228" s="19" t="str">
        <f>IFERROR(__xludf.DUMMYFUNCTION("IF(OR(regexmatch(A3228,"".*@simon.es$""),REGEXMATCH(A3228,"".*@simon.pt$""),REGEXMATCH(A3228,"".*@simonelectrica.com$""),REGEXMATCH(A3228,"".*@hiberus.com$""),REGEXMATCH(A3228,"".*@simonbrico.es$""),regexmatch(A3228,"".*@simonelectric.com$"")),""null"",A3"&amp;"228)"),"2473@hotmail.com")</f>
        <v>2473@hotmail.com</v>
      </c>
      <c r="C3228" s="5">
        <f>IF(B3228="null","null",Descargas!B3228)</f>
        <v>43902</v>
      </c>
      <c r="D3228" s="6" t="str">
        <f>Descargas!E3228</f>
        <v>https://resources.simonelectric.com/simon-ebook-vehiculo-electrico</v>
      </c>
      <c r="E3228" s="20" t="str">
        <f t="shared" si="1"/>
        <v>2473@hotmail.com</v>
      </c>
      <c r="F3228" s="21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</row>
    <row r="3229" ht="15.75" customHeight="1">
      <c r="A3229" s="18" t="str">
        <f>Descargas!A3229</f>
        <v>2474@sehusol.com</v>
      </c>
      <c r="B3229" s="19" t="str">
        <f>IFERROR(__xludf.DUMMYFUNCTION("IF(OR(regexmatch(A3229,"".*@simon.es$""),REGEXMATCH(A3229,"".*@simon.pt$""),REGEXMATCH(A3229,"".*@simonelectrica.com$""),REGEXMATCH(A3229,"".*@hiberus.com$""),REGEXMATCH(A3229,"".*@simonbrico.es$""),regexmatch(A3229,"".*@simonelectric.com$"")),""null"",A3"&amp;"229)"),"2474@sehusol.com")</f>
        <v>2474@sehusol.com</v>
      </c>
      <c r="C3229" s="5">
        <f>IF(B3229="null","null",Descargas!B3229)</f>
        <v>43902</v>
      </c>
      <c r="D3229" s="6" t="str">
        <f>Descargas!E3229</f>
        <v>https://resources.simonelectric.com/simon-ebook-vehiculo-electrico</v>
      </c>
      <c r="E3229" s="20" t="str">
        <f t="shared" si="1"/>
        <v>2474@sehusol.com</v>
      </c>
      <c r="F3229" s="21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</row>
    <row r="3230" ht="15.75" customHeight="1">
      <c r="A3230" s="18" t="str">
        <f>Descargas!A3230</f>
        <v>2475@berdin.com</v>
      </c>
      <c r="B3230" s="19" t="str">
        <f>IFERROR(__xludf.DUMMYFUNCTION("IF(OR(regexmatch(A3230,"".*@simon.es$""),REGEXMATCH(A3230,"".*@simon.pt$""),REGEXMATCH(A3230,"".*@simonelectrica.com$""),REGEXMATCH(A3230,"".*@hiberus.com$""),REGEXMATCH(A3230,"".*@simonbrico.es$""),regexmatch(A3230,"".*@simonelectric.com$"")),""null"",A3"&amp;"230)"),"2475@berdin.com")</f>
        <v>2475@berdin.com</v>
      </c>
      <c r="C3230" s="5">
        <f>IF(B3230="null","null",Descargas!B3230)</f>
        <v>43902</v>
      </c>
      <c r="D3230" s="6" t="str">
        <f>Descargas!E3230</f>
        <v>https://resources.simonelectric.com/simon-ebook-vehiculo-electrico</v>
      </c>
      <c r="E3230" s="20" t="str">
        <f t="shared" si="1"/>
        <v>2475@berdin.com</v>
      </c>
      <c r="F3230" s="21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</row>
    <row r="3231" ht="15.75" customHeight="1">
      <c r="A3231" s="18" t="str">
        <f>Descargas!A3231</f>
        <v>1597@gmail.com</v>
      </c>
      <c r="B3231" s="19" t="str">
        <f>IFERROR(__xludf.DUMMYFUNCTION("IF(OR(regexmatch(A3231,"".*@simon.es$""),REGEXMATCH(A3231,"".*@simon.pt$""),REGEXMATCH(A3231,"".*@simonelectrica.com$""),REGEXMATCH(A3231,"".*@hiberus.com$""),REGEXMATCH(A3231,"".*@simonbrico.es$""),regexmatch(A3231,"".*@simonelectric.com$"")),""null"",A3"&amp;"231)"),"1597@gmail.com")</f>
        <v>1597@gmail.com</v>
      </c>
      <c r="C3231" s="5">
        <f>IF(B3231="null","null",Descargas!B3231)</f>
        <v>43902</v>
      </c>
      <c r="D3231" s="6" t="str">
        <f>Descargas!E3231</f>
        <v>https://resources.simonelectric.com/simon-ebook-vehiculo-electrico</v>
      </c>
      <c r="E3231" s="20" t="str">
        <f t="shared" si="1"/>
        <v>1597@gmail.com</v>
      </c>
      <c r="F3231" s="21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</row>
    <row r="3232" ht="15.75" customHeight="1">
      <c r="A3232" s="18" t="str">
        <f>Descargas!A3232</f>
        <v>2476@dimces.com</v>
      </c>
      <c r="B3232" s="19" t="str">
        <f>IFERROR(__xludf.DUMMYFUNCTION("IF(OR(regexmatch(A3232,"".*@simon.es$""),REGEXMATCH(A3232,"".*@simon.pt$""),REGEXMATCH(A3232,"".*@simonelectrica.com$""),REGEXMATCH(A3232,"".*@hiberus.com$""),REGEXMATCH(A3232,"".*@simonbrico.es$""),regexmatch(A3232,"".*@simonelectric.com$"")),""null"",A3"&amp;"232)"),"2476@dimces.com")</f>
        <v>2476@dimces.com</v>
      </c>
      <c r="C3232" s="5">
        <f>IF(B3232="null","null",Descargas!B3232)</f>
        <v>43902</v>
      </c>
      <c r="D3232" s="6" t="str">
        <f>Descargas!E3232</f>
        <v>https://resources.simonelectric.com/simon-ebook-vehiculo-electrico</v>
      </c>
      <c r="E3232" s="20" t="str">
        <f t="shared" si="1"/>
        <v>2476@dimces.com</v>
      </c>
      <c r="F3232" s="21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</row>
    <row r="3233" ht="15.75" customHeight="1">
      <c r="A3233" s="18" t="str">
        <f>Descargas!A3233</f>
        <v>2477@moralesyartigasabogados.com</v>
      </c>
      <c r="B3233" s="19" t="str">
        <f>IFERROR(__xludf.DUMMYFUNCTION("IF(OR(regexmatch(A3233,"".*@simon.es$""),REGEXMATCH(A3233,"".*@simon.pt$""),REGEXMATCH(A3233,"".*@simonelectrica.com$""),REGEXMATCH(A3233,"".*@hiberus.com$""),REGEXMATCH(A3233,"".*@simonbrico.es$""),regexmatch(A3233,"".*@simonelectric.com$"")),""null"",A3"&amp;"233)"),"2477@moralesyartigasabogados.com")</f>
        <v>2477@moralesyartigasabogados.com</v>
      </c>
      <c r="C3233" s="5">
        <f>IF(B3233="null","null",Descargas!B3233)</f>
        <v>43902</v>
      </c>
      <c r="D3233" s="6" t="str">
        <f>Descargas!E3233</f>
        <v>https://resources.simonelectric.com/simon-ebook-vehiculo-electrico</v>
      </c>
      <c r="E3233" s="20" t="str">
        <f t="shared" si="1"/>
        <v>2477@moralesyartigasabogados.com</v>
      </c>
      <c r="F3233" s="21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</row>
    <row r="3234" ht="15.75" customHeight="1">
      <c r="A3234" s="18" t="str">
        <f>Descargas!A3234</f>
        <v>685@climava.com</v>
      </c>
      <c r="B3234" s="19" t="str">
        <f>IFERROR(__xludf.DUMMYFUNCTION("IF(OR(regexmatch(A3234,"".*@simon.es$""),REGEXMATCH(A3234,"".*@simon.pt$""),REGEXMATCH(A3234,"".*@simonelectrica.com$""),REGEXMATCH(A3234,"".*@hiberus.com$""),REGEXMATCH(A3234,"".*@simonbrico.es$""),regexmatch(A3234,"".*@simonelectric.com$"")),""null"",A3"&amp;"234)"),"685@climava.com")</f>
        <v>685@climava.com</v>
      </c>
      <c r="C3234" s="5">
        <f>IF(B3234="null","null",Descargas!B3234)</f>
        <v>43902</v>
      </c>
      <c r="D3234" s="6" t="str">
        <f>Descargas!E3234</f>
        <v>https://resources.simonelectric.com/simon-ebook-vehiculo-electrico</v>
      </c>
      <c r="E3234" s="20" t="str">
        <f t="shared" si="1"/>
        <v>685@climava.com</v>
      </c>
      <c r="F3234" s="21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</row>
    <row r="3235" ht="15.75" customHeight="1">
      <c r="A3235" s="18" t="str">
        <f>Descargas!A3235</f>
        <v>2478@gmail.com</v>
      </c>
      <c r="B3235" s="19" t="str">
        <f>IFERROR(__xludf.DUMMYFUNCTION("IF(OR(regexmatch(A3235,"".*@simon.es$""),REGEXMATCH(A3235,"".*@simon.pt$""),REGEXMATCH(A3235,"".*@simonelectrica.com$""),REGEXMATCH(A3235,"".*@hiberus.com$""),REGEXMATCH(A3235,"".*@simonbrico.es$""),regexmatch(A3235,"".*@simonelectric.com$"")),""null"",A3"&amp;"235)"),"2478@gmail.com")</f>
        <v>2478@gmail.com</v>
      </c>
      <c r="C3235" s="5">
        <f>IF(B3235="null","null",Descargas!B3235)</f>
        <v>43902</v>
      </c>
      <c r="D3235" s="6" t="str">
        <f>Descargas!E3235</f>
        <v>https://resources.simonelectric.com/simon-ebook-vehiculo-electrico-0</v>
      </c>
      <c r="E3235" s="20" t="str">
        <f t="shared" si="1"/>
        <v>2478@gmail.com</v>
      </c>
      <c r="F3235" s="21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</row>
    <row r="3236" ht="15.75" customHeight="1">
      <c r="A3236" s="18" t="str">
        <f>Descargas!A3236</f>
        <v>2479@hotmail.es</v>
      </c>
      <c r="B3236" s="19" t="str">
        <f>IFERROR(__xludf.DUMMYFUNCTION("IF(OR(regexmatch(A3236,"".*@simon.es$""),REGEXMATCH(A3236,"".*@simon.pt$""),REGEXMATCH(A3236,"".*@simonelectrica.com$""),REGEXMATCH(A3236,"".*@hiberus.com$""),REGEXMATCH(A3236,"".*@simonbrico.es$""),regexmatch(A3236,"".*@simonelectric.com$"")),""null"",A3"&amp;"236)"),"2479@hotmail.es")</f>
        <v>2479@hotmail.es</v>
      </c>
      <c r="C3236" s="5">
        <f>IF(B3236="null","null",Descargas!B3236)</f>
        <v>43901</v>
      </c>
      <c r="D3236" s="6" t="str">
        <f>Descargas!E3236</f>
        <v>https://resources.simonelectric.com/simon-ebook-vehiculo-electrico</v>
      </c>
      <c r="E3236" s="20" t="str">
        <f t="shared" si="1"/>
        <v>2479@hotmail.es</v>
      </c>
      <c r="F3236" s="21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</row>
    <row r="3237" ht="15.75" customHeight="1">
      <c r="A3237" s="18" t="str">
        <f>Descargas!A3237</f>
        <v>2480@simon.es</v>
      </c>
      <c r="B3237" s="19" t="str">
        <f>IFERROR(__xludf.DUMMYFUNCTION("IF(OR(regexmatch(A3237,"".*@simon.es$""),REGEXMATCH(A3237,"".*@simon.pt$""),REGEXMATCH(A3237,"".*@simonelectrica.com$""),REGEXMATCH(A3237,"".*@hiberus.com$""),REGEXMATCH(A3237,"".*@simonbrico.es$""),regexmatch(A3237,"".*@simonelectric.com$"")),""null"",A3"&amp;"237)"),"null")</f>
        <v>null</v>
      </c>
      <c r="C3237" s="5" t="str">
        <f>IF(B3237="null","null",Descargas!B3237)</f>
        <v>null</v>
      </c>
      <c r="D3237" s="6" t="str">
        <f>Descargas!E3237</f>
        <v>https://resources.simonelectric.com/simon-catalogo-vehiculo-electrico</v>
      </c>
      <c r="E3237" s="24" t="str">
        <f t="shared" si="1"/>
        <v/>
      </c>
      <c r="F3237" s="21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</row>
    <row r="3238" ht="15.75" customHeight="1">
      <c r="A3238" s="18" t="str">
        <f>Descargas!A3238</f>
        <v>2481@apogeaconsulting.com</v>
      </c>
      <c r="B3238" s="19" t="str">
        <f>IFERROR(__xludf.DUMMYFUNCTION("IF(OR(regexmatch(A3238,"".*@simon.es$""),REGEXMATCH(A3238,"".*@simon.pt$""),REGEXMATCH(A3238,"".*@simonelectrica.com$""),REGEXMATCH(A3238,"".*@hiberus.com$""),REGEXMATCH(A3238,"".*@simonbrico.es$""),regexmatch(A3238,"".*@simonelectric.com$"")),""null"",A3"&amp;"238)"),"2481@apogeaconsulting.com")</f>
        <v>2481@apogeaconsulting.com</v>
      </c>
      <c r="C3238" s="5">
        <f>IF(B3238="null","null",Descargas!B3238)</f>
        <v>43901</v>
      </c>
      <c r="D3238" s="6" t="str">
        <f>Descargas!E3238</f>
        <v>https://resources.simonelectric.com/simon-catalogo-vehiculo-electrico</v>
      </c>
      <c r="E3238" s="20" t="str">
        <f t="shared" si="1"/>
        <v>2481@apogeaconsulting.com</v>
      </c>
      <c r="F3238" s="21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</row>
    <row r="3239" ht="15.75" customHeight="1">
      <c r="A3239" s="18" t="str">
        <f>Descargas!A3239</f>
        <v>2482@etelnoga.com</v>
      </c>
      <c r="B3239" s="19" t="str">
        <f>IFERROR(__xludf.DUMMYFUNCTION("IF(OR(regexmatch(A3239,"".*@simon.es$""),REGEXMATCH(A3239,"".*@simon.pt$""),REGEXMATCH(A3239,"".*@simonelectrica.com$""),REGEXMATCH(A3239,"".*@hiberus.com$""),REGEXMATCH(A3239,"".*@simonbrico.es$""),regexmatch(A3239,"".*@simonelectric.com$"")),""null"",A3"&amp;"239)"),"2482@etelnoga.com")</f>
        <v>2482@etelnoga.com</v>
      </c>
      <c r="C3239" s="5">
        <f>IF(B3239="null","null",Descargas!B3239)</f>
        <v>43901</v>
      </c>
      <c r="D3239" s="6" t="str">
        <f>Descargas!E3239</f>
        <v>https://resources.simonelectric.com/simon-ebook-vehiculo-electrico</v>
      </c>
      <c r="E3239" s="20" t="str">
        <f t="shared" si="1"/>
        <v>2482@etelnoga.com</v>
      </c>
      <c r="F3239" s="21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</row>
    <row r="3240" ht="15.75" customHeight="1">
      <c r="A3240" s="18" t="str">
        <f>Descargas!A3240</f>
        <v>654@staperpetua.cat</v>
      </c>
      <c r="B3240" s="19" t="str">
        <f>IFERROR(__xludf.DUMMYFUNCTION("IF(OR(regexmatch(A3240,"".*@simon.es$""),REGEXMATCH(A3240,"".*@simon.pt$""),REGEXMATCH(A3240,"".*@simonelectrica.com$""),REGEXMATCH(A3240,"".*@hiberus.com$""),REGEXMATCH(A3240,"".*@simonbrico.es$""),regexmatch(A3240,"".*@simonelectric.com$"")),""null"",A3"&amp;"240)"),"654@staperpetua.cat")</f>
        <v>654@staperpetua.cat</v>
      </c>
      <c r="C3240" s="5">
        <f>IF(B3240="null","null",Descargas!B3240)</f>
        <v>43901</v>
      </c>
      <c r="D3240" s="6" t="str">
        <f>Descargas!E3240</f>
        <v>https://resources.simonelectric.com/simon-ebook-vehiculo-electrico</v>
      </c>
      <c r="E3240" s="20" t="str">
        <f t="shared" si="1"/>
        <v>654@staperpetua.cat</v>
      </c>
      <c r="F3240" s="21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</row>
    <row r="3241" ht="15.75" customHeight="1">
      <c r="A3241" s="18" t="str">
        <f>Descargas!A3241</f>
        <v>836@simon.es</v>
      </c>
      <c r="B3241" s="19" t="str">
        <f>IFERROR(__xludf.DUMMYFUNCTION("IF(OR(regexmatch(A3241,"".*@simon.es$""),REGEXMATCH(A3241,"".*@simon.pt$""),REGEXMATCH(A3241,"".*@simonelectrica.com$""),REGEXMATCH(A3241,"".*@hiberus.com$""),REGEXMATCH(A3241,"".*@simonbrico.es$""),regexmatch(A3241,"".*@simonelectric.com$"")),""null"",A3"&amp;"241)"),"null")</f>
        <v>null</v>
      </c>
      <c r="C3241" s="5" t="str">
        <f>IF(B3241="null","null",Descargas!B3241)</f>
        <v>null</v>
      </c>
      <c r="D3241" s="6" t="str">
        <f>Descargas!E3241</f>
        <v>https://resources.simonelectric.com/simon-catalogo-vehiculo-electrico</v>
      </c>
      <c r="E3241" s="24" t="str">
        <f t="shared" si="1"/>
        <v/>
      </c>
      <c r="F3241" s="21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</row>
    <row r="3242" ht="15.75" customHeight="1">
      <c r="A3242" s="18" t="str">
        <f>Descargas!A3242</f>
        <v>836@simon.es</v>
      </c>
      <c r="B3242" s="19" t="str">
        <f>IFERROR(__xludf.DUMMYFUNCTION("IF(OR(regexmatch(A3242,"".*@simon.es$""),REGEXMATCH(A3242,"".*@simon.pt$""),REGEXMATCH(A3242,"".*@simonelectrica.com$""),REGEXMATCH(A3242,"".*@hiberus.com$""),REGEXMATCH(A3242,"".*@simonbrico.es$""),regexmatch(A3242,"".*@simonelectric.com$"")),""null"",A3"&amp;"242)"),"null")</f>
        <v>null</v>
      </c>
      <c r="C3242" s="5" t="str">
        <f>IF(B3242="null","null",Descargas!B3242)</f>
        <v>null</v>
      </c>
      <c r="D3242" s="6" t="str">
        <f>Descargas!E3242</f>
        <v>https://resources.simonelectric.com/simon-ebook-vehiculo-electrico</v>
      </c>
      <c r="E3242" s="24" t="str">
        <f t="shared" si="1"/>
        <v/>
      </c>
      <c r="F3242" s="21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</row>
    <row r="3243" ht="15.75" customHeight="1">
      <c r="A3243" s="18" t="str">
        <f>Descargas!A3243</f>
        <v>2483@gmail.com</v>
      </c>
      <c r="B3243" s="19" t="str">
        <f>IFERROR(__xludf.DUMMYFUNCTION("IF(OR(regexmatch(A3243,"".*@simon.es$""),REGEXMATCH(A3243,"".*@simon.pt$""),REGEXMATCH(A3243,"".*@simonelectrica.com$""),REGEXMATCH(A3243,"".*@hiberus.com$""),REGEXMATCH(A3243,"".*@simonbrico.es$""),regexmatch(A3243,"".*@simonelectric.com$"")),""null"",A3"&amp;"243)"),"2483@gmail.com")</f>
        <v>2483@gmail.com</v>
      </c>
      <c r="C3243" s="5">
        <f>IF(B3243="null","null",Descargas!B3243)</f>
        <v>43901</v>
      </c>
      <c r="D3243" s="6" t="str">
        <f>Descargas!E3243</f>
        <v>https://resources.simonelectric.com/simon-catalogo-vehiculo-electrico</v>
      </c>
      <c r="E3243" s="20" t="str">
        <f t="shared" si="1"/>
        <v>2483@gmail.com</v>
      </c>
      <c r="F3243" s="21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</row>
    <row r="3244" ht="15.75" customHeight="1">
      <c r="A3244" s="18" t="str">
        <f>Descargas!A3244</f>
        <v>2483@gmail.com</v>
      </c>
      <c r="B3244" s="19" t="str">
        <f>IFERROR(__xludf.DUMMYFUNCTION("IF(OR(regexmatch(A3244,"".*@simon.es$""),REGEXMATCH(A3244,"".*@simon.pt$""),REGEXMATCH(A3244,"".*@simonelectrica.com$""),REGEXMATCH(A3244,"".*@hiberus.com$""),REGEXMATCH(A3244,"".*@simonbrico.es$""),regexmatch(A3244,"".*@simonelectric.com$"")),""null"",A3"&amp;"244)"),"2483@gmail.com")</f>
        <v>2483@gmail.com</v>
      </c>
      <c r="C3244" s="5">
        <f>IF(B3244="null","null",Descargas!B3244)</f>
        <v>43901</v>
      </c>
      <c r="D3244" s="6" t="str">
        <f>Descargas!E3244</f>
        <v>https://resources.simonelectric.com/simon-ebook-vehiculo-electrico</v>
      </c>
      <c r="E3244" s="20" t="str">
        <f t="shared" si="1"/>
        <v>2483@gmail.com</v>
      </c>
      <c r="F3244" s="21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</row>
    <row r="3245" ht="15.75" customHeight="1">
      <c r="A3245" s="18" t="str">
        <f>Descargas!A3245</f>
        <v>2484@grupo-jarama.com</v>
      </c>
      <c r="B3245" s="19" t="str">
        <f>IFERROR(__xludf.DUMMYFUNCTION("IF(OR(regexmatch(A3245,"".*@simon.es$""),REGEXMATCH(A3245,"".*@simon.pt$""),REGEXMATCH(A3245,"".*@simonelectrica.com$""),REGEXMATCH(A3245,"".*@hiberus.com$""),REGEXMATCH(A3245,"".*@simonbrico.es$""),regexmatch(A3245,"".*@simonelectric.com$"")),""null"",A3"&amp;"245)"),"2484@grupo-jarama.com")</f>
        <v>2484@grupo-jarama.com</v>
      </c>
      <c r="C3245" s="5">
        <f>IF(B3245="null","null",Descargas!B3245)</f>
        <v>43901</v>
      </c>
      <c r="D3245" s="6" t="str">
        <f>Descargas!E3245</f>
        <v>https://resources.simonelectric.com/simon-catalogo-vehiculo-electrico</v>
      </c>
      <c r="E3245" s="20" t="str">
        <f t="shared" si="1"/>
        <v>2484@grupo-jarama.com</v>
      </c>
      <c r="F3245" s="21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</row>
    <row r="3246" ht="15.75" customHeight="1">
      <c r="A3246" s="18" t="str">
        <f>Descargas!A3246</f>
        <v>2484@grupo-jarama.com</v>
      </c>
      <c r="B3246" s="19" t="str">
        <f>IFERROR(__xludf.DUMMYFUNCTION("IF(OR(regexmatch(A3246,"".*@simon.es$""),REGEXMATCH(A3246,"".*@simon.pt$""),REGEXMATCH(A3246,"".*@simonelectrica.com$""),REGEXMATCH(A3246,"".*@hiberus.com$""),REGEXMATCH(A3246,"".*@simonbrico.es$""),regexmatch(A3246,"".*@simonelectric.com$"")),""null"",A3"&amp;"246)"),"2484@grupo-jarama.com")</f>
        <v>2484@grupo-jarama.com</v>
      </c>
      <c r="C3246" s="5">
        <f>IF(B3246="null","null",Descargas!B3246)</f>
        <v>43901</v>
      </c>
      <c r="D3246" s="6" t="str">
        <f>Descargas!E3246</f>
        <v>https://resources.simonelectric.com/simon-ebook-vehiculo-electrico</v>
      </c>
      <c r="E3246" s="20" t="str">
        <f t="shared" si="1"/>
        <v>2484@grupo-jarama.com</v>
      </c>
      <c r="F3246" s="21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</row>
    <row r="3247" ht="15.75" customHeight="1">
      <c r="A3247" s="18" t="str">
        <f>Descargas!A3247</f>
        <v>2485@saergy.com</v>
      </c>
      <c r="B3247" s="19" t="str">
        <f>IFERROR(__xludf.DUMMYFUNCTION("IF(OR(regexmatch(A3247,"".*@simon.es$""),REGEXMATCH(A3247,"".*@simon.pt$""),REGEXMATCH(A3247,"".*@simonelectrica.com$""),REGEXMATCH(A3247,"".*@hiberus.com$""),REGEXMATCH(A3247,"".*@simonbrico.es$""),regexmatch(A3247,"".*@simonelectric.com$"")),""null"",A3"&amp;"247)"),"2485@saergy.com")</f>
        <v>2485@saergy.com</v>
      </c>
      <c r="C3247" s="5">
        <f>IF(B3247="null","null",Descargas!B3247)</f>
        <v>43901</v>
      </c>
      <c r="D3247" s="6" t="str">
        <f>Descargas!E3247</f>
        <v>https://resources.simonelectric.com/simon-ebook-vehiculo-electrico</v>
      </c>
      <c r="E3247" s="20" t="str">
        <f t="shared" si="1"/>
        <v>2485@saergy.com</v>
      </c>
      <c r="F3247" s="21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</row>
    <row r="3248" ht="15.75" customHeight="1">
      <c r="A3248" s="18" t="str">
        <f>Descargas!A3248</f>
        <v>2486@hotmail.com</v>
      </c>
      <c r="B3248" s="19" t="str">
        <f>IFERROR(__xludf.DUMMYFUNCTION("IF(OR(regexmatch(A3248,"".*@simon.es$""),REGEXMATCH(A3248,"".*@simon.pt$""),REGEXMATCH(A3248,"".*@simonelectrica.com$""),REGEXMATCH(A3248,"".*@hiberus.com$""),REGEXMATCH(A3248,"".*@simonbrico.es$""),regexmatch(A3248,"".*@simonelectric.com$"")),""null"",A3"&amp;"248)"),"2486@hotmail.com")</f>
        <v>2486@hotmail.com</v>
      </c>
      <c r="C3248" s="5">
        <f>IF(B3248="null","null",Descargas!B3248)</f>
        <v>43901</v>
      </c>
      <c r="D3248" s="6" t="str">
        <f>Descargas!E3248</f>
        <v>https://resources.simonelectric.com/simon-ebook-vehiculo-electrico</v>
      </c>
      <c r="E3248" s="20" t="str">
        <f t="shared" si="1"/>
        <v>2486@hotmail.com</v>
      </c>
      <c r="F3248" s="21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</row>
    <row r="3249" ht="15.75" customHeight="1">
      <c r="A3249" s="18" t="str">
        <f>Descargas!A3249</f>
        <v>2487@telefonica.net</v>
      </c>
      <c r="B3249" s="19" t="str">
        <f>IFERROR(__xludf.DUMMYFUNCTION("IF(OR(regexmatch(A3249,"".*@simon.es$""),REGEXMATCH(A3249,"".*@simon.pt$""),REGEXMATCH(A3249,"".*@simonelectrica.com$""),REGEXMATCH(A3249,"".*@hiberus.com$""),REGEXMATCH(A3249,"".*@simonbrico.es$""),regexmatch(A3249,"".*@simonelectric.com$"")),""null"",A3"&amp;"249)"),"2487@telefonica.net")</f>
        <v>2487@telefonica.net</v>
      </c>
      <c r="C3249" s="5">
        <f>IF(B3249="null","null",Descargas!B3249)</f>
        <v>43900</v>
      </c>
      <c r="D3249" s="6" t="str">
        <f>Descargas!E3249</f>
        <v>https://resources.simonelectric.com/simon-ebook-vehiculo-electrico</v>
      </c>
      <c r="E3249" s="20" t="str">
        <f t="shared" si="1"/>
        <v>2487@telefonica.net</v>
      </c>
      <c r="F3249" s="21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</row>
    <row r="3250" ht="15.75" customHeight="1">
      <c r="A3250" s="18" t="str">
        <f>Descargas!A3250</f>
        <v>2488@gmail.com</v>
      </c>
      <c r="B3250" s="19" t="str">
        <f>IFERROR(__xludf.DUMMYFUNCTION("IF(OR(regexmatch(A3250,"".*@simon.es$""),REGEXMATCH(A3250,"".*@simon.pt$""),REGEXMATCH(A3250,"".*@simonelectrica.com$""),REGEXMATCH(A3250,"".*@hiberus.com$""),REGEXMATCH(A3250,"".*@simonbrico.es$""),regexmatch(A3250,"".*@simonelectric.com$"")),""null"",A3"&amp;"250)"),"2488@gmail.com")</f>
        <v>2488@gmail.com</v>
      </c>
      <c r="C3250" s="5">
        <f>IF(B3250="null","null",Descargas!B3250)</f>
        <v>43900</v>
      </c>
      <c r="D3250" s="6" t="str">
        <f>Descargas!E3250</f>
        <v>https://resources.simonelectric.com/simon-ebook-vehiculo-electrico</v>
      </c>
      <c r="E3250" s="20" t="str">
        <f t="shared" si="1"/>
        <v>2488@gmail.com</v>
      </c>
      <c r="F3250" s="21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</row>
    <row r="3251" ht="15.75" customHeight="1">
      <c r="A3251" s="18" t="str">
        <f>Descargas!A3251</f>
        <v>2489@proytecenergia.com</v>
      </c>
      <c r="B3251" s="19" t="str">
        <f>IFERROR(__xludf.DUMMYFUNCTION("IF(OR(regexmatch(A3251,"".*@simon.es$""),REGEXMATCH(A3251,"".*@simon.pt$""),REGEXMATCH(A3251,"".*@simonelectrica.com$""),REGEXMATCH(A3251,"".*@hiberus.com$""),REGEXMATCH(A3251,"".*@simonbrico.es$""),regexmatch(A3251,"".*@simonelectric.com$"")),""null"",A3"&amp;"251)"),"2489@proytecenergia.com")</f>
        <v>2489@proytecenergia.com</v>
      </c>
      <c r="C3251" s="5">
        <f>IF(B3251="null","null",Descargas!B3251)</f>
        <v>43900</v>
      </c>
      <c r="D3251" s="6" t="str">
        <f>Descargas!E3251</f>
        <v>https://resources.simonelectric.com/simon-ebook-vehiculo-electrico</v>
      </c>
      <c r="E3251" s="20" t="str">
        <f t="shared" si="1"/>
        <v>2489@proytecenergia.com</v>
      </c>
      <c r="F3251" s="21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</row>
    <row r="3252" ht="15.75" customHeight="1">
      <c r="A3252" s="18" t="str">
        <f>Descargas!A3252</f>
        <v>2490@mantenencies.com</v>
      </c>
      <c r="B3252" s="19" t="str">
        <f>IFERROR(__xludf.DUMMYFUNCTION("IF(OR(regexmatch(A3252,"".*@simon.es$""),REGEXMATCH(A3252,"".*@simon.pt$""),REGEXMATCH(A3252,"".*@simonelectrica.com$""),REGEXMATCH(A3252,"".*@hiberus.com$""),REGEXMATCH(A3252,"".*@simonbrico.es$""),regexmatch(A3252,"".*@simonelectric.com$"")),""null"",A3"&amp;"252)"),"2490@mantenencies.com")</f>
        <v>2490@mantenencies.com</v>
      </c>
      <c r="C3252" s="5">
        <f>IF(B3252="null","null",Descargas!B3252)</f>
        <v>43900</v>
      </c>
      <c r="D3252" s="6" t="str">
        <f>Descargas!E3252</f>
        <v>https://resources.simonelectric.com/simon-ebook-vehiculo-electrico</v>
      </c>
      <c r="E3252" s="20" t="str">
        <f t="shared" si="1"/>
        <v>2490@mantenencies.com</v>
      </c>
      <c r="F3252" s="21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</row>
    <row r="3253" ht="15.75" customHeight="1">
      <c r="A3253" s="18" t="str">
        <f>Descargas!A3253</f>
        <v>2491@saltoki.es</v>
      </c>
      <c r="B3253" s="19" t="str">
        <f>IFERROR(__xludf.DUMMYFUNCTION("IF(OR(regexmatch(A3253,"".*@simon.es$""),REGEXMATCH(A3253,"".*@simon.pt$""),REGEXMATCH(A3253,"".*@simonelectrica.com$""),REGEXMATCH(A3253,"".*@hiberus.com$""),REGEXMATCH(A3253,"".*@simonbrico.es$""),regexmatch(A3253,"".*@simonelectric.com$"")),""null"",A3"&amp;"253)"),"2491@saltoki.es")</f>
        <v>2491@saltoki.es</v>
      </c>
      <c r="C3253" s="5">
        <f>IF(B3253="null","null",Descargas!B3253)</f>
        <v>43900</v>
      </c>
      <c r="D3253" s="6" t="str">
        <f>Descargas!E3253</f>
        <v>https://resources.simonelectric.com/simon-ebook-vehiculo-electrico</v>
      </c>
      <c r="E3253" s="20" t="str">
        <f t="shared" si="1"/>
        <v>2491@saltoki.es</v>
      </c>
      <c r="F3253" s="21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</row>
    <row r="3254" ht="15.75" customHeight="1">
      <c r="A3254" s="18" t="str">
        <f>Descargas!A3254</f>
        <v>1605@recargamostucoche.com</v>
      </c>
      <c r="B3254" s="19" t="str">
        <f>IFERROR(__xludf.DUMMYFUNCTION("IF(OR(regexmatch(A3254,"".*@simon.es$""),REGEXMATCH(A3254,"".*@simon.pt$""),REGEXMATCH(A3254,"".*@simonelectrica.com$""),REGEXMATCH(A3254,"".*@hiberus.com$""),REGEXMATCH(A3254,"".*@simonbrico.es$""),regexmatch(A3254,"".*@simonelectric.com$"")),""null"",A3"&amp;"254)"),"1605@recargamostucoche.com")</f>
        <v>1605@recargamostucoche.com</v>
      </c>
      <c r="C3254" s="5">
        <f>IF(B3254="null","null",Descargas!B3254)</f>
        <v>43900</v>
      </c>
      <c r="D3254" s="6" t="str">
        <f>Descargas!E3254</f>
        <v>https://resources.simonelectric.com/simon-ebook-vehiculo-electrico</v>
      </c>
      <c r="E3254" s="20" t="str">
        <f t="shared" si="1"/>
        <v>1605@recargamostucoche.com</v>
      </c>
      <c r="F3254" s="21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</row>
    <row r="3255" ht="15.75" customHeight="1">
      <c r="A3255" s="18" t="str">
        <f>Descargas!A3255</f>
        <v>1330@comb.cat</v>
      </c>
      <c r="B3255" s="19" t="str">
        <f>IFERROR(__xludf.DUMMYFUNCTION("IF(OR(regexmatch(A3255,"".*@simon.es$""),REGEXMATCH(A3255,"".*@simon.pt$""),REGEXMATCH(A3255,"".*@simonelectrica.com$""),REGEXMATCH(A3255,"".*@hiberus.com$""),REGEXMATCH(A3255,"".*@simonbrico.es$""),regexmatch(A3255,"".*@simonelectric.com$"")),""null"",A3"&amp;"255)"),"1330@comb.cat")</f>
        <v>1330@comb.cat</v>
      </c>
      <c r="C3255" s="5">
        <f>IF(B3255="null","null",Descargas!B3255)</f>
        <v>43900</v>
      </c>
      <c r="D3255" s="6" t="str">
        <f>Descargas!E3255</f>
        <v>https://resources.simonelectric.com/simon-ebook-vehiculo-electrico</v>
      </c>
      <c r="E3255" s="20" t="str">
        <f t="shared" si="1"/>
        <v>1330@comb.cat</v>
      </c>
      <c r="F3255" s="21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</row>
    <row r="3256" ht="15.75" customHeight="1">
      <c r="A3256" s="18" t="str">
        <f>Descargas!A3256</f>
        <v>2492@gmail.com</v>
      </c>
      <c r="B3256" s="19" t="str">
        <f>IFERROR(__xludf.DUMMYFUNCTION("IF(OR(regexmatch(A3256,"".*@simon.es$""),REGEXMATCH(A3256,"".*@simon.pt$""),REGEXMATCH(A3256,"".*@simonelectrica.com$""),REGEXMATCH(A3256,"".*@hiberus.com$""),REGEXMATCH(A3256,"".*@simonbrico.es$""),regexmatch(A3256,"".*@simonelectric.com$"")),""null"",A3"&amp;"256)"),"2492@gmail.com")</f>
        <v>2492@gmail.com</v>
      </c>
      <c r="C3256" s="5">
        <f>IF(B3256="null","null",Descargas!B3256)</f>
        <v>43900</v>
      </c>
      <c r="D3256" s="6" t="str">
        <f>Descargas!E3256</f>
        <v>https://resources.simonelectric.com/simon-ebook-vehiculo-electrico</v>
      </c>
      <c r="E3256" s="20" t="str">
        <f t="shared" si="1"/>
        <v>2492@gmail.com</v>
      </c>
      <c r="F3256" s="21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</row>
    <row r="3257" ht="15.75" customHeight="1">
      <c r="A3257" s="18" t="str">
        <f>Descargas!A3257</f>
        <v>2493@gmail.com</v>
      </c>
      <c r="B3257" s="19" t="str">
        <f>IFERROR(__xludf.DUMMYFUNCTION("IF(OR(regexmatch(A3257,"".*@simon.es$""),REGEXMATCH(A3257,"".*@simon.pt$""),REGEXMATCH(A3257,"".*@simonelectrica.com$""),REGEXMATCH(A3257,"".*@hiberus.com$""),REGEXMATCH(A3257,"".*@simonbrico.es$""),regexmatch(A3257,"".*@simonelectric.com$"")),""null"",A3"&amp;"257)"),"2493@gmail.com")</f>
        <v>2493@gmail.com</v>
      </c>
      <c r="C3257" s="5">
        <f>IF(B3257="null","null",Descargas!B3257)</f>
        <v>43900</v>
      </c>
      <c r="D3257" s="6" t="str">
        <f>Descargas!E3257</f>
        <v>https://resources.simonelectric.com/simon-ebook-vehiculo-electrico</v>
      </c>
      <c r="E3257" s="20" t="str">
        <f t="shared" si="1"/>
        <v>2493@gmail.com</v>
      </c>
      <c r="F3257" s="21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</row>
    <row r="3258" ht="15.75" customHeight="1">
      <c r="A3258" s="18" t="str">
        <f>Descargas!A3258</f>
        <v>2494@gmail.com</v>
      </c>
      <c r="B3258" s="19" t="str">
        <f>IFERROR(__xludf.DUMMYFUNCTION("IF(OR(regexmatch(A3258,"".*@simon.es$""),REGEXMATCH(A3258,"".*@simon.pt$""),REGEXMATCH(A3258,"".*@simonelectrica.com$""),REGEXMATCH(A3258,"".*@hiberus.com$""),REGEXMATCH(A3258,"".*@simonbrico.es$""),regexmatch(A3258,"".*@simonelectric.com$"")),""null"",A3"&amp;"258)"),"2494@gmail.com")</f>
        <v>2494@gmail.com</v>
      </c>
      <c r="C3258" s="5">
        <f>IF(B3258="null","null",Descargas!B3258)</f>
        <v>43900</v>
      </c>
      <c r="D3258" s="6" t="str">
        <f>Descargas!E3258</f>
        <v>https://resources.simonelectric.com/simon-ebook-vehiculo-electrico</v>
      </c>
      <c r="E3258" s="20" t="str">
        <f t="shared" si="1"/>
        <v>2494@gmail.com</v>
      </c>
      <c r="F3258" s="21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</row>
    <row r="3259" ht="15.75" customHeight="1">
      <c r="A3259" s="18" t="str">
        <f>Descargas!A3259</f>
        <v>2495@gmail.com</v>
      </c>
      <c r="B3259" s="19" t="str">
        <f>IFERROR(__xludf.DUMMYFUNCTION("IF(OR(regexmatch(A3259,"".*@simon.es$""),REGEXMATCH(A3259,"".*@simon.pt$""),REGEXMATCH(A3259,"".*@simonelectrica.com$""),REGEXMATCH(A3259,"".*@hiberus.com$""),REGEXMATCH(A3259,"".*@simonbrico.es$""),regexmatch(A3259,"".*@simonelectric.com$"")),""null"",A3"&amp;"259)"),"2495@gmail.com")</f>
        <v>2495@gmail.com</v>
      </c>
      <c r="C3259" s="5">
        <f>IF(B3259="null","null",Descargas!B3259)</f>
        <v>43900</v>
      </c>
      <c r="D3259" s="6" t="str">
        <f>Descargas!E3259</f>
        <v>https://resources.simonelectric.com/simon-ebook-vehiculo-electrico</v>
      </c>
      <c r="E3259" s="20" t="str">
        <f t="shared" si="1"/>
        <v>2495@gmail.com</v>
      </c>
      <c r="F3259" s="21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</row>
    <row r="3260" ht="15.75" customHeight="1">
      <c r="A3260" s="18" t="str">
        <f>Descargas!A3260</f>
        <v>2496@grupoelectrostocks.com</v>
      </c>
      <c r="B3260" s="19" t="str">
        <f>IFERROR(__xludf.DUMMYFUNCTION("IF(OR(regexmatch(A3260,"".*@simon.es$""),REGEXMATCH(A3260,"".*@simon.pt$""),REGEXMATCH(A3260,"".*@simonelectrica.com$""),REGEXMATCH(A3260,"".*@hiberus.com$""),REGEXMATCH(A3260,"".*@simonbrico.es$""),regexmatch(A3260,"".*@simonelectric.com$"")),""null"",A3"&amp;"260)"),"2496@grupoelectrostocks.com")</f>
        <v>2496@grupoelectrostocks.com</v>
      </c>
      <c r="C3260" s="5">
        <f>IF(B3260="null","null",Descargas!B3260)</f>
        <v>43900</v>
      </c>
      <c r="D3260" s="6" t="str">
        <f>Descargas!E3260</f>
        <v>https://resources.simonelectric.com/simon-ebook-vehiculo-electrico</v>
      </c>
      <c r="E3260" s="20" t="str">
        <f t="shared" si="1"/>
        <v>2496@grupoelectrostocks.com</v>
      </c>
      <c r="F3260" s="21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</row>
    <row r="3261" ht="15.75" customHeight="1">
      <c r="A3261" s="18" t="str">
        <f>Descargas!A3261</f>
        <v>2497@gmail.com</v>
      </c>
      <c r="B3261" s="19" t="str">
        <f>IFERROR(__xludf.DUMMYFUNCTION("IF(OR(regexmatch(A3261,"".*@simon.es$""),REGEXMATCH(A3261,"".*@simon.pt$""),REGEXMATCH(A3261,"".*@simonelectrica.com$""),REGEXMATCH(A3261,"".*@hiberus.com$""),REGEXMATCH(A3261,"".*@simonbrico.es$""),regexmatch(A3261,"".*@simonelectric.com$"")),""null"",A3"&amp;"261)"),"2497@gmail.com")</f>
        <v>2497@gmail.com</v>
      </c>
      <c r="C3261" s="5">
        <f>IF(B3261="null","null",Descargas!B3261)</f>
        <v>43899</v>
      </c>
      <c r="D3261" s="6" t="str">
        <f>Descargas!E3261</f>
        <v>https://resources.simonelectric.com/simon-ebook-vehiculo-electrico</v>
      </c>
      <c r="E3261" s="20" t="str">
        <f t="shared" si="1"/>
        <v>2497@gmail.com</v>
      </c>
      <c r="F3261" s="21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</row>
    <row r="3262" ht="15.75" customHeight="1">
      <c r="A3262" s="18" t="str">
        <f>Descargas!A3262</f>
        <v>2272@tiempobbdo.es</v>
      </c>
      <c r="B3262" s="19" t="str">
        <f>IFERROR(__xludf.DUMMYFUNCTION("IF(OR(regexmatch(A3262,"".*@simon.es$""),REGEXMATCH(A3262,"".*@simon.pt$""),REGEXMATCH(A3262,"".*@simonelectrica.com$""),REGEXMATCH(A3262,"".*@hiberus.com$""),REGEXMATCH(A3262,"".*@simonbrico.es$""),regexmatch(A3262,"".*@simonelectric.com$"")),""null"",A3"&amp;"262)"),"2272@tiempobbdo.es")</f>
        <v>2272@tiempobbdo.es</v>
      </c>
      <c r="C3262" s="5">
        <f>IF(B3262="null","null",Descargas!B3262)</f>
        <v>43899</v>
      </c>
      <c r="D3262" s="6" t="str">
        <f>Descargas!E3262</f>
        <v>https://resources.simonelectric.com/simon-ebook-vehiculo-electrico</v>
      </c>
      <c r="E3262" s="20" t="str">
        <f t="shared" si="1"/>
        <v>2272@tiempobbdo.es</v>
      </c>
      <c r="F3262" s="21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</row>
    <row r="3263" ht="15.75" customHeight="1">
      <c r="A3263" s="18" t="str">
        <f>Descargas!A3263</f>
        <v>2498@adtelcom.es</v>
      </c>
      <c r="B3263" s="19" t="str">
        <f>IFERROR(__xludf.DUMMYFUNCTION("IF(OR(regexmatch(A3263,"".*@simon.es$""),REGEXMATCH(A3263,"".*@simon.pt$""),REGEXMATCH(A3263,"".*@simonelectrica.com$""),REGEXMATCH(A3263,"".*@hiberus.com$""),REGEXMATCH(A3263,"".*@simonbrico.es$""),regexmatch(A3263,"".*@simonelectric.com$"")),""null"",A3"&amp;"263)"),"2498@adtelcom.es")</f>
        <v>2498@adtelcom.es</v>
      </c>
      <c r="C3263" s="5">
        <f>IF(B3263="null","null",Descargas!B3263)</f>
        <v>43899</v>
      </c>
      <c r="D3263" s="6" t="str">
        <f>Descargas!E3263</f>
        <v>https://resources.simonelectric.com/simon-ebook-vehiculo-electrico</v>
      </c>
      <c r="E3263" s="20" t="str">
        <f t="shared" si="1"/>
        <v>2498@adtelcom.es</v>
      </c>
      <c r="F3263" s="21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</row>
    <row r="3264" ht="15.75" customHeight="1">
      <c r="A3264" s="18" t="str">
        <f>Descargas!A3264</f>
        <v>2499@hotmail.com</v>
      </c>
      <c r="B3264" s="19" t="str">
        <f>IFERROR(__xludf.DUMMYFUNCTION("IF(OR(regexmatch(A3264,"".*@simon.es$""),REGEXMATCH(A3264,"".*@simon.pt$""),REGEXMATCH(A3264,"".*@simonelectrica.com$""),REGEXMATCH(A3264,"".*@hiberus.com$""),REGEXMATCH(A3264,"".*@simonbrico.es$""),regexmatch(A3264,"".*@simonelectric.com$"")),""null"",A3"&amp;"264)"),"2499@hotmail.com")</f>
        <v>2499@hotmail.com</v>
      </c>
      <c r="C3264" s="5">
        <f>IF(B3264="null","null",Descargas!B3264)</f>
        <v>43899</v>
      </c>
      <c r="D3264" s="6" t="str">
        <f>Descargas!E3264</f>
        <v>https://resources.simonelectric.com/simon-ebook-vehiculo-electrico</v>
      </c>
      <c r="E3264" s="20" t="str">
        <f t="shared" si="1"/>
        <v>2499@hotmail.com</v>
      </c>
      <c r="F3264" s="21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</row>
    <row r="3265" ht="15.75" customHeight="1">
      <c r="A3265" s="18" t="str">
        <f>Descargas!A3265</f>
        <v>2500@sonepar.es</v>
      </c>
      <c r="B3265" s="19" t="str">
        <f>IFERROR(__xludf.DUMMYFUNCTION("IF(OR(regexmatch(A3265,"".*@simon.es$""),REGEXMATCH(A3265,"".*@simon.pt$""),REGEXMATCH(A3265,"".*@simonelectrica.com$""),REGEXMATCH(A3265,"".*@hiberus.com$""),REGEXMATCH(A3265,"".*@simonbrico.es$""),regexmatch(A3265,"".*@simonelectric.com$"")),""null"",A3"&amp;"265)"),"2500@sonepar.es")</f>
        <v>2500@sonepar.es</v>
      </c>
      <c r="C3265" s="5">
        <f>IF(B3265="null","null",Descargas!B3265)</f>
        <v>43899</v>
      </c>
      <c r="D3265" s="6" t="str">
        <f>Descargas!E3265</f>
        <v>https://resources.simonelectric.com/simon-ebook-vehiculo-electrico</v>
      </c>
      <c r="E3265" s="20" t="str">
        <f t="shared" si="1"/>
        <v>2500@sonepar.es</v>
      </c>
      <c r="F3265" s="21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</row>
    <row r="3266" ht="15.75" customHeight="1">
      <c r="A3266" s="18" t="str">
        <f>Descargas!A3266</f>
        <v>2501@gmail.com</v>
      </c>
      <c r="B3266" s="19" t="str">
        <f>IFERROR(__xludf.DUMMYFUNCTION("IF(OR(regexmatch(A3266,"".*@simon.es$""),REGEXMATCH(A3266,"".*@simon.pt$""),REGEXMATCH(A3266,"".*@simonelectrica.com$""),REGEXMATCH(A3266,"".*@hiberus.com$""),REGEXMATCH(A3266,"".*@simonbrico.es$""),regexmatch(A3266,"".*@simonelectric.com$"")),""null"",A3"&amp;"266)"),"2501@gmail.com")</f>
        <v>2501@gmail.com</v>
      </c>
      <c r="C3266" s="5">
        <f>IF(B3266="null","null",Descargas!B3266)</f>
        <v>43899</v>
      </c>
      <c r="D3266" s="6" t="str">
        <f>Descargas!E3266</f>
        <v>https://resources.simonelectric.com/simon-ebook-vehiculo-electrico</v>
      </c>
      <c r="E3266" s="20" t="str">
        <f t="shared" si="1"/>
        <v>2501@gmail.com</v>
      </c>
      <c r="F3266" s="21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</row>
    <row r="3267" ht="15.75" customHeight="1">
      <c r="A3267" s="18" t="str">
        <f>Descargas!A3267</f>
        <v>1048@usc.es</v>
      </c>
      <c r="B3267" s="19" t="str">
        <f>IFERROR(__xludf.DUMMYFUNCTION("IF(OR(regexmatch(A3267,"".*@simon.es$""),REGEXMATCH(A3267,"".*@simon.pt$""),REGEXMATCH(A3267,"".*@simonelectrica.com$""),REGEXMATCH(A3267,"".*@hiberus.com$""),REGEXMATCH(A3267,"".*@simonbrico.es$""),regexmatch(A3267,"".*@simonelectric.com$"")),""null"",A3"&amp;"267)"),"1048@usc.es")</f>
        <v>1048@usc.es</v>
      </c>
      <c r="C3267" s="5">
        <f>IF(B3267="null","null",Descargas!B3267)</f>
        <v>43899</v>
      </c>
      <c r="D3267" s="6" t="str">
        <f>Descargas!E3267</f>
        <v>https://resources.simonelectric.com/simon-ebook-vehiculo-electrico</v>
      </c>
      <c r="E3267" s="20" t="str">
        <f t="shared" si="1"/>
        <v>1048@usc.es</v>
      </c>
      <c r="F3267" s="21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</row>
    <row r="3268" ht="15.75" customHeight="1">
      <c r="A3268" s="18" t="str">
        <f>Descargas!A3268</f>
        <v>2502@yahoo.es</v>
      </c>
      <c r="B3268" s="19" t="str">
        <f>IFERROR(__xludf.DUMMYFUNCTION("IF(OR(regexmatch(A3268,"".*@simon.es$""),REGEXMATCH(A3268,"".*@simon.pt$""),REGEXMATCH(A3268,"".*@simonelectrica.com$""),REGEXMATCH(A3268,"".*@hiberus.com$""),REGEXMATCH(A3268,"".*@simonbrico.es$""),regexmatch(A3268,"".*@simonelectric.com$"")),""null"",A3"&amp;"268)"),"2502@yahoo.es")</f>
        <v>2502@yahoo.es</v>
      </c>
      <c r="C3268" s="5">
        <f>IF(B3268="null","null",Descargas!B3268)</f>
        <v>43899</v>
      </c>
      <c r="D3268" s="6" t="str">
        <f>Descargas!E3268</f>
        <v>https://resources.simonelectric.com/simon-ebook-vehiculo-electrico</v>
      </c>
      <c r="E3268" s="20" t="str">
        <f t="shared" si="1"/>
        <v>2502@yahoo.es</v>
      </c>
      <c r="F3268" s="21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</row>
    <row r="3269" ht="15.75" customHeight="1">
      <c r="A3269" s="18" t="str">
        <f>Descargas!A3269</f>
        <v>2503@grupoiicsa.com</v>
      </c>
      <c r="B3269" s="19" t="str">
        <f>IFERROR(__xludf.DUMMYFUNCTION("IF(OR(regexmatch(A3269,"".*@simon.es$""),REGEXMATCH(A3269,"".*@simon.pt$""),REGEXMATCH(A3269,"".*@simonelectrica.com$""),REGEXMATCH(A3269,"".*@hiberus.com$""),REGEXMATCH(A3269,"".*@simonbrico.es$""),regexmatch(A3269,"".*@simonelectric.com$"")),""null"",A3"&amp;"269)"),"2503@grupoiicsa.com")</f>
        <v>2503@grupoiicsa.com</v>
      </c>
      <c r="C3269" s="5">
        <f>IF(B3269="null","null",Descargas!B3269)</f>
        <v>43899</v>
      </c>
      <c r="D3269" s="6" t="str">
        <f>Descargas!E3269</f>
        <v>https://resources.simonelectric.com/simon-ebook-vehiculo-electrico</v>
      </c>
      <c r="E3269" s="20" t="str">
        <f t="shared" si="1"/>
        <v>2503@grupoiicsa.com</v>
      </c>
      <c r="F3269" s="21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</row>
    <row r="3270" ht="15.75" customHeight="1">
      <c r="A3270" s="18" t="str">
        <f>Descargas!A3270</f>
        <v>2504@gmail.com</v>
      </c>
      <c r="B3270" s="19" t="str">
        <f>IFERROR(__xludf.DUMMYFUNCTION("IF(OR(regexmatch(A3270,"".*@simon.es$""),REGEXMATCH(A3270,"".*@simon.pt$""),REGEXMATCH(A3270,"".*@simonelectrica.com$""),REGEXMATCH(A3270,"".*@hiberus.com$""),REGEXMATCH(A3270,"".*@simonbrico.es$""),regexmatch(A3270,"".*@simonelectric.com$"")),""null"",A3"&amp;"270)"),"2504@gmail.com")</f>
        <v>2504@gmail.com</v>
      </c>
      <c r="C3270" s="5">
        <f>IF(B3270="null","null",Descargas!B3270)</f>
        <v>43899</v>
      </c>
      <c r="D3270" s="6" t="str">
        <f>Descargas!E3270</f>
        <v>https://resources.simonelectric.com/simon-ebook-vehiculo-electrico</v>
      </c>
      <c r="E3270" s="20" t="str">
        <f t="shared" si="1"/>
        <v>2504@gmail.com</v>
      </c>
      <c r="F3270" s="21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</row>
    <row r="3271" ht="15.75" customHeight="1">
      <c r="A3271" s="18" t="str">
        <f>Descargas!A3271</f>
        <v>2505@gmail.com</v>
      </c>
      <c r="B3271" s="19" t="str">
        <f>IFERROR(__xludf.DUMMYFUNCTION("IF(OR(regexmatch(A3271,"".*@simon.es$""),REGEXMATCH(A3271,"".*@simon.pt$""),REGEXMATCH(A3271,"".*@simonelectrica.com$""),REGEXMATCH(A3271,"".*@hiberus.com$""),REGEXMATCH(A3271,"".*@simonbrico.es$""),regexmatch(A3271,"".*@simonelectric.com$"")),""null"",A3"&amp;"271)"),"2505@gmail.com")</f>
        <v>2505@gmail.com</v>
      </c>
      <c r="C3271" s="5">
        <f>IF(B3271="null","null",Descargas!B3271)</f>
        <v>43899</v>
      </c>
      <c r="D3271" s="6" t="str">
        <f>Descargas!E3271</f>
        <v>https://resources.simonelectric.com/simon-ebook-vehiculo-electrico</v>
      </c>
      <c r="E3271" s="20" t="str">
        <f t="shared" si="1"/>
        <v>2505@gmail.com</v>
      </c>
      <c r="F3271" s="21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</row>
    <row r="3272" ht="15.75" customHeight="1">
      <c r="A3272" s="18" t="str">
        <f>Descargas!A3272</f>
        <v>2506@es.issworld.com</v>
      </c>
      <c r="B3272" s="19" t="str">
        <f>IFERROR(__xludf.DUMMYFUNCTION("IF(OR(regexmatch(A3272,"".*@simon.es$""),REGEXMATCH(A3272,"".*@simon.pt$""),REGEXMATCH(A3272,"".*@simonelectrica.com$""),REGEXMATCH(A3272,"".*@hiberus.com$""),REGEXMATCH(A3272,"".*@simonbrico.es$""),regexmatch(A3272,"".*@simonelectric.com$"")),""null"",A3"&amp;"272)"),"2506@es.issworld.com")</f>
        <v>2506@es.issworld.com</v>
      </c>
      <c r="C3272" s="5">
        <f>IF(B3272="null","null",Descargas!B3272)</f>
        <v>43899</v>
      </c>
      <c r="D3272" s="6" t="str">
        <f>Descargas!E3272</f>
        <v>https://resources.simonelectric.com/simon-ebook-vehiculo-electrico</v>
      </c>
      <c r="E3272" s="20" t="str">
        <f t="shared" si="1"/>
        <v>2506@es.issworld.com</v>
      </c>
      <c r="F3272" s="21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</row>
    <row r="3273" ht="15.75" customHeight="1">
      <c r="A3273" s="18" t="str">
        <f>Descargas!A3273</f>
        <v>2507@victorperezsl.com</v>
      </c>
      <c r="B3273" s="19" t="str">
        <f>IFERROR(__xludf.DUMMYFUNCTION("IF(OR(regexmatch(A3273,"".*@simon.es$""),REGEXMATCH(A3273,"".*@simon.pt$""),REGEXMATCH(A3273,"".*@simonelectrica.com$""),REGEXMATCH(A3273,"".*@hiberus.com$""),REGEXMATCH(A3273,"".*@simonbrico.es$""),regexmatch(A3273,"".*@simonelectric.com$"")),""null"",A3"&amp;"273)"),"2507@victorperezsl.com")</f>
        <v>2507@victorperezsl.com</v>
      </c>
      <c r="C3273" s="5">
        <f>IF(B3273="null","null",Descargas!B3273)</f>
        <v>43899</v>
      </c>
      <c r="D3273" s="6" t="str">
        <f>Descargas!E3273</f>
        <v>https://resources.simonelectric.com/simon-ebook-vehiculo-electrico</v>
      </c>
      <c r="E3273" s="20" t="str">
        <f t="shared" si="1"/>
        <v>2507@victorperezsl.com</v>
      </c>
      <c r="F3273" s="21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</row>
    <row r="3274" ht="15.75" customHeight="1">
      <c r="A3274" s="18" t="str">
        <f>Descargas!A3274</f>
        <v>2508@solardelvalle.es</v>
      </c>
      <c r="B3274" s="19" t="str">
        <f>IFERROR(__xludf.DUMMYFUNCTION("IF(OR(regexmatch(A3274,"".*@simon.es$""),REGEXMATCH(A3274,"".*@simon.pt$""),REGEXMATCH(A3274,"".*@simonelectrica.com$""),REGEXMATCH(A3274,"".*@hiberus.com$""),REGEXMATCH(A3274,"".*@simonbrico.es$""),regexmatch(A3274,"".*@simonelectric.com$"")),""null"",A3"&amp;"274)"),"2508@solardelvalle.es")</f>
        <v>2508@solardelvalle.es</v>
      </c>
      <c r="C3274" s="5">
        <f>IF(B3274="null","null",Descargas!B3274)</f>
        <v>43899</v>
      </c>
      <c r="D3274" s="6" t="str">
        <f>Descargas!E3274</f>
        <v>https://resources.simonelectric.com/simon-ebook-vehiculo-electrico</v>
      </c>
      <c r="E3274" s="20" t="str">
        <f t="shared" si="1"/>
        <v>2508@solardelvalle.es</v>
      </c>
      <c r="F3274" s="21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</row>
    <row r="3275" ht="15.75" customHeight="1">
      <c r="A3275" s="18" t="str">
        <f>Descargas!A3275</f>
        <v>2509@elecnor.es</v>
      </c>
      <c r="B3275" s="19" t="str">
        <f>IFERROR(__xludf.DUMMYFUNCTION("IF(OR(regexmatch(A3275,"".*@simon.es$""),REGEXMATCH(A3275,"".*@simon.pt$""),REGEXMATCH(A3275,"".*@simonelectrica.com$""),REGEXMATCH(A3275,"".*@hiberus.com$""),REGEXMATCH(A3275,"".*@simonbrico.es$""),regexmatch(A3275,"".*@simonelectric.com$"")),""null"",A3"&amp;"275)"),"2509@elecnor.es")</f>
        <v>2509@elecnor.es</v>
      </c>
      <c r="C3275" s="5">
        <f>IF(B3275="null","null",Descargas!B3275)</f>
        <v>43899</v>
      </c>
      <c r="D3275" s="6" t="str">
        <f>Descargas!E3275</f>
        <v>https://resources.simonelectric.com/simon-ebook-vehiculo-electrico</v>
      </c>
      <c r="E3275" s="20" t="str">
        <f t="shared" si="1"/>
        <v>2509@elecnor.es</v>
      </c>
      <c r="F3275" s="21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</row>
    <row r="3276" ht="15.75" customHeight="1">
      <c r="A3276" s="18" t="str">
        <f>Descargas!A3276</f>
        <v>2510@sermicro.com</v>
      </c>
      <c r="B3276" s="19" t="str">
        <f>IFERROR(__xludf.DUMMYFUNCTION("IF(OR(regexmatch(A3276,"".*@simon.es$""),REGEXMATCH(A3276,"".*@simon.pt$""),REGEXMATCH(A3276,"".*@simonelectrica.com$""),REGEXMATCH(A3276,"".*@hiberus.com$""),REGEXMATCH(A3276,"".*@simonbrico.es$""),regexmatch(A3276,"".*@simonelectric.com$"")),""null"",A3"&amp;"276)"),"2510@sermicro.com")</f>
        <v>2510@sermicro.com</v>
      </c>
      <c r="C3276" s="5">
        <f>IF(B3276="null","null",Descargas!B3276)</f>
        <v>43899</v>
      </c>
      <c r="D3276" s="6" t="str">
        <f>Descargas!E3276</f>
        <v>https://resources.simonelectric.com/simon-ebook-vehiculo-electrico</v>
      </c>
      <c r="E3276" s="20" t="str">
        <f t="shared" si="1"/>
        <v>2510@sermicro.com</v>
      </c>
      <c r="F3276" s="21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</row>
    <row r="3277" ht="15.75" customHeight="1">
      <c r="A3277" s="18" t="str">
        <f>Descargas!A3277</f>
        <v>2511@gmail.com</v>
      </c>
      <c r="B3277" s="19" t="str">
        <f>IFERROR(__xludf.DUMMYFUNCTION("IF(OR(regexmatch(A3277,"".*@simon.es$""),REGEXMATCH(A3277,"".*@simon.pt$""),REGEXMATCH(A3277,"".*@simonelectrica.com$""),REGEXMATCH(A3277,"".*@hiberus.com$""),REGEXMATCH(A3277,"".*@simonbrico.es$""),regexmatch(A3277,"".*@simonelectric.com$"")),""null"",A3"&amp;"277)"),"2511@gmail.com")</f>
        <v>2511@gmail.com</v>
      </c>
      <c r="C3277" s="5">
        <f>IF(B3277="null","null",Descargas!B3277)</f>
        <v>43898</v>
      </c>
      <c r="D3277" s="6" t="str">
        <f>Descargas!E3277</f>
        <v>https://resources.simonelectric.com/simon-ebook-vehiculo-electrico</v>
      </c>
      <c r="E3277" s="20" t="str">
        <f t="shared" si="1"/>
        <v>2511@gmail.com</v>
      </c>
      <c r="F3277" s="21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</row>
    <row r="3278" ht="15.75" customHeight="1">
      <c r="A3278" s="18" t="str">
        <f>Descargas!A3278</f>
        <v>2497@gmail.com</v>
      </c>
      <c r="B3278" s="19" t="str">
        <f>IFERROR(__xludf.DUMMYFUNCTION("IF(OR(regexmatch(A3278,"".*@simon.es$""),REGEXMATCH(A3278,"".*@simon.pt$""),REGEXMATCH(A3278,"".*@simonelectrica.com$""),REGEXMATCH(A3278,"".*@hiberus.com$""),REGEXMATCH(A3278,"".*@simonbrico.es$""),regexmatch(A3278,"".*@simonelectric.com$"")),""null"",A3"&amp;"278)"),"2497@gmail.com")</f>
        <v>2497@gmail.com</v>
      </c>
      <c r="C3278" s="5">
        <f>IF(B3278="null","null",Descargas!B3278)</f>
        <v>43898</v>
      </c>
      <c r="D3278" s="6" t="str">
        <f>Descargas!E3278</f>
        <v>https://resources.simonelectric.com/simon-ebook-vehiculo-electrico</v>
      </c>
      <c r="E3278" s="20" t="str">
        <f t="shared" si="1"/>
        <v>2497@gmail.com</v>
      </c>
      <c r="F3278" s="21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</row>
    <row r="3279" ht="15.75" customHeight="1">
      <c r="A3279" s="18" t="str">
        <f>Descargas!A3279</f>
        <v>784@live.com</v>
      </c>
      <c r="B3279" s="19" t="str">
        <f>IFERROR(__xludf.DUMMYFUNCTION("IF(OR(regexmatch(A3279,"".*@simon.es$""),REGEXMATCH(A3279,"".*@simon.pt$""),REGEXMATCH(A3279,"".*@simonelectrica.com$""),REGEXMATCH(A3279,"".*@hiberus.com$""),REGEXMATCH(A3279,"".*@simonbrico.es$""),regexmatch(A3279,"".*@simonelectric.com$"")),""null"",A3"&amp;"279)"),"784@live.com")</f>
        <v>784@live.com</v>
      </c>
      <c r="C3279" s="5">
        <f>IF(B3279="null","null",Descargas!B3279)</f>
        <v>43897</v>
      </c>
      <c r="D3279" s="6" t="str">
        <f>Descargas!E3279</f>
        <v>https://resources.simonelectric.com/simon-ebook-vehiculo-electrico</v>
      </c>
      <c r="E3279" s="20" t="str">
        <f t="shared" si="1"/>
        <v>784@live.com</v>
      </c>
      <c r="F3279" s="21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</row>
    <row r="3280" ht="15.75" customHeight="1">
      <c r="A3280" s="18" t="str">
        <f>Descargas!A3280</f>
        <v>572@gmail.com</v>
      </c>
      <c r="B3280" s="19" t="str">
        <f>IFERROR(__xludf.DUMMYFUNCTION("IF(OR(regexmatch(A3280,"".*@simon.es$""),REGEXMATCH(A3280,"".*@simon.pt$""),REGEXMATCH(A3280,"".*@simonelectrica.com$""),REGEXMATCH(A3280,"".*@hiberus.com$""),REGEXMATCH(A3280,"".*@simonbrico.es$""),regexmatch(A3280,"".*@simonelectric.com$"")),""null"",A3"&amp;"280)"),"572@gmail.com")</f>
        <v>572@gmail.com</v>
      </c>
      <c r="C3280" s="5">
        <f>IF(B3280="null","null",Descargas!B3280)</f>
        <v>43897</v>
      </c>
      <c r="D3280" s="6" t="str">
        <f>Descargas!E3280</f>
        <v>https://resources.simonelectric.com/simon-ebook-vehiculo-electrico</v>
      </c>
      <c r="E3280" s="20" t="str">
        <f t="shared" si="1"/>
        <v>572@gmail.com</v>
      </c>
      <c r="F3280" s="21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</row>
    <row r="3281" ht="15.75" customHeight="1">
      <c r="A3281" s="18" t="str">
        <f>Descargas!A3281</f>
        <v>1658@gmail.com</v>
      </c>
      <c r="B3281" s="19" t="str">
        <f>IFERROR(__xludf.DUMMYFUNCTION("IF(OR(regexmatch(A3281,"".*@simon.es$""),REGEXMATCH(A3281,"".*@simon.pt$""),REGEXMATCH(A3281,"".*@simonelectrica.com$""),REGEXMATCH(A3281,"".*@hiberus.com$""),REGEXMATCH(A3281,"".*@simonbrico.es$""),regexmatch(A3281,"".*@simonelectric.com$"")),""null"",A3"&amp;"281)"),"1658@gmail.com")</f>
        <v>1658@gmail.com</v>
      </c>
      <c r="C3281" s="5">
        <f>IF(B3281="null","null",Descargas!B3281)</f>
        <v>43897</v>
      </c>
      <c r="D3281" s="6" t="str">
        <f>Descargas!E3281</f>
        <v>https://resources.simonelectric.com/simon-ebook-vehiculo-electrico</v>
      </c>
      <c r="E3281" s="20" t="str">
        <f t="shared" si="1"/>
        <v>1658@gmail.com</v>
      </c>
      <c r="F3281" s="21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</row>
    <row r="3282" ht="15.75" customHeight="1">
      <c r="A3282" s="18" t="str">
        <f>Descargas!A3282</f>
        <v>1658@gmail.com</v>
      </c>
      <c r="B3282" s="19" t="str">
        <f>IFERROR(__xludf.DUMMYFUNCTION("IF(OR(regexmatch(A3282,"".*@simon.es$""),REGEXMATCH(A3282,"".*@simon.pt$""),REGEXMATCH(A3282,"".*@simonelectrica.com$""),REGEXMATCH(A3282,"".*@hiberus.com$""),REGEXMATCH(A3282,"".*@simonbrico.es$""),regexmatch(A3282,"".*@simonelectric.com$"")),""null"",A3"&amp;"282)"),"1658@gmail.com")</f>
        <v>1658@gmail.com</v>
      </c>
      <c r="C3282" s="5">
        <f>IF(B3282="null","null",Descargas!B3282)</f>
        <v>43897</v>
      </c>
      <c r="D3282" s="6" t="str">
        <f>Descargas!E3282</f>
        <v>https://resources.simonelectric.com/simon-catalogo-vehiculo-electrico</v>
      </c>
      <c r="E3282" s="20" t="str">
        <f t="shared" si="1"/>
        <v>1658@gmail.com</v>
      </c>
      <c r="F3282" s="21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</row>
    <row r="3283" ht="15.75" customHeight="1">
      <c r="A3283" s="18" t="str">
        <f>Descargas!A3283</f>
        <v>1658@gmail.com</v>
      </c>
      <c r="B3283" s="19" t="str">
        <f>IFERROR(__xludf.DUMMYFUNCTION("IF(OR(regexmatch(A3283,"".*@simon.es$""),REGEXMATCH(A3283,"".*@simon.pt$""),REGEXMATCH(A3283,"".*@simonelectrica.com$""),REGEXMATCH(A3283,"".*@hiberus.com$""),REGEXMATCH(A3283,"".*@simonbrico.es$""),regexmatch(A3283,"".*@simonelectric.com$"")),""null"",A3"&amp;"283)"),"1658@gmail.com")</f>
        <v>1658@gmail.com</v>
      </c>
      <c r="C3283" s="5">
        <f>IF(B3283="null","null",Descargas!B3283)</f>
        <v>43897</v>
      </c>
      <c r="D3283" s="6" t="str">
        <f>Descargas!E3283</f>
        <v>https://resources.simonelectric.com/simon-ebook-vehiculo-electrico</v>
      </c>
      <c r="E3283" s="20" t="str">
        <f t="shared" si="1"/>
        <v>1658@gmail.com</v>
      </c>
      <c r="F3283" s="21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</row>
    <row r="3284" ht="15.75" customHeight="1">
      <c r="A3284" s="18" t="str">
        <f>Descargas!A3284</f>
        <v>2512@hotmail.com</v>
      </c>
      <c r="B3284" s="19" t="str">
        <f>IFERROR(__xludf.DUMMYFUNCTION("IF(OR(regexmatch(A3284,"".*@simon.es$""),REGEXMATCH(A3284,"".*@simon.pt$""),REGEXMATCH(A3284,"".*@simonelectrica.com$""),REGEXMATCH(A3284,"".*@hiberus.com$""),REGEXMATCH(A3284,"".*@simonbrico.es$""),regexmatch(A3284,"".*@simonelectric.com$"")),""null"",A3"&amp;"284)"),"2512@hotmail.com")</f>
        <v>2512@hotmail.com</v>
      </c>
      <c r="C3284" s="5">
        <f>IF(B3284="null","null",Descargas!B3284)</f>
        <v>43897</v>
      </c>
      <c r="D3284" s="6" t="str">
        <f>Descargas!E3284</f>
        <v>https://resources.simonelectric.com/simon-ebook-vehiculo-electrico</v>
      </c>
      <c r="E3284" s="20" t="str">
        <f t="shared" si="1"/>
        <v>2512@hotmail.com</v>
      </c>
      <c r="F3284" s="21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</row>
    <row r="3285" ht="15.75" customHeight="1">
      <c r="A3285" s="18" t="str">
        <f>Descargas!A3285</f>
        <v>2513@gmail.com</v>
      </c>
      <c r="B3285" s="19" t="str">
        <f>IFERROR(__xludf.DUMMYFUNCTION("IF(OR(regexmatch(A3285,"".*@simon.es$""),REGEXMATCH(A3285,"".*@simon.pt$""),REGEXMATCH(A3285,"".*@simonelectrica.com$""),REGEXMATCH(A3285,"".*@hiberus.com$""),REGEXMATCH(A3285,"".*@simonbrico.es$""),regexmatch(A3285,"".*@simonelectric.com$"")),""null"",A3"&amp;"285)"),"2513@gmail.com")</f>
        <v>2513@gmail.com</v>
      </c>
      <c r="C3285" s="5">
        <f>IF(B3285="null","null",Descargas!B3285)</f>
        <v>43896</v>
      </c>
      <c r="D3285" s="6" t="str">
        <f>Descargas!E3285</f>
        <v>https://resources.simonelectric.com/simon-ebook-vehiculo-electrico</v>
      </c>
      <c r="E3285" s="20" t="str">
        <f t="shared" si="1"/>
        <v>2513@gmail.com</v>
      </c>
      <c r="F3285" s="21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</row>
    <row r="3286" ht="15.75" customHeight="1">
      <c r="A3286" s="18" t="str">
        <f>Descargas!A3286</f>
        <v>2514@coitialicante.com</v>
      </c>
      <c r="B3286" s="19" t="str">
        <f>IFERROR(__xludf.DUMMYFUNCTION("IF(OR(regexmatch(A3286,"".*@simon.es$""),REGEXMATCH(A3286,"".*@simon.pt$""),REGEXMATCH(A3286,"".*@simonelectrica.com$""),REGEXMATCH(A3286,"".*@hiberus.com$""),REGEXMATCH(A3286,"".*@simonbrico.es$""),regexmatch(A3286,"".*@simonelectric.com$"")),""null"",A3"&amp;"286)"),"2514@coitialicante.com")</f>
        <v>2514@coitialicante.com</v>
      </c>
      <c r="C3286" s="5">
        <f>IF(B3286="null","null",Descargas!B3286)</f>
        <v>43896</v>
      </c>
      <c r="D3286" s="6" t="str">
        <f>Descargas!E3286</f>
        <v>https://resources.simonelectric.com/simon-ebook-vehiculo-electrico</v>
      </c>
      <c r="E3286" s="20" t="str">
        <f t="shared" si="1"/>
        <v>2514@coitialicante.com</v>
      </c>
      <c r="F3286" s="21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</row>
    <row r="3287" ht="15.75" customHeight="1">
      <c r="A3287" s="18" t="str">
        <f>Descargas!A3287</f>
        <v>2515@simon.es</v>
      </c>
      <c r="B3287" s="19" t="str">
        <f>IFERROR(__xludf.DUMMYFUNCTION("IF(OR(regexmatch(A3287,"".*@simon.es$""),REGEXMATCH(A3287,"".*@simon.pt$""),REGEXMATCH(A3287,"".*@simonelectrica.com$""),REGEXMATCH(A3287,"".*@hiberus.com$""),REGEXMATCH(A3287,"".*@simonbrico.es$""),regexmatch(A3287,"".*@simonelectric.com$"")),""null"",A3"&amp;"287)"),"null")</f>
        <v>null</v>
      </c>
      <c r="C3287" s="5" t="str">
        <f>IF(B3287="null","null",Descargas!B3287)</f>
        <v>null</v>
      </c>
      <c r="D3287" s="6" t="str">
        <f>Descargas!E3287</f>
        <v>https://resources.simonelectric.com/simon-ebook-vehiculo-electrico</v>
      </c>
      <c r="E3287" s="24" t="str">
        <f t="shared" si="1"/>
        <v/>
      </c>
      <c r="F3287" s="21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</row>
    <row r="3288" ht="15.75" customHeight="1">
      <c r="A3288" s="18" t="str">
        <f>Descargas!A3288</f>
        <v>2516@isega.es</v>
      </c>
      <c r="B3288" s="19" t="str">
        <f>IFERROR(__xludf.DUMMYFUNCTION("IF(OR(regexmatch(A3288,"".*@simon.es$""),REGEXMATCH(A3288,"".*@simon.pt$""),REGEXMATCH(A3288,"".*@simonelectrica.com$""),REGEXMATCH(A3288,"".*@hiberus.com$""),REGEXMATCH(A3288,"".*@simonbrico.es$""),regexmatch(A3288,"".*@simonelectric.com$"")),""null"",A3"&amp;"288)"),"2516@isega.es")</f>
        <v>2516@isega.es</v>
      </c>
      <c r="C3288" s="5">
        <f>IF(B3288="null","null",Descargas!B3288)</f>
        <v>43896</v>
      </c>
      <c r="D3288" s="6" t="str">
        <f>Descargas!E3288</f>
        <v>https://resources.simonelectric.com/simon-ebook-vehiculo-electrico</v>
      </c>
      <c r="E3288" s="20" t="str">
        <f t="shared" si="1"/>
        <v>2516@isega.es</v>
      </c>
      <c r="F3288" s="21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</row>
    <row r="3289" ht="15.75" customHeight="1">
      <c r="A3289" s="18" t="str">
        <f>Descargas!A3289</f>
        <v>1123@gmail.com</v>
      </c>
      <c r="B3289" s="19" t="str">
        <f>IFERROR(__xludf.DUMMYFUNCTION("IF(OR(regexmatch(A3289,"".*@simon.es$""),REGEXMATCH(A3289,"".*@simon.pt$""),REGEXMATCH(A3289,"".*@simonelectrica.com$""),REGEXMATCH(A3289,"".*@hiberus.com$""),REGEXMATCH(A3289,"".*@simonbrico.es$""),regexmatch(A3289,"".*@simonelectric.com$"")),""null"",A3"&amp;"289)"),"1123@gmail.com")</f>
        <v>1123@gmail.com</v>
      </c>
      <c r="C3289" s="5">
        <f>IF(B3289="null","null",Descargas!B3289)</f>
        <v>43896</v>
      </c>
      <c r="D3289" s="6" t="str">
        <f>Descargas!E3289</f>
        <v>https://resources.simonelectric.com/simon-ebook-vehiculo-electrico</v>
      </c>
      <c r="E3289" s="20" t="str">
        <f t="shared" si="1"/>
        <v>1123@gmail.com</v>
      </c>
      <c r="F3289" s="21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</row>
    <row r="3290" ht="15.75" customHeight="1">
      <c r="A3290" s="18" t="str">
        <f>Descargas!A3290</f>
        <v>2517@ineleeg.es</v>
      </c>
      <c r="B3290" s="19" t="str">
        <f>IFERROR(__xludf.DUMMYFUNCTION("IF(OR(regexmatch(A3290,"".*@simon.es$""),REGEXMATCH(A3290,"".*@simon.pt$""),REGEXMATCH(A3290,"".*@simonelectrica.com$""),REGEXMATCH(A3290,"".*@hiberus.com$""),REGEXMATCH(A3290,"".*@simonbrico.es$""),regexmatch(A3290,"".*@simonelectric.com$"")),""null"",A3"&amp;"290)"),"2517@ineleeg.es")</f>
        <v>2517@ineleeg.es</v>
      </c>
      <c r="C3290" s="5">
        <f>IF(B3290="null","null",Descargas!B3290)</f>
        <v>43896</v>
      </c>
      <c r="D3290" s="6" t="str">
        <f>Descargas!E3290</f>
        <v>https://resources.simonelectric.com/simon-ebook-vehiculo-electrico</v>
      </c>
      <c r="E3290" s="20" t="str">
        <f t="shared" si="1"/>
        <v>2517@ineleeg.es</v>
      </c>
      <c r="F3290" s="21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</row>
    <row r="3291" ht="15.75" customHeight="1">
      <c r="A3291" s="18" t="str">
        <f>Descargas!A3291</f>
        <v>2518@solardelvalle.es</v>
      </c>
      <c r="B3291" s="19" t="str">
        <f>IFERROR(__xludf.DUMMYFUNCTION("IF(OR(regexmatch(A3291,"".*@simon.es$""),REGEXMATCH(A3291,"".*@simon.pt$""),REGEXMATCH(A3291,"".*@simonelectrica.com$""),REGEXMATCH(A3291,"".*@hiberus.com$""),REGEXMATCH(A3291,"".*@simonbrico.es$""),regexmatch(A3291,"".*@simonelectric.com$"")),""null"",A3"&amp;"291)"),"2518@solardelvalle.es")</f>
        <v>2518@solardelvalle.es</v>
      </c>
      <c r="C3291" s="5">
        <f>IF(B3291="null","null",Descargas!B3291)</f>
        <v>43896</v>
      </c>
      <c r="D3291" s="6" t="str">
        <f>Descargas!E3291</f>
        <v>https://resources.simonelectric.com/simon-ebook-vehiculo-electrico</v>
      </c>
      <c r="E3291" s="20" t="str">
        <f t="shared" si="1"/>
        <v>2518@solardelvalle.es</v>
      </c>
      <c r="F3291" s="21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</row>
    <row r="3292" ht="15.75" customHeight="1">
      <c r="A3292" s="18" t="str">
        <f>Descargas!A3292</f>
        <v>2519@hotmail.com</v>
      </c>
      <c r="B3292" s="19" t="str">
        <f>IFERROR(__xludf.DUMMYFUNCTION("IF(OR(regexmatch(A3292,"".*@simon.es$""),REGEXMATCH(A3292,"".*@simon.pt$""),REGEXMATCH(A3292,"".*@simonelectrica.com$""),REGEXMATCH(A3292,"".*@hiberus.com$""),REGEXMATCH(A3292,"".*@simonbrico.es$""),regexmatch(A3292,"".*@simonelectric.com$"")),""null"",A3"&amp;"292)"),"2519@hotmail.com")</f>
        <v>2519@hotmail.com</v>
      </c>
      <c r="C3292" s="5">
        <f>IF(B3292="null","null",Descargas!B3292)</f>
        <v>43896</v>
      </c>
      <c r="D3292" s="6" t="str">
        <f>Descargas!E3292</f>
        <v>https://resources.simonelectric.com/simon-ebook-vehiculo-electrico-tw</v>
      </c>
      <c r="E3292" s="20" t="str">
        <f t="shared" si="1"/>
        <v>2519@hotmail.com</v>
      </c>
      <c r="F3292" s="21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</row>
    <row r="3293" ht="15.75" customHeight="1">
      <c r="A3293" s="18" t="str">
        <f>Descargas!A3293</f>
        <v>2520@jspelectrotecnia.com</v>
      </c>
      <c r="B3293" s="19" t="str">
        <f>IFERROR(__xludf.DUMMYFUNCTION("IF(OR(regexmatch(A3293,"".*@simon.es$""),REGEXMATCH(A3293,"".*@simon.pt$""),REGEXMATCH(A3293,"".*@simonelectrica.com$""),REGEXMATCH(A3293,"".*@hiberus.com$""),REGEXMATCH(A3293,"".*@simonbrico.es$""),regexmatch(A3293,"".*@simonelectric.com$"")),""null"",A3"&amp;"293)"),"2520@jspelectrotecnia.com")</f>
        <v>2520@jspelectrotecnia.com</v>
      </c>
      <c r="C3293" s="5">
        <f>IF(B3293="null","null",Descargas!B3293)</f>
        <v>43896</v>
      </c>
      <c r="D3293" s="6" t="str">
        <f>Descargas!E3293</f>
        <v>https://resources.simonelectric.com/simon-catalogo-vehiculo-electrico</v>
      </c>
      <c r="E3293" s="20" t="str">
        <f t="shared" si="1"/>
        <v>2520@jspelectrotecnia.com</v>
      </c>
      <c r="F3293" s="21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</row>
    <row r="3294" ht="15.75" customHeight="1">
      <c r="A3294" s="18" t="str">
        <f>Descargas!A3294</f>
        <v>2521@amisur.es</v>
      </c>
      <c r="B3294" s="19" t="str">
        <f>IFERROR(__xludf.DUMMYFUNCTION("IF(OR(regexmatch(A3294,"".*@simon.es$""),REGEXMATCH(A3294,"".*@simon.pt$""),REGEXMATCH(A3294,"".*@simonelectrica.com$""),REGEXMATCH(A3294,"".*@hiberus.com$""),REGEXMATCH(A3294,"".*@simonbrico.es$""),regexmatch(A3294,"".*@simonelectric.com$"")),""null"",A3"&amp;"294)"),"2521@amisur.es")</f>
        <v>2521@amisur.es</v>
      </c>
      <c r="C3294" s="5">
        <f>IF(B3294="null","null",Descargas!B3294)</f>
        <v>43896</v>
      </c>
      <c r="D3294" s="6" t="str">
        <f>Descargas!E3294</f>
        <v>https://resources.simonelectric.com/simon-catalogo-vehiculo-electrico</v>
      </c>
      <c r="E3294" s="20" t="str">
        <f t="shared" si="1"/>
        <v>2521@amisur.es</v>
      </c>
      <c r="F3294" s="21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</row>
    <row r="3295" ht="15.75" customHeight="1">
      <c r="A3295" s="18" t="str">
        <f>Descargas!A3295</f>
        <v>1805@gmail.com</v>
      </c>
      <c r="B3295" s="19" t="str">
        <f>IFERROR(__xludf.DUMMYFUNCTION("IF(OR(regexmatch(A3295,"".*@simon.es$""),REGEXMATCH(A3295,"".*@simon.pt$""),REGEXMATCH(A3295,"".*@simonelectrica.com$""),REGEXMATCH(A3295,"".*@hiberus.com$""),REGEXMATCH(A3295,"".*@simonbrico.es$""),regexmatch(A3295,"".*@simonelectric.com$"")),""null"",A3"&amp;"295)"),"1805@gmail.com")</f>
        <v>1805@gmail.com</v>
      </c>
      <c r="C3295" s="5">
        <f>IF(B3295="null","null",Descargas!B3295)</f>
        <v>43896</v>
      </c>
      <c r="D3295" s="6" t="str">
        <f>Descargas!E3295</f>
        <v>https://resources.simonelectric.com/simon-ebook-vehiculo-electrico</v>
      </c>
      <c r="E3295" s="20" t="str">
        <f t="shared" si="1"/>
        <v>1805@gmail.com</v>
      </c>
      <c r="F3295" s="21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</row>
    <row r="3296" ht="15.75" customHeight="1">
      <c r="A3296" s="18" t="str">
        <f>Descargas!A3296</f>
        <v>1658@gmail.com</v>
      </c>
      <c r="B3296" s="19" t="str">
        <f>IFERROR(__xludf.DUMMYFUNCTION("IF(OR(regexmatch(A3296,"".*@simon.es$""),REGEXMATCH(A3296,"".*@simon.pt$""),REGEXMATCH(A3296,"".*@simonelectrica.com$""),REGEXMATCH(A3296,"".*@hiberus.com$""),REGEXMATCH(A3296,"".*@simonbrico.es$""),regexmatch(A3296,"".*@simonelectric.com$"")),""null"",A3"&amp;"296)"),"1658@gmail.com")</f>
        <v>1658@gmail.com</v>
      </c>
      <c r="C3296" s="5">
        <f>IF(B3296="null","null",Descargas!B3296)</f>
        <v>43896</v>
      </c>
      <c r="D3296" s="6" t="str">
        <f>Descargas!E3296</f>
        <v>https://resources.simonelectric.com/simon-ebook-vehiculo-electrico</v>
      </c>
      <c r="E3296" s="20" t="str">
        <f t="shared" si="1"/>
        <v>1658@gmail.com</v>
      </c>
      <c r="F3296" s="21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</row>
    <row r="3297" ht="15.75" customHeight="1">
      <c r="A3297" s="18" t="str">
        <f>Descargas!A3297</f>
        <v>1330@comb.cat</v>
      </c>
      <c r="B3297" s="19" t="str">
        <f>IFERROR(__xludf.DUMMYFUNCTION("IF(OR(regexmatch(A3297,"".*@simon.es$""),REGEXMATCH(A3297,"".*@simon.pt$""),REGEXMATCH(A3297,"".*@simonelectrica.com$""),REGEXMATCH(A3297,"".*@hiberus.com$""),REGEXMATCH(A3297,"".*@simonbrico.es$""),regexmatch(A3297,"".*@simonelectric.com$"")),""null"",A3"&amp;"297)"),"1330@comb.cat")</f>
        <v>1330@comb.cat</v>
      </c>
      <c r="C3297" s="5">
        <f>IF(B3297="null","null",Descargas!B3297)</f>
        <v>43896</v>
      </c>
      <c r="D3297" s="6" t="str">
        <f>Descargas!E3297</f>
        <v>https://resources.simonelectric.com/simon-ebook-vehiculo-electrico</v>
      </c>
      <c r="E3297" s="20" t="str">
        <f t="shared" si="1"/>
        <v>1330@comb.cat</v>
      </c>
      <c r="F3297" s="21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</row>
    <row r="3298" ht="15.75" customHeight="1">
      <c r="A3298" s="18" t="str">
        <f>Descargas!A3298</f>
        <v>2522@gmail.com</v>
      </c>
      <c r="B3298" s="19" t="str">
        <f>IFERROR(__xludf.DUMMYFUNCTION("IF(OR(regexmatch(A3298,"".*@simon.es$""),REGEXMATCH(A3298,"".*@simon.pt$""),REGEXMATCH(A3298,"".*@simonelectrica.com$""),REGEXMATCH(A3298,"".*@hiberus.com$""),REGEXMATCH(A3298,"".*@simonbrico.es$""),regexmatch(A3298,"".*@simonelectric.com$"")),""null"",A3"&amp;"298)"),"2522@gmail.com")</f>
        <v>2522@gmail.com</v>
      </c>
      <c r="C3298" s="5">
        <f>IF(B3298="null","null",Descargas!B3298)</f>
        <v>43896</v>
      </c>
      <c r="D3298" s="6" t="str">
        <f>Descargas!E3298</f>
        <v>https://resources.simonelectric.com/simon-ebook-vehiculo-electrico</v>
      </c>
      <c r="E3298" s="20" t="str">
        <f t="shared" si="1"/>
        <v>2522@gmail.com</v>
      </c>
      <c r="F3298" s="21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</row>
    <row r="3299" ht="15.75" customHeight="1">
      <c r="A3299" s="18" t="str">
        <f>Descargas!A3299</f>
        <v>2523@ipae.es</v>
      </c>
      <c r="B3299" s="19" t="str">
        <f>IFERROR(__xludf.DUMMYFUNCTION("IF(OR(regexmatch(A3299,"".*@simon.es$""),REGEXMATCH(A3299,"".*@simon.pt$""),REGEXMATCH(A3299,"".*@simonelectrica.com$""),REGEXMATCH(A3299,"".*@hiberus.com$""),REGEXMATCH(A3299,"".*@simonbrico.es$""),regexmatch(A3299,"".*@simonelectric.com$"")),""null"",A3"&amp;"299)"),"2523@ipae.es")</f>
        <v>2523@ipae.es</v>
      </c>
      <c r="C3299" s="5">
        <f>IF(B3299="null","null",Descargas!B3299)</f>
        <v>43896</v>
      </c>
      <c r="D3299" s="6" t="str">
        <f>Descargas!E3299</f>
        <v>https://resources.simonelectric.com/simon-catalogo-vehiculo-electrico</v>
      </c>
      <c r="E3299" s="20" t="str">
        <f t="shared" si="1"/>
        <v>2523@ipae.es</v>
      </c>
      <c r="F3299" s="21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</row>
    <row r="3300" ht="15.75" customHeight="1">
      <c r="A3300" s="18" t="str">
        <f>Descargas!A3300</f>
        <v>2523@ipae.es</v>
      </c>
      <c r="B3300" s="19" t="str">
        <f>IFERROR(__xludf.DUMMYFUNCTION("IF(OR(regexmatch(A3300,"".*@simon.es$""),REGEXMATCH(A3300,"".*@simon.pt$""),REGEXMATCH(A3300,"".*@simonelectrica.com$""),REGEXMATCH(A3300,"".*@hiberus.com$""),REGEXMATCH(A3300,"".*@simonbrico.es$""),regexmatch(A3300,"".*@simonelectric.com$"")),""null"",A3"&amp;"300)"),"2523@ipae.es")</f>
        <v>2523@ipae.es</v>
      </c>
      <c r="C3300" s="5">
        <f>IF(B3300="null","null",Descargas!B3300)</f>
        <v>43896</v>
      </c>
      <c r="D3300" s="6" t="str">
        <f>Descargas!E3300</f>
        <v>https://resources.simonelectric.com/simon-ebook-vehiculo-electrico</v>
      </c>
      <c r="E3300" s="20" t="str">
        <f t="shared" si="1"/>
        <v>2523@ipae.es</v>
      </c>
      <c r="F3300" s="21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</row>
    <row r="3301" ht="15.75" customHeight="1">
      <c r="A3301" s="18" t="str">
        <f>Descargas!A3301</f>
        <v>2524@me.com</v>
      </c>
      <c r="B3301" s="19" t="str">
        <f>IFERROR(__xludf.DUMMYFUNCTION("IF(OR(regexmatch(A3301,"".*@simon.es$""),REGEXMATCH(A3301,"".*@simon.pt$""),REGEXMATCH(A3301,"".*@simonelectrica.com$""),REGEXMATCH(A3301,"".*@hiberus.com$""),REGEXMATCH(A3301,"".*@simonbrico.es$""),regexmatch(A3301,"".*@simonelectric.com$"")),""null"",A3"&amp;"301)"),"2524@me.com")</f>
        <v>2524@me.com</v>
      </c>
      <c r="C3301" s="5">
        <f>IF(B3301="null","null",Descargas!B3301)</f>
        <v>43896</v>
      </c>
      <c r="D3301" s="6" t="str">
        <f>Descargas!E3301</f>
        <v>https://resources.simonelectric.com/simon-ebook-vehiculo-electrico-0</v>
      </c>
      <c r="E3301" s="20" t="str">
        <f t="shared" si="1"/>
        <v>2524@me.com</v>
      </c>
      <c r="F3301" s="21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</row>
    <row r="3302" ht="15.75" customHeight="1">
      <c r="A3302" s="18" t="str">
        <f>Descargas!A3302</f>
        <v>2525@gmail.com</v>
      </c>
      <c r="B3302" s="19" t="str">
        <f>IFERROR(__xludf.DUMMYFUNCTION("IF(OR(regexmatch(A3302,"".*@simon.es$""),REGEXMATCH(A3302,"".*@simon.pt$""),REGEXMATCH(A3302,"".*@simonelectrica.com$""),REGEXMATCH(A3302,"".*@hiberus.com$""),REGEXMATCH(A3302,"".*@simonbrico.es$""),regexmatch(A3302,"".*@simonelectric.com$"")),""null"",A3"&amp;"302)"),"2525@gmail.com")</f>
        <v>2525@gmail.com</v>
      </c>
      <c r="C3302" s="5">
        <f>IF(B3302="null","null",Descargas!B3302)</f>
        <v>43895</v>
      </c>
      <c r="D3302" s="6" t="str">
        <f>Descargas!E3302</f>
        <v>https://resources.simonelectric.com/simon-ebook-vehiculo-electrico-tw</v>
      </c>
      <c r="E3302" s="20" t="str">
        <f t="shared" si="1"/>
        <v>2525@gmail.com</v>
      </c>
      <c r="F3302" s="21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</row>
    <row r="3303" ht="15.75" customHeight="1">
      <c r="A3303" s="18" t="str">
        <f>Descargas!A3303</f>
        <v>1377@hotmail.com</v>
      </c>
      <c r="B3303" s="19" t="str">
        <f>IFERROR(__xludf.DUMMYFUNCTION("IF(OR(regexmatch(A3303,"".*@simon.es$""),REGEXMATCH(A3303,"".*@simon.pt$""),REGEXMATCH(A3303,"".*@simonelectrica.com$""),REGEXMATCH(A3303,"".*@hiberus.com$""),REGEXMATCH(A3303,"".*@simonbrico.es$""),regexmatch(A3303,"".*@simonelectric.com$"")),""null"",A3"&amp;"303)"),"1377@hotmail.com")</f>
        <v>1377@hotmail.com</v>
      </c>
      <c r="C3303" s="5">
        <f>IF(B3303="null","null",Descargas!B3303)</f>
        <v>43895</v>
      </c>
      <c r="D3303" s="6" t="str">
        <f>Descargas!E3303</f>
        <v>https://resources.simonelectric.com/simon-ebook-vehiculo-electrico</v>
      </c>
      <c r="E3303" s="20" t="str">
        <f t="shared" si="1"/>
        <v>1377@hotmail.com</v>
      </c>
      <c r="F3303" s="21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</row>
    <row r="3304" ht="15.75" customHeight="1">
      <c r="A3304" s="18" t="str">
        <f>Descargas!A3304</f>
        <v>2526@reparacioneslsanchez.es</v>
      </c>
      <c r="B3304" s="19" t="str">
        <f>IFERROR(__xludf.DUMMYFUNCTION("IF(OR(regexmatch(A3304,"".*@simon.es$""),REGEXMATCH(A3304,"".*@simon.pt$""),REGEXMATCH(A3304,"".*@simonelectrica.com$""),REGEXMATCH(A3304,"".*@hiberus.com$""),REGEXMATCH(A3304,"".*@simonbrico.es$""),regexmatch(A3304,"".*@simonelectric.com$"")),""null"",A3"&amp;"304)"),"2526@reparacioneslsanchez.es")</f>
        <v>2526@reparacioneslsanchez.es</v>
      </c>
      <c r="C3304" s="5">
        <f>IF(B3304="null","null",Descargas!B3304)</f>
        <v>43895</v>
      </c>
      <c r="D3304" s="6" t="str">
        <f>Descargas!E3304</f>
        <v>https://resources.simonelectric.com/simon-ebook-vehiculo-electrico</v>
      </c>
      <c r="E3304" s="20" t="str">
        <f t="shared" si="1"/>
        <v>2526@reparacioneslsanchez.es</v>
      </c>
      <c r="F3304" s="21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</row>
    <row r="3305" ht="15.75" customHeight="1">
      <c r="A3305" s="18" t="str">
        <f>Descargas!A3305</f>
        <v>1654@movinetenergia.com</v>
      </c>
      <c r="B3305" s="19" t="str">
        <f>IFERROR(__xludf.DUMMYFUNCTION("IF(OR(regexmatch(A3305,"".*@simon.es$""),REGEXMATCH(A3305,"".*@simon.pt$""),REGEXMATCH(A3305,"".*@simonelectrica.com$""),REGEXMATCH(A3305,"".*@hiberus.com$""),REGEXMATCH(A3305,"".*@simonbrico.es$""),regexmatch(A3305,"".*@simonelectric.com$"")),""null"",A3"&amp;"305)"),"1654@movinetenergia.com")</f>
        <v>1654@movinetenergia.com</v>
      </c>
      <c r="C3305" s="5">
        <f>IF(B3305="null","null",Descargas!B3305)</f>
        <v>43895</v>
      </c>
      <c r="D3305" s="6" t="str">
        <f>Descargas!E3305</f>
        <v>https://resources.simonelectric.com/simon-ebook-vehiculo-electrico</v>
      </c>
      <c r="E3305" s="20" t="str">
        <f t="shared" si="1"/>
        <v>1654@movinetenergia.com</v>
      </c>
      <c r="F3305" s="21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</row>
    <row r="3306" ht="15.75" customHeight="1">
      <c r="A3306" s="18" t="str">
        <f>Descargas!A3306</f>
        <v>436@electrosoler.com</v>
      </c>
      <c r="B3306" s="19" t="str">
        <f>IFERROR(__xludf.DUMMYFUNCTION("IF(OR(regexmatch(A3306,"".*@simon.es$""),REGEXMATCH(A3306,"".*@simon.pt$""),REGEXMATCH(A3306,"".*@simonelectrica.com$""),REGEXMATCH(A3306,"".*@hiberus.com$""),REGEXMATCH(A3306,"".*@simonbrico.es$""),regexmatch(A3306,"".*@simonelectric.com$"")),""null"",A3"&amp;"306)"),"436@electrosoler.com")</f>
        <v>436@electrosoler.com</v>
      </c>
      <c r="C3306" s="5">
        <f>IF(B3306="null","null",Descargas!B3306)</f>
        <v>43895</v>
      </c>
      <c r="D3306" s="6" t="str">
        <f>Descargas!E3306</f>
        <v>https://resources.simonelectric.com/simon-ebook-vehiculo-electrico</v>
      </c>
      <c r="E3306" s="20" t="str">
        <f t="shared" si="1"/>
        <v>436@electrosoler.com</v>
      </c>
      <c r="F3306" s="21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</row>
    <row r="3307" ht="15.75" customHeight="1">
      <c r="A3307" s="18" t="str">
        <f>Descargas!A3307</f>
        <v>2527@gmail.com</v>
      </c>
      <c r="B3307" s="19" t="str">
        <f>IFERROR(__xludf.DUMMYFUNCTION("IF(OR(regexmatch(A3307,"".*@simon.es$""),REGEXMATCH(A3307,"".*@simon.pt$""),REGEXMATCH(A3307,"".*@simonelectrica.com$""),REGEXMATCH(A3307,"".*@hiberus.com$""),REGEXMATCH(A3307,"".*@simonbrico.es$""),regexmatch(A3307,"".*@simonelectric.com$"")),""null"",A3"&amp;"307)"),"2527@gmail.com")</f>
        <v>2527@gmail.com</v>
      </c>
      <c r="C3307" s="5">
        <f>IF(B3307="null","null",Descargas!B3307)</f>
        <v>43895</v>
      </c>
      <c r="D3307" s="6" t="str">
        <f>Descargas!E3307</f>
        <v>https://resources.simonelectric.com/simon-ebook-vehiculo-electrico</v>
      </c>
      <c r="E3307" s="20" t="str">
        <f t="shared" si="1"/>
        <v>2527@gmail.com</v>
      </c>
      <c r="F3307" s="21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</row>
    <row r="3308" ht="15.75" customHeight="1">
      <c r="A3308" s="18" t="str">
        <f>Descargas!A3308</f>
        <v>2528@leing.es</v>
      </c>
      <c r="B3308" s="19" t="str">
        <f>IFERROR(__xludf.DUMMYFUNCTION("IF(OR(regexmatch(A3308,"".*@simon.es$""),REGEXMATCH(A3308,"".*@simon.pt$""),REGEXMATCH(A3308,"".*@simonelectrica.com$""),REGEXMATCH(A3308,"".*@hiberus.com$""),REGEXMATCH(A3308,"".*@simonbrico.es$""),regexmatch(A3308,"".*@simonelectric.com$"")),""null"",A3"&amp;"308)"),"2528@leing.es")</f>
        <v>2528@leing.es</v>
      </c>
      <c r="C3308" s="5">
        <f>IF(B3308="null","null",Descargas!B3308)</f>
        <v>43895</v>
      </c>
      <c r="D3308" s="6" t="str">
        <f>Descargas!E3308</f>
        <v>https://resources.simonelectric.com/simon-ebook-vehiculo-electrico</v>
      </c>
      <c r="E3308" s="20" t="str">
        <f t="shared" si="1"/>
        <v>2528@leing.es</v>
      </c>
      <c r="F3308" s="21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</row>
    <row r="3309" ht="15.75" customHeight="1">
      <c r="A3309" s="18" t="str">
        <f>Descargas!A3309</f>
        <v>2529@upc.edu</v>
      </c>
      <c r="B3309" s="19" t="str">
        <f>IFERROR(__xludf.DUMMYFUNCTION("IF(OR(regexmatch(A3309,"".*@simon.es$""),REGEXMATCH(A3309,"".*@simon.pt$""),REGEXMATCH(A3309,"".*@simonelectrica.com$""),REGEXMATCH(A3309,"".*@hiberus.com$""),REGEXMATCH(A3309,"".*@simonbrico.es$""),regexmatch(A3309,"".*@simonelectric.com$"")),""null"",A3"&amp;"309)"),"2529@upc.edu")</f>
        <v>2529@upc.edu</v>
      </c>
      <c r="C3309" s="5">
        <f>IF(B3309="null","null",Descargas!B3309)</f>
        <v>43895</v>
      </c>
      <c r="D3309" s="6" t="str">
        <f>Descargas!E3309</f>
        <v>https://resources.simonelectric.com/simon-ebook-vehiculo-electrico</v>
      </c>
      <c r="E3309" s="20" t="str">
        <f t="shared" si="1"/>
        <v>2529@upc.edu</v>
      </c>
      <c r="F3309" s="21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</row>
    <row r="3310" ht="15.75" customHeight="1">
      <c r="A3310" s="18" t="str">
        <f>Descargas!A3310</f>
        <v>2098@simon.es</v>
      </c>
      <c r="B3310" s="19" t="str">
        <f>IFERROR(__xludf.DUMMYFUNCTION("IF(OR(regexmatch(A3310,"".*@simon.es$""),REGEXMATCH(A3310,"".*@simon.pt$""),REGEXMATCH(A3310,"".*@simonelectrica.com$""),REGEXMATCH(A3310,"".*@hiberus.com$""),REGEXMATCH(A3310,"".*@simonbrico.es$""),regexmatch(A3310,"".*@simonelectric.com$"")),""null"",A3"&amp;"310)"),"null")</f>
        <v>null</v>
      </c>
      <c r="C3310" s="5" t="str">
        <f>IF(B3310="null","null",Descargas!B3310)</f>
        <v>null</v>
      </c>
      <c r="D3310" s="6" t="str">
        <f>Descargas!E3310</f>
        <v>https://resources.simonelectric.com/simon-material-formativo-vehiculo-electrico</v>
      </c>
      <c r="E3310" s="24" t="str">
        <f t="shared" si="1"/>
        <v/>
      </c>
      <c r="F3310" s="21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</row>
    <row r="3311" ht="15.75" customHeight="1">
      <c r="A3311" s="18" t="str">
        <f>Descargas!A3311</f>
        <v>1001@hotmail.com</v>
      </c>
      <c r="B3311" s="19" t="str">
        <f>IFERROR(__xludf.DUMMYFUNCTION("IF(OR(regexmatch(A3311,"".*@simon.es$""),REGEXMATCH(A3311,"".*@simon.pt$""),REGEXMATCH(A3311,"".*@simonelectrica.com$""),REGEXMATCH(A3311,"".*@hiberus.com$""),REGEXMATCH(A3311,"".*@simonbrico.es$""),regexmatch(A3311,"".*@simonelectric.com$"")),""null"",A3"&amp;"311)"),"1001@hotmail.com")</f>
        <v>1001@hotmail.com</v>
      </c>
      <c r="C3311" s="5">
        <f>IF(B3311="null","null",Descargas!B3311)</f>
        <v>43895</v>
      </c>
      <c r="D3311" s="6" t="str">
        <f>Descargas!E3311</f>
        <v>https://resources.simonelectric.com/simon-ebook-vehiculo-electrico</v>
      </c>
      <c r="E3311" s="20" t="str">
        <f t="shared" si="1"/>
        <v>1001@hotmail.com</v>
      </c>
      <c r="F3311" s="21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</row>
    <row r="3312" ht="15.75" customHeight="1">
      <c r="A3312" s="18" t="str">
        <f>Descargas!A3312</f>
        <v>1001@hotmail.com</v>
      </c>
      <c r="B3312" s="19" t="str">
        <f>IFERROR(__xludf.DUMMYFUNCTION("IF(OR(regexmatch(A3312,"".*@simon.es$""),REGEXMATCH(A3312,"".*@simon.pt$""),REGEXMATCH(A3312,"".*@simonelectrica.com$""),REGEXMATCH(A3312,"".*@hiberus.com$""),REGEXMATCH(A3312,"".*@simonbrico.es$""),regexmatch(A3312,"".*@simonelectric.com$"")),""null"",A3"&amp;"312)"),"1001@hotmail.com")</f>
        <v>1001@hotmail.com</v>
      </c>
      <c r="C3312" s="5">
        <f>IF(B3312="null","null",Descargas!B3312)</f>
        <v>43895</v>
      </c>
      <c r="D3312" s="6" t="str">
        <f>Descargas!E3312</f>
        <v>https://resources.simonelectric.com/simon-catalogo-vehiculo-electrico</v>
      </c>
      <c r="E3312" s="20" t="str">
        <f t="shared" si="1"/>
        <v>1001@hotmail.com</v>
      </c>
      <c r="F3312" s="21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</row>
    <row r="3313" ht="15.75" customHeight="1">
      <c r="A3313" s="18" t="str">
        <f>Descargas!A3313</f>
        <v>2530@galimar.com.es</v>
      </c>
      <c r="B3313" s="19" t="str">
        <f>IFERROR(__xludf.DUMMYFUNCTION("IF(OR(regexmatch(A3313,"".*@simon.es$""),REGEXMATCH(A3313,"".*@simon.pt$""),REGEXMATCH(A3313,"".*@simonelectrica.com$""),REGEXMATCH(A3313,"".*@hiberus.com$""),REGEXMATCH(A3313,"".*@simonbrico.es$""),regexmatch(A3313,"".*@simonelectric.com$"")),""null"",A3"&amp;"313)"),"2530@galimar.com.es")</f>
        <v>2530@galimar.com.es</v>
      </c>
      <c r="C3313" s="5">
        <f>IF(B3313="null","null",Descargas!B3313)</f>
        <v>43895</v>
      </c>
      <c r="D3313" s="6" t="str">
        <f>Descargas!E3313</f>
        <v>https://resources.simonelectric.com/simon-ebook-vehiculo-electrico</v>
      </c>
      <c r="E3313" s="20" t="str">
        <f t="shared" si="1"/>
        <v>2530@galimar.com.es</v>
      </c>
      <c r="F3313" s="21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</row>
    <row r="3314" ht="15.75" customHeight="1">
      <c r="A3314" s="18" t="str">
        <f>Descargas!A3314</f>
        <v>1376@telefonica.net</v>
      </c>
      <c r="B3314" s="19" t="str">
        <f>IFERROR(__xludf.DUMMYFUNCTION("IF(OR(regexmatch(A3314,"".*@simon.es$""),REGEXMATCH(A3314,"".*@simon.pt$""),REGEXMATCH(A3314,"".*@simonelectrica.com$""),REGEXMATCH(A3314,"".*@hiberus.com$""),REGEXMATCH(A3314,"".*@simonbrico.es$""),regexmatch(A3314,"".*@simonelectric.com$"")),""null"",A3"&amp;"314)"),"1376@telefonica.net")</f>
        <v>1376@telefonica.net</v>
      </c>
      <c r="C3314" s="5">
        <f>IF(B3314="null","null",Descargas!B3314)</f>
        <v>43895</v>
      </c>
      <c r="D3314" s="6" t="str">
        <f>Descargas!E3314</f>
        <v>https://resources.simonelectric.com/simon-ebook-vehiculo-electrico</v>
      </c>
      <c r="E3314" s="20" t="str">
        <f t="shared" si="1"/>
        <v>1376@telefonica.net</v>
      </c>
      <c r="F3314" s="21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</row>
    <row r="3315" ht="15.75" customHeight="1">
      <c r="A3315" s="18" t="str">
        <f>Descargas!A3315</f>
        <v>1510@adelanteenergia.es</v>
      </c>
      <c r="B3315" s="19" t="str">
        <f>IFERROR(__xludf.DUMMYFUNCTION("IF(OR(regexmatch(A3315,"".*@simon.es$""),REGEXMATCH(A3315,"".*@simon.pt$""),REGEXMATCH(A3315,"".*@simonelectrica.com$""),REGEXMATCH(A3315,"".*@hiberus.com$""),REGEXMATCH(A3315,"".*@simonbrico.es$""),regexmatch(A3315,"".*@simonelectric.com$"")),""null"",A3"&amp;"315)"),"1510@adelanteenergia.es")</f>
        <v>1510@adelanteenergia.es</v>
      </c>
      <c r="C3315" s="5">
        <f>IF(B3315="null","null",Descargas!B3315)</f>
        <v>43895</v>
      </c>
      <c r="D3315" s="6" t="str">
        <f>Descargas!E3315</f>
        <v>https://resources.simonelectric.com/simon-ebook-vehiculo-electrico</v>
      </c>
      <c r="E3315" s="20" t="str">
        <f t="shared" si="1"/>
        <v>1510@adelanteenergia.es</v>
      </c>
      <c r="F3315" s="21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</row>
    <row r="3316" ht="15.75" customHeight="1">
      <c r="A3316" s="18" t="str">
        <f>Descargas!A3316</f>
        <v>2531@arquitecturaygestion.com</v>
      </c>
      <c r="B3316" s="19" t="str">
        <f>IFERROR(__xludf.DUMMYFUNCTION("IF(OR(regexmatch(A3316,"".*@simon.es$""),REGEXMATCH(A3316,"".*@simon.pt$""),REGEXMATCH(A3316,"".*@simonelectrica.com$""),REGEXMATCH(A3316,"".*@hiberus.com$""),REGEXMATCH(A3316,"".*@simonbrico.es$""),regexmatch(A3316,"".*@simonelectric.com$"")),""null"",A3"&amp;"316)"),"2531@arquitecturaygestion.com")</f>
        <v>2531@arquitecturaygestion.com</v>
      </c>
      <c r="C3316" s="5">
        <f>IF(B3316="null","null",Descargas!B3316)</f>
        <v>43895</v>
      </c>
      <c r="D3316" s="6" t="str">
        <f>Descargas!E3316</f>
        <v>https://resources.simonelectric.com/simon-ebook-vehiculo-electrico-0</v>
      </c>
      <c r="E3316" s="20" t="str">
        <f t="shared" si="1"/>
        <v>2531@arquitecturaygestion.com</v>
      </c>
      <c r="F3316" s="21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</row>
    <row r="3317" ht="15.75" customHeight="1">
      <c r="A3317" s="18" t="str">
        <f>Descargas!A3317</f>
        <v>2532@gmail.com</v>
      </c>
      <c r="B3317" s="19" t="str">
        <f>IFERROR(__xludf.DUMMYFUNCTION("IF(OR(regexmatch(A3317,"".*@simon.es$""),REGEXMATCH(A3317,"".*@simon.pt$""),REGEXMATCH(A3317,"".*@simonelectrica.com$""),REGEXMATCH(A3317,"".*@hiberus.com$""),REGEXMATCH(A3317,"".*@simonbrico.es$""),regexmatch(A3317,"".*@simonelectric.com$"")),""null"",A3"&amp;"317)"),"2532@gmail.com")</f>
        <v>2532@gmail.com</v>
      </c>
      <c r="C3317" s="5">
        <f>IF(B3317="null","null",Descargas!B3317)</f>
        <v>43895</v>
      </c>
      <c r="D3317" s="6" t="str">
        <f>Descargas!E3317</f>
        <v>https://resources.simonelectric.com/simon-ebook-vehiculo-electrico</v>
      </c>
      <c r="E3317" s="20" t="str">
        <f t="shared" si="1"/>
        <v>2532@gmail.com</v>
      </c>
      <c r="F3317" s="21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</row>
    <row r="3318" ht="15.75" customHeight="1">
      <c r="A3318" s="18" t="str">
        <f>Descargas!A3318</f>
        <v>2533@hotmail.com</v>
      </c>
      <c r="B3318" s="19" t="str">
        <f>IFERROR(__xludf.DUMMYFUNCTION("IF(OR(regexmatch(A3318,"".*@simon.es$""),REGEXMATCH(A3318,"".*@simon.pt$""),REGEXMATCH(A3318,"".*@simonelectrica.com$""),REGEXMATCH(A3318,"".*@hiberus.com$""),REGEXMATCH(A3318,"".*@simonbrico.es$""),regexmatch(A3318,"".*@simonelectric.com$"")),""null"",A3"&amp;"318)"),"2533@hotmail.com")</f>
        <v>2533@hotmail.com</v>
      </c>
      <c r="C3318" s="5">
        <f>IF(B3318="null","null",Descargas!B3318)</f>
        <v>43895</v>
      </c>
      <c r="D3318" s="6" t="str">
        <f>Descargas!E3318</f>
        <v>https://resources.simonelectric.com/simon-ebook-vehiculo-electrico</v>
      </c>
      <c r="E3318" s="20" t="str">
        <f t="shared" si="1"/>
        <v>2533@hotmail.com</v>
      </c>
      <c r="F3318" s="21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</row>
    <row r="3319" ht="15.75" customHeight="1">
      <c r="A3319" s="18" t="str">
        <f>Descargas!A3319</f>
        <v>572@gmail.com</v>
      </c>
      <c r="B3319" s="19" t="str">
        <f>IFERROR(__xludf.DUMMYFUNCTION("IF(OR(regexmatch(A3319,"".*@simon.es$""),REGEXMATCH(A3319,"".*@simon.pt$""),REGEXMATCH(A3319,"".*@simonelectrica.com$""),REGEXMATCH(A3319,"".*@hiberus.com$""),REGEXMATCH(A3319,"".*@simonbrico.es$""),regexmatch(A3319,"".*@simonelectric.com$"")),""null"",A3"&amp;"319)"),"572@gmail.com")</f>
        <v>572@gmail.com</v>
      </c>
      <c r="C3319" s="5">
        <f>IF(B3319="null","null",Descargas!B3319)</f>
        <v>43895</v>
      </c>
      <c r="D3319" s="6" t="str">
        <f>Descargas!E3319</f>
        <v>https://resources.simonelectric.com/simon-ebook-vehiculo-electrico</v>
      </c>
      <c r="E3319" s="20" t="str">
        <f t="shared" si="1"/>
        <v>572@gmail.com</v>
      </c>
      <c r="F3319" s="21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</row>
    <row r="3320" ht="15.75" customHeight="1">
      <c r="A3320" s="18" t="str">
        <f>Descargas!A3320</f>
        <v>677@gmail.com</v>
      </c>
      <c r="B3320" s="19" t="str">
        <f>IFERROR(__xludf.DUMMYFUNCTION("IF(OR(regexmatch(A3320,"".*@simon.es$""),REGEXMATCH(A3320,"".*@simon.pt$""),REGEXMATCH(A3320,"".*@simonelectrica.com$""),REGEXMATCH(A3320,"".*@hiberus.com$""),REGEXMATCH(A3320,"".*@simonbrico.es$""),regexmatch(A3320,"".*@simonelectric.com$"")),""null"",A3"&amp;"320)"),"677@gmail.com")</f>
        <v>677@gmail.com</v>
      </c>
      <c r="C3320" s="5">
        <f>IF(B3320="null","null",Descargas!B3320)</f>
        <v>43895</v>
      </c>
      <c r="D3320" s="6" t="str">
        <f>Descargas!E3320</f>
        <v>https://resources.simonelectric.com/simon-ebook-vehiculo-electrico</v>
      </c>
      <c r="E3320" s="20" t="str">
        <f t="shared" si="1"/>
        <v>677@gmail.com</v>
      </c>
      <c r="F3320" s="21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</row>
    <row r="3321" ht="15.75" customHeight="1">
      <c r="A3321" s="18" t="str">
        <f>Descargas!A3321</f>
        <v>625@hotmail.com</v>
      </c>
      <c r="B3321" s="19" t="str">
        <f>IFERROR(__xludf.DUMMYFUNCTION("IF(OR(regexmatch(A3321,"".*@simon.es$""),REGEXMATCH(A3321,"".*@simon.pt$""),REGEXMATCH(A3321,"".*@simonelectrica.com$""),REGEXMATCH(A3321,"".*@hiberus.com$""),REGEXMATCH(A3321,"".*@simonbrico.es$""),regexmatch(A3321,"".*@simonelectric.com$"")),""null"",A3"&amp;"321)"),"625@hotmail.com")</f>
        <v>625@hotmail.com</v>
      </c>
      <c r="C3321" s="5">
        <f>IF(B3321="null","null",Descargas!B3321)</f>
        <v>43895</v>
      </c>
      <c r="D3321" s="6" t="str">
        <f>Descargas!E3321</f>
        <v>https://resources.simonelectric.com/simon-ebook-vehiculo-electrico</v>
      </c>
      <c r="E3321" s="20" t="str">
        <f t="shared" si="1"/>
        <v>625@hotmail.com</v>
      </c>
      <c r="F3321" s="21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</row>
    <row r="3322" ht="15.75" customHeight="1">
      <c r="A3322" s="18" t="str">
        <f>Descargas!A3322</f>
        <v>2534@gmail.com</v>
      </c>
      <c r="B3322" s="19" t="str">
        <f>IFERROR(__xludf.DUMMYFUNCTION("IF(OR(regexmatch(A3322,"".*@simon.es$""),REGEXMATCH(A3322,"".*@simon.pt$""),REGEXMATCH(A3322,"".*@simonelectrica.com$""),REGEXMATCH(A3322,"".*@hiberus.com$""),REGEXMATCH(A3322,"".*@simonbrico.es$""),regexmatch(A3322,"".*@simonelectric.com$"")),""null"",A3"&amp;"322)"),"2534@gmail.com")</f>
        <v>2534@gmail.com</v>
      </c>
      <c r="C3322" s="5">
        <f>IF(B3322="null","null",Descargas!B3322)</f>
        <v>43895</v>
      </c>
      <c r="D3322" s="6" t="str">
        <f>Descargas!E3322</f>
        <v>https://resources.simonelectric.com/simon-ebook-vehiculo-electrico</v>
      </c>
      <c r="E3322" s="20" t="str">
        <f t="shared" si="1"/>
        <v>2534@gmail.com</v>
      </c>
      <c r="F3322" s="21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</row>
    <row r="3323" ht="15.75" customHeight="1">
      <c r="A3323" s="18" t="str">
        <f>Descargas!A3323</f>
        <v>2535@hotmail.com</v>
      </c>
      <c r="B3323" s="19" t="str">
        <f>IFERROR(__xludf.DUMMYFUNCTION("IF(OR(regexmatch(A3323,"".*@simon.es$""),REGEXMATCH(A3323,"".*@simon.pt$""),REGEXMATCH(A3323,"".*@simonelectrica.com$""),REGEXMATCH(A3323,"".*@hiberus.com$""),REGEXMATCH(A3323,"".*@simonbrico.es$""),regexmatch(A3323,"".*@simonelectric.com$"")),""null"",A3"&amp;"323)"),"2535@hotmail.com")</f>
        <v>2535@hotmail.com</v>
      </c>
      <c r="C3323" s="5">
        <f>IF(B3323="null","null",Descargas!B3323)</f>
        <v>43895</v>
      </c>
      <c r="D3323" s="6" t="str">
        <f>Descargas!E3323</f>
        <v>https://resources.simonelectric.com/simon-ebook-vehiculo-electrico</v>
      </c>
      <c r="E3323" s="20" t="str">
        <f t="shared" si="1"/>
        <v>2535@hotmail.com</v>
      </c>
      <c r="F3323" s="21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</row>
    <row r="3324" ht="15.75" customHeight="1">
      <c r="A3324" s="18" t="str">
        <f>Descargas!A3324</f>
        <v>625@hotmail.com</v>
      </c>
      <c r="B3324" s="19" t="str">
        <f>IFERROR(__xludf.DUMMYFUNCTION("IF(OR(regexmatch(A3324,"".*@simon.es$""),REGEXMATCH(A3324,"".*@simon.pt$""),REGEXMATCH(A3324,"".*@simonelectrica.com$""),REGEXMATCH(A3324,"".*@hiberus.com$""),REGEXMATCH(A3324,"".*@simonbrico.es$""),regexmatch(A3324,"".*@simonelectric.com$"")),""null"",A3"&amp;"324)"),"625@hotmail.com")</f>
        <v>625@hotmail.com</v>
      </c>
      <c r="C3324" s="5">
        <f>IF(B3324="null","null",Descargas!B3324)</f>
        <v>43895</v>
      </c>
      <c r="D3324" s="6" t="str">
        <f>Descargas!E3324</f>
        <v>https://resources.simonelectric.com/simon-ebook-vehiculo-electrico</v>
      </c>
      <c r="E3324" s="20" t="str">
        <f t="shared" si="1"/>
        <v>625@hotmail.com</v>
      </c>
      <c r="F3324" s="21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</row>
    <row r="3325" ht="15.75" customHeight="1">
      <c r="A3325" s="18" t="str">
        <f>Descargas!A3325</f>
        <v>2536@telefonica.net</v>
      </c>
      <c r="B3325" s="19" t="str">
        <f>IFERROR(__xludf.DUMMYFUNCTION("IF(OR(regexmatch(A3325,"".*@simon.es$""),REGEXMATCH(A3325,"".*@simon.pt$""),REGEXMATCH(A3325,"".*@simonelectrica.com$""),REGEXMATCH(A3325,"".*@hiberus.com$""),REGEXMATCH(A3325,"".*@simonbrico.es$""),regexmatch(A3325,"".*@simonelectric.com$"")),""null"",A3"&amp;"325)"),"2536@telefonica.net")</f>
        <v>2536@telefonica.net</v>
      </c>
      <c r="C3325" s="5">
        <f>IF(B3325="null","null",Descargas!B3325)</f>
        <v>43895</v>
      </c>
      <c r="D3325" s="6" t="str">
        <f>Descargas!E3325</f>
        <v>https://resources.simonelectric.com/simon-ebook-vehiculo-electrico</v>
      </c>
      <c r="E3325" s="20" t="str">
        <f t="shared" si="1"/>
        <v>2536@telefonica.net</v>
      </c>
      <c r="F3325" s="21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</row>
    <row r="3326" ht="15.75" customHeight="1">
      <c r="A3326" s="18" t="str">
        <f>Descargas!A3326</f>
        <v>1658@gmail.com</v>
      </c>
      <c r="B3326" s="19" t="str">
        <f>IFERROR(__xludf.DUMMYFUNCTION("IF(OR(regexmatch(A3326,"".*@simon.es$""),REGEXMATCH(A3326,"".*@simon.pt$""),REGEXMATCH(A3326,"".*@simonelectrica.com$""),REGEXMATCH(A3326,"".*@hiberus.com$""),REGEXMATCH(A3326,"".*@simonbrico.es$""),regexmatch(A3326,"".*@simonelectric.com$"")),""null"",A3"&amp;"326)"),"1658@gmail.com")</f>
        <v>1658@gmail.com</v>
      </c>
      <c r="C3326" s="5">
        <f>IF(B3326="null","null",Descargas!B3326)</f>
        <v>43895</v>
      </c>
      <c r="D3326" s="6" t="str">
        <f>Descargas!E3326</f>
        <v>https://resources.simonelectric.com/simon-ebook-vehiculo-electrico</v>
      </c>
      <c r="E3326" s="20" t="str">
        <f t="shared" si="1"/>
        <v>1658@gmail.com</v>
      </c>
      <c r="F3326" s="21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</row>
    <row r="3327" ht="15.75" customHeight="1">
      <c r="A3327" s="18" t="str">
        <f>Descargas!A3327</f>
        <v>2537@electram.es</v>
      </c>
      <c r="B3327" s="19" t="str">
        <f>IFERROR(__xludf.DUMMYFUNCTION("IF(OR(regexmatch(A3327,"".*@simon.es$""),REGEXMATCH(A3327,"".*@simon.pt$""),REGEXMATCH(A3327,"".*@simonelectrica.com$""),REGEXMATCH(A3327,"".*@hiberus.com$""),REGEXMATCH(A3327,"".*@simonbrico.es$""),regexmatch(A3327,"".*@simonelectric.com$"")),""null"",A3"&amp;"327)"),"2537@electram.es")</f>
        <v>2537@electram.es</v>
      </c>
      <c r="C3327" s="5">
        <f>IF(B3327="null","null",Descargas!B3327)</f>
        <v>43895</v>
      </c>
      <c r="D3327" s="6" t="str">
        <f>Descargas!E3327</f>
        <v>https://resources.simonelectric.com/simon-ebook-vehiculo-electrico-0</v>
      </c>
      <c r="E3327" s="20" t="str">
        <f t="shared" si="1"/>
        <v>2537@electram.es</v>
      </c>
      <c r="F3327" s="21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</row>
    <row r="3328" ht="15.75" customHeight="1">
      <c r="A3328" s="18" t="str">
        <f>Descargas!A3328</f>
        <v>58@gabyl.com</v>
      </c>
      <c r="B3328" s="19" t="str">
        <f>IFERROR(__xludf.DUMMYFUNCTION("IF(OR(regexmatch(A3328,"".*@simon.es$""),REGEXMATCH(A3328,"".*@simon.pt$""),REGEXMATCH(A3328,"".*@simonelectrica.com$""),REGEXMATCH(A3328,"".*@hiberus.com$""),REGEXMATCH(A3328,"".*@simonbrico.es$""),regexmatch(A3328,"".*@simonelectric.com$"")),""null"",A3"&amp;"328)"),"58@gabyl.com")</f>
        <v>58@gabyl.com</v>
      </c>
      <c r="C3328" s="5">
        <f>IF(B3328="null","null",Descargas!B3328)</f>
        <v>43895</v>
      </c>
      <c r="D3328" s="6" t="str">
        <f>Descargas!E3328</f>
        <v>https://resources.simonelectric.com/simon-ebook-vehiculo-electrico</v>
      </c>
      <c r="E3328" s="20" t="str">
        <f t="shared" si="1"/>
        <v>58@gabyl.com</v>
      </c>
      <c r="F3328" s="21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</row>
    <row r="3329" ht="15.75" customHeight="1">
      <c r="A3329" s="18" t="str">
        <f>Descargas!A3329</f>
        <v>1295@hotmail.es</v>
      </c>
      <c r="B3329" s="19" t="str">
        <f>IFERROR(__xludf.DUMMYFUNCTION("IF(OR(regexmatch(A3329,"".*@simon.es$""),REGEXMATCH(A3329,"".*@simon.pt$""),REGEXMATCH(A3329,"".*@simonelectrica.com$""),REGEXMATCH(A3329,"".*@hiberus.com$""),REGEXMATCH(A3329,"".*@simonbrico.es$""),regexmatch(A3329,"".*@simonelectric.com$"")),""null"",A3"&amp;"329)"),"1295@hotmail.es")</f>
        <v>1295@hotmail.es</v>
      </c>
      <c r="C3329" s="5">
        <f>IF(B3329="null","null",Descargas!B3329)</f>
        <v>43895</v>
      </c>
      <c r="D3329" s="6" t="str">
        <f>Descargas!E3329</f>
        <v>https://resources.simonelectric.com/simon-ebook-vehiculo-electrico</v>
      </c>
      <c r="E3329" s="20" t="str">
        <f t="shared" si="1"/>
        <v>1295@hotmail.es</v>
      </c>
      <c r="F3329" s="21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</row>
    <row r="3330" ht="15.75" customHeight="1">
      <c r="A3330" s="18" t="str">
        <f>Descargas!A3330</f>
        <v>1751@altener.es</v>
      </c>
      <c r="B3330" s="19" t="str">
        <f>IFERROR(__xludf.DUMMYFUNCTION("IF(OR(regexmatch(A3330,"".*@simon.es$""),REGEXMATCH(A3330,"".*@simon.pt$""),REGEXMATCH(A3330,"".*@simonelectrica.com$""),REGEXMATCH(A3330,"".*@hiberus.com$""),REGEXMATCH(A3330,"".*@simonbrico.es$""),regexmatch(A3330,"".*@simonelectric.com$"")),""null"",A3"&amp;"330)"),"1751@altener.es")</f>
        <v>1751@altener.es</v>
      </c>
      <c r="C3330" s="5">
        <f>IF(B3330="null","null",Descargas!B3330)</f>
        <v>43895</v>
      </c>
      <c r="D3330" s="6" t="str">
        <f>Descargas!E3330</f>
        <v>https://resources.simonelectric.com/simon-ebook-vehiculo-electrico</v>
      </c>
      <c r="E3330" s="20" t="str">
        <f t="shared" si="1"/>
        <v>1751@altener.es</v>
      </c>
      <c r="F3330" s="21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</row>
    <row r="3331" ht="15.75" customHeight="1">
      <c r="A3331" s="18" t="str">
        <f>Descargas!A3331</f>
        <v>1295@hotmail.es</v>
      </c>
      <c r="B3331" s="19" t="str">
        <f>IFERROR(__xludf.DUMMYFUNCTION("IF(OR(regexmatch(A3331,"".*@simon.es$""),REGEXMATCH(A3331,"".*@simon.pt$""),REGEXMATCH(A3331,"".*@simonelectrica.com$""),REGEXMATCH(A3331,"".*@hiberus.com$""),REGEXMATCH(A3331,"".*@simonbrico.es$""),regexmatch(A3331,"".*@simonelectric.com$"")),""null"",A3"&amp;"331)"),"1295@hotmail.es")</f>
        <v>1295@hotmail.es</v>
      </c>
      <c r="C3331" s="5">
        <f>IF(B3331="null","null",Descargas!B3331)</f>
        <v>43895</v>
      </c>
      <c r="D3331" s="6" t="str">
        <f>Descargas!E3331</f>
        <v>https://resources.simonelectric.com/simon-ebook-vehiculo-electrico</v>
      </c>
      <c r="E3331" s="20" t="str">
        <f t="shared" si="1"/>
        <v>1295@hotmail.es</v>
      </c>
      <c r="F3331" s="21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</row>
    <row r="3332" ht="15.75" customHeight="1">
      <c r="A3332" s="18" t="str">
        <f>Descargas!A3332</f>
        <v>1630@sertec.es</v>
      </c>
      <c r="B3332" s="19" t="str">
        <f>IFERROR(__xludf.DUMMYFUNCTION("IF(OR(regexmatch(A3332,"".*@simon.es$""),REGEXMATCH(A3332,"".*@simon.pt$""),REGEXMATCH(A3332,"".*@simonelectrica.com$""),REGEXMATCH(A3332,"".*@hiberus.com$""),REGEXMATCH(A3332,"".*@simonbrico.es$""),regexmatch(A3332,"".*@simonelectric.com$"")),""null"",A3"&amp;"332)"),"1630@sertec.es")</f>
        <v>1630@sertec.es</v>
      </c>
      <c r="C3332" s="5">
        <f>IF(B3332="null","null",Descargas!B3332)</f>
        <v>43895</v>
      </c>
      <c r="D3332" s="6" t="str">
        <f>Descargas!E3332</f>
        <v>https://resources.simonelectric.com/simon-ebook-vehiculo-electrico-0</v>
      </c>
      <c r="E3332" s="20" t="str">
        <f t="shared" si="1"/>
        <v>1630@sertec.es</v>
      </c>
      <c r="F3332" s="21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</row>
    <row r="3333" ht="15.75" customHeight="1">
      <c r="A3333" s="18" t="str">
        <f>Descargas!A3333</f>
        <v>2538@elcorteingles.es</v>
      </c>
      <c r="B3333" s="19" t="str">
        <f>IFERROR(__xludf.DUMMYFUNCTION("IF(OR(regexmatch(A3333,"".*@simon.es$""),REGEXMATCH(A3333,"".*@simon.pt$""),REGEXMATCH(A3333,"".*@simonelectrica.com$""),REGEXMATCH(A3333,"".*@hiberus.com$""),REGEXMATCH(A3333,"".*@simonbrico.es$""),regexmatch(A3333,"".*@simonelectric.com$"")),""null"",A3"&amp;"333)"),"2538@elcorteingles.es")</f>
        <v>2538@elcorteingles.es</v>
      </c>
      <c r="C3333" s="5">
        <f>IF(B3333="null","null",Descargas!B3333)</f>
        <v>43895</v>
      </c>
      <c r="D3333" s="6" t="str">
        <f>Descargas!E3333</f>
        <v>https://resources.simonelectric.com/simon-ebook-vehiculo-electrico</v>
      </c>
      <c r="E3333" s="20" t="str">
        <f t="shared" si="1"/>
        <v>2538@elcorteingles.es</v>
      </c>
      <c r="F3333" s="21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</row>
    <row r="3334" ht="15.75" customHeight="1">
      <c r="A3334" s="18" t="str">
        <f>Descargas!A3334</f>
        <v>2539@gmail.com</v>
      </c>
      <c r="B3334" s="19" t="str">
        <f>IFERROR(__xludf.DUMMYFUNCTION("IF(OR(regexmatch(A3334,"".*@simon.es$""),REGEXMATCH(A3334,"".*@simon.pt$""),REGEXMATCH(A3334,"".*@simonelectrica.com$""),REGEXMATCH(A3334,"".*@hiberus.com$""),REGEXMATCH(A3334,"".*@simonbrico.es$""),regexmatch(A3334,"".*@simonelectric.com$"")),""null"",A3"&amp;"334)"),"2539@gmail.com")</f>
        <v>2539@gmail.com</v>
      </c>
      <c r="C3334" s="5">
        <f>IF(B3334="null","null",Descargas!B3334)</f>
        <v>43895</v>
      </c>
      <c r="D3334" s="6" t="str">
        <f>Descargas!E3334</f>
        <v>https://resources.simonelectric.com/simon-ebook-vehiculo-electrico</v>
      </c>
      <c r="E3334" s="20" t="str">
        <f t="shared" si="1"/>
        <v>2539@gmail.com</v>
      </c>
      <c r="F3334" s="21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</row>
    <row r="3335" ht="15.75" customHeight="1">
      <c r="A3335" s="18" t="str">
        <f>Descargas!A3335</f>
        <v>2539@gmail.com</v>
      </c>
      <c r="B3335" s="19" t="str">
        <f>IFERROR(__xludf.DUMMYFUNCTION("IF(OR(regexmatch(A3335,"".*@simon.es$""),REGEXMATCH(A3335,"".*@simon.pt$""),REGEXMATCH(A3335,"".*@simonelectrica.com$""),REGEXMATCH(A3335,"".*@hiberus.com$""),REGEXMATCH(A3335,"".*@simonbrico.es$""),regexmatch(A3335,"".*@simonelectric.com$"")),""null"",A3"&amp;"335)"),"2539@gmail.com")</f>
        <v>2539@gmail.com</v>
      </c>
      <c r="C3335" s="5">
        <f>IF(B3335="null","null",Descargas!B3335)</f>
        <v>43895</v>
      </c>
      <c r="D3335" s="6" t="str">
        <f>Descargas!E3335</f>
        <v>https://resources.simonelectric.com/simon-ebook-vehiculo-electrico</v>
      </c>
      <c r="E3335" s="20" t="str">
        <f t="shared" si="1"/>
        <v>2539@gmail.com</v>
      </c>
      <c r="F3335" s="21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</row>
    <row r="3336" ht="15.75" customHeight="1">
      <c r="A3336" s="18" t="str">
        <f>Descargas!A3336</f>
        <v>2540@gmail.com</v>
      </c>
      <c r="B3336" s="19" t="str">
        <f>IFERROR(__xludf.DUMMYFUNCTION("IF(OR(regexmatch(A3336,"".*@simon.es$""),REGEXMATCH(A3336,"".*@simon.pt$""),REGEXMATCH(A3336,"".*@simonelectrica.com$""),REGEXMATCH(A3336,"".*@hiberus.com$""),REGEXMATCH(A3336,"".*@simonbrico.es$""),regexmatch(A3336,"".*@simonelectric.com$"")),""null"",A3"&amp;"336)"),"2540@gmail.com")</f>
        <v>2540@gmail.com</v>
      </c>
      <c r="C3336" s="5">
        <f>IF(B3336="null","null",Descargas!B3336)</f>
        <v>43895</v>
      </c>
      <c r="D3336" s="6" t="str">
        <f>Descargas!E3336</f>
        <v>https://resources.simonelectric.com/simon-ebook-vehiculo-electrico</v>
      </c>
      <c r="E3336" s="20" t="str">
        <f t="shared" si="1"/>
        <v>2540@gmail.com</v>
      </c>
      <c r="F3336" s="21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</row>
    <row r="3337" ht="15.75" customHeight="1">
      <c r="A3337" s="18" t="str">
        <f>Descargas!A3337</f>
        <v>1235@gmail.com</v>
      </c>
      <c r="B3337" s="19" t="str">
        <f>IFERROR(__xludf.DUMMYFUNCTION("IF(OR(regexmatch(A3337,"".*@simon.es$""),REGEXMATCH(A3337,"".*@simon.pt$""),REGEXMATCH(A3337,"".*@simonelectrica.com$""),REGEXMATCH(A3337,"".*@hiberus.com$""),REGEXMATCH(A3337,"".*@simonbrico.es$""),regexmatch(A3337,"".*@simonelectric.com$"")),""null"",A3"&amp;"337)"),"1235@gmail.com")</f>
        <v>1235@gmail.com</v>
      </c>
      <c r="C3337" s="5">
        <f>IF(B3337="null","null",Descargas!B3337)</f>
        <v>43895</v>
      </c>
      <c r="D3337" s="6" t="str">
        <f>Descargas!E3337</f>
        <v>https://resources.simonelectric.com/simon-ebook-vehiculo-electrico</v>
      </c>
      <c r="E3337" s="20" t="str">
        <f t="shared" si="1"/>
        <v>1235@gmail.com</v>
      </c>
      <c r="F3337" s="21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</row>
    <row r="3338" ht="15.75" customHeight="1">
      <c r="A3338" s="18" t="str">
        <f>Descargas!A3338</f>
        <v>2541@gmail.com</v>
      </c>
      <c r="B3338" s="19" t="str">
        <f>IFERROR(__xludf.DUMMYFUNCTION("IF(OR(regexmatch(A3338,"".*@simon.es$""),REGEXMATCH(A3338,"".*@simon.pt$""),REGEXMATCH(A3338,"".*@simonelectrica.com$""),REGEXMATCH(A3338,"".*@hiberus.com$""),REGEXMATCH(A3338,"".*@simonbrico.es$""),regexmatch(A3338,"".*@simonelectric.com$"")),""null"",A3"&amp;"338)"),"2541@gmail.com")</f>
        <v>2541@gmail.com</v>
      </c>
      <c r="C3338" s="5">
        <f>IF(B3338="null","null",Descargas!B3338)</f>
        <v>43895</v>
      </c>
      <c r="D3338" s="6" t="str">
        <f>Descargas!E3338</f>
        <v>https://resources.simonelectric.com/simon-ebook-vehiculo-electrico</v>
      </c>
      <c r="E3338" s="20" t="str">
        <f t="shared" si="1"/>
        <v>2541@gmail.com</v>
      </c>
      <c r="F3338" s="21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</row>
    <row r="3339" ht="15.75" customHeight="1">
      <c r="A3339" s="18" t="str">
        <f>Descargas!A3339</f>
        <v>2542@tecnica4.com</v>
      </c>
      <c r="B3339" s="19" t="str">
        <f>IFERROR(__xludf.DUMMYFUNCTION("IF(OR(regexmatch(A3339,"".*@simon.es$""),REGEXMATCH(A3339,"".*@simon.pt$""),REGEXMATCH(A3339,"".*@simonelectrica.com$""),REGEXMATCH(A3339,"".*@hiberus.com$""),REGEXMATCH(A3339,"".*@simonbrico.es$""),regexmatch(A3339,"".*@simonelectric.com$"")),""null"",A3"&amp;"339)"),"2542@tecnica4.com")</f>
        <v>2542@tecnica4.com</v>
      </c>
      <c r="C3339" s="5">
        <f>IF(B3339="null","null",Descargas!B3339)</f>
        <v>43895</v>
      </c>
      <c r="D3339" s="6" t="str">
        <f>Descargas!E3339</f>
        <v>https://resources.simonelectric.com/simon-catalogo-vehiculo-electrico</v>
      </c>
      <c r="E3339" s="20" t="str">
        <f t="shared" si="1"/>
        <v>2542@tecnica4.com</v>
      </c>
      <c r="F3339" s="21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</row>
    <row r="3340" ht="15.75" customHeight="1">
      <c r="A3340" s="18" t="str">
        <f>Descargas!A3340</f>
        <v>2543@eltec-servicios.com</v>
      </c>
      <c r="B3340" s="19" t="str">
        <f>IFERROR(__xludf.DUMMYFUNCTION("IF(OR(regexmatch(A3340,"".*@simon.es$""),REGEXMATCH(A3340,"".*@simon.pt$""),REGEXMATCH(A3340,"".*@simonelectrica.com$""),REGEXMATCH(A3340,"".*@hiberus.com$""),REGEXMATCH(A3340,"".*@simonbrico.es$""),regexmatch(A3340,"".*@simonelectric.com$"")),""null"",A3"&amp;"340)"),"2543@eltec-servicios.com")</f>
        <v>2543@eltec-servicios.com</v>
      </c>
      <c r="C3340" s="5">
        <f>IF(B3340="null","null",Descargas!B3340)</f>
        <v>43895</v>
      </c>
      <c r="D3340" s="6" t="str">
        <f>Descargas!E3340</f>
        <v>https://resources.simonelectric.com/simon-ebook-vehiculo-electrico</v>
      </c>
      <c r="E3340" s="20" t="str">
        <f t="shared" si="1"/>
        <v>2543@eltec-servicios.com</v>
      </c>
      <c r="F3340" s="21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</row>
    <row r="3341" ht="15.75" customHeight="1">
      <c r="A3341" s="18" t="str">
        <f>Descargas!A3341</f>
        <v>2544@hotmail.com</v>
      </c>
      <c r="B3341" s="19" t="str">
        <f>IFERROR(__xludf.DUMMYFUNCTION("IF(OR(regexmatch(A3341,"".*@simon.es$""),REGEXMATCH(A3341,"".*@simon.pt$""),REGEXMATCH(A3341,"".*@simonelectrica.com$""),REGEXMATCH(A3341,"".*@hiberus.com$""),REGEXMATCH(A3341,"".*@simonbrico.es$""),regexmatch(A3341,"".*@simonelectric.com$"")),""null"",A3"&amp;"341)"),"2544@hotmail.com")</f>
        <v>2544@hotmail.com</v>
      </c>
      <c r="C3341" s="5">
        <f>IF(B3341="null","null",Descargas!B3341)</f>
        <v>43895</v>
      </c>
      <c r="D3341" s="6" t="str">
        <f>Descargas!E3341</f>
        <v>https://resources.simonelectric.com/simon-ebook-vehiculo-electrico</v>
      </c>
      <c r="E3341" s="20" t="str">
        <f t="shared" si="1"/>
        <v>2544@hotmail.com</v>
      </c>
      <c r="F3341" s="21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</row>
    <row r="3342" ht="15.75" customHeight="1">
      <c r="A3342" s="18" t="str">
        <f>Descargas!A3342</f>
        <v>2545@telefonica.net</v>
      </c>
      <c r="B3342" s="19" t="str">
        <f>IFERROR(__xludf.DUMMYFUNCTION("IF(OR(regexmatch(A3342,"".*@simon.es$""),REGEXMATCH(A3342,"".*@simon.pt$""),REGEXMATCH(A3342,"".*@simonelectrica.com$""),REGEXMATCH(A3342,"".*@hiberus.com$""),REGEXMATCH(A3342,"".*@simonbrico.es$""),regexmatch(A3342,"".*@simonelectric.com$"")),""null"",A3"&amp;"342)"),"2545@telefonica.net")</f>
        <v>2545@telefonica.net</v>
      </c>
      <c r="C3342" s="5">
        <f>IF(B3342="null","null",Descargas!B3342)</f>
        <v>43895</v>
      </c>
      <c r="D3342" s="6" t="str">
        <f>Descargas!E3342</f>
        <v>https://resources.simonelectric.com/simon-ebook-vehiculo-electrico-tw</v>
      </c>
      <c r="E3342" s="20" t="str">
        <f t="shared" si="1"/>
        <v>2545@telefonica.net</v>
      </c>
      <c r="F3342" s="21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</row>
    <row r="3343" ht="15.75" customHeight="1">
      <c r="A3343" s="18" t="str">
        <f>Descargas!A3343</f>
        <v>2546@tecnovap.es</v>
      </c>
      <c r="B3343" s="19" t="str">
        <f>IFERROR(__xludf.DUMMYFUNCTION("IF(OR(regexmatch(A3343,"".*@simon.es$""),REGEXMATCH(A3343,"".*@simon.pt$""),REGEXMATCH(A3343,"".*@simonelectrica.com$""),REGEXMATCH(A3343,"".*@hiberus.com$""),REGEXMATCH(A3343,"".*@simonbrico.es$""),regexmatch(A3343,"".*@simonelectric.com$"")),""null"",A3"&amp;"343)"),"2546@tecnovap.es")</f>
        <v>2546@tecnovap.es</v>
      </c>
      <c r="C3343" s="5">
        <f>IF(B3343="null","null",Descargas!B3343)</f>
        <v>43894</v>
      </c>
      <c r="D3343" s="6" t="str">
        <f>Descargas!E3343</f>
        <v>https://resources.simonelectric.com/simon-ebook-vehiculo-electrico</v>
      </c>
      <c r="E3343" s="20" t="str">
        <f t="shared" si="1"/>
        <v>2546@tecnovap.es</v>
      </c>
      <c r="F3343" s="21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</row>
    <row r="3344" ht="15.75" customHeight="1">
      <c r="A3344" s="18" t="str">
        <f>Descargas!A3344</f>
        <v>2547@gmail.com</v>
      </c>
      <c r="B3344" s="19" t="str">
        <f>IFERROR(__xludf.DUMMYFUNCTION("IF(OR(regexmatch(A3344,"".*@simon.es$""),REGEXMATCH(A3344,"".*@simon.pt$""),REGEXMATCH(A3344,"".*@simonelectrica.com$""),REGEXMATCH(A3344,"".*@hiberus.com$""),REGEXMATCH(A3344,"".*@simonbrico.es$""),regexmatch(A3344,"".*@simonelectric.com$"")),""null"",A3"&amp;"344)"),"2547@gmail.com")</f>
        <v>2547@gmail.com</v>
      </c>
      <c r="C3344" s="5">
        <f>IF(B3344="null","null",Descargas!B3344)</f>
        <v>43894</v>
      </c>
      <c r="D3344" s="6" t="str">
        <f>Descargas!E3344</f>
        <v>https://resources.simonelectric.com/simon-ebook-vehiculo-electrico</v>
      </c>
      <c r="E3344" s="20" t="str">
        <f t="shared" si="1"/>
        <v>2547@gmail.com</v>
      </c>
      <c r="F3344" s="21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</row>
    <row r="3345" ht="15.75" customHeight="1">
      <c r="A3345" s="18" t="str">
        <f>Descargas!A3345</f>
        <v>2529@upc.edu</v>
      </c>
      <c r="B3345" s="19" t="str">
        <f>IFERROR(__xludf.DUMMYFUNCTION("IF(OR(regexmatch(A3345,"".*@simon.es$""),REGEXMATCH(A3345,"".*@simon.pt$""),REGEXMATCH(A3345,"".*@simonelectrica.com$""),REGEXMATCH(A3345,"".*@hiberus.com$""),REGEXMATCH(A3345,"".*@simonbrico.es$""),regexmatch(A3345,"".*@simonelectric.com$"")),""null"",A3"&amp;"345)"),"2529@upc.edu")</f>
        <v>2529@upc.edu</v>
      </c>
      <c r="C3345" s="5">
        <f>IF(B3345="null","null",Descargas!B3345)</f>
        <v>43894</v>
      </c>
      <c r="D3345" s="6" t="str">
        <f>Descargas!E3345</f>
        <v>https://resources.simonelectric.com/simon-ebook-vehiculo-electrico</v>
      </c>
      <c r="E3345" s="20" t="str">
        <f t="shared" si="1"/>
        <v>2529@upc.edu</v>
      </c>
      <c r="F3345" s="21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</row>
    <row r="3346" ht="15.75" customHeight="1">
      <c r="A3346" s="18" t="str">
        <f>Descargas!A3346</f>
        <v>2460@gmail.com</v>
      </c>
      <c r="B3346" s="19" t="str">
        <f>IFERROR(__xludf.DUMMYFUNCTION("IF(OR(regexmatch(A3346,"".*@simon.es$""),REGEXMATCH(A3346,"".*@simon.pt$""),REGEXMATCH(A3346,"".*@simonelectrica.com$""),REGEXMATCH(A3346,"".*@hiberus.com$""),REGEXMATCH(A3346,"".*@simonbrico.es$""),regexmatch(A3346,"".*@simonelectric.com$"")),""null"",A3"&amp;"346)"),"2460@gmail.com")</f>
        <v>2460@gmail.com</v>
      </c>
      <c r="C3346" s="5">
        <f>IF(B3346="null","null",Descargas!B3346)</f>
        <v>43894</v>
      </c>
      <c r="D3346" s="6" t="str">
        <f>Descargas!E3346</f>
        <v>https://resources.simonelectric.com/simon-ebook-vehiculo-electrico</v>
      </c>
      <c r="E3346" s="20" t="str">
        <f t="shared" si="1"/>
        <v>2460@gmail.com</v>
      </c>
      <c r="F3346" s="21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</row>
    <row r="3347" ht="15.75" customHeight="1">
      <c r="A3347" s="18" t="str">
        <f>Descargas!A3347</f>
        <v>2460@gmail.com</v>
      </c>
      <c r="B3347" s="19" t="str">
        <f>IFERROR(__xludf.DUMMYFUNCTION("IF(OR(regexmatch(A3347,"".*@simon.es$""),REGEXMATCH(A3347,"".*@simon.pt$""),REGEXMATCH(A3347,"".*@simonelectrica.com$""),REGEXMATCH(A3347,"".*@hiberus.com$""),REGEXMATCH(A3347,"".*@simonbrico.es$""),regexmatch(A3347,"".*@simonelectric.com$"")),""null"",A3"&amp;"347)"),"2460@gmail.com")</f>
        <v>2460@gmail.com</v>
      </c>
      <c r="C3347" s="5">
        <f>IF(B3347="null","null",Descargas!B3347)</f>
        <v>43894</v>
      </c>
      <c r="D3347" s="6" t="str">
        <f>Descargas!E3347</f>
        <v>https://resources.simonelectric.com/simon-ebook-vehiculo-electrico</v>
      </c>
      <c r="E3347" s="20" t="str">
        <f t="shared" si="1"/>
        <v>2460@gmail.com</v>
      </c>
      <c r="F3347" s="21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</row>
    <row r="3348" ht="15.75" customHeight="1">
      <c r="A3348" s="18" t="str">
        <f>Descargas!A3348</f>
        <v>1341@electricidadinstalvi.com</v>
      </c>
      <c r="B3348" s="19" t="str">
        <f>IFERROR(__xludf.DUMMYFUNCTION("IF(OR(regexmatch(A3348,"".*@simon.es$""),REGEXMATCH(A3348,"".*@simon.pt$""),REGEXMATCH(A3348,"".*@simonelectrica.com$""),REGEXMATCH(A3348,"".*@hiberus.com$""),REGEXMATCH(A3348,"".*@simonbrico.es$""),regexmatch(A3348,"".*@simonelectric.com$"")),""null"",A3"&amp;"348)"),"1341@electricidadinstalvi.com")</f>
        <v>1341@electricidadinstalvi.com</v>
      </c>
      <c r="C3348" s="5">
        <f>IF(B3348="null","null",Descargas!B3348)</f>
        <v>43894</v>
      </c>
      <c r="D3348" s="6" t="str">
        <f>Descargas!E3348</f>
        <v>https://resources.simonelectric.com/simon-ebook-vehiculo-electrico</v>
      </c>
      <c r="E3348" s="20" t="str">
        <f t="shared" si="1"/>
        <v>1341@electricidadinstalvi.com</v>
      </c>
      <c r="F3348" s="21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</row>
    <row r="3349" ht="15.75" customHeight="1">
      <c r="A3349" s="18" t="str">
        <f>Descargas!A3349</f>
        <v>2548@gmail.com</v>
      </c>
      <c r="B3349" s="19" t="str">
        <f>IFERROR(__xludf.DUMMYFUNCTION("IF(OR(regexmatch(A3349,"".*@simon.es$""),REGEXMATCH(A3349,"".*@simon.pt$""),REGEXMATCH(A3349,"".*@simonelectrica.com$""),REGEXMATCH(A3349,"".*@hiberus.com$""),REGEXMATCH(A3349,"".*@simonbrico.es$""),regexmatch(A3349,"".*@simonelectric.com$"")),""null"",A3"&amp;"349)"),"2548@gmail.com")</f>
        <v>2548@gmail.com</v>
      </c>
      <c r="C3349" s="5">
        <f>IF(B3349="null","null",Descargas!B3349)</f>
        <v>43894</v>
      </c>
      <c r="D3349" s="6" t="str">
        <f>Descargas!E3349</f>
        <v>https://resources.simonelectric.com/simon-ebook-vehiculo-electrico</v>
      </c>
      <c r="E3349" s="20" t="str">
        <f t="shared" si="1"/>
        <v>2548@gmail.com</v>
      </c>
      <c r="F3349" s="21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</row>
    <row r="3350" ht="15.75" customHeight="1">
      <c r="A3350" s="18" t="str">
        <f>Descargas!A3350</f>
        <v>398@ciudaddelosmuchachos.com</v>
      </c>
      <c r="B3350" s="19" t="str">
        <f>IFERROR(__xludf.DUMMYFUNCTION("IF(OR(regexmatch(A3350,"".*@simon.es$""),REGEXMATCH(A3350,"".*@simon.pt$""),REGEXMATCH(A3350,"".*@simonelectrica.com$""),REGEXMATCH(A3350,"".*@hiberus.com$""),REGEXMATCH(A3350,"".*@simonbrico.es$""),regexmatch(A3350,"".*@simonelectric.com$"")),""null"",A3"&amp;"350)"),"398@ciudaddelosmuchachos.com")</f>
        <v>398@ciudaddelosmuchachos.com</v>
      </c>
      <c r="C3350" s="5">
        <f>IF(B3350="null","null",Descargas!B3350)</f>
        <v>43894</v>
      </c>
      <c r="D3350" s="6" t="str">
        <f>Descargas!E3350</f>
        <v>https://resources.simonelectric.com/simon-ebook-vehiculo-electrico</v>
      </c>
      <c r="E3350" s="20" t="str">
        <f t="shared" si="1"/>
        <v>398@ciudaddelosmuchachos.com</v>
      </c>
      <c r="F3350" s="21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</row>
    <row r="3351" ht="15.75" customHeight="1">
      <c r="A3351" s="18" t="str">
        <f>Descargas!A3351</f>
        <v>2549@gmail.com</v>
      </c>
      <c r="B3351" s="19" t="str">
        <f>IFERROR(__xludf.DUMMYFUNCTION("IF(OR(regexmatch(A3351,"".*@simon.es$""),REGEXMATCH(A3351,"".*@simon.pt$""),REGEXMATCH(A3351,"".*@simonelectrica.com$""),REGEXMATCH(A3351,"".*@hiberus.com$""),REGEXMATCH(A3351,"".*@simonbrico.es$""),regexmatch(A3351,"".*@simonelectric.com$"")),""null"",A3"&amp;"351)"),"2549@gmail.com")</f>
        <v>2549@gmail.com</v>
      </c>
      <c r="C3351" s="5">
        <f>IF(B3351="null","null",Descargas!B3351)</f>
        <v>43894</v>
      </c>
      <c r="D3351" s="6" t="str">
        <f>Descargas!E3351</f>
        <v>https://resources.simonelectric.com/simon-catalogo-vehiculo-electrico</v>
      </c>
      <c r="E3351" s="20" t="str">
        <f t="shared" si="1"/>
        <v>2549@gmail.com</v>
      </c>
      <c r="F3351" s="21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</row>
    <row r="3352" ht="15.75" customHeight="1">
      <c r="A3352" s="18" t="str">
        <f>Descargas!A3352</f>
        <v>2549@gmail.com</v>
      </c>
      <c r="B3352" s="19" t="str">
        <f>IFERROR(__xludf.DUMMYFUNCTION("IF(OR(regexmatch(A3352,"".*@simon.es$""),REGEXMATCH(A3352,"".*@simon.pt$""),REGEXMATCH(A3352,"".*@simonelectrica.com$""),REGEXMATCH(A3352,"".*@hiberus.com$""),REGEXMATCH(A3352,"".*@simonbrico.es$""),regexmatch(A3352,"".*@simonelectric.com$"")),""null"",A3"&amp;"352)"),"2549@gmail.com")</f>
        <v>2549@gmail.com</v>
      </c>
      <c r="C3352" s="5">
        <f>IF(B3352="null","null",Descargas!B3352)</f>
        <v>43894</v>
      </c>
      <c r="D3352" s="6" t="str">
        <f>Descargas!E3352</f>
        <v>https://resources.simonelectric.com/simon-ebook-vehiculo-electrico</v>
      </c>
      <c r="E3352" s="20" t="str">
        <f t="shared" si="1"/>
        <v>2549@gmail.com</v>
      </c>
      <c r="F3352" s="21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</row>
    <row r="3353" ht="15.75" customHeight="1">
      <c r="A3353" s="18" t="str">
        <f>Descargas!A3353</f>
        <v>2550@energema.com</v>
      </c>
      <c r="B3353" s="19" t="str">
        <f>IFERROR(__xludf.DUMMYFUNCTION("IF(OR(regexmatch(A3353,"".*@simon.es$""),REGEXMATCH(A3353,"".*@simon.pt$""),REGEXMATCH(A3353,"".*@simonelectrica.com$""),REGEXMATCH(A3353,"".*@hiberus.com$""),REGEXMATCH(A3353,"".*@simonbrico.es$""),regexmatch(A3353,"".*@simonelectric.com$"")),""null"",A3"&amp;"353)"),"2550@energema.com")</f>
        <v>2550@energema.com</v>
      </c>
      <c r="C3353" s="5">
        <f>IF(B3353="null","null",Descargas!B3353)</f>
        <v>43894</v>
      </c>
      <c r="D3353" s="6" t="str">
        <f>Descargas!E3353</f>
        <v>https://resources.simonelectric.com/simon-ebook-vehiculo-electrico</v>
      </c>
      <c r="E3353" s="20" t="str">
        <f t="shared" si="1"/>
        <v>2550@energema.com</v>
      </c>
      <c r="F3353" s="21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</row>
    <row r="3354" ht="15.75" customHeight="1">
      <c r="A3354" s="18" t="str">
        <f>Descargas!A3354</f>
        <v>2551@inelsa.com</v>
      </c>
      <c r="B3354" s="19" t="str">
        <f>IFERROR(__xludf.DUMMYFUNCTION("IF(OR(regexmatch(A3354,"".*@simon.es$""),REGEXMATCH(A3354,"".*@simon.pt$""),REGEXMATCH(A3354,"".*@simonelectrica.com$""),REGEXMATCH(A3354,"".*@hiberus.com$""),REGEXMATCH(A3354,"".*@simonbrico.es$""),regexmatch(A3354,"".*@simonelectric.com$"")),""null"",A3"&amp;"354)"),"2551@inelsa.com")</f>
        <v>2551@inelsa.com</v>
      </c>
      <c r="C3354" s="5">
        <f>IF(B3354="null","null",Descargas!B3354)</f>
        <v>43894</v>
      </c>
      <c r="D3354" s="6" t="str">
        <f>Descargas!E3354</f>
        <v>https://resources.simonelectric.com/simon-ebook-vehiculo-electrico</v>
      </c>
      <c r="E3354" s="20" t="str">
        <f t="shared" si="1"/>
        <v>2551@inelsa.com</v>
      </c>
      <c r="F3354" s="21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</row>
    <row r="3355" ht="15.75" customHeight="1">
      <c r="A3355" s="18" t="str">
        <f>Descargas!A3355</f>
        <v>1454@yahoo.es</v>
      </c>
      <c r="B3355" s="19" t="str">
        <f>IFERROR(__xludf.DUMMYFUNCTION("IF(OR(regexmatch(A3355,"".*@simon.es$""),REGEXMATCH(A3355,"".*@simon.pt$""),REGEXMATCH(A3355,"".*@simonelectrica.com$""),REGEXMATCH(A3355,"".*@hiberus.com$""),REGEXMATCH(A3355,"".*@simonbrico.es$""),regexmatch(A3355,"".*@simonelectric.com$"")),""null"",A3"&amp;"355)"),"1454@yahoo.es")</f>
        <v>1454@yahoo.es</v>
      </c>
      <c r="C3355" s="5">
        <f>IF(B3355="null","null",Descargas!B3355)</f>
        <v>43894</v>
      </c>
      <c r="D3355" s="6" t="str">
        <f>Descargas!E3355</f>
        <v>https://resources.simonelectric.com/simon-ebook-vehiculo-electrico</v>
      </c>
      <c r="E3355" s="20" t="str">
        <f t="shared" si="1"/>
        <v>1454@yahoo.es</v>
      </c>
      <c r="F3355" s="21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</row>
    <row r="3356" ht="15.75" customHeight="1">
      <c r="A3356" s="18" t="str">
        <f>Descargas!A3356</f>
        <v>2552@gmail.com</v>
      </c>
      <c r="B3356" s="19" t="str">
        <f>IFERROR(__xludf.DUMMYFUNCTION("IF(OR(regexmatch(A3356,"".*@simon.es$""),REGEXMATCH(A3356,"".*@simon.pt$""),REGEXMATCH(A3356,"".*@simonelectrica.com$""),REGEXMATCH(A3356,"".*@hiberus.com$""),REGEXMATCH(A3356,"".*@simonbrico.es$""),regexmatch(A3356,"".*@simonelectric.com$"")),""null"",A3"&amp;"356)"),"2552@gmail.com")</f>
        <v>2552@gmail.com</v>
      </c>
      <c r="C3356" s="5">
        <f>IF(B3356="null","null",Descargas!B3356)</f>
        <v>43894</v>
      </c>
      <c r="D3356" s="6" t="str">
        <f>Descargas!E3356</f>
        <v>https://resources.simonelectric.com/simon-ebook-vehiculo-electrico</v>
      </c>
      <c r="E3356" s="20" t="str">
        <f t="shared" si="1"/>
        <v>2552@gmail.com</v>
      </c>
      <c r="F3356" s="21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</row>
    <row r="3357" ht="15.75" customHeight="1">
      <c r="A3357" s="18" t="str">
        <f>Descargas!A3357</f>
        <v>2553@telefonica.net</v>
      </c>
      <c r="B3357" s="19" t="str">
        <f>IFERROR(__xludf.DUMMYFUNCTION("IF(OR(regexmatch(A3357,"".*@simon.es$""),REGEXMATCH(A3357,"".*@simon.pt$""),REGEXMATCH(A3357,"".*@simonelectrica.com$""),REGEXMATCH(A3357,"".*@hiberus.com$""),REGEXMATCH(A3357,"".*@simonbrico.es$""),regexmatch(A3357,"".*@simonelectric.com$"")),""null"",A3"&amp;"357)"),"2553@telefonica.net")</f>
        <v>2553@telefonica.net</v>
      </c>
      <c r="C3357" s="5">
        <f>IF(B3357="null","null",Descargas!B3357)</f>
        <v>43894</v>
      </c>
      <c r="D3357" s="6" t="str">
        <f>Descargas!E3357</f>
        <v>https://resources.simonelectric.com/simon-ebook-vehiculo-electrico</v>
      </c>
      <c r="E3357" s="20" t="str">
        <f t="shared" si="1"/>
        <v>2553@telefonica.net</v>
      </c>
      <c r="F3357" s="21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</row>
    <row r="3358" ht="15.75" customHeight="1">
      <c r="A3358" s="18" t="str">
        <f>Descargas!A3358</f>
        <v>2554@telefonica.net</v>
      </c>
      <c r="B3358" s="19" t="str">
        <f>IFERROR(__xludf.DUMMYFUNCTION("IF(OR(regexmatch(A3358,"".*@simon.es$""),REGEXMATCH(A3358,"".*@simon.pt$""),REGEXMATCH(A3358,"".*@simonelectrica.com$""),REGEXMATCH(A3358,"".*@hiberus.com$""),REGEXMATCH(A3358,"".*@simonbrico.es$""),regexmatch(A3358,"".*@simonelectric.com$"")),""null"",A3"&amp;"358)"),"2554@telefonica.net")</f>
        <v>2554@telefonica.net</v>
      </c>
      <c r="C3358" s="5">
        <f>IF(B3358="null","null",Descargas!B3358)</f>
        <v>43894</v>
      </c>
      <c r="D3358" s="6" t="str">
        <f>Descargas!E3358</f>
        <v>https://resources.simonelectric.com/simon-ebook-vehiculo-electrico</v>
      </c>
      <c r="E3358" s="20" t="str">
        <f t="shared" si="1"/>
        <v>2554@telefonica.net</v>
      </c>
      <c r="F3358" s="21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</row>
    <row r="3359" ht="15.75" customHeight="1">
      <c r="A3359" s="18" t="str">
        <f>Descargas!A3359</f>
        <v>2555@gmail.com</v>
      </c>
      <c r="B3359" s="19" t="str">
        <f>IFERROR(__xludf.DUMMYFUNCTION("IF(OR(regexmatch(A3359,"".*@simon.es$""),REGEXMATCH(A3359,"".*@simon.pt$""),REGEXMATCH(A3359,"".*@simonelectrica.com$""),REGEXMATCH(A3359,"".*@hiberus.com$""),REGEXMATCH(A3359,"".*@simonbrico.es$""),regexmatch(A3359,"".*@simonelectric.com$"")),""null"",A3"&amp;"359)"),"2555@gmail.com")</f>
        <v>2555@gmail.com</v>
      </c>
      <c r="C3359" s="5">
        <f>IF(B3359="null","null",Descargas!B3359)</f>
        <v>43894</v>
      </c>
      <c r="D3359" s="6" t="str">
        <f>Descargas!E3359</f>
        <v>https://resources.simonelectric.com/simon-catalogo-vehiculo-electrico</v>
      </c>
      <c r="E3359" s="20" t="str">
        <f t="shared" si="1"/>
        <v>2555@gmail.com</v>
      </c>
      <c r="F3359" s="21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</row>
    <row r="3360" ht="15.75" customHeight="1">
      <c r="A3360" s="18" t="str">
        <f>Descargas!A3360</f>
        <v>2556@hotmail.com</v>
      </c>
      <c r="B3360" s="19" t="str">
        <f>IFERROR(__xludf.DUMMYFUNCTION("IF(OR(regexmatch(A3360,"".*@simon.es$""),REGEXMATCH(A3360,"".*@simon.pt$""),REGEXMATCH(A3360,"".*@simonelectrica.com$""),REGEXMATCH(A3360,"".*@hiberus.com$""),REGEXMATCH(A3360,"".*@simonbrico.es$""),regexmatch(A3360,"".*@simonelectric.com$"")),""null"",A3"&amp;"360)"),"2556@hotmail.com")</f>
        <v>2556@hotmail.com</v>
      </c>
      <c r="C3360" s="5">
        <f>IF(B3360="null","null",Descargas!B3360)</f>
        <v>43894</v>
      </c>
      <c r="D3360" s="6" t="str">
        <f>Descargas!E3360</f>
        <v>https://resources.simonelectric.com/simon-ebook-vehiculo-electrico</v>
      </c>
      <c r="E3360" s="20" t="str">
        <f t="shared" si="1"/>
        <v>2556@hotmail.com</v>
      </c>
      <c r="F3360" s="21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</row>
    <row r="3361" ht="15.75" customHeight="1">
      <c r="A3361" s="18" t="str">
        <f>Descargas!A3361</f>
        <v>2557@hotmail.com</v>
      </c>
      <c r="B3361" s="19" t="str">
        <f>IFERROR(__xludf.DUMMYFUNCTION("IF(OR(regexmatch(A3361,"".*@simon.es$""),REGEXMATCH(A3361,"".*@simon.pt$""),REGEXMATCH(A3361,"".*@simonelectrica.com$""),REGEXMATCH(A3361,"".*@hiberus.com$""),REGEXMATCH(A3361,"".*@simonbrico.es$""),regexmatch(A3361,"".*@simonelectric.com$"")),""null"",A3"&amp;"361)"),"2557@hotmail.com")</f>
        <v>2557@hotmail.com</v>
      </c>
      <c r="C3361" s="5">
        <f>IF(B3361="null","null",Descargas!B3361)</f>
        <v>43894</v>
      </c>
      <c r="D3361" s="6" t="str">
        <f>Descargas!E3361</f>
        <v>https://resources.simonelectric.com/simon-ebook-vehiculo-electrico</v>
      </c>
      <c r="E3361" s="20" t="str">
        <f t="shared" si="1"/>
        <v>2557@hotmail.com</v>
      </c>
      <c r="F3361" s="21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</row>
    <row r="3362" ht="15.75" customHeight="1">
      <c r="A3362" s="18" t="str">
        <f>Descargas!A3362</f>
        <v>1080@levitec.es</v>
      </c>
      <c r="B3362" s="19" t="str">
        <f>IFERROR(__xludf.DUMMYFUNCTION("IF(OR(regexmatch(A3362,"".*@simon.es$""),REGEXMATCH(A3362,"".*@simon.pt$""),REGEXMATCH(A3362,"".*@simonelectrica.com$""),REGEXMATCH(A3362,"".*@hiberus.com$""),REGEXMATCH(A3362,"".*@simonbrico.es$""),regexmatch(A3362,"".*@simonelectric.com$"")),""null"",A3"&amp;"362)"),"1080@levitec.es")</f>
        <v>1080@levitec.es</v>
      </c>
      <c r="C3362" s="5">
        <f>IF(B3362="null","null",Descargas!B3362)</f>
        <v>43894</v>
      </c>
      <c r="D3362" s="6" t="str">
        <f>Descargas!E3362</f>
        <v>https://resources.simonelectric.com/simon-catalogo-vehiculo-electrico</v>
      </c>
      <c r="E3362" s="20" t="str">
        <f t="shared" si="1"/>
        <v>1080@levitec.es</v>
      </c>
      <c r="F3362" s="21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</row>
    <row r="3363" ht="15.75" customHeight="1">
      <c r="A3363" s="18" t="str">
        <f>Descargas!A3363</f>
        <v>1080@levitec.es</v>
      </c>
      <c r="B3363" s="19" t="str">
        <f>IFERROR(__xludf.DUMMYFUNCTION("IF(OR(regexmatch(A3363,"".*@simon.es$""),REGEXMATCH(A3363,"".*@simon.pt$""),REGEXMATCH(A3363,"".*@simonelectrica.com$""),REGEXMATCH(A3363,"".*@hiberus.com$""),REGEXMATCH(A3363,"".*@simonbrico.es$""),regexmatch(A3363,"".*@simonelectric.com$"")),""null"",A3"&amp;"363)"),"1080@levitec.es")</f>
        <v>1080@levitec.es</v>
      </c>
      <c r="C3363" s="5">
        <f>IF(B3363="null","null",Descargas!B3363)</f>
        <v>43894</v>
      </c>
      <c r="D3363" s="6" t="str">
        <f>Descargas!E3363</f>
        <v>https://resources.simonelectric.com/simon-ebook-vehiculo-electrico</v>
      </c>
      <c r="E3363" s="20" t="str">
        <f t="shared" si="1"/>
        <v>1080@levitec.es</v>
      </c>
      <c r="F3363" s="21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</row>
    <row r="3364" ht="15.75" customHeight="1">
      <c r="A3364" s="18" t="str">
        <f>Descargas!A3364</f>
        <v>2558@gmail.com</v>
      </c>
      <c r="B3364" s="19" t="str">
        <f>IFERROR(__xludf.DUMMYFUNCTION("IF(OR(regexmatch(A3364,"".*@simon.es$""),REGEXMATCH(A3364,"".*@simon.pt$""),REGEXMATCH(A3364,"".*@simonelectrica.com$""),REGEXMATCH(A3364,"".*@hiberus.com$""),REGEXMATCH(A3364,"".*@simonbrico.es$""),regexmatch(A3364,"".*@simonelectric.com$"")),""null"",A3"&amp;"364)"),"2558@gmail.com")</f>
        <v>2558@gmail.com</v>
      </c>
      <c r="C3364" s="5">
        <f>IF(B3364="null","null",Descargas!B3364)</f>
        <v>43894</v>
      </c>
      <c r="D3364" s="6" t="str">
        <f>Descargas!E3364</f>
        <v>https://resources.simonelectric.com/simon-ebook-vehiculo-electrico</v>
      </c>
      <c r="E3364" s="20" t="str">
        <f t="shared" si="1"/>
        <v>2558@gmail.com</v>
      </c>
      <c r="F3364" s="21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</row>
    <row r="3365" ht="15.75" customHeight="1">
      <c r="A3365" s="18" t="str">
        <f>Descargas!A3365</f>
        <v>2559@simon.es</v>
      </c>
      <c r="B3365" s="19" t="str">
        <f>IFERROR(__xludf.DUMMYFUNCTION("IF(OR(regexmatch(A3365,"".*@simon.es$""),REGEXMATCH(A3365,"".*@simon.pt$""),REGEXMATCH(A3365,"".*@simonelectrica.com$""),REGEXMATCH(A3365,"".*@hiberus.com$""),REGEXMATCH(A3365,"".*@simonbrico.es$""),regexmatch(A3365,"".*@simonelectric.com$"")),""null"",A3"&amp;"365)"),"null")</f>
        <v>null</v>
      </c>
      <c r="C3365" s="5" t="str">
        <f>IF(B3365="null","null",Descargas!B3365)</f>
        <v>null</v>
      </c>
      <c r="D3365" s="6" t="str">
        <f>Descargas!E3365</f>
        <v>https://resources.simonelectric.com/simon-ebook-vehiculo-electrico</v>
      </c>
      <c r="E3365" s="24" t="str">
        <f t="shared" si="1"/>
        <v/>
      </c>
      <c r="F3365" s="21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</row>
    <row r="3366" ht="15.75" customHeight="1">
      <c r="A3366" s="18" t="str">
        <f>Descargas!A3366</f>
        <v>1308@tdgi.pt</v>
      </c>
      <c r="B3366" s="19" t="str">
        <f>IFERROR(__xludf.DUMMYFUNCTION("IF(OR(regexmatch(A3366,"".*@simon.es$""),REGEXMATCH(A3366,"".*@simon.pt$""),REGEXMATCH(A3366,"".*@simonelectrica.com$""),REGEXMATCH(A3366,"".*@hiberus.com$""),REGEXMATCH(A3366,"".*@simonbrico.es$""),regexmatch(A3366,"".*@simonelectric.com$"")),""null"",A3"&amp;"366)"),"1308@tdgi.pt")</f>
        <v>1308@tdgi.pt</v>
      </c>
      <c r="C3366" s="5">
        <f>IF(B3366="null","null",Descargas!B3366)</f>
        <v>43894</v>
      </c>
      <c r="D3366" s="6" t="str">
        <f>Descargas!E3366</f>
        <v>https://resources.simonelectric.com/simon-ebook-vehiculo-electrico</v>
      </c>
      <c r="E3366" s="20" t="str">
        <f t="shared" si="1"/>
        <v>1308@tdgi.pt</v>
      </c>
      <c r="F3366" s="21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</row>
    <row r="3367" ht="15.75" customHeight="1">
      <c r="A3367" s="18" t="str">
        <f>Descargas!A3367</f>
        <v>2560@gmail.com</v>
      </c>
      <c r="B3367" s="19" t="str">
        <f>IFERROR(__xludf.DUMMYFUNCTION("IF(OR(regexmatch(A3367,"".*@simon.es$""),REGEXMATCH(A3367,"".*@simon.pt$""),REGEXMATCH(A3367,"".*@simonelectrica.com$""),REGEXMATCH(A3367,"".*@hiberus.com$""),REGEXMATCH(A3367,"".*@simonbrico.es$""),regexmatch(A3367,"".*@simonelectric.com$"")),""null"",A3"&amp;"367)"),"2560@gmail.com")</f>
        <v>2560@gmail.com</v>
      </c>
      <c r="C3367" s="5">
        <f>IF(B3367="null","null",Descargas!B3367)</f>
        <v>43894</v>
      </c>
      <c r="D3367" s="6" t="str">
        <f>Descargas!E3367</f>
        <v>https://resources.simonelectric.com/simon-ebook-vehiculo-electrico</v>
      </c>
      <c r="E3367" s="20" t="str">
        <f t="shared" si="1"/>
        <v>2560@gmail.com</v>
      </c>
      <c r="F3367" s="21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</row>
    <row r="3368" ht="15.75" customHeight="1">
      <c r="A3368" s="18" t="str">
        <f>Descargas!A3368</f>
        <v>1404@eurocabos.es</v>
      </c>
      <c r="B3368" s="19" t="str">
        <f>IFERROR(__xludf.DUMMYFUNCTION("IF(OR(regexmatch(A3368,"".*@simon.es$""),REGEXMATCH(A3368,"".*@simon.pt$""),REGEXMATCH(A3368,"".*@simonelectrica.com$""),REGEXMATCH(A3368,"".*@hiberus.com$""),REGEXMATCH(A3368,"".*@simonbrico.es$""),regexmatch(A3368,"".*@simonelectric.com$"")),""null"",A3"&amp;"368)"),"1404@eurocabos.es")</f>
        <v>1404@eurocabos.es</v>
      </c>
      <c r="C3368" s="5">
        <f>IF(B3368="null","null",Descargas!B3368)</f>
        <v>43894</v>
      </c>
      <c r="D3368" s="6" t="str">
        <f>Descargas!E3368</f>
        <v>https://resources.simonelectric.com/simon-ebook-vehiculo-electrico</v>
      </c>
      <c r="E3368" s="20" t="str">
        <f t="shared" si="1"/>
        <v>1404@eurocabos.es</v>
      </c>
      <c r="F3368" s="21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</row>
    <row r="3369" ht="15.75" customHeight="1">
      <c r="A3369" s="18" t="str">
        <f>Descargas!A3369</f>
        <v>2561@gmail.com</v>
      </c>
      <c r="B3369" s="19" t="str">
        <f>IFERROR(__xludf.DUMMYFUNCTION("IF(OR(regexmatch(A3369,"".*@simon.es$""),REGEXMATCH(A3369,"".*@simon.pt$""),REGEXMATCH(A3369,"".*@simonelectrica.com$""),REGEXMATCH(A3369,"".*@hiberus.com$""),REGEXMATCH(A3369,"".*@simonbrico.es$""),regexmatch(A3369,"".*@simonelectric.com$"")),""null"",A3"&amp;"369)"),"2561@gmail.com")</f>
        <v>2561@gmail.com</v>
      </c>
      <c r="C3369" s="5">
        <f>IF(B3369="null","null",Descargas!B3369)</f>
        <v>43894</v>
      </c>
      <c r="D3369" s="6" t="str">
        <f>Descargas!E3369</f>
        <v>https://resources.simonelectric.com/simon-ebook-vehiculo-electrico</v>
      </c>
      <c r="E3369" s="20" t="str">
        <f t="shared" si="1"/>
        <v>2561@gmail.com</v>
      </c>
      <c r="F3369" s="21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</row>
    <row r="3370" ht="15.75" customHeight="1">
      <c r="A3370" s="18" t="str">
        <f>Descargas!A3370</f>
        <v>2562@artesolar.com</v>
      </c>
      <c r="B3370" s="19" t="str">
        <f>IFERROR(__xludf.DUMMYFUNCTION("IF(OR(regexmatch(A3370,"".*@simon.es$""),REGEXMATCH(A3370,"".*@simon.pt$""),REGEXMATCH(A3370,"".*@simonelectrica.com$""),REGEXMATCH(A3370,"".*@hiberus.com$""),REGEXMATCH(A3370,"".*@simonbrico.es$""),regexmatch(A3370,"".*@simonelectric.com$"")),""null"",A3"&amp;"370)"),"2562@artesolar.com")</f>
        <v>2562@artesolar.com</v>
      </c>
      <c r="C3370" s="5">
        <f>IF(B3370="null","null",Descargas!B3370)</f>
        <v>43894</v>
      </c>
      <c r="D3370" s="6" t="str">
        <f>Descargas!E3370</f>
        <v>https://resources.simonelectric.com/simon-ebook-vehiculo-electrico</v>
      </c>
      <c r="E3370" s="20" t="str">
        <f t="shared" si="1"/>
        <v>2562@artesolar.com</v>
      </c>
      <c r="F3370" s="21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</row>
    <row r="3371" ht="15.75" customHeight="1">
      <c r="A3371" s="18" t="str">
        <f>Descargas!A3371</f>
        <v>741@dieselsanchez.com</v>
      </c>
      <c r="B3371" s="19" t="str">
        <f>IFERROR(__xludf.DUMMYFUNCTION("IF(OR(regexmatch(A3371,"".*@simon.es$""),REGEXMATCH(A3371,"".*@simon.pt$""),REGEXMATCH(A3371,"".*@simonelectrica.com$""),REGEXMATCH(A3371,"".*@hiberus.com$""),REGEXMATCH(A3371,"".*@simonbrico.es$""),regexmatch(A3371,"".*@simonelectric.com$"")),""null"",A3"&amp;"371)"),"741@dieselsanchez.com")</f>
        <v>741@dieselsanchez.com</v>
      </c>
      <c r="C3371" s="5">
        <f>IF(B3371="null","null",Descargas!B3371)</f>
        <v>43894</v>
      </c>
      <c r="D3371" s="6" t="str">
        <f>Descargas!E3371</f>
        <v>https://resources.simonelectric.com/simon-ebook-vehiculo-electrico</v>
      </c>
      <c r="E3371" s="20" t="str">
        <f t="shared" si="1"/>
        <v>741@dieselsanchez.com</v>
      </c>
      <c r="F3371" s="21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</row>
    <row r="3372" ht="15.75" customHeight="1">
      <c r="A3372" s="18" t="str">
        <f>Descargas!A3372</f>
        <v>1549@urgon.es</v>
      </c>
      <c r="B3372" s="19" t="str">
        <f>IFERROR(__xludf.DUMMYFUNCTION("IF(OR(regexmatch(A3372,"".*@simon.es$""),REGEXMATCH(A3372,"".*@simon.pt$""),REGEXMATCH(A3372,"".*@simonelectrica.com$""),REGEXMATCH(A3372,"".*@hiberus.com$""),REGEXMATCH(A3372,"".*@simonbrico.es$""),regexmatch(A3372,"".*@simonelectric.com$"")),""null"",A3"&amp;"372)"),"1549@urgon.es")</f>
        <v>1549@urgon.es</v>
      </c>
      <c r="C3372" s="5">
        <f>IF(B3372="null","null",Descargas!B3372)</f>
        <v>43894</v>
      </c>
      <c r="D3372" s="6" t="str">
        <f>Descargas!E3372</f>
        <v>https://resources.simonelectric.com/simon-ebook-vehiculo-electrico</v>
      </c>
      <c r="E3372" s="20" t="str">
        <f t="shared" si="1"/>
        <v>1549@urgon.es</v>
      </c>
      <c r="F3372" s="21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</row>
    <row r="3373" ht="15.75" customHeight="1">
      <c r="A3373" s="18" t="str">
        <f>Descargas!A3373</f>
        <v>1419@gmail.com</v>
      </c>
      <c r="B3373" s="19" t="str">
        <f>IFERROR(__xludf.DUMMYFUNCTION("IF(OR(regexmatch(A3373,"".*@simon.es$""),REGEXMATCH(A3373,"".*@simon.pt$""),REGEXMATCH(A3373,"".*@simonelectrica.com$""),REGEXMATCH(A3373,"".*@hiberus.com$""),REGEXMATCH(A3373,"".*@simonbrico.es$""),regexmatch(A3373,"".*@simonelectric.com$"")),""null"",A3"&amp;"373)"),"1419@gmail.com")</f>
        <v>1419@gmail.com</v>
      </c>
      <c r="C3373" s="5">
        <f>IF(B3373="null","null",Descargas!B3373)</f>
        <v>43894</v>
      </c>
      <c r="D3373" s="6" t="str">
        <f>Descargas!E3373</f>
        <v>https://resources.simonelectric.com/simon-ebook-vehiculo-electrico</v>
      </c>
      <c r="E3373" s="20" t="str">
        <f t="shared" si="1"/>
        <v>1419@gmail.com</v>
      </c>
      <c r="F3373" s="21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</row>
    <row r="3374" ht="15.75" customHeight="1">
      <c r="A3374" s="18" t="str">
        <f>Descargas!A3374</f>
        <v>2563@hotmail.com</v>
      </c>
      <c r="B3374" s="19" t="str">
        <f>IFERROR(__xludf.DUMMYFUNCTION("IF(OR(regexmatch(A3374,"".*@simon.es$""),REGEXMATCH(A3374,"".*@simon.pt$""),REGEXMATCH(A3374,"".*@simonelectrica.com$""),REGEXMATCH(A3374,"".*@hiberus.com$""),REGEXMATCH(A3374,"".*@simonbrico.es$""),regexmatch(A3374,"".*@simonelectric.com$"")),""null"",A3"&amp;"374)"),"2563@hotmail.com")</f>
        <v>2563@hotmail.com</v>
      </c>
      <c r="C3374" s="5">
        <f>IF(B3374="null","null",Descargas!B3374)</f>
        <v>43894</v>
      </c>
      <c r="D3374" s="6" t="str">
        <f>Descargas!E3374</f>
        <v>https://resources.simonelectric.com/simon-ebook-vehiculo-electrico</v>
      </c>
      <c r="E3374" s="20" t="str">
        <f t="shared" si="1"/>
        <v>2563@hotmail.com</v>
      </c>
      <c r="F3374" s="21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</row>
    <row r="3375" ht="15.75" customHeight="1">
      <c r="A3375" s="18" t="str">
        <f>Descargas!A3375</f>
        <v>2564@ctv.masaveu.com</v>
      </c>
      <c r="B3375" s="19" t="str">
        <f>IFERROR(__xludf.DUMMYFUNCTION("IF(OR(regexmatch(A3375,"".*@simon.es$""),REGEXMATCH(A3375,"".*@simon.pt$""),REGEXMATCH(A3375,"".*@simonelectrica.com$""),REGEXMATCH(A3375,"".*@hiberus.com$""),REGEXMATCH(A3375,"".*@simonbrico.es$""),regexmatch(A3375,"".*@simonelectric.com$"")),""null"",A3"&amp;"375)"),"2564@ctv.masaveu.com")</f>
        <v>2564@ctv.masaveu.com</v>
      </c>
      <c r="C3375" s="5">
        <f>IF(B3375="null","null",Descargas!B3375)</f>
        <v>43894</v>
      </c>
      <c r="D3375" s="6" t="str">
        <f>Descargas!E3375</f>
        <v>https://resources.simonelectric.com/simon-ebook-vehiculo-electrico</v>
      </c>
      <c r="E3375" s="20" t="str">
        <f t="shared" si="1"/>
        <v>2564@ctv.masaveu.com</v>
      </c>
      <c r="F3375" s="21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</row>
    <row r="3376" ht="15.75" customHeight="1">
      <c r="A3376" s="18" t="str">
        <f>Descargas!A3376</f>
        <v>2565@hotmail.com</v>
      </c>
      <c r="B3376" s="19" t="str">
        <f>IFERROR(__xludf.DUMMYFUNCTION("IF(OR(regexmatch(A3376,"".*@simon.es$""),REGEXMATCH(A3376,"".*@simon.pt$""),REGEXMATCH(A3376,"".*@simonelectrica.com$""),REGEXMATCH(A3376,"".*@hiberus.com$""),REGEXMATCH(A3376,"".*@simonbrico.es$""),regexmatch(A3376,"".*@simonelectric.com$"")),""null"",A3"&amp;"376)"),"2565@hotmail.com")</f>
        <v>2565@hotmail.com</v>
      </c>
      <c r="C3376" s="5">
        <f>IF(B3376="null","null",Descargas!B3376)</f>
        <v>43894</v>
      </c>
      <c r="D3376" s="6" t="str">
        <f>Descargas!E3376</f>
        <v>https://resources.simonelectric.com/simon-ebook-vehiculo-electrico</v>
      </c>
      <c r="E3376" s="20" t="str">
        <f t="shared" si="1"/>
        <v>2565@hotmail.com</v>
      </c>
      <c r="F3376" s="21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</row>
    <row r="3377" ht="15.75" customHeight="1">
      <c r="A3377" s="18" t="str">
        <f>Descargas!A3377</f>
        <v>2566@casadoguia.com</v>
      </c>
      <c r="B3377" s="19" t="str">
        <f>IFERROR(__xludf.DUMMYFUNCTION("IF(OR(regexmatch(A3377,"".*@simon.es$""),REGEXMATCH(A3377,"".*@simon.pt$""),REGEXMATCH(A3377,"".*@simonelectrica.com$""),REGEXMATCH(A3377,"".*@hiberus.com$""),REGEXMATCH(A3377,"".*@simonbrico.es$""),regexmatch(A3377,"".*@simonelectric.com$"")),""null"",A3"&amp;"377)"),"2566@casadoguia.com")</f>
        <v>2566@casadoguia.com</v>
      </c>
      <c r="C3377" s="5">
        <f>IF(B3377="null","null",Descargas!B3377)</f>
        <v>43894</v>
      </c>
      <c r="D3377" s="6" t="str">
        <f>Descargas!E3377</f>
        <v>https://resources.simonelectric.com/simon-ebook-vehiculo-electrico</v>
      </c>
      <c r="E3377" s="20" t="str">
        <f t="shared" si="1"/>
        <v>2566@casadoguia.com</v>
      </c>
      <c r="F3377" s="21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</row>
    <row r="3378" ht="15.75" customHeight="1">
      <c r="A3378" s="18" t="str">
        <f>Descargas!A3378</f>
        <v>600@saltoki.es</v>
      </c>
      <c r="B3378" s="19" t="str">
        <f>IFERROR(__xludf.DUMMYFUNCTION("IF(OR(regexmatch(A3378,"".*@simon.es$""),REGEXMATCH(A3378,"".*@simon.pt$""),REGEXMATCH(A3378,"".*@simonelectrica.com$""),REGEXMATCH(A3378,"".*@hiberus.com$""),REGEXMATCH(A3378,"".*@simonbrico.es$""),regexmatch(A3378,"".*@simonelectric.com$"")),""null"",A3"&amp;"378)"),"600@saltoki.es")</f>
        <v>600@saltoki.es</v>
      </c>
      <c r="C3378" s="5">
        <f>IF(B3378="null","null",Descargas!B3378)</f>
        <v>43894</v>
      </c>
      <c r="D3378" s="6" t="str">
        <f>Descargas!E3378</f>
        <v>https://resources.simonelectric.com/simon-ebook-vehiculo-electrico</v>
      </c>
      <c r="E3378" s="20" t="str">
        <f t="shared" si="1"/>
        <v>600@saltoki.es</v>
      </c>
      <c r="F3378" s="21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</row>
    <row r="3379" ht="15.75" customHeight="1">
      <c r="A3379" s="18" t="str">
        <f>Descargas!A3379</f>
        <v>1504@gmail.com</v>
      </c>
      <c r="B3379" s="19" t="str">
        <f>IFERROR(__xludf.DUMMYFUNCTION("IF(OR(regexmatch(A3379,"".*@simon.es$""),REGEXMATCH(A3379,"".*@simon.pt$""),REGEXMATCH(A3379,"".*@simonelectrica.com$""),REGEXMATCH(A3379,"".*@hiberus.com$""),REGEXMATCH(A3379,"".*@simonbrico.es$""),regexmatch(A3379,"".*@simonelectric.com$"")),""null"",A3"&amp;"379)"),"1504@gmail.com")</f>
        <v>1504@gmail.com</v>
      </c>
      <c r="C3379" s="5">
        <f>IF(B3379="null","null",Descargas!B3379)</f>
        <v>43893</v>
      </c>
      <c r="D3379" s="6" t="str">
        <f>Descargas!E3379</f>
        <v>https://resources.simonelectric.com/simon-ebook-vehiculo-electrico</v>
      </c>
      <c r="E3379" s="20" t="str">
        <f t="shared" si="1"/>
        <v>1504@gmail.com</v>
      </c>
      <c r="F3379" s="21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</row>
    <row r="3380" ht="15.75" customHeight="1">
      <c r="A3380" s="18" t="str">
        <f>Descargas!A3380</f>
        <v>576@gmail.com</v>
      </c>
      <c r="B3380" s="19" t="str">
        <f>IFERROR(__xludf.DUMMYFUNCTION("IF(OR(regexmatch(A3380,"".*@simon.es$""),REGEXMATCH(A3380,"".*@simon.pt$""),REGEXMATCH(A3380,"".*@simonelectrica.com$""),REGEXMATCH(A3380,"".*@hiberus.com$""),REGEXMATCH(A3380,"".*@simonbrico.es$""),regexmatch(A3380,"".*@simonelectric.com$"")),""null"",A3"&amp;"380)"),"576@gmail.com")</f>
        <v>576@gmail.com</v>
      </c>
      <c r="C3380" s="5">
        <f>IF(B3380="null","null",Descargas!B3380)</f>
        <v>43893</v>
      </c>
      <c r="D3380" s="6" t="str">
        <f>Descargas!E3380</f>
        <v>https://resources.simonelectric.com/simon-ebook-vehiculo-electrico</v>
      </c>
      <c r="E3380" s="20" t="str">
        <f t="shared" si="1"/>
        <v>576@gmail.com</v>
      </c>
      <c r="F3380" s="21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</row>
    <row r="3381" ht="15.75" customHeight="1">
      <c r="A3381" s="18" t="str">
        <f>Descargas!A3381</f>
        <v>2567@hotmail.com</v>
      </c>
      <c r="B3381" s="19" t="str">
        <f>IFERROR(__xludf.DUMMYFUNCTION("IF(OR(regexmatch(A3381,"".*@simon.es$""),REGEXMATCH(A3381,"".*@simon.pt$""),REGEXMATCH(A3381,"".*@simonelectrica.com$""),REGEXMATCH(A3381,"".*@hiberus.com$""),REGEXMATCH(A3381,"".*@simonbrico.es$""),regexmatch(A3381,"".*@simonelectric.com$"")),""null"",A3"&amp;"381)"),"2567@hotmail.com")</f>
        <v>2567@hotmail.com</v>
      </c>
      <c r="C3381" s="5">
        <f>IF(B3381="null","null",Descargas!B3381)</f>
        <v>43893</v>
      </c>
      <c r="D3381" s="6" t="str">
        <f>Descargas!E3381</f>
        <v>https://resources.simonelectric.com/simon-ebook-vehiculo-electrico</v>
      </c>
      <c r="E3381" s="20" t="str">
        <f t="shared" si="1"/>
        <v>2567@hotmail.com</v>
      </c>
      <c r="F3381" s="21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</row>
    <row r="3382" ht="15.75" customHeight="1">
      <c r="A3382" s="18" t="str">
        <f>Descargas!A3382</f>
        <v>1247@gmail.com</v>
      </c>
      <c r="B3382" s="19" t="str">
        <f>IFERROR(__xludf.DUMMYFUNCTION("IF(OR(regexmatch(A3382,"".*@simon.es$""),REGEXMATCH(A3382,"".*@simon.pt$""),REGEXMATCH(A3382,"".*@simonelectrica.com$""),REGEXMATCH(A3382,"".*@hiberus.com$""),REGEXMATCH(A3382,"".*@simonbrico.es$""),regexmatch(A3382,"".*@simonelectric.com$"")),""null"",A3"&amp;"382)"),"1247@gmail.com")</f>
        <v>1247@gmail.com</v>
      </c>
      <c r="C3382" s="5">
        <f>IF(B3382="null","null",Descargas!B3382)</f>
        <v>43893</v>
      </c>
      <c r="D3382" s="6" t="str">
        <f>Descargas!E3382</f>
        <v>https://resources.simonelectric.com/simon-ebook-vehiculo-electrico</v>
      </c>
      <c r="E3382" s="20" t="str">
        <f t="shared" si="1"/>
        <v>1247@gmail.com</v>
      </c>
      <c r="F3382" s="21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</row>
    <row r="3383" ht="15.75" customHeight="1">
      <c r="A3383" s="18" t="str">
        <f>Descargas!A3383</f>
        <v>2568@email.com</v>
      </c>
      <c r="B3383" s="19" t="str">
        <f>IFERROR(__xludf.DUMMYFUNCTION("IF(OR(regexmatch(A3383,"".*@simon.es$""),REGEXMATCH(A3383,"".*@simon.pt$""),REGEXMATCH(A3383,"".*@simonelectrica.com$""),REGEXMATCH(A3383,"".*@hiberus.com$""),REGEXMATCH(A3383,"".*@simonbrico.es$""),regexmatch(A3383,"".*@simonelectric.com$"")),""null"",A3"&amp;"383)"),"2568@email.com")</f>
        <v>2568@email.com</v>
      </c>
      <c r="C3383" s="5">
        <f>IF(B3383="null","null",Descargas!B3383)</f>
        <v>43893</v>
      </c>
      <c r="D3383" s="6" t="str">
        <f>Descargas!E3383</f>
        <v>https://resources.simonelectric.com/simon-ebook-vehiculo-electrico</v>
      </c>
      <c r="E3383" s="20" t="str">
        <f t="shared" si="1"/>
        <v>2568@email.com</v>
      </c>
      <c r="F3383" s="21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</row>
    <row r="3384" ht="15.75" customHeight="1">
      <c r="A3384" s="18" t="str">
        <f>Descargas!A3384</f>
        <v>1336@yahoo.es</v>
      </c>
      <c r="B3384" s="19" t="str">
        <f>IFERROR(__xludf.DUMMYFUNCTION("IF(OR(regexmatch(A3384,"".*@simon.es$""),REGEXMATCH(A3384,"".*@simon.pt$""),REGEXMATCH(A3384,"".*@simonelectrica.com$""),REGEXMATCH(A3384,"".*@hiberus.com$""),REGEXMATCH(A3384,"".*@simonbrico.es$""),regexmatch(A3384,"".*@simonelectric.com$"")),""null"",A3"&amp;"384)"),"1336@yahoo.es")</f>
        <v>1336@yahoo.es</v>
      </c>
      <c r="C3384" s="5">
        <f>IF(B3384="null","null",Descargas!B3384)</f>
        <v>43893</v>
      </c>
      <c r="D3384" s="6" t="str">
        <f>Descargas!E3384</f>
        <v>https://resources.simonelectric.com/simon-ebook-vehiculo-electrico</v>
      </c>
      <c r="E3384" s="20" t="str">
        <f t="shared" si="1"/>
        <v>1336@yahoo.es</v>
      </c>
      <c r="F3384" s="21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</row>
    <row r="3385" ht="15.75" customHeight="1">
      <c r="A3385" s="18" t="str">
        <f>Descargas!A3385</f>
        <v>2569@gmail.com</v>
      </c>
      <c r="B3385" s="19" t="str">
        <f>IFERROR(__xludf.DUMMYFUNCTION("IF(OR(regexmatch(A3385,"".*@simon.es$""),REGEXMATCH(A3385,"".*@simon.pt$""),REGEXMATCH(A3385,"".*@simonelectrica.com$""),REGEXMATCH(A3385,"".*@hiberus.com$""),REGEXMATCH(A3385,"".*@simonbrico.es$""),regexmatch(A3385,"".*@simonelectric.com$"")),""null"",A3"&amp;"385)"),"2569@gmail.com")</f>
        <v>2569@gmail.com</v>
      </c>
      <c r="C3385" s="5">
        <f>IF(B3385="null","null",Descargas!B3385)</f>
        <v>43893</v>
      </c>
      <c r="D3385" s="6" t="str">
        <f>Descargas!E3385</f>
        <v>https://resources.simonelectric.com/simon-ebook-vehiculo-electrico</v>
      </c>
      <c r="E3385" s="20" t="str">
        <f t="shared" si="1"/>
        <v>2569@gmail.com</v>
      </c>
      <c r="F3385" s="21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</row>
    <row r="3386" ht="15.75" customHeight="1">
      <c r="A3386" s="18" t="str">
        <f>Descargas!A3386</f>
        <v>2570@telefonica.net</v>
      </c>
      <c r="B3386" s="19" t="str">
        <f>IFERROR(__xludf.DUMMYFUNCTION("IF(OR(regexmatch(A3386,"".*@simon.es$""),REGEXMATCH(A3386,"".*@simon.pt$""),REGEXMATCH(A3386,"".*@simonelectrica.com$""),REGEXMATCH(A3386,"".*@hiberus.com$""),REGEXMATCH(A3386,"".*@simonbrico.es$""),regexmatch(A3386,"".*@simonelectric.com$"")),""null"",A3"&amp;"386)"),"2570@telefonica.net")</f>
        <v>2570@telefonica.net</v>
      </c>
      <c r="C3386" s="5">
        <f>IF(B3386="null","null",Descargas!B3386)</f>
        <v>43893</v>
      </c>
      <c r="D3386" s="6" t="str">
        <f>Descargas!E3386</f>
        <v>https://resources.simonelectric.com/simon-ebook-vehiculo-electrico</v>
      </c>
      <c r="E3386" s="20" t="str">
        <f t="shared" si="1"/>
        <v>2570@telefonica.net</v>
      </c>
      <c r="F3386" s="21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</row>
    <row r="3387" ht="15.75" customHeight="1">
      <c r="A3387" s="18" t="str">
        <f>Descargas!A3387</f>
        <v>2571@dival.es</v>
      </c>
      <c r="B3387" s="19" t="str">
        <f>IFERROR(__xludf.DUMMYFUNCTION("IF(OR(regexmatch(A3387,"".*@simon.es$""),REGEXMATCH(A3387,"".*@simon.pt$""),REGEXMATCH(A3387,"".*@simonelectrica.com$""),REGEXMATCH(A3387,"".*@hiberus.com$""),REGEXMATCH(A3387,"".*@simonbrico.es$""),regexmatch(A3387,"".*@simonelectric.com$"")),""null"",A3"&amp;"387)"),"2571@dival.es")</f>
        <v>2571@dival.es</v>
      </c>
      <c r="C3387" s="5">
        <f>IF(B3387="null","null",Descargas!B3387)</f>
        <v>43893</v>
      </c>
      <c r="D3387" s="6" t="str">
        <f>Descargas!E3387</f>
        <v>https://resources.simonelectric.com/simon-ebook-vehiculo-electrico</v>
      </c>
      <c r="E3387" s="20" t="str">
        <f t="shared" si="1"/>
        <v>2571@dival.es</v>
      </c>
      <c r="F3387" s="21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</row>
    <row r="3388" ht="15.75" customHeight="1">
      <c r="A3388" s="18" t="str">
        <f>Descargas!A3388</f>
        <v>726@gmail.com</v>
      </c>
      <c r="B3388" s="19" t="str">
        <f>IFERROR(__xludf.DUMMYFUNCTION("IF(OR(regexmatch(A3388,"".*@simon.es$""),REGEXMATCH(A3388,"".*@simon.pt$""),REGEXMATCH(A3388,"".*@simonelectrica.com$""),REGEXMATCH(A3388,"".*@hiberus.com$""),REGEXMATCH(A3388,"".*@simonbrico.es$""),regexmatch(A3388,"".*@simonelectric.com$"")),""null"",A3"&amp;"388)"),"726@gmail.com")</f>
        <v>726@gmail.com</v>
      </c>
      <c r="C3388" s="5">
        <f>IF(B3388="null","null",Descargas!B3388)</f>
        <v>43893</v>
      </c>
      <c r="D3388" s="6" t="str">
        <f>Descargas!E3388</f>
        <v>https://resources.simonelectric.com/simon-ebook-vehiculo-electrico</v>
      </c>
      <c r="E3388" s="20" t="str">
        <f t="shared" si="1"/>
        <v>726@gmail.com</v>
      </c>
      <c r="F3388" s="21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</row>
    <row r="3389" ht="15.75" customHeight="1">
      <c r="A3389" s="18" t="str">
        <f>Descargas!A3389</f>
        <v>726@gmail.com</v>
      </c>
      <c r="B3389" s="19" t="str">
        <f>IFERROR(__xludf.DUMMYFUNCTION("IF(OR(regexmatch(A3389,"".*@simon.es$""),REGEXMATCH(A3389,"".*@simon.pt$""),REGEXMATCH(A3389,"".*@simonelectrica.com$""),REGEXMATCH(A3389,"".*@hiberus.com$""),REGEXMATCH(A3389,"".*@simonbrico.es$""),regexmatch(A3389,"".*@simonelectric.com$"")),""null"",A3"&amp;"389)"),"726@gmail.com")</f>
        <v>726@gmail.com</v>
      </c>
      <c r="C3389" s="5">
        <f>IF(B3389="null","null",Descargas!B3389)</f>
        <v>43893</v>
      </c>
      <c r="D3389" s="6" t="str">
        <f>Descargas!E3389</f>
        <v>https://resources.simonelectric.com/simon-ebook-vehiculo-electrico</v>
      </c>
      <c r="E3389" s="20" t="str">
        <f t="shared" si="1"/>
        <v>726@gmail.com</v>
      </c>
      <c r="F3389" s="21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</row>
    <row r="3390" ht="15.75" customHeight="1">
      <c r="A3390" s="18" t="str">
        <f>Descargas!A3390</f>
        <v>1508@gmail.com</v>
      </c>
      <c r="B3390" s="19" t="str">
        <f>IFERROR(__xludf.DUMMYFUNCTION("IF(OR(regexmatch(A3390,"".*@simon.es$""),REGEXMATCH(A3390,"".*@simon.pt$""),REGEXMATCH(A3390,"".*@simonelectrica.com$""),REGEXMATCH(A3390,"".*@hiberus.com$""),REGEXMATCH(A3390,"".*@simonbrico.es$""),regexmatch(A3390,"".*@simonelectric.com$"")),""null"",A3"&amp;"390)"),"1508@gmail.com")</f>
        <v>1508@gmail.com</v>
      </c>
      <c r="C3390" s="5">
        <f>IF(B3390="null","null",Descargas!B3390)</f>
        <v>43893</v>
      </c>
      <c r="D3390" s="6" t="str">
        <f>Descargas!E3390</f>
        <v>https://resources.simonelectric.com/simon-ebook-vehiculo-electrico</v>
      </c>
      <c r="E3390" s="20" t="str">
        <f t="shared" si="1"/>
        <v>1508@gmail.com</v>
      </c>
      <c r="F3390" s="21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</row>
    <row r="3391" ht="15.75" customHeight="1">
      <c r="A3391" s="18" t="str">
        <f>Descargas!A3391</f>
        <v>445@sueprat.es</v>
      </c>
      <c r="B3391" s="19" t="str">
        <f>IFERROR(__xludf.DUMMYFUNCTION("IF(OR(regexmatch(A3391,"".*@simon.es$""),REGEXMATCH(A3391,"".*@simon.pt$""),REGEXMATCH(A3391,"".*@simonelectrica.com$""),REGEXMATCH(A3391,"".*@hiberus.com$""),REGEXMATCH(A3391,"".*@simonbrico.es$""),regexmatch(A3391,"".*@simonelectric.com$"")),""null"",A3"&amp;"391)"),"445@sueprat.es")</f>
        <v>445@sueprat.es</v>
      </c>
      <c r="C3391" s="5">
        <f>IF(B3391="null","null",Descargas!B3391)</f>
        <v>43893</v>
      </c>
      <c r="D3391" s="6" t="str">
        <f>Descargas!E3391</f>
        <v>https://resources.simonelectric.com/simon-ebook-vehiculo-electrico</v>
      </c>
      <c r="E3391" s="20" t="str">
        <f t="shared" si="1"/>
        <v>445@sueprat.es</v>
      </c>
      <c r="F3391" s="21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</row>
    <row r="3392" ht="15.75" customHeight="1">
      <c r="A3392" s="18" t="str">
        <f>Descargas!A3392</f>
        <v>2572@sesaelec.com</v>
      </c>
      <c r="B3392" s="19" t="str">
        <f>IFERROR(__xludf.DUMMYFUNCTION("IF(OR(regexmatch(A3392,"".*@simon.es$""),REGEXMATCH(A3392,"".*@simon.pt$""),REGEXMATCH(A3392,"".*@simonelectrica.com$""),REGEXMATCH(A3392,"".*@hiberus.com$""),REGEXMATCH(A3392,"".*@simonbrico.es$""),regexmatch(A3392,"".*@simonelectric.com$"")),""null"",A3"&amp;"392)"),"2572@sesaelec.com")</f>
        <v>2572@sesaelec.com</v>
      </c>
      <c r="C3392" s="5">
        <f>IF(B3392="null","null",Descargas!B3392)</f>
        <v>43893</v>
      </c>
      <c r="D3392" s="6" t="str">
        <f>Descargas!E3392</f>
        <v>https://resources.simonelectric.com/simon-ebook-vehiculo-electrico</v>
      </c>
      <c r="E3392" s="20" t="str">
        <f t="shared" si="1"/>
        <v>2572@sesaelec.com</v>
      </c>
      <c r="F3392" s="21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</row>
    <row r="3393" ht="15.75" customHeight="1">
      <c r="A3393" s="18" t="str">
        <f>Descargas!A3393</f>
        <v>2573@edetcotecnics.com</v>
      </c>
      <c r="B3393" s="19" t="str">
        <f>IFERROR(__xludf.DUMMYFUNCTION("IF(OR(regexmatch(A3393,"".*@simon.es$""),REGEXMATCH(A3393,"".*@simon.pt$""),REGEXMATCH(A3393,"".*@simonelectrica.com$""),REGEXMATCH(A3393,"".*@hiberus.com$""),REGEXMATCH(A3393,"".*@simonbrico.es$""),regexmatch(A3393,"".*@simonelectric.com$"")),""null"",A3"&amp;"393)"),"2573@edetcotecnics.com")</f>
        <v>2573@edetcotecnics.com</v>
      </c>
      <c r="C3393" s="5">
        <f>IF(B3393="null","null",Descargas!B3393)</f>
        <v>43893</v>
      </c>
      <c r="D3393" s="6" t="str">
        <f>Descargas!E3393</f>
        <v>https://resources.simonelectric.com/simon-ebook-vehiculo-electrico</v>
      </c>
      <c r="E3393" s="20" t="str">
        <f t="shared" si="1"/>
        <v>2573@edetcotecnics.com</v>
      </c>
      <c r="F3393" s="21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</row>
    <row r="3394" ht="15.75" customHeight="1">
      <c r="A3394" s="18" t="str">
        <f>Descargas!A3394</f>
        <v>1124@energonrenovables.es</v>
      </c>
      <c r="B3394" s="19" t="str">
        <f>IFERROR(__xludf.DUMMYFUNCTION("IF(OR(regexmatch(A3394,"".*@simon.es$""),REGEXMATCH(A3394,"".*@simon.pt$""),REGEXMATCH(A3394,"".*@simonelectrica.com$""),REGEXMATCH(A3394,"".*@hiberus.com$""),REGEXMATCH(A3394,"".*@simonbrico.es$""),regexmatch(A3394,"".*@simonelectric.com$"")),""null"",A3"&amp;"394)"),"1124@energonrenovables.es")</f>
        <v>1124@energonrenovables.es</v>
      </c>
      <c r="C3394" s="5">
        <f>IF(B3394="null","null",Descargas!B3394)</f>
        <v>43893</v>
      </c>
      <c r="D3394" s="6" t="str">
        <f>Descargas!E3394</f>
        <v>https://resources.simonelectric.com/simon-ebook-vehiculo-electrico</v>
      </c>
      <c r="E3394" s="20" t="str">
        <f t="shared" si="1"/>
        <v>1124@energonrenovables.es</v>
      </c>
      <c r="F3394" s="21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</row>
    <row r="3395" ht="15.75" customHeight="1">
      <c r="A3395" s="18" t="str">
        <f>Descargas!A3395</f>
        <v>2574@telefonica.net</v>
      </c>
      <c r="B3395" s="19" t="str">
        <f>IFERROR(__xludf.DUMMYFUNCTION("IF(OR(regexmatch(A3395,"".*@simon.es$""),REGEXMATCH(A3395,"".*@simon.pt$""),REGEXMATCH(A3395,"".*@simonelectrica.com$""),REGEXMATCH(A3395,"".*@hiberus.com$""),REGEXMATCH(A3395,"".*@simonbrico.es$""),regexmatch(A3395,"".*@simonelectric.com$"")),""null"",A3"&amp;"395)"),"2574@telefonica.net")</f>
        <v>2574@telefonica.net</v>
      </c>
      <c r="C3395" s="5">
        <f>IF(B3395="null","null",Descargas!B3395)</f>
        <v>43893</v>
      </c>
      <c r="D3395" s="6" t="str">
        <f>Descargas!E3395</f>
        <v>https://resources.simonelectric.com/simon-ebook-vehiculo-electrico</v>
      </c>
      <c r="E3395" s="20" t="str">
        <f t="shared" si="1"/>
        <v>2574@telefonica.net</v>
      </c>
      <c r="F3395" s="21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</row>
    <row r="3396" ht="15.75" customHeight="1">
      <c r="A3396" s="18" t="str">
        <f>Descargas!A3396</f>
        <v>1682@hotmail.es</v>
      </c>
      <c r="B3396" s="19" t="str">
        <f>IFERROR(__xludf.DUMMYFUNCTION("IF(OR(regexmatch(A3396,"".*@simon.es$""),REGEXMATCH(A3396,"".*@simon.pt$""),REGEXMATCH(A3396,"".*@simonelectrica.com$""),REGEXMATCH(A3396,"".*@hiberus.com$""),REGEXMATCH(A3396,"".*@simonbrico.es$""),regexmatch(A3396,"".*@simonelectric.com$"")),""null"",A3"&amp;"396)"),"1682@hotmail.es")</f>
        <v>1682@hotmail.es</v>
      </c>
      <c r="C3396" s="5">
        <f>IF(B3396="null","null",Descargas!B3396)</f>
        <v>43893</v>
      </c>
      <c r="D3396" s="6" t="str">
        <f>Descargas!E3396</f>
        <v>https://resources.simonelectric.com/simon-ebook-vehiculo-electrico</v>
      </c>
      <c r="E3396" s="20" t="str">
        <f t="shared" si="1"/>
        <v>1682@hotmail.es</v>
      </c>
      <c r="F3396" s="21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</row>
    <row r="3397" ht="15.75" customHeight="1">
      <c r="A3397" s="18" t="str">
        <f>Descargas!A3397</f>
        <v>2575@gruposti.com</v>
      </c>
      <c r="B3397" s="19" t="str">
        <f>IFERROR(__xludf.DUMMYFUNCTION("IF(OR(regexmatch(A3397,"".*@simon.es$""),REGEXMATCH(A3397,"".*@simon.pt$""),REGEXMATCH(A3397,"".*@simonelectrica.com$""),REGEXMATCH(A3397,"".*@hiberus.com$""),REGEXMATCH(A3397,"".*@simonbrico.es$""),regexmatch(A3397,"".*@simonelectric.com$"")),""null"",A3"&amp;"397)"),"2575@gruposti.com")</f>
        <v>2575@gruposti.com</v>
      </c>
      <c r="C3397" s="5">
        <f>IF(B3397="null","null",Descargas!B3397)</f>
        <v>43893</v>
      </c>
      <c r="D3397" s="6" t="str">
        <f>Descargas!E3397</f>
        <v>https://resources.simonelectric.com/simon-ebook-vehiculo-electrico</v>
      </c>
      <c r="E3397" s="20" t="str">
        <f t="shared" si="1"/>
        <v>2575@gruposti.com</v>
      </c>
      <c r="F3397" s="21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</row>
    <row r="3398" ht="15.75" customHeight="1">
      <c r="A3398" s="18" t="str">
        <f>Descargas!A3398</f>
        <v>2576@construciainstalaciones.com</v>
      </c>
      <c r="B3398" s="19" t="str">
        <f>IFERROR(__xludf.DUMMYFUNCTION("IF(OR(regexmatch(A3398,"".*@simon.es$""),REGEXMATCH(A3398,"".*@simon.pt$""),REGEXMATCH(A3398,"".*@simonelectrica.com$""),REGEXMATCH(A3398,"".*@hiberus.com$""),REGEXMATCH(A3398,"".*@simonbrico.es$""),regexmatch(A3398,"".*@simonelectric.com$"")),""null"",A3"&amp;"398)"),"2576@construciainstalaciones.com")</f>
        <v>2576@construciainstalaciones.com</v>
      </c>
      <c r="C3398" s="5">
        <f>IF(B3398="null","null",Descargas!B3398)</f>
        <v>43893</v>
      </c>
      <c r="D3398" s="6" t="str">
        <f>Descargas!E3398</f>
        <v>https://resources.simonelectric.com/simon-material-formativo-vehiculo-electrico</v>
      </c>
      <c r="E3398" s="20" t="str">
        <f t="shared" si="1"/>
        <v>2576@construciainstalaciones.com</v>
      </c>
      <c r="F3398" s="21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</row>
    <row r="3399" ht="15.75" customHeight="1">
      <c r="A3399" s="18" t="str">
        <f>Descargas!A3399</f>
        <v>2577@gmail.com</v>
      </c>
      <c r="B3399" s="19" t="str">
        <f>IFERROR(__xludf.DUMMYFUNCTION("IF(OR(regexmatch(A3399,"".*@simon.es$""),REGEXMATCH(A3399,"".*@simon.pt$""),REGEXMATCH(A3399,"".*@simonelectrica.com$""),REGEXMATCH(A3399,"".*@hiberus.com$""),REGEXMATCH(A3399,"".*@simonbrico.es$""),regexmatch(A3399,"".*@simonelectric.com$"")),""null"",A3"&amp;"399)"),"2577@gmail.com")</f>
        <v>2577@gmail.com</v>
      </c>
      <c r="C3399" s="5">
        <f>IF(B3399="null","null",Descargas!B3399)</f>
        <v>43893</v>
      </c>
      <c r="D3399" s="6" t="str">
        <f>Descargas!E3399</f>
        <v>https://resources.simonelectric.com/simon-ebook-vehiculo-electrico</v>
      </c>
      <c r="E3399" s="20" t="str">
        <f t="shared" si="1"/>
        <v>2577@gmail.com</v>
      </c>
      <c r="F3399" s="21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</row>
    <row r="3400" ht="15.75" customHeight="1">
      <c r="A3400" s="18" t="str">
        <f>Descargas!A3400</f>
        <v>1582@edu.xunta.es</v>
      </c>
      <c r="B3400" s="19" t="str">
        <f>IFERROR(__xludf.DUMMYFUNCTION("IF(OR(regexmatch(A3400,"".*@simon.es$""),REGEXMATCH(A3400,"".*@simon.pt$""),REGEXMATCH(A3400,"".*@simonelectrica.com$""),REGEXMATCH(A3400,"".*@hiberus.com$""),REGEXMATCH(A3400,"".*@simonbrico.es$""),regexmatch(A3400,"".*@simonelectric.com$"")),""null"",A3"&amp;"400)"),"1582@edu.xunta.es")</f>
        <v>1582@edu.xunta.es</v>
      </c>
      <c r="C3400" s="5">
        <f>IF(B3400="null","null",Descargas!B3400)</f>
        <v>43893</v>
      </c>
      <c r="D3400" s="6" t="str">
        <f>Descargas!E3400</f>
        <v>https://resources.simonelectric.com/simon-ebook-vehiculo-electrico</v>
      </c>
      <c r="E3400" s="20" t="str">
        <f t="shared" si="1"/>
        <v>1582@edu.xunta.es</v>
      </c>
      <c r="F3400" s="21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</row>
    <row r="3401" ht="15.75" customHeight="1">
      <c r="A3401" s="18" t="str">
        <f>Descargas!A3401</f>
        <v>2577@gmail.com</v>
      </c>
      <c r="B3401" s="19" t="str">
        <f>IFERROR(__xludf.DUMMYFUNCTION("IF(OR(regexmatch(A3401,"".*@simon.es$""),REGEXMATCH(A3401,"".*@simon.pt$""),REGEXMATCH(A3401,"".*@simonelectrica.com$""),REGEXMATCH(A3401,"".*@hiberus.com$""),REGEXMATCH(A3401,"".*@simonbrico.es$""),regexmatch(A3401,"".*@simonelectric.com$"")),""null"",A3"&amp;"401)"),"2577@gmail.com")</f>
        <v>2577@gmail.com</v>
      </c>
      <c r="C3401" s="5">
        <f>IF(B3401="null","null",Descargas!B3401)</f>
        <v>43893</v>
      </c>
      <c r="D3401" s="6" t="str">
        <f>Descargas!E3401</f>
        <v>https://resources.simonelectric.com/simon-catalogo-vehiculo-electrico</v>
      </c>
      <c r="E3401" s="20" t="str">
        <f t="shared" si="1"/>
        <v>2577@gmail.com</v>
      </c>
      <c r="F3401" s="21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</row>
    <row r="3402" ht="15.75" customHeight="1">
      <c r="A3402" s="18" t="str">
        <f>Descargas!A3402</f>
        <v>631@engie.com</v>
      </c>
      <c r="B3402" s="19" t="str">
        <f>IFERROR(__xludf.DUMMYFUNCTION("IF(OR(regexmatch(A3402,"".*@simon.es$""),REGEXMATCH(A3402,"".*@simon.pt$""),REGEXMATCH(A3402,"".*@simonelectrica.com$""),REGEXMATCH(A3402,"".*@hiberus.com$""),REGEXMATCH(A3402,"".*@simonbrico.es$""),regexmatch(A3402,"".*@simonelectric.com$"")),""null"",A3"&amp;"402)"),"631@engie.com")</f>
        <v>631@engie.com</v>
      </c>
      <c r="C3402" s="5">
        <f>IF(B3402="null","null",Descargas!B3402)</f>
        <v>43893</v>
      </c>
      <c r="D3402" s="6" t="str">
        <f>Descargas!E3402</f>
        <v>https://resources.simonelectric.com/simon-ebook-vehiculo-electrico</v>
      </c>
      <c r="E3402" s="20" t="str">
        <f t="shared" si="1"/>
        <v>631@engie.com</v>
      </c>
      <c r="F3402" s="21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</row>
    <row r="3403" ht="15.75" customHeight="1">
      <c r="A3403" s="18" t="str">
        <f>Descargas!A3403</f>
        <v>2578@hotmail.com</v>
      </c>
      <c r="B3403" s="19" t="str">
        <f>IFERROR(__xludf.DUMMYFUNCTION("IF(OR(regexmatch(A3403,"".*@simon.es$""),REGEXMATCH(A3403,"".*@simon.pt$""),REGEXMATCH(A3403,"".*@simonelectrica.com$""),REGEXMATCH(A3403,"".*@hiberus.com$""),REGEXMATCH(A3403,"".*@simonbrico.es$""),regexmatch(A3403,"".*@simonelectric.com$"")),""null"",A3"&amp;"403)"),"2578@hotmail.com")</f>
        <v>2578@hotmail.com</v>
      </c>
      <c r="C3403" s="5">
        <f>IF(B3403="null","null",Descargas!B3403)</f>
        <v>43893</v>
      </c>
      <c r="D3403" s="6" t="str">
        <f>Descargas!E3403</f>
        <v>https://resources.simonelectric.com/simon-ebook-vehiculo-electrico</v>
      </c>
      <c r="E3403" s="20" t="str">
        <f t="shared" si="1"/>
        <v>2578@hotmail.com</v>
      </c>
      <c r="F3403" s="21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</row>
    <row r="3404" ht="15.75" customHeight="1">
      <c r="A3404" s="18" t="str">
        <f>Descargas!A3404</f>
        <v>1323@gmail.com</v>
      </c>
      <c r="B3404" s="19" t="str">
        <f>IFERROR(__xludf.DUMMYFUNCTION("IF(OR(regexmatch(A3404,"".*@simon.es$""),REGEXMATCH(A3404,"".*@simon.pt$""),REGEXMATCH(A3404,"".*@simonelectrica.com$""),REGEXMATCH(A3404,"".*@hiberus.com$""),REGEXMATCH(A3404,"".*@simonbrico.es$""),regexmatch(A3404,"".*@simonelectric.com$"")),""null"",A3"&amp;"404)"),"1323@gmail.com")</f>
        <v>1323@gmail.com</v>
      </c>
      <c r="C3404" s="5">
        <f>IF(B3404="null","null",Descargas!B3404)</f>
        <v>43893</v>
      </c>
      <c r="D3404" s="6" t="str">
        <f>Descargas!E3404</f>
        <v>https://resources.simonelectric.com/simon-ebook-vehiculo-electrico</v>
      </c>
      <c r="E3404" s="20" t="str">
        <f t="shared" si="1"/>
        <v>1323@gmail.com</v>
      </c>
      <c r="F3404" s="21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</row>
    <row r="3405" ht="15.75" customHeight="1">
      <c r="A3405" s="18" t="str">
        <f>Descargas!A3405</f>
        <v>2579@fgc.cat</v>
      </c>
      <c r="B3405" s="19" t="str">
        <f>IFERROR(__xludf.DUMMYFUNCTION("IF(OR(regexmatch(A3405,"".*@simon.es$""),REGEXMATCH(A3405,"".*@simon.pt$""),REGEXMATCH(A3405,"".*@simonelectrica.com$""),REGEXMATCH(A3405,"".*@hiberus.com$""),REGEXMATCH(A3405,"".*@simonbrico.es$""),regexmatch(A3405,"".*@simonelectric.com$"")),""null"",A3"&amp;"405)"),"2579@fgc.cat")</f>
        <v>2579@fgc.cat</v>
      </c>
      <c r="C3405" s="5">
        <f>IF(B3405="null","null",Descargas!B3405)</f>
        <v>43893</v>
      </c>
      <c r="D3405" s="6" t="str">
        <f>Descargas!E3405</f>
        <v>https://resources.simonelectric.com/simon-ebook-vehiculo-electrico</v>
      </c>
      <c r="E3405" s="20" t="str">
        <f t="shared" si="1"/>
        <v>2579@fgc.cat</v>
      </c>
      <c r="F3405" s="21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</row>
    <row r="3406" ht="15.75" customHeight="1">
      <c r="A3406" s="18" t="str">
        <f>Descargas!A3406</f>
        <v>2580@imagenyarquitectura.com.mx</v>
      </c>
      <c r="B3406" s="19" t="str">
        <f>IFERROR(__xludf.DUMMYFUNCTION("IF(OR(regexmatch(A3406,"".*@simon.es$""),REGEXMATCH(A3406,"".*@simon.pt$""),REGEXMATCH(A3406,"".*@simonelectrica.com$""),REGEXMATCH(A3406,"".*@hiberus.com$""),REGEXMATCH(A3406,"".*@simonbrico.es$""),regexmatch(A3406,"".*@simonelectric.com$"")),""null"",A3"&amp;"406)"),"2580@imagenyarquitectura.com.mx")</f>
        <v>2580@imagenyarquitectura.com.mx</v>
      </c>
      <c r="C3406" s="5">
        <f>IF(B3406="null","null",Descargas!B3406)</f>
        <v>43893</v>
      </c>
      <c r="D3406" s="6" t="str">
        <f>Descargas!E3406</f>
        <v>https://resources.simonelectric.com/simon-ebook-vehiculo-electrico</v>
      </c>
      <c r="E3406" s="20" t="str">
        <f t="shared" si="1"/>
        <v>2580@imagenyarquitectura.com.mx</v>
      </c>
      <c r="F3406" s="21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</row>
    <row r="3407" ht="15.75" customHeight="1">
      <c r="A3407" s="18" t="str">
        <f>Descargas!A3407</f>
        <v>2581@yahoo.com</v>
      </c>
      <c r="B3407" s="19" t="str">
        <f>IFERROR(__xludf.DUMMYFUNCTION("IF(OR(regexmatch(A3407,"".*@simon.es$""),REGEXMATCH(A3407,"".*@simon.pt$""),REGEXMATCH(A3407,"".*@simonelectrica.com$""),REGEXMATCH(A3407,"".*@hiberus.com$""),REGEXMATCH(A3407,"".*@simonbrico.es$""),regexmatch(A3407,"".*@simonelectric.com$"")),""null"",A3"&amp;"407)"),"2581@yahoo.com")</f>
        <v>2581@yahoo.com</v>
      </c>
      <c r="C3407" s="5">
        <f>IF(B3407="null","null",Descargas!B3407)</f>
        <v>43893</v>
      </c>
      <c r="D3407" s="6" t="str">
        <f>Descargas!E3407</f>
        <v>https://resources.simonelectric.com/simon-ebook-vehiculo-electrico</v>
      </c>
      <c r="E3407" s="20" t="str">
        <f t="shared" si="1"/>
        <v>2581@yahoo.com</v>
      </c>
      <c r="F3407" s="21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</row>
    <row r="3408" ht="15.75" customHeight="1">
      <c r="A3408" s="18" t="str">
        <f>Descargas!A3408</f>
        <v>2582@ccaait.cat</v>
      </c>
      <c r="B3408" s="19" t="str">
        <f>IFERROR(__xludf.DUMMYFUNCTION("IF(OR(regexmatch(A3408,"".*@simon.es$""),REGEXMATCH(A3408,"".*@simon.pt$""),REGEXMATCH(A3408,"".*@simonelectrica.com$""),REGEXMATCH(A3408,"".*@hiberus.com$""),REGEXMATCH(A3408,"".*@simonbrico.es$""),regexmatch(A3408,"".*@simonelectric.com$"")),""null"",A3"&amp;"408)"),"2582@ccaait.cat")</f>
        <v>2582@ccaait.cat</v>
      </c>
      <c r="C3408" s="5">
        <f>IF(B3408="null","null",Descargas!B3408)</f>
        <v>43893</v>
      </c>
      <c r="D3408" s="6" t="str">
        <f>Descargas!E3408</f>
        <v>https://resources.simonelectric.com/simon-ebook-vehiculo-electrico</v>
      </c>
      <c r="E3408" s="20" t="str">
        <f t="shared" si="1"/>
        <v>2582@ccaait.cat</v>
      </c>
      <c r="F3408" s="21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</row>
    <row r="3409" ht="15.75" customHeight="1">
      <c r="A3409" s="18" t="str">
        <f>Descargas!A3409</f>
        <v>2583@grupcarol.com</v>
      </c>
      <c r="B3409" s="19" t="str">
        <f>IFERROR(__xludf.DUMMYFUNCTION("IF(OR(regexmatch(A3409,"".*@simon.es$""),REGEXMATCH(A3409,"".*@simon.pt$""),REGEXMATCH(A3409,"".*@simonelectrica.com$""),REGEXMATCH(A3409,"".*@hiberus.com$""),REGEXMATCH(A3409,"".*@simonbrico.es$""),regexmatch(A3409,"".*@simonelectric.com$"")),""null"",A3"&amp;"409)"),"2583@grupcarol.com")</f>
        <v>2583@grupcarol.com</v>
      </c>
      <c r="C3409" s="5">
        <f>IF(B3409="null","null",Descargas!B3409)</f>
        <v>43893</v>
      </c>
      <c r="D3409" s="6" t="str">
        <f>Descargas!E3409</f>
        <v>https://resources.simonelectric.com/simon-ebook-vehiculo-electrico</v>
      </c>
      <c r="E3409" s="20" t="str">
        <f t="shared" si="1"/>
        <v>2583@grupcarol.com</v>
      </c>
      <c r="F3409" s="21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</row>
    <row r="3410" ht="15.75" customHeight="1">
      <c r="A3410" s="18" t="str">
        <f>Descargas!A3410</f>
        <v>2584@sistemasdeenergia.es</v>
      </c>
      <c r="B3410" s="19" t="str">
        <f>IFERROR(__xludf.DUMMYFUNCTION("IF(OR(regexmatch(A3410,"".*@simon.es$""),REGEXMATCH(A3410,"".*@simon.pt$""),REGEXMATCH(A3410,"".*@simonelectrica.com$""),REGEXMATCH(A3410,"".*@hiberus.com$""),REGEXMATCH(A3410,"".*@simonbrico.es$""),regexmatch(A3410,"".*@simonelectric.com$"")),""null"",A3"&amp;"410)"),"2584@sistemasdeenergia.es")</f>
        <v>2584@sistemasdeenergia.es</v>
      </c>
      <c r="C3410" s="5">
        <f>IF(B3410="null","null",Descargas!B3410)</f>
        <v>43893</v>
      </c>
      <c r="D3410" s="6" t="str">
        <f>Descargas!E3410</f>
        <v>https://resources.simonelectric.com/simon-ebook-vehiculo-electrico</v>
      </c>
      <c r="E3410" s="20" t="str">
        <f t="shared" si="1"/>
        <v>2584@sistemasdeenergia.es</v>
      </c>
      <c r="F3410" s="21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</row>
    <row r="3411" ht="15.75" customHeight="1">
      <c r="A3411" s="18" t="str">
        <f>Descargas!A3411</f>
        <v>2585@grupoelectrostocks.com</v>
      </c>
      <c r="B3411" s="19" t="str">
        <f>IFERROR(__xludf.DUMMYFUNCTION("IF(OR(regexmatch(A3411,"".*@simon.es$""),REGEXMATCH(A3411,"".*@simon.pt$""),REGEXMATCH(A3411,"".*@simonelectrica.com$""),REGEXMATCH(A3411,"".*@hiberus.com$""),REGEXMATCH(A3411,"".*@simonbrico.es$""),regexmatch(A3411,"".*@simonelectric.com$"")),""null"",A3"&amp;"411)"),"2585@grupoelectrostocks.com")</f>
        <v>2585@grupoelectrostocks.com</v>
      </c>
      <c r="C3411" s="5">
        <f>IF(B3411="null","null",Descargas!B3411)</f>
        <v>43893</v>
      </c>
      <c r="D3411" s="6" t="str">
        <f>Descargas!E3411</f>
        <v>https://resources.simonelectric.com/simon-ebook-vehiculo-electrico</v>
      </c>
      <c r="E3411" s="20" t="str">
        <f t="shared" si="1"/>
        <v>2585@grupoelectrostocks.com</v>
      </c>
      <c r="F3411" s="21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</row>
    <row r="3412" ht="15.75" customHeight="1">
      <c r="A3412" s="18" t="str">
        <f>Descargas!A3412</f>
        <v>2586@saltoki.es</v>
      </c>
      <c r="B3412" s="19" t="str">
        <f>IFERROR(__xludf.DUMMYFUNCTION("IF(OR(regexmatch(A3412,"".*@simon.es$""),REGEXMATCH(A3412,"".*@simon.pt$""),REGEXMATCH(A3412,"".*@simonelectrica.com$""),REGEXMATCH(A3412,"".*@hiberus.com$""),REGEXMATCH(A3412,"".*@simonbrico.es$""),regexmatch(A3412,"".*@simonelectric.com$"")),""null"",A3"&amp;"412)"),"2586@saltoki.es")</f>
        <v>2586@saltoki.es</v>
      </c>
      <c r="C3412" s="5">
        <f>IF(B3412="null","null",Descargas!B3412)</f>
        <v>43893</v>
      </c>
      <c r="D3412" s="6" t="str">
        <f>Descargas!E3412</f>
        <v>https://resources.simonelectric.com/simon-ebook-vehiculo-electrico</v>
      </c>
      <c r="E3412" s="20" t="str">
        <f t="shared" si="1"/>
        <v>2586@saltoki.es</v>
      </c>
      <c r="F3412" s="21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</row>
    <row r="3413" ht="15.75" customHeight="1">
      <c r="A3413" s="18" t="str">
        <f>Descargas!A3413</f>
        <v>2587@picocompany.es</v>
      </c>
      <c r="B3413" s="19" t="str">
        <f>IFERROR(__xludf.DUMMYFUNCTION("IF(OR(regexmatch(A3413,"".*@simon.es$""),REGEXMATCH(A3413,"".*@simon.pt$""),REGEXMATCH(A3413,"".*@simonelectrica.com$""),REGEXMATCH(A3413,"".*@hiberus.com$""),REGEXMATCH(A3413,"".*@simonbrico.es$""),regexmatch(A3413,"".*@simonelectric.com$"")),""null"",A3"&amp;"413)"),"2587@picocompany.es")</f>
        <v>2587@picocompany.es</v>
      </c>
      <c r="C3413" s="5">
        <f>IF(B3413="null","null",Descargas!B3413)</f>
        <v>43893</v>
      </c>
      <c r="D3413" s="6" t="str">
        <f>Descargas!E3413</f>
        <v>https://resources.simonelectric.com/simon-ebook-vehiculo-electrico</v>
      </c>
      <c r="E3413" s="20" t="str">
        <f t="shared" si="1"/>
        <v>2587@picocompany.es</v>
      </c>
      <c r="F3413" s="21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</row>
    <row r="3414" ht="15.75" customHeight="1">
      <c r="A3414" s="18" t="str">
        <f>Descargas!A3414</f>
        <v>2588@fossic.es</v>
      </c>
      <c r="B3414" s="19" t="str">
        <f>IFERROR(__xludf.DUMMYFUNCTION("IF(OR(regexmatch(A3414,"".*@simon.es$""),REGEXMATCH(A3414,"".*@simon.pt$""),REGEXMATCH(A3414,"".*@simonelectrica.com$""),REGEXMATCH(A3414,"".*@hiberus.com$""),REGEXMATCH(A3414,"".*@simonbrico.es$""),regexmatch(A3414,"".*@simonelectric.com$"")),""null"",A3"&amp;"414)"),"2588@fossic.es")</f>
        <v>2588@fossic.es</v>
      </c>
      <c r="C3414" s="5">
        <f>IF(B3414="null","null",Descargas!B3414)</f>
        <v>43893</v>
      </c>
      <c r="D3414" s="6" t="str">
        <f>Descargas!E3414</f>
        <v>https://resources.simonelectric.com/simon-ebook-vehiculo-electrico</v>
      </c>
      <c r="E3414" s="20" t="str">
        <f t="shared" si="1"/>
        <v>2588@fossic.es</v>
      </c>
      <c r="F3414" s="21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</row>
    <row r="3415" ht="15.75" customHeight="1">
      <c r="A3415" s="18" t="str">
        <f>Descargas!A3415</f>
        <v>2589@hotmail.com</v>
      </c>
      <c r="B3415" s="19" t="str">
        <f>IFERROR(__xludf.DUMMYFUNCTION("IF(OR(regexmatch(A3415,"".*@simon.es$""),REGEXMATCH(A3415,"".*@simon.pt$""),REGEXMATCH(A3415,"".*@simonelectrica.com$""),REGEXMATCH(A3415,"".*@hiberus.com$""),REGEXMATCH(A3415,"".*@simonbrico.es$""),regexmatch(A3415,"".*@simonelectric.com$"")),""null"",A3"&amp;"415)"),"2589@hotmail.com")</f>
        <v>2589@hotmail.com</v>
      </c>
      <c r="C3415" s="5">
        <f>IF(B3415="null","null",Descargas!B3415)</f>
        <v>43893</v>
      </c>
      <c r="D3415" s="6" t="str">
        <f>Descargas!E3415</f>
        <v>https://resources.simonelectric.com/simon-ebook-vehiculo-electrico</v>
      </c>
      <c r="E3415" s="20" t="str">
        <f t="shared" si="1"/>
        <v>2589@hotmail.com</v>
      </c>
      <c r="F3415" s="21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</row>
    <row r="3416" ht="15.75" customHeight="1">
      <c r="A3416" s="18" t="str">
        <f>Descargas!A3416</f>
        <v>1342@ic3sl.com</v>
      </c>
      <c r="B3416" s="19" t="str">
        <f>IFERROR(__xludf.DUMMYFUNCTION("IF(OR(regexmatch(A3416,"".*@simon.es$""),REGEXMATCH(A3416,"".*@simon.pt$""),REGEXMATCH(A3416,"".*@simonelectrica.com$""),REGEXMATCH(A3416,"".*@hiberus.com$""),REGEXMATCH(A3416,"".*@simonbrico.es$""),regexmatch(A3416,"".*@simonelectric.com$"")),""null"",A3"&amp;"416)"),"1342@ic3sl.com")</f>
        <v>1342@ic3sl.com</v>
      </c>
      <c r="C3416" s="5">
        <f>IF(B3416="null","null",Descargas!B3416)</f>
        <v>43893</v>
      </c>
      <c r="D3416" s="6" t="str">
        <f>Descargas!E3416</f>
        <v>https://resources.simonelectric.com/simon-ebook-vehiculo-electrico</v>
      </c>
      <c r="E3416" s="20" t="str">
        <f t="shared" si="1"/>
        <v>1342@ic3sl.com</v>
      </c>
      <c r="F3416" s="21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</row>
    <row r="3417" ht="15.75" customHeight="1">
      <c r="A3417" s="18" t="str">
        <f>Descargas!A3417</f>
        <v>1136@metalux.es</v>
      </c>
      <c r="B3417" s="19" t="str">
        <f>IFERROR(__xludf.DUMMYFUNCTION("IF(OR(regexmatch(A3417,"".*@simon.es$""),REGEXMATCH(A3417,"".*@simon.pt$""),REGEXMATCH(A3417,"".*@simonelectrica.com$""),REGEXMATCH(A3417,"".*@hiberus.com$""),REGEXMATCH(A3417,"".*@simonbrico.es$""),regexmatch(A3417,"".*@simonelectric.com$"")),""null"",A3"&amp;"417)"),"1136@metalux.es")</f>
        <v>1136@metalux.es</v>
      </c>
      <c r="C3417" s="5">
        <f>IF(B3417="null","null",Descargas!B3417)</f>
        <v>43893</v>
      </c>
      <c r="D3417" s="6" t="str">
        <f>Descargas!E3417</f>
        <v>https://resources.simonelectric.com/simon-ebook-vehiculo-electrico</v>
      </c>
      <c r="E3417" s="20" t="str">
        <f t="shared" si="1"/>
        <v>1136@metalux.es</v>
      </c>
      <c r="F3417" s="21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</row>
    <row r="3418" ht="15.75" customHeight="1">
      <c r="A3418" s="18" t="str">
        <f>Descargas!A3418</f>
        <v>2590@gmail.com</v>
      </c>
      <c r="B3418" s="19" t="str">
        <f>IFERROR(__xludf.DUMMYFUNCTION("IF(OR(regexmatch(A3418,"".*@simon.es$""),REGEXMATCH(A3418,"".*@simon.pt$""),REGEXMATCH(A3418,"".*@simonelectrica.com$""),REGEXMATCH(A3418,"".*@hiberus.com$""),REGEXMATCH(A3418,"".*@simonbrico.es$""),regexmatch(A3418,"".*@simonelectric.com$"")),""null"",A3"&amp;"418)"),"2590@gmail.com")</f>
        <v>2590@gmail.com</v>
      </c>
      <c r="C3418" s="5">
        <f>IF(B3418="null","null",Descargas!B3418)</f>
        <v>43893</v>
      </c>
      <c r="D3418" s="6" t="str">
        <f>Descargas!E3418</f>
        <v>https://resources.simonelectric.com/simon-ebook-vehiculo-electrico</v>
      </c>
      <c r="E3418" s="20" t="str">
        <f t="shared" si="1"/>
        <v>2590@gmail.com</v>
      </c>
      <c r="F3418" s="21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</row>
    <row r="3419" ht="15.75" customHeight="1">
      <c r="A3419" s="18" t="str">
        <f>Descargas!A3419</f>
        <v>1510@adelanteenergia.es</v>
      </c>
      <c r="B3419" s="19" t="str">
        <f>IFERROR(__xludf.DUMMYFUNCTION("IF(OR(regexmatch(A3419,"".*@simon.es$""),REGEXMATCH(A3419,"".*@simon.pt$""),REGEXMATCH(A3419,"".*@simonelectrica.com$""),REGEXMATCH(A3419,"".*@hiberus.com$""),REGEXMATCH(A3419,"".*@simonbrico.es$""),regexmatch(A3419,"".*@simonelectric.com$"")),""null"",A3"&amp;"419)"),"1510@adelanteenergia.es")</f>
        <v>1510@adelanteenergia.es</v>
      </c>
      <c r="C3419" s="5">
        <f>IF(B3419="null","null",Descargas!B3419)</f>
        <v>43893</v>
      </c>
      <c r="D3419" s="6" t="str">
        <f>Descargas!E3419</f>
        <v>https://resources.simonelectric.com/simon-ebook-vehiculo-electrico</v>
      </c>
      <c r="E3419" s="20" t="str">
        <f t="shared" si="1"/>
        <v>1510@adelanteenergia.es</v>
      </c>
      <c r="F3419" s="21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</row>
    <row r="3420" ht="15.75" customHeight="1">
      <c r="A3420" s="18" t="str">
        <f>Descargas!A3420</f>
        <v>2591@gmail.com</v>
      </c>
      <c r="B3420" s="19" t="str">
        <f>IFERROR(__xludf.DUMMYFUNCTION("IF(OR(regexmatch(A3420,"".*@simon.es$""),REGEXMATCH(A3420,"".*@simon.pt$""),REGEXMATCH(A3420,"".*@simonelectrica.com$""),REGEXMATCH(A3420,"".*@hiberus.com$""),REGEXMATCH(A3420,"".*@simonbrico.es$""),regexmatch(A3420,"".*@simonelectric.com$"")),""null"",A3"&amp;"420)"),"2591@gmail.com")</f>
        <v>2591@gmail.com</v>
      </c>
      <c r="C3420" s="5">
        <f>IF(B3420="null","null",Descargas!B3420)</f>
        <v>43893</v>
      </c>
      <c r="D3420" s="6" t="str">
        <f>Descargas!E3420</f>
        <v>https://resources.simonelectric.com/simon-ebook-vehiculo-electrico</v>
      </c>
      <c r="E3420" s="20" t="str">
        <f t="shared" si="1"/>
        <v>2591@gmail.com</v>
      </c>
      <c r="F3420" s="21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</row>
    <row r="3421" ht="15.75" customHeight="1">
      <c r="A3421" s="18" t="str">
        <f>Descargas!A3421</f>
        <v>1504@gmail.com</v>
      </c>
      <c r="B3421" s="19" t="str">
        <f>IFERROR(__xludf.DUMMYFUNCTION("IF(OR(regexmatch(A3421,"".*@simon.es$""),REGEXMATCH(A3421,"".*@simon.pt$""),REGEXMATCH(A3421,"".*@simonelectrica.com$""),REGEXMATCH(A3421,"".*@hiberus.com$""),REGEXMATCH(A3421,"".*@simonbrico.es$""),regexmatch(A3421,"".*@simonelectric.com$"")),""null"",A3"&amp;"421)"),"1504@gmail.com")</f>
        <v>1504@gmail.com</v>
      </c>
      <c r="C3421" s="5">
        <f>IF(B3421="null","null",Descargas!B3421)</f>
        <v>43893</v>
      </c>
      <c r="D3421" s="6" t="str">
        <f>Descargas!E3421</f>
        <v>https://resources.simonelectric.com/simon-ebook-vehiculo-electrico</v>
      </c>
      <c r="E3421" s="20" t="str">
        <f t="shared" si="1"/>
        <v>1504@gmail.com</v>
      </c>
      <c r="F3421" s="21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</row>
    <row r="3422" ht="15.75" customHeight="1">
      <c r="A3422" s="18" t="str">
        <f>Descargas!A3422</f>
        <v>2592@bsmsa.cat</v>
      </c>
      <c r="B3422" s="19" t="str">
        <f>IFERROR(__xludf.DUMMYFUNCTION("IF(OR(regexmatch(A3422,"".*@simon.es$""),REGEXMATCH(A3422,"".*@simon.pt$""),REGEXMATCH(A3422,"".*@simonelectrica.com$""),REGEXMATCH(A3422,"".*@hiberus.com$""),REGEXMATCH(A3422,"".*@simonbrico.es$""),regexmatch(A3422,"".*@simonelectric.com$"")),""null"",A3"&amp;"422)"),"2592@bsmsa.cat")</f>
        <v>2592@bsmsa.cat</v>
      </c>
      <c r="C3422" s="5">
        <f>IF(B3422="null","null",Descargas!B3422)</f>
        <v>43893</v>
      </c>
      <c r="D3422" s="6" t="str">
        <f>Descargas!E3422</f>
        <v>https://resources.simonelectric.com/simon-ebook-vehiculo-electrico</v>
      </c>
      <c r="E3422" s="20" t="str">
        <f t="shared" si="1"/>
        <v>2592@bsmsa.cat</v>
      </c>
      <c r="F3422" s="21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</row>
    <row r="3423" ht="15.75" customHeight="1">
      <c r="A3423" s="18" t="str">
        <f>Descargas!A3423</f>
        <v>2593@abcgrup.com</v>
      </c>
      <c r="B3423" s="19" t="str">
        <f>IFERROR(__xludf.DUMMYFUNCTION("IF(OR(regexmatch(A3423,"".*@simon.es$""),REGEXMATCH(A3423,"".*@simon.pt$""),REGEXMATCH(A3423,"".*@simonelectrica.com$""),REGEXMATCH(A3423,"".*@hiberus.com$""),REGEXMATCH(A3423,"".*@simonbrico.es$""),regexmatch(A3423,"".*@simonelectric.com$"")),""null"",A3"&amp;"423)"),"2593@abcgrup.com")</f>
        <v>2593@abcgrup.com</v>
      </c>
      <c r="C3423" s="5">
        <f>IF(B3423="null","null",Descargas!B3423)</f>
        <v>43893</v>
      </c>
      <c r="D3423" s="6" t="str">
        <f>Descargas!E3423</f>
        <v>https://resources.simonelectric.com/simon-ebook-vehiculo-electrico</v>
      </c>
      <c r="E3423" s="20" t="str">
        <f t="shared" si="1"/>
        <v>2593@abcgrup.com</v>
      </c>
      <c r="F3423" s="21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</row>
    <row r="3424" ht="15.75" customHeight="1">
      <c r="A3424" s="18" t="str">
        <f>Descargas!A3424</f>
        <v>2594@gmail.com</v>
      </c>
      <c r="B3424" s="19" t="str">
        <f>IFERROR(__xludf.DUMMYFUNCTION("IF(OR(regexmatch(A3424,"".*@simon.es$""),REGEXMATCH(A3424,"".*@simon.pt$""),REGEXMATCH(A3424,"".*@simonelectrica.com$""),REGEXMATCH(A3424,"".*@hiberus.com$""),REGEXMATCH(A3424,"".*@simonbrico.es$""),regexmatch(A3424,"".*@simonelectric.com$"")),""null"",A3"&amp;"424)"),"2594@gmail.com")</f>
        <v>2594@gmail.com</v>
      </c>
      <c r="C3424" s="5">
        <f>IF(B3424="null","null",Descargas!B3424)</f>
        <v>43893</v>
      </c>
      <c r="D3424" s="6" t="str">
        <f>Descargas!E3424</f>
        <v>https://resources.simonelectric.com/simon-ebook-vehiculo-electrico</v>
      </c>
      <c r="E3424" s="20" t="str">
        <f t="shared" si="1"/>
        <v>2594@gmail.com</v>
      </c>
      <c r="F3424" s="21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</row>
    <row r="3425" ht="15.75" customHeight="1">
      <c r="A3425" s="18" t="str">
        <f>Descargas!A3425</f>
        <v>2360@viplaro.com</v>
      </c>
      <c r="B3425" s="19" t="str">
        <f>IFERROR(__xludf.DUMMYFUNCTION("IF(OR(regexmatch(A3425,"".*@simon.es$""),REGEXMATCH(A3425,"".*@simon.pt$""),REGEXMATCH(A3425,"".*@simonelectrica.com$""),REGEXMATCH(A3425,"".*@hiberus.com$""),REGEXMATCH(A3425,"".*@simonbrico.es$""),regexmatch(A3425,"".*@simonelectric.com$"")),""null"",A3"&amp;"425)"),"2360@viplaro.com")</f>
        <v>2360@viplaro.com</v>
      </c>
      <c r="C3425" s="5">
        <f>IF(B3425="null","null",Descargas!B3425)</f>
        <v>43893</v>
      </c>
      <c r="D3425" s="6" t="str">
        <f>Descargas!E3425</f>
        <v>https://resources.simonelectric.com/simon-ebook-vehiculo-electrico</v>
      </c>
      <c r="E3425" s="20" t="str">
        <f t="shared" si="1"/>
        <v>2360@viplaro.com</v>
      </c>
      <c r="F3425" s="21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</row>
    <row r="3426" ht="15.75" customHeight="1">
      <c r="A3426" s="18" t="str">
        <f>Descargas!A3426</f>
        <v>2564@ctv.masaveu.com</v>
      </c>
      <c r="B3426" s="19" t="str">
        <f>IFERROR(__xludf.DUMMYFUNCTION("IF(OR(regexmatch(A3426,"".*@simon.es$""),REGEXMATCH(A3426,"".*@simon.pt$""),REGEXMATCH(A3426,"".*@simonelectrica.com$""),REGEXMATCH(A3426,"".*@hiberus.com$""),REGEXMATCH(A3426,"".*@simonbrico.es$""),regexmatch(A3426,"".*@simonelectric.com$"")),""null"",A3"&amp;"426)"),"2564@ctv.masaveu.com")</f>
        <v>2564@ctv.masaveu.com</v>
      </c>
      <c r="C3426" s="5">
        <f>IF(B3426="null","null",Descargas!B3426)</f>
        <v>43893</v>
      </c>
      <c r="D3426" s="6" t="str">
        <f>Descargas!E3426</f>
        <v>https://resources.simonelectric.com/simon-ebook-vehiculo-electrico</v>
      </c>
      <c r="E3426" s="20" t="str">
        <f t="shared" si="1"/>
        <v>2564@ctv.masaveu.com</v>
      </c>
      <c r="F3426" s="21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</row>
    <row r="3427" ht="15.75" customHeight="1">
      <c r="A3427" s="18" t="str">
        <f>Descargas!A3427</f>
        <v>2595@gmail.com</v>
      </c>
      <c r="B3427" s="19" t="str">
        <f>IFERROR(__xludf.DUMMYFUNCTION("IF(OR(regexmatch(A3427,"".*@simon.es$""),REGEXMATCH(A3427,"".*@simon.pt$""),REGEXMATCH(A3427,"".*@simonelectrica.com$""),REGEXMATCH(A3427,"".*@hiberus.com$""),REGEXMATCH(A3427,"".*@simonbrico.es$""),regexmatch(A3427,"".*@simonelectric.com$"")),""null"",A3"&amp;"427)"),"2595@gmail.com")</f>
        <v>2595@gmail.com</v>
      </c>
      <c r="C3427" s="5">
        <f>IF(B3427="null","null",Descargas!B3427)</f>
        <v>43893</v>
      </c>
      <c r="D3427" s="6" t="str">
        <f>Descargas!E3427</f>
        <v>https://resources.simonelectric.com/simon-ebook-vehiculo-electrico</v>
      </c>
      <c r="E3427" s="20" t="str">
        <f t="shared" si="1"/>
        <v>2595@gmail.com</v>
      </c>
      <c r="F3427" s="21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</row>
    <row r="3428" ht="15.75" customHeight="1">
      <c r="A3428" s="18" t="str">
        <f>Descargas!A3428</f>
        <v>2596@simonelectrica.com</v>
      </c>
      <c r="B3428" s="19" t="str">
        <f>IFERROR(__xludf.DUMMYFUNCTION("IF(OR(regexmatch(A3428,"".*@simon.es$""),REGEXMATCH(A3428,"".*@simon.pt$""),REGEXMATCH(A3428,"".*@simonelectrica.com$""),REGEXMATCH(A3428,"".*@hiberus.com$""),REGEXMATCH(A3428,"".*@simonbrico.es$""),regexmatch(A3428,"".*@simonelectric.com$"")),""null"",A3"&amp;"428)"),"null")</f>
        <v>null</v>
      </c>
      <c r="C3428" s="5" t="str">
        <f>IF(B3428="null","null",Descargas!B3428)</f>
        <v>null</v>
      </c>
      <c r="D3428" s="6" t="str">
        <f>Descargas!E3428</f>
        <v>https://resources.simonelectric.com/simon-ebook-vehiculo-electrico</v>
      </c>
      <c r="E3428" s="24" t="str">
        <f t="shared" si="1"/>
        <v/>
      </c>
      <c r="F3428" s="21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</row>
    <row r="3429" ht="15.75" customHeight="1">
      <c r="A3429" s="18" t="str">
        <f>Descargas!A3429</f>
        <v>2597@3xakoenergi.com</v>
      </c>
      <c r="B3429" s="19" t="str">
        <f>IFERROR(__xludf.DUMMYFUNCTION("IF(OR(regexmatch(A3429,"".*@simon.es$""),REGEXMATCH(A3429,"".*@simon.pt$""),REGEXMATCH(A3429,"".*@simonelectrica.com$""),REGEXMATCH(A3429,"".*@hiberus.com$""),REGEXMATCH(A3429,"".*@simonbrico.es$""),regexmatch(A3429,"".*@simonelectric.com$"")),""null"",A3"&amp;"429)"),"2597@3xakoenergi.com")</f>
        <v>2597@3xakoenergi.com</v>
      </c>
      <c r="C3429" s="5">
        <f>IF(B3429="null","null",Descargas!B3429)</f>
        <v>43893</v>
      </c>
      <c r="D3429" s="6" t="str">
        <f>Descargas!E3429</f>
        <v>https://resources.simonelectric.com/simon-ebook-vehiculo-electrico</v>
      </c>
      <c r="E3429" s="20" t="str">
        <f t="shared" si="1"/>
        <v>2597@3xakoenergi.com</v>
      </c>
      <c r="F3429" s="21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</row>
    <row r="3430" ht="15.75" customHeight="1">
      <c r="A3430" s="18" t="str">
        <f>Descargas!A3430</f>
        <v>2598@tecoel.es</v>
      </c>
      <c r="B3430" s="19" t="str">
        <f>IFERROR(__xludf.DUMMYFUNCTION("IF(OR(regexmatch(A3430,"".*@simon.es$""),REGEXMATCH(A3430,"".*@simon.pt$""),REGEXMATCH(A3430,"".*@simonelectrica.com$""),REGEXMATCH(A3430,"".*@hiberus.com$""),REGEXMATCH(A3430,"".*@simonbrico.es$""),regexmatch(A3430,"".*@simonelectric.com$"")),""null"",A3"&amp;"430)"),"2598@tecoel.es")</f>
        <v>2598@tecoel.es</v>
      </c>
      <c r="C3430" s="5">
        <f>IF(B3430="null","null",Descargas!B3430)</f>
        <v>43893</v>
      </c>
      <c r="D3430" s="6" t="str">
        <f>Descargas!E3430</f>
        <v>https://resources.simonelectric.com/simon-ebook-vehiculo-electrico</v>
      </c>
      <c r="E3430" s="20" t="str">
        <f t="shared" si="1"/>
        <v>2598@tecoel.es</v>
      </c>
      <c r="F3430" s="21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</row>
    <row r="3431" ht="15.75" customHeight="1">
      <c r="A3431" s="18" t="str">
        <f>Descargas!A3431</f>
        <v>1274@gmail.com</v>
      </c>
      <c r="B3431" s="19" t="str">
        <f>IFERROR(__xludf.DUMMYFUNCTION("IF(OR(regexmatch(A3431,"".*@simon.es$""),REGEXMATCH(A3431,"".*@simon.pt$""),REGEXMATCH(A3431,"".*@simonelectrica.com$""),REGEXMATCH(A3431,"".*@hiberus.com$""),REGEXMATCH(A3431,"".*@simonbrico.es$""),regexmatch(A3431,"".*@simonelectric.com$"")),""null"",A3"&amp;"431)"),"1274@gmail.com")</f>
        <v>1274@gmail.com</v>
      </c>
      <c r="C3431" s="5">
        <f>IF(B3431="null","null",Descargas!B3431)</f>
        <v>43893</v>
      </c>
      <c r="D3431" s="6" t="str">
        <f>Descargas!E3431</f>
        <v>https://resources.simonelectric.com/simon-ebook-vehiculo-electrico</v>
      </c>
      <c r="E3431" s="20" t="str">
        <f t="shared" si="1"/>
        <v>1274@gmail.com</v>
      </c>
      <c r="F3431" s="21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</row>
    <row r="3432" ht="15.75" customHeight="1">
      <c r="A3432" s="18" t="str">
        <f>Descargas!A3432</f>
        <v>1903@yahoo.es</v>
      </c>
      <c r="B3432" s="19" t="str">
        <f>IFERROR(__xludf.DUMMYFUNCTION("IF(OR(regexmatch(A3432,"".*@simon.es$""),REGEXMATCH(A3432,"".*@simon.pt$""),REGEXMATCH(A3432,"".*@simonelectrica.com$""),REGEXMATCH(A3432,"".*@hiberus.com$""),REGEXMATCH(A3432,"".*@simonbrico.es$""),regexmatch(A3432,"".*@simonelectric.com$"")),""null"",A3"&amp;"432)"),"1903@yahoo.es")</f>
        <v>1903@yahoo.es</v>
      </c>
      <c r="C3432" s="5">
        <f>IF(B3432="null","null",Descargas!B3432)</f>
        <v>43893</v>
      </c>
      <c r="D3432" s="6" t="str">
        <f>Descargas!E3432</f>
        <v>https://resources.simonelectric.com/simon-ebook-vehiculo-electrico</v>
      </c>
      <c r="E3432" s="20" t="str">
        <f t="shared" si="1"/>
        <v>1903@yahoo.es</v>
      </c>
      <c r="F3432" s="21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</row>
    <row r="3433" ht="15.75" customHeight="1">
      <c r="A3433" s="18" t="str">
        <f>Descargas!A3433</f>
        <v>2599@sazepi.com</v>
      </c>
      <c r="B3433" s="19" t="str">
        <f>IFERROR(__xludf.DUMMYFUNCTION("IF(OR(regexmatch(A3433,"".*@simon.es$""),REGEXMATCH(A3433,"".*@simon.pt$""),REGEXMATCH(A3433,"".*@simonelectrica.com$""),REGEXMATCH(A3433,"".*@hiberus.com$""),REGEXMATCH(A3433,"".*@simonbrico.es$""),regexmatch(A3433,"".*@simonelectric.com$"")),""null"",A3"&amp;"433)"),"2599@sazepi.com")</f>
        <v>2599@sazepi.com</v>
      </c>
      <c r="C3433" s="5">
        <f>IF(B3433="null","null",Descargas!B3433)</f>
        <v>43893</v>
      </c>
      <c r="D3433" s="6" t="str">
        <f>Descargas!E3433</f>
        <v>https://resources.simonelectric.com/simon-catalogo-vehiculo-electrico</v>
      </c>
      <c r="E3433" s="20" t="str">
        <f t="shared" si="1"/>
        <v>2599@sazepi.com</v>
      </c>
      <c r="F3433" s="21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</row>
    <row r="3434" ht="15.75" customHeight="1">
      <c r="A3434" s="18" t="str">
        <f>Descargas!A3434</f>
        <v>2600@electrimega.es</v>
      </c>
      <c r="B3434" s="19" t="str">
        <f>IFERROR(__xludf.DUMMYFUNCTION("IF(OR(regexmatch(A3434,"".*@simon.es$""),REGEXMATCH(A3434,"".*@simon.pt$""),REGEXMATCH(A3434,"".*@simonelectrica.com$""),REGEXMATCH(A3434,"".*@hiberus.com$""),REGEXMATCH(A3434,"".*@simonbrico.es$""),regexmatch(A3434,"".*@simonelectric.com$"")),""null"",A3"&amp;"434)"),"2600@electrimega.es")</f>
        <v>2600@electrimega.es</v>
      </c>
      <c r="C3434" s="5">
        <f>IF(B3434="null","null",Descargas!B3434)</f>
        <v>43893</v>
      </c>
      <c r="D3434" s="6" t="str">
        <f>Descargas!E3434</f>
        <v>https://resources.simonelectric.com/simon-ebook-vehiculo-electrico</v>
      </c>
      <c r="E3434" s="20" t="str">
        <f t="shared" si="1"/>
        <v>2600@electrimega.es</v>
      </c>
      <c r="F3434" s="21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</row>
    <row r="3435" ht="15.75" customHeight="1">
      <c r="A3435" s="18" t="str">
        <f>Descargas!A3435</f>
        <v>2601@seituria.com</v>
      </c>
      <c r="B3435" s="19" t="str">
        <f>IFERROR(__xludf.DUMMYFUNCTION("IF(OR(regexmatch(A3435,"".*@simon.es$""),REGEXMATCH(A3435,"".*@simon.pt$""),REGEXMATCH(A3435,"".*@simonelectrica.com$""),REGEXMATCH(A3435,"".*@hiberus.com$""),REGEXMATCH(A3435,"".*@simonbrico.es$""),regexmatch(A3435,"".*@simonelectric.com$"")),""null"",A3"&amp;"435)"),"2601@seituria.com")</f>
        <v>2601@seituria.com</v>
      </c>
      <c r="C3435" s="5">
        <f>IF(B3435="null","null",Descargas!B3435)</f>
        <v>43893</v>
      </c>
      <c r="D3435" s="6" t="str">
        <f>Descargas!E3435</f>
        <v>https://resources.simonelectric.com/simon-ebook-vehiculo-electrico</v>
      </c>
      <c r="E3435" s="20" t="str">
        <f t="shared" si="1"/>
        <v>2601@seituria.com</v>
      </c>
      <c r="F3435" s="21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</row>
    <row r="3436" ht="15.75" customHeight="1">
      <c r="A3436" s="18" t="str">
        <f>Descargas!A3436</f>
        <v>2602@saherlux.com</v>
      </c>
      <c r="B3436" s="19" t="str">
        <f>IFERROR(__xludf.DUMMYFUNCTION("IF(OR(regexmatch(A3436,"".*@simon.es$""),REGEXMATCH(A3436,"".*@simon.pt$""),REGEXMATCH(A3436,"".*@simonelectrica.com$""),REGEXMATCH(A3436,"".*@hiberus.com$""),REGEXMATCH(A3436,"".*@simonbrico.es$""),regexmatch(A3436,"".*@simonelectric.com$"")),""null"",A3"&amp;"436)"),"2602@saherlux.com")</f>
        <v>2602@saherlux.com</v>
      </c>
      <c r="C3436" s="5">
        <f>IF(B3436="null","null",Descargas!B3436)</f>
        <v>43893</v>
      </c>
      <c r="D3436" s="6" t="str">
        <f>Descargas!E3436</f>
        <v>https://resources.simonelectric.com/simon-ebook-vehiculo-electrico</v>
      </c>
      <c r="E3436" s="20" t="str">
        <f t="shared" si="1"/>
        <v>2602@saherlux.com</v>
      </c>
      <c r="F3436" s="21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</row>
    <row r="3437" ht="15.75" customHeight="1">
      <c r="A3437" s="18" t="str">
        <f>Descargas!A3437</f>
        <v>2603@guillenmotor.com</v>
      </c>
      <c r="B3437" s="19" t="str">
        <f>IFERROR(__xludf.DUMMYFUNCTION("IF(OR(regexmatch(A3437,"".*@simon.es$""),REGEXMATCH(A3437,"".*@simon.pt$""),REGEXMATCH(A3437,"".*@simonelectrica.com$""),REGEXMATCH(A3437,"".*@hiberus.com$""),REGEXMATCH(A3437,"".*@simonbrico.es$""),regexmatch(A3437,"".*@simonelectric.com$"")),""null"",A3"&amp;"437)"),"2603@guillenmotor.com")</f>
        <v>2603@guillenmotor.com</v>
      </c>
      <c r="C3437" s="5">
        <f>IF(B3437="null","null",Descargas!B3437)</f>
        <v>43893</v>
      </c>
      <c r="D3437" s="6" t="str">
        <f>Descargas!E3437</f>
        <v>https://resources.simonelectric.com/simon-ebook-vehiculo-electrico</v>
      </c>
      <c r="E3437" s="20" t="str">
        <f t="shared" si="1"/>
        <v>2603@guillenmotor.com</v>
      </c>
      <c r="F3437" s="21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</row>
    <row r="3438" ht="15.75" customHeight="1">
      <c r="A3438" s="18" t="str">
        <f>Descargas!A3438</f>
        <v>2599@sazepi.com</v>
      </c>
      <c r="B3438" s="19" t="str">
        <f>IFERROR(__xludf.DUMMYFUNCTION("IF(OR(regexmatch(A3438,"".*@simon.es$""),REGEXMATCH(A3438,"".*@simon.pt$""),REGEXMATCH(A3438,"".*@simonelectrica.com$""),REGEXMATCH(A3438,"".*@hiberus.com$""),REGEXMATCH(A3438,"".*@simonbrico.es$""),regexmatch(A3438,"".*@simonelectric.com$"")),""null"",A3"&amp;"438)"),"2599@sazepi.com")</f>
        <v>2599@sazepi.com</v>
      </c>
      <c r="C3438" s="5">
        <f>IF(B3438="null","null",Descargas!B3438)</f>
        <v>43893</v>
      </c>
      <c r="D3438" s="6" t="str">
        <f>Descargas!E3438</f>
        <v>https://resources.simonelectric.com/simon-ebook-vehiculo-electrico</v>
      </c>
      <c r="E3438" s="20" t="str">
        <f t="shared" si="1"/>
        <v>2599@sazepi.com</v>
      </c>
      <c r="F3438" s="21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</row>
    <row r="3439" ht="15.75" customHeight="1">
      <c r="A3439" s="18" t="str">
        <f>Descargas!A3439</f>
        <v>2604@hotelnelva.es</v>
      </c>
      <c r="B3439" s="19" t="str">
        <f>IFERROR(__xludf.DUMMYFUNCTION("IF(OR(regexmatch(A3439,"".*@simon.es$""),REGEXMATCH(A3439,"".*@simon.pt$""),REGEXMATCH(A3439,"".*@simonelectrica.com$""),REGEXMATCH(A3439,"".*@hiberus.com$""),REGEXMATCH(A3439,"".*@simonbrico.es$""),regexmatch(A3439,"".*@simonelectric.com$"")),""null"",A3"&amp;"439)"),"2604@hotelnelva.es")</f>
        <v>2604@hotelnelva.es</v>
      </c>
      <c r="C3439" s="5">
        <f>IF(B3439="null","null",Descargas!B3439)</f>
        <v>43893</v>
      </c>
      <c r="D3439" s="6" t="str">
        <f>Descargas!E3439</f>
        <v>https://resources.simonelectric.com/simon-ebook-vehiculo-electrico</v>
      </c>
      <c r="E3439" s="20" t="str">
        <f t="shared" si="1"/>
        <v>2604@hotelnelva.es</v>
      </c>
      <c r="F3439" s="21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</row>
    <row r="3440" ht="15.75" customHeight="1">
      <c r="A3440" s="18" t="str">
        <f>Descargas!A3440</f>
        <v>425@telefonica.net</v>
      </c>
      <c r="B3440" s="19" t="str">
        <f>IFERROR(__xludf.DUMMYFUNCTION("IF(OR(regexmatch(A3440,"".*@simon.es$""),REGEXMATCH(A3440,"".*@simon.pt$""),REGEXMATCH(A3440,"".*@simonelectrica.com$""),REGEXMATCH(A3440,"".*@hiberus.com$""),REGEXMATCH(A3440,"".*@simonbrico.es$""),regexmatch(A3440,"".*@simonelectric.com$"")),""null"",A3"&amp;"440)"),"425@telefonica.net")</f>
        <v>425@telefonica.net</v>
      </c>
      <c r="C3440" s="5">
        <f>IF(B3440="null","null",Descargas!B3440)</f>
        <v>43893</v>
      </c>
      <c r="D3440" s="6" t="str">
        <f>Descargas!E3440</f>
        <v>https://resources.simonelectric.com/simon-ebook-vehiculo-electrico</v>
      </c>
      <c r="E3440" s="20" t="str">
        <f t="shared" si="1"/>
        <v>425@telefonica.net</v>
      </c>
      <c r="F3440" s="21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</row>
    <row r="3441" ht="15.75" customHeight="1">
      <c r="A3441" s="18" t="str">
        <f>Descargas!A3441</f>
        <v>710@hotmail.com</v>
      </c>
      <c r="B3441" s="19" t="str">
        <f>IFERROR(__xludf.DUMMYFUNCTION("IF(OR(regexmatch(A3441,"".*@simon.es$""),REGEXMATCH(A3441,"".*@simon.pt$""),REGEXMATCH(A3441,"".*@simonelectrica.com$""),REGEXMATCH(A3441,"".*@hiberus.com$""),REGEXMATCH(A3441,"".*@simonbrico.es$""),regexmatch(A3441,"".*@simonelectric.com$"")),""null"",A3"&amp;"441)"),"710@hotmail.com")</f>
        <v>710@hotmail.com</v>
      </c>
      <c r="C3441" s="5">
        <f>IF(B3441="null","null",Descargas!B3441)</f>
        <v>43893</v>
      </c>
      <c r="D3441" s="6" t="str">
        <f>Descargas!E3441</f>
        <v>https://resources.simonelectric.com/simon-ebook-vehiculo-electrico</v>
      </c>
      <c r="E3441" s="20" t="str">
        <f t="shared" si="1"/>
        <v>710@hotmail.com</v>
      </c>
      <c r="F3441" s="21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</row>
    <row r="3442" ht="15.75" customHeight="1">
      <c r="A3442" s="18" t="str">
        <f>Descargas!A3442</f>
        <v>2605@gmail.com</v>
      </c>
      <c r="B3442" s="19" t="str">
        <f>IFERROR(__xludf.DUMMYFUNCTION("IF(OR(regexmatch(A3442,"".*@simon.es$""),REGEXMATCH(A3442,"".*@simon.pt$""),REGEXMATCH(A3442,"".*@simonelectrica.com$""),REGEXMATCH(A3442,"".*@hiberus.com$""),REGEXMATCH(A3442,"".*@simonbrico.es$""),regexmatch(A3442,"".*@simonelectric.com$"")),""null"",A3"&amp;"442)"),"2605@gmail.com")</f>
        <v>2605@gmail.com</v>
      </c>
      <c r="C3442" s="5">
        <f>IF(B3442="null","null",Descargas!B3442)</f>
        <v>43893</v>
      </c>
      <c r="D3442" s="6" t="str">
        <f>Descargas!E3442</f>
        <v>https://resources.simonelectric.com/simon-ebook-vehiculo-electrico</v>
      </c>
      <c r="E3442" s="20" t="str">
        <f t="shared" si="1"/>
        <v>2605@gmail.com</v>
      </c>
      <c r="F3442" s="21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</row>
    <row r="3443" ht="15.75" customHeight="1">
      <c r="A3443" s="18" t="str">
        <f>Descargas!A3443</f>
        <v>2606@gmail.com</v>
      </c>
      <c r="B3443" s="19" t="str">
        <f>IFERROR(__xludf.DUMMYFUNCTION("IF(OR(regexmatch(A3443,"".*@simon.es$""),REGEXMATCH(A3443,"".*@simon.pt$""),REGEXMATCH(A3443,"".*@simonelectrica.com$""),REGEXMATCH(A3443,"".*@hiberus.com$""),REGEXMATCH(A3443,"".*@simonbrico.es$""),regexmatch(A3443,"".*@simonelectric.com$"")),""null"",A3"&amp;"443)"),"2606@gmail.com")</f>
        <v>2606@gmail.com</v>
      </c>
      <c r="C3443" s="5">
        <f>IF(B3443="null","null",Descargas!B3443)</f>
        <v>43893</v>
      </c>
      <c r="D3443" s="6" t="str">
        <f>Descargas!E3443</f>
        <v>https://resources.simonelectric.com/simon-ebook-vehiculo-electrico</v>
      </c>
      <c r="E3443" s="20" t="str">
        <f t="shared" si="1"/>
        <v>2606@gmail.com</v>
      </c>
      <c r="F3443" s="21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</row>
    <row r="3444" ht="15.75" customHeight="1">
      <c r="A3444" s="18" t="str">
        <f>Descargas!A3444</f>
        <v>2607@hotmail.com</v>
      </c>
      <c r="B3444" s="19" t="str">
        <f>IFERROR(__xludf.DUMMYFUNCTION("IF(OR(regexmatch(A3444,"".*@simon.es$""),REGEXMATCH(A3444,"".*@simon.pt$""),REGEXMATCH(A3444,"".*@simonelectrica.com$""),REGEXMATCH(A3444,"".*@hiberus.com$""),REGEXMATCH(A3444,"".*@simonbrico.es$""),regexmatch(A3444,"".*@simonelectric.com$"")),""null"",A3"&amp;"444)"),"2607@hotmail.com")</f>
        <v>2607@hotmail.com</v>
      </c>
      <c r="C3444" s="5">
        <f>IF(B3444="null","null",Descargas!B3444)</f>
        <v>43893</v>
      </c>
      <c r="D3444" s="6" t="str">
        <f>Descargas!E3444</f>
        <v>https://resources.simonelectric.com/simon-ebook-vehiculo-electrico</v>
      </c>
      <c r="E3444" s="20" t="str">
        <f t="shared" si="1"/>
        <v>2607@hotmail.com</v>
      </c>
      <c r="F3444" s="21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</row>
    <row r="3445" ht="15.75" customHeight="1">
      <c r="A3445" s="18" t="str">
        <f>Descargas!A3445</f>
        <v>2608@zambongroup.com</v>
      </c>
      <c r="B3445" s="19" t="str">
        <f>IFERROR(__xludf.DUMMYFUNCTION("IF(OR(regexmatch(A3445,"".*@simon.es$""),REGEXMATCH(A3445,"".*@simon.pt$""),REGEXMATCH(A3445,"".*@simonelectrica.com$""),REGEXMATCH(A3445,"".*@hiberus.com$""),REGEXMATCH(A3445,"".*@simonbrico.es$""),regexmatch(A3445,"".*@simonelectric.com$"")),""null"",A3"&amp;"445)"),"2608@zambongroup.com")</f>
        <v>2608@zambongroup.com</v>
      </c>
      <c r="C3445" s="5">
        <f>IF(B3445="null","null",Descargas!B3445)</f>
        <v>43893</v>
      </c>
      <c r="D3445" s="6" t="str">
        <f>Descargas!E3445</f>
        <v>https://resources.simonelectric.com/simon-ebook-vehiculo-electrico</v>
      </c>
      <c r="E3445" s="20" t="str">
        <f t="shared" si="1"/>
        <v>2608@zambongroup.com</v>
      </c>
      <c r="F3445" s="21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</row>
    <row r="3446" ht="15.75" customHeight="1">
      <c r="A3446" s="18" t="str">
        <f>Descargas!A3446</f>
        <v>2609@construccioicontrol.com</v>
      </c>
      <c r="B3446" s="19" t="str">
        <f>IFERROR(__xludf.DUMMYFUNCTION("IF(OR(regexmatch(A3446,"".*@simon.es$""),REGEXMATCH(A3446,"".*@simon.pt$""),REGEXMATCH(A3446,"".*@simonelectrica.com$""),REGEXMATCH(A3446,"".*@hiberus.com$""),REGEXMATCH(A3446,"".*@simonbrico.es$""),regexmatch(A3446,"".*@simonelectric.com$"")),""null"",A3"&amp;"446)"),"2609@construccioicontrol.com")</f>
        <v>2609@construccioicontrol.com</v>
      </c>
      <c r="C3446" s="5">
        <f>IF(B3446="null","null",Descargas!B3446)</f>
        <v>43893</v>
      </c>
      <c r="D3446" s="6" t="str">
        <f>Descargas!E3446</f>
        <v>https://resources.simonelectric.com/simon-ebook-vehiculo-electrico</v>
      </c>
      <c r="E3446" s="20" t="str">
        <f t="shared" si="1"/>
        <v>2609@construccioicontrol.com</v>
      </c>
      <c r="F3446" s="21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</row>
    <row r="3447" ht="15.75" customHeight="1">
      <c r="A3447" s="18" t="str">
        <f>Descargas!A3447</f>
        <v>2610@orangecorreo.es</v>
      </c>
      <c r="B3447" s="19" t="str">
        <f>IFERROR(__xludf.DUMMYFUNCTION("IF(OR(regexmatch(A3447,"".*@simon.es$""),REGEXMATCH(A3447,"".*@simon.pt$""),REGEXMATCH(A3447,"".*@simonelectrica.com$""),REGEXMATCH(A3447,"".*@hiberus.com$""),REGEXMATCH(A3447,"".*@simonbrico.es$""),regexmatch(A3447,"".*@simonelectric.com$"")),""null"",A3"&amp;"447)"),"2610@orangecorreo.es")</f>
        <v>2610@orangecorreo.es</v>
      </c>
      <c r="C3447" s="5">
        <f>IF(B3447="null","null",Descargas!B3447)</f>
        <v>43893</v>
      </c>
      <c r="D3447" s="6" t="str">
        <f>Descargas!E3447</f>
        <v>https://resources.simonelectric.com/simon-ebook-vehiculo-electrico</v>
      </c>
      <c r="E3447" s="20" t="str">
        <f t="shared" si="1"/>
        <v>2610@orangecorreo.es</v>
      </c>
      <c r="F3447" s="21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</row>
    <row r="3448" ht="15.75" customHeight="1">
      <c r="A3448" s="18" t="str">
        <f>Descargas!A3448</f>
        <v>2611@gocsa.es</v>
      </c>
      <c r="B3448" s="19" t="str">
        <f>IFERROR(__xludf.DUMMYFUNCTION("IF(OR(regexmatch(A3448,"".*@simon.es$""),REGEXMATCH(A3448,"".*@simon.pt$""),REGEXMATCH(A3448,"".*@simonelectrica.com$""),REGEXMATCH(A3448,"".*@hiberus.com$""),REGEXMATCH(A3448,"".*@simonbrico.es$""),regexmatch(A3448,"".*@simonelectric.com$"")),""null"",A3"&amp;"448)"),"2611@gocsa.es")</f>
        <v>2611@gocsa.es</v>
      </c>
      <c r="C3448" s="5">
        <f>IF(B3448="null","null",Descargas!B3448)</f>
        <v>43893</v>
      </c>
      <c r="D3448" s="6" t="str">
        <f>Descargas!E3448</f>
        <v>https://resources.simonelectric.com/simon-ebook-vehiculo-electrico</v>
      </c>
      <c r="E3448" s="20" t="str">
        <f t="shared" si="1"/>
        <v>2611@gocsa.es</v>
      </c>
      <c r="F3448" s="21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</row>
    <row r="3449" ht="15.75" customHeight="1">
      <c r="A3449" s="18" t="str">
        <f>Descargas!A3449</f>
        <v>2612@ingenieriaconforma.com</v>
      </c>
      <c r="B3449" s="19" t="str">
        <f>IFERROR(__xludf.DUMMYFUNCTION("IF(OR(regexmatch(A3449,"".*@simon.es$""),REGEXMATCH(A3449,"".*@simon.pt$""),REGEXMATCH(A3449,"".*@simonelectrica.com$""),REGEXMATCH(A3449,"".*@hiberus.com$""),REGEXMATCH(A3449,"".*@simonbrico.es$""),regexmatch(A3449,"".*@simonelectric.com$"")),""null"",A3"&amp;"449)"),"2612@ingenieriaconforma.com")</f>
        <v>2612@ingenieriaconforma.com</v>
      </c>
      <c r="C3449" s="5">
        <f>IF(B3449="null","null",Descargas!B3449)</f>
        <v>43893</v>
      </c>
      <c r="D3449" s="6" t="str">
        <f>Descargas!E3449</f>
        <v>https://resources.simonelectric.com/simon-ebook-vehiculo-electrico</v>
      </c>
      <c r="E3449" s="20" t="str">
        <f t="shared" si="1"/>
        <v>2612@ingenieriaconforma.com</v>
      </c>
      <c r="F3449" s="21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</row>
    <row r="3450" ht="15.75" customHeight="1">
      <c r="A3450" s="18" t="str">
        <f>Descargas!A3450</f>
        <v>2242@eurogestiones.com</v>
      </c>
      <c r="B3450" s="19" t="str">
        <f>IFERROR(__xludf.DUMMYFUNCTION("IF(OR(regexmatch(A3450,"".*@simon.es$""),REGEXMATCH(A3450,"".*@simon.pt$""),REGEXMATCH(A3450,"".*@simonelectrica.com$""),REGEXMATCH(A3450,"".*@hiberus.com$""),REGEXMATCH(A3450,"".*@simonbrico.es$""),regexmatch(A3450,"".*@simonelectric.com$"")),""null"",A3"&amp;"450)"),"2242@eurogestiones.com")</f>
        <v>2242@eurogestiones.com</v>
      </c>
      <c r="C3450" s="5">
        <f>IF(B3450="null","null",Descargas!B3450)</f>
        <v>43893</v>
      </c>
      <c r="D3450" s="6" t="str">
        <f>Descargas!E3450</f>
        <v>https://resources.simonelectric.com/simon-ebook-vehiculo-electrico</v>
      </c>
      <c r="E3450" s="20" t="str">
        <f t="shared" si="1"/>
        <v>2242@eurogestiones.com</v>
      </c>
      <c r="F3450" s="21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</row>
    <row r="3451" ht="15.75" customHeight="1">
      <c r="A3451" s="18" t="str">
        <f>Descargas!A3451</f>
        <v>2613@gmail.com</v>
      </c>
      <c r="B3451" s="19" t="str">
        <f>IFERROR(__xludf.DUMMYFUNCTION("IF(OR(regexmatch(A3451,"".*@simon.es$""),REGEXMATCH(A3451,"".*@simon.pt$""),REGEXMATCH(A3451,"".*@simonelectrica.com$""),REGEXMATCH(A3451,"".*@hiberus.com$""),REGEXMATCH(A3451,"".*@simonbrico.es$""),regexmatch(A3451,"".*@simonelectric.com$"")),""null"",A3"&amp;"451)"),"2613@gmail.com")</f>
        <v>2613@gmail.com</v>
      </c>
      <c r="C3451" s="5">
        <f>IF(B3451="null","null",Descargas!B3451)</f>
        <v>43893</v>
      </c>
      <c r="D3451" s="6" t="str">
        <f>Descargas!E3451</f>
        <v>https://resources.simonelectric.com/simon-ebook-vehiculo-electrico</v>
      </c>
      <c r="E3451" s="20" t="str">
        <f t="shared" si="1"/>
        <v>2613@gmail.com</v>
      </c>
      <c r="F3451" s="21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</row>
    <row r="3452" ht="15.75" customHeight="1">
      <c r="A3452" s="18" t="str">
        <f>Descargas!A3452</f>
        <v>1768@telefonica.net</v>
      </c>
      <c r="B3452" s="19" t="str">
        <f>IFERROR(__xludf.DUMMYFUNCTION("IF(OR(regexmatch(A3452,"".*@simon.es$""),REGEXMATCH(A3452,"".*@simon.pt$""),REGEXMATCH(A3452,"".*@simonelectrica.com$""),REGEXMATCH(A3452,"".*@hiberus.com$""),REGEXMATCH(A3452,"".*@simonbrico.es$""),regexmatch(A3452,"".*@simonelectric.com$"")),""null"",A3"&amp;"452)"),"1768@telefonica.net")</f>
        <v>1768@telefonica.net</v>
      </c>
      <c r="C3452" s="5">
        <f>IF(B3452="null","null",Descargas!B3452)</f>
        <v>43893</v>
      </c>
      <c r="D3452" s="6" t="str">
        <f>Descargas!E3452</f>
        <v>https://resources.simonelectric.com/simon-ebook-vehiculo-electrico</v>
      </c>
      <c r="E3452" s="20" t="str">
        <f t="shared" si="1"/>
        <v>1768@telefonica.net</v>
      </c>
      <c r="F3452" s="21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</row>
    <row r="3453" ht="15.75" customHeight="1">
      <c r="A3453" s="18" t="str">
        <f>Descargas!A3453</f>
        <v>2614@rexel.es</v>
      </c>
      <c r="B3453" s="19" t="str">
        <f>IFERROR(__xludf.DUMMYFUNCTION("IF(OR(regexmatch(A3453,"".*@simon.es$""),REGEXMATCH(A3453,"".*@simon.pt$""),REGEXMATCH(A3453,"".*@simonelectrica.com$""),REGEXMATCH(A3453,"".*@hiberus.com$""),REGEXMATCH(A3453,"".*@simonbrico.es$""),regexmatch(A3453,"".*@simonelectric.com$"")),""null"",A3"&amp;"453)"),"2614@rexel.es")</f>
        <v>2614@rexel.es</v>
      </c>
      <c r="C3453" s="5">
        <f>IF(B3453="null","null",Descargas!B3453)</f>
        <v>43893</v>
      </c>
      <c r="D3453" s="6" t="str">
        <f>Descargas!E3453</f>
        <v>https://resources.simonelectric.com/simon-ebook-vehiculo-electrico</v>
      </c>
      <c r="E3453" s="20" t="str">
        <f t="shared" si="1"/>
        <v>2614@rexel.es</v>
      </c>
      <c r="F3453" s="21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</row>
    <row r="3454" ht="15.75" customHeight="1">
      <c r="A3454" s="18" t="str">
        <f>Descargas!A3454</f>
        <v>2615@orbiumsolar.es</v>
      </c>
      <c r="B3454" s="19" t="str">
        <f>IFERROR(__xludf.DUMMYFUNCTION("IF(OR(regexmatch(A3454,"".*@simon.es$""),REGEXMATCH(A3454,"".*@simon.pt$""),REGEXMATCH(A3454,"".*@simonelectrica.com$""),REGEXMATCH(A3454,"".*@hiberus.com$""),REGEXMATCH(A3454,"".*@simonbrico.es$""),regexmatch(A3454,"".*@simonelectric.com$"")),""null"",A3"&amp;"454)"),"2615@orbiumsolar.es")</f>
        <v>2615@orbiumsolar.es</v>
      </c>
      <c r="C3454" s="5">
        <f>IF(B3454="null","null",Descargas!B3454)</f>
        <v>43893</v>
      </c>
      <c r="D3454" s="6" t="str">
        <f>Descargas!E3454</f>
        <v>https://resources.simonelectric.com/simon-ebook-vehiculo-electrico</v>
      </c>
      <c r="E3454" s="20" t="str">
        <f t="shared" si="1"/>
        <v>2615@orbiumsolar.es</v>
      </c>
      <c r="F3454" s="21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</row>
    <row r="3455" ht="15.75" customHeight="1">
      <c r="A3455" s="18" t="str">
        <f>Descargas!A3455</f>
        <v>2616@prysmiangroup.com</v>
      </c>
      <c r="B3455" s="19" t="str">
        <f>IFERROR(__xludf.DUMMYFUNCTION("IF(OR(regexmatch(A3455,"".*@simon.es$""),REGEXMATCH(A3455,"".*@simon.pt$""),REGEXMATCH(A3455,"".*@simonelectrica.com$""),REGEXMATCH(A3455,"".*@hiberus.com$""),REGEXMATCH(A3455,"".*@simonbrico.es$""),regexmatch(A3455,"".*@simonelectric.com$"")),""null"",A3"&amp;"455)"),"2616@prysmiangroup.com")</f>
        <v>2616@prysmiangroup.com</v>
      </c>
      <c r="C3455" s="5">
        <f>IF(B3455="null","null",Descargas!B3455)</f>
        <v>43893</v>
      </c>
      <c r="D3455" s="6" t="str">
        <f>Descargas!E3455</f>
        <v>https://resources.simonelectric.com/simon-ebook-vehiculo-electrico</v>
      </c>
      <c r="E3455" s="20" t="str">
        <f t="shared" si="1"/>
        <v>2616@prysmiangroup.com</v>
      </c>
      <c r="F3455" s="21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</row>
    <row r="3456" ht="15.75" customHeight="1">
      <c r="A3456" s="18" t="str">
        <f>Descargas!A3456</f>
        <v>2617@hotmail.com</v>
      </c>
      <c r="B3456" s="19" t="str">
        <f>IFERROR(__xludf.DUMMYFUNCTION("IF(OR(regexmatch(A3456,"".*@simon.es$""),REGEXMATCH(A3456,"".*@simon.pt$""),REGEXMATCH(A3456,"".*@simonelectrica.com$""),REGEXMATCH(A3456,"".*@hiberus.com$""),REGEXMATCH(A3456,"".*@simonbrico.es$""),regexmatch(A3456,"".*@simonelectric.com$"")),""null"",A3"&amp;"456)"),"2617@hotmail.com")</f>
        <v>2617@hotmail.com</v>
      </c>
      <c r="C3456" s="5">
        <f>IF(B3456="null","null",Descargas!B3456)</f>
        <v>43893</v>
      </c>
      <c r="D3456" s="6" t="str">
        <f>Descargas!E3456</f>
        <v>https://resources.simonelectric.com/simon-ebook-vehiculo-electrico</v>
      </c>
      <c r="E3456" s="20" t="str">
        <f t="shared" si="1"/>
        <v>2617@hotmail.com</v>
      </c>
      <c r="F3456" s="21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</row>
    <row r="3457" ht="15.75" customHeight="1">
      <c r="A3457" s="18" t="str">
        <f>Descargas!A3457</f>
        <v>862@fpcm.es</v>
      </c>
      <c r="B3457" s="19" t="str">
        <f>IFERROR(__xludf.DUMMYFUNCTION("IF(OR(regexmatch(A3457,"".*@simon.es$""),REGEXMATCH(A3457,"".*@simon.pt$""),REGEXMATCH(A3457,"".*@simonelectrica.com$""),REGEXMATCH(A3457,"".*@hiberus.com$""),REGEXMATCH(A3457,"".*@simonbrico.es$""),regexmatch(A3457,"".*@simonelectric.com$"")),""null"",A3"&amp;"457)"),"862@fpcm.es")</f>
        <v>862@fpcm.es</v>
      </c>
      <c r="C3457" s="5">
        <f>IF(B3457="null","null",Descargas!B3457)</f>
        <v>43893</v>
      </c>
      <c r="D3457" s="6" t="str">
        <f>Descargas!E3457</f>
        <v>https://resources.simonelectric.com/simon-ebook-vehiculo-electrico</v>
      </c>
      <c r="E3457" s="20" t="str">
        <f t="shared" si="1"/>
        <v>862@fpcm.es</v>
      </c>
      <c r="F3457" s="21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</row>
    <row r="3458" ht="15.75" customHeight="1">
      <c r="A3458" s="18" t="str">
        <f>Descargas!A3458</f>
        <v>1484@r3recymed.com</v>
      </c>
      <c r="B3458" s="19" t="str">
        <f>IFERROR(__xludf.DUMMYFUNCTION("IF(OR(regexmatch(A3458,"".*@simon.es$""),REGEXMATCH(A3458,"".*@simon.pt$""),REGEXMATCH(A3458,"".*@simonelectrica.com$""),REGEXMATCH(A3458,"".*@hiberus.com$""),REGEXMATCH(A3458,"".*@simonbrico.es$""),regexmatch(A3458,"".*@simonelectric.com$"")),""null"",A3"&amp;"458)"),"1484@r3recymed.com")</f>
        <v>1484@r3recymed.com</v>
      </c>
      <c r="C3458" s="5">
        <f>IF(B3458="null","null",Descargas!B3458)</f>
        <v>43893</v>
      </c>
      <c r="D3458" s="6" t="str">
        <f>Descargas!E3458</f>
        <v>https://resources.simonelectric.com/simon-ebook-vehiculo-electrico</v>
      </c>
      <c r="E3458" s="20" t="str">
        <f t="shared" si="1"/>
        <v>1484@r3recymed.com</v>
      </c>
      <c r="F3458" s="21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</row>
    <row r="3459" ht="15.75" customHeight="1">
      <c r="A3459" s="18" t="str">
        <f>Descargas!A3459</f>
        <v>2618@viegasefilhos.pt</v>
      </c>
      <c r="B3459" s="19" t="str">
        <f>IFERROR(__xludf.DUMMYFUNCTION("IF(OR(regexmatch(A3459,"".*@simon.es$""),REGEXMATCH(A3459,"".*@simon.pt$""),REGEXMATCH(A3459,"".*@simonelectrica.com$""),REGEXMATCH(A3459,"".*@hiberus.com$""),REGEXMATCH(A3459,"".*@simonbrico.es$""),regexmatch(A3459,"".*@simonelectric.com$"")),""null"",A3"&amp;"459)"),"2618@viegasefilhos.pt")</f>
        <v>2618@viegasefilhos.pt</v>
      </c>
      <c r="C3459" s="5">
        <f>IF(B3459="null","null",Descargas!B3459)</f>
        <v>43893</v>
      </c>
      <c r="D3459" s="6" t="str">
        <f>Descargas!E3459</f>
        <v>https://resources.simonelectric.com/simon-ebook-vehiculo-electrico</v>
      </c>
      <c r="E3459" s="20" t="str">
        <f t="shared" si="1"/>
        <v>2618@viegasefilhos.pt</v>
      </c>
      <c r="F3459" s="21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</row>
    <row r="3460" ht="15.75" customHeight="1">
      <c r="A3460" s="18" t="str">
        <f>Descargas!A3460</f>
        <v>2619@gmail.com</v>
      </c>
      <c r="B3460" s="19" t="str">
        <f>IFERROR(__xludf.DUMMYFUNCTION("IF(OR(regexmatch(A3460,"".*@simon.es$""),REGEXMATCH(A3460,"".*@simon.pt$""),REGEXMATCH(A3460,"".*@simonelectrica.com$""),REGEXMATCH(A3460,"".*@hiberus.com$""),REGEXMATCH(A3460,"".*@simonbrico.es$""),regexmatch(A3460,"".*@simonelectric.com$"")),""null"",A3"&amp;"460)"),"2619@gmail.com")</f>
        <v>2619@gmail.com</v>
      </c>
      <c r="C3460" s="5">
        <f>IF(B3460="null","null",Descargas!B3460)</f>
        <v>43893</v>
      </c>
      <c r="D3460" s="6" t="str">
        <f>Descargas!E3460</f>
        <v>https://resources.simonelectric.com/simon-ebook-vehiculo-electrico</v>
      </c>
      <c r="E3460" s="20" t="str">
        <f t="shared" si="1"/>
        <v>2619@gmail.com</v>
      </c>
      <c r="F3460" s="21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</row>
    <row r="3461" ht="15.75" customHeight="1">
      <c r="A3461" s="18" t="str">
        <f>Descargas!A3461</f>
        <v>1512@elecox.es</v>
      </c>
      <c r="B3461" s="19" t="str">
        <f>IFERROR(__xludf.DUMMYFUNCTION("IF(OR(regexmatch(A3461,"".*@simon.es$""),REGEXMATCH(A3461,"".*@simon.pt$""),REGEXMATCH(A3461,"".*@simonelectrica.com$""),REGEXMATCH(A3461,"".*@hiberus.com$""),REGEXMATCH(A3461,"".*@simonbrico.es$""),regexmatch(A3461,"".*@simonelectric.com$"")),""null"",A3"&amp;"461)"),"1512@elecox.es")</f>
        <v>1512@elecox.es</v>
      </c>
      <c r="C3461" s="5">
        <f>IF(B3461="null","null",Descargas!B3461)</f>
        <v>43893</v>
      </c>
      <c r="D3461" s="6" t="str">
        <f>Descargas!E3461</f>
        <v>https://resources.simonelectric.com/simon-ebook-vehiculo-electrico</v>
      </c>
      <c r="E3461" s="20" t="str">
        <f t="shared" si="1"/>
        <v>1512@elecox.es</v>
      </c>
      <c r="F3461" s="21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</row>
    <row r="3462" ht="15.75" customHeight="1">
      <c r="A3462" s="18" t="str">
        <f>Descargas!A3462</f>
        <v>2620@icloud.com</v>
      </c>
      <c r="B3462" s="19" t="str">
        <f>IFERROR(__xludf.DUMMYFUNCTION("IF(OR(regexmatch(A3462,"".*@simon.es$""),REGEXMATCH(A3462,"".*@simon.pt$""),REGEXMATCH(A3462,"".*@simonelectrica.com$""),REGEXMATCH(A3462,"".*@hiberus.com$""),REGEXMATCH(A3462,"".*@simonbrico.es$""),regexmatch(A3462,"".*@simonelectric.com$"")),""null"",A3"&amp;"462)"),"2620@icloud.com")</f>
        <v>2620@icloud.com</v>
      </c>
      <c r="C3462" s="5">
        <f>IF(B3462="null","null",Descargas!B3462)</f>
        <v>43893</v>
      </c>
      <c r="D3462" s="6" t="str">
        <f>Descargas!E3462</f>
        <v>https://resources.simonelectric.com/simon-ebook-vehiculo-electrico</v>
      </c>
      <c r="E3462" s="20" t="str">
        <f t="shared" si="1"/>
        <v>2620@icloud.com</v>
      </c>
      <c r="F3462" s="21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</row>
    <row r="3463" ht="15.75" customHeight="1">
      <c r="A3463" s="18" t="str">
        <f>Descargas!A3463</f>
        <v>2621@integralplm.com</v>
      </c>
      <c r="B3463" s="19" t="str">
        <f>IFERROR(__xludf.DUMMYFUNCTION("IF(OR(regexmatch(A3463,"".*@simon.es$""),REGEXMATCH(A3463,"".*@simon.pt$""),REGEXMATCH(A3463,"".*@simonelectrica.com$""),REGEXMATCH(A3463,"".*@hiberus.com$""),REGEXMATCH(A3463,"".*@simonbrico.es$""),regexmatch(A3463,"".*@simonelectric.com$"")),""null"",A3"&amp;"463)"),"2621@integralplm.com")</f>
        <v>2621@integralplm.com</v>
      </c>
      <c r="C3463" s="5">
        <f>IF(B3463="null","null",Descargas!B3463)</f>
        <v>43893</v>
      </c>
      <c r="D3463" s="6" t="str">
        <f>Descargas!E3463</f>
        <v>https://resources.simonelectric.com/simon-ebook-vehiculo-electrico</v>
      </c>
      <c r="E3463" s="20" t="str">
        <f t="shared" si="1"/>
        <v>2621@integralplm.com</v>
      </c>
      <c r="F3463" s="21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</row>
    <row r="3464" ht="15.75" customHeight="1">
      <c r="A3464" s="18" t="str">
        <f>Descargas!A3464</f>
        <v>2622@instavi.es</v>
      </c>
      <c r="B3464" s="19" t="str">
        <f>IFERROR(__xludf.DUMMYFUNCTION("IF(OR(regexmatch(A3464,"".*@simon.es$""),REGEXMATCH(A3464,"".*@simon.pt$""),REGEXMATCH(A3464,"".*@simonelectrica.com$""),REGEXMATCH(A3464,"".*@hiberus.com$""),REGEXMATCH(A3464,"".*@simonbrico.es$""),regexmatch(A3464,"".*@simonelectric.com$"")),""null"",A3"&amp;"464)"),"2622@instavi.es")</f>
        <v>2622@instavi.es</v>
      </c>
      <c r="C3464" s="5">
        <f>IF(B3464="null","null",Descargas!B3464)</f>
        <v>43893</v>
      </c>
      <c r="D3464" s="6" t="str">
        <f>Descargas!E3464</f>
        <v>https://resources.simonelectric.com/simon-ebook-vehiculo-electrico</v>
      </c>
      <c r="E3464" s="20" t="str">
        <f t="shared" si="1"/>
        <v>2622@instavi.es</v>
      </c>
      <c r="F3464" s="21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</row>
    <row r="3465" ht="15.75" customHeight="1">
      <c r="A3465" s="18" t="str">
        <f>Descargas!A3465</f>
        <v>2623@mansel.es</v>
      </c>
      <c r="B3465" s="19" t="str">
        <f>IFERROR(__xludf.DUMMYFUNCTION("IF(OR(regexmatch(A3465,"".*@simon.es$""),REGEXMATCH(A3465,"".*@simon.pt$""),REGEXMATCH(A3465,"".*@simonelectrica.com$""),REGEXMATCH(A3465,"".*@hiberus.com$""),REGEXMATCH(A3465,"".*@simonbrico.es$""),regexmatch(A3465,"".*@simonelectric.com$"")),""null"",A3"&amp;"465)"),"2623@mansel.es")</f>
        <v>2623@mansel.es</v>
      </c>
      <c r="C3465" s="5">
        <f>IF(B3465="null","null",Descargas!B3465)</f>
        <v>43893</v>
      </c>
      <c r="D3465" s="6" t="str">
        <f>Descargas!E3465</f>
        <v>https://resources.simonelectric.com/simon-ebook-vehiculo-electrico</v>
      </c>
      <c r="E3465" s="20" t="str">
        <f t="shared" si="1"/>
        <v>2623@mansel.es</v>
      </c>
      <c r="F3465" s="21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</row>
    <row r="3466" ht="15.75" customHeight="1">
      <c r="A3466" s="18" t="str">
        <f>Descargas!A3466</f>
        <v>2546@tecnovap.es</v>
      </c>
      <c r="B3466" s="19" t="str">
        <f>IFERROR(__xludf.DUMMYFUNCTION("IF(OR(regexmatch(A3466,"".*@simon.es$""),REGEXMATCH(A3466,"".*@simon.pt$""),REGEXMATCH(A3466,"".*@simonelectrica.com$""),REGEXMATCH(A3466,"".*@hiberus.com$""),REGEXMATCH(A3466,"".*@simonbrico.es$""),regexmatch(A3466,"".*@simonelectric.com$"")),""null"",A3"&amp;"466)"),"2546@tecnovap.es")</f>
        <v>2546@tecnovap.es</v>
      </c>
      <c r="C3466" s="5">
        <f>IF(B3466="null","null",Descargas!B3466)</f>
        <v>43893</v>
      </c>
      <c r="D3466" s="6" t="str">
        <f>Descargas!E3466</f>
        <v>https://resources.simonelectric.com/simon-ebook-vehiculo-electrico</v>
      </c>
      <c r="E3466" s="20" t="str">
        <f t="shared" si="1"/>
        <v>2546@tecnovap.es</v>
      </c>
      <c r="F3466" s="21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</row>
    <row r="3467" ht="15.75" customHeight="1">
      <c r="A3467" s="18" t="str">
        <f>Descargas!A3467</f>
        <v>2624@hotmail.com</v>
      </c>
      <c r="B3467" s="19" t="str">
        <f>IFERROR(__xludf.DUMMYFUNCTION("IF(OR(regexmatch(A3467,"".*@simon.es$""),REGEXMATCH(A3467,"".*@simon.pt$""),REGEXMATCH(A3467,"".*@simonelectrica.com$""),REGEXMATCH(A3467,"".*@hiberus.com$""),REGEXMATCH(A3467,"".*@simonbrico.es$""),regexmatch(A3467,"".*@simonelectric.com$"")),""null"",A3"&amp;"467)"),"2624@hotmail.com")</f>
        <v>2624@hotmail.com</v>
      </c>
      <c r="C3467" s="5">
        <f>IF(B3467="null","null",Descargas!B3467)</f>
        <v>43893</v>
      </c>
      <c r="D3467" s="6" t="str">
        <f>Descargas!E3467</f>
        <v>https://resources.simonelectric.com/simon-ebook-vehiculo-electrico</v>
      </c>
      <c r="E3467" s="20" t="str">
        <f t="shared" si="1"/>
        <v>2624@hotmail.com</v>
      </c>
      <c r="F3467" s="21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</row>
    <row r="3468" ht="15.75" customHeight="1">
      <c r="A3468" s="18" t="str">
        <f>Descargas!A3468</f>
        <v>2625@gmail.com</v>
      </c>
      <c r="B3468" s="19" t="str">
        <f>IFERROR(__xludf.DUMMYFUNCTION("IF(OR(regexmatch(A3468,"".*@simon.es$""),REGEXMATCH(A3468,"".*@simon.pt$""),REGEXMATCH(A3468,"".*@simonelectrica.com$""),REGEXMATCH(A3468,"".*@hiberus.com$""),REGEXMATCH(A3468,"".*@simonbrico.es$""),regexmatch(A3468,"".*@simonelectric.com$"")),""null"",A3"&amp;"468)"),"2625@gmail.com")</f>
        <v>2625@gmail.com</v>
      </c>
      <c r="C3468" s="5">
        <f>IF(B3468="null","null",Descargas!B3468)</f>
        <v>43893</v>
      </c>
      <c r="D3468" s="6" t="str">
        <f>Descargas!E3468</f>
        <v>https://resources.simonelectric.com/simon-ebook-vehiculo-electrico</v>
      </c>
      <c r="E3468" s="20" t="str">
        <f t="shared" si="1"/>
        <v>2625@gmail.com</v>
      </c>
      <c r="F3468" s="21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</row>
    <row r="3469" ht="15.75" customHeight="1">
      <c r="A3469" s="18" t="str">
        <f>Descargas!A3469</f>
        <v>2626@proycoga.es</v>
      </c>
      <c r="B3469" s="19" t="str">
        <f>IFERROR(__xludf.DUMMYFUNCTION("IF(OR(regexmatch(A3469,"".*@simon.es$""),REGEXMATCH(A3469,"".*@simon.pt$""),REGEXMATCH(A3469,"".*@simonelectrica.com$""),REGEXMATCH(A3469,"".*@hiberus.com$""),REGEXMATCH(A3469,"".*@simonbrico.es$""),regexmatch(A3469,"".*@simonelectric.com$"")),""null"",A3"&amp;"469)"),"2626@proycoga.es")</f>
        <v>2626@proycoga.es</v>
      </c>
      <c r="C3469" s="5">
        <f>IF(B3469="null","null",Descargas!B3469)</f>
        <v>43893</v>
      </c>
      <c r="D3469" s="6" t="str">
        <f>Descargas!E3469</f>
        <v>https://resources.simonelectric.com/simon-ebook-vehiculo-electrico</v>
      </c>
      <c r="E3469" s="20" t="str">
        <f t="shared" si="1"/>
        <v>2626@proycoga.es</v>
      </c>
      <c r="F3469" s="21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</row>
    <row r="3470" ht="15.75" customHeight="1">
      <c r="A3470" s="18" t="str">
        <f>Descargas!A3470</f>
        <v>2627@aemsys.com</v>
      </c>
      <c r="B3470" s="19" t="str">
        <f>IFERROR(__xludf.DUMMYFUNCTION("IF(OR(regexmatch(A3470,"".*@simon.es$""),REGEXMATCH(A3470,"".*@simon.pt$""),REGEXMATCH(A3470,"".*@simonelectrica.com$""),REGEXMATCH(A3470,"".*@hiberus.com$""),REGEXMATCH(A3470,"".*@simonbrico.es$""),regexmatch(A3470,"".*@simonelectric.com$"")),""null"",A3"&amp;"470)"),"2627@aemsys.com")</f>
        <v>2627@aemsys.com</v>
      </c>
      <c r="C3470" s="5">
        <f>IF(B3470="null","null",Descargas!B3470)</f>
        <v>43893</v>
      </c>
      <c r="D3470" s="6" t="str">
        <f>Descargas!E3470</f>
        <v>https://resources.simonelectric.com/simon-ebook-vehiculo-electrico</v>
      </c>
      <c r="E3470" s="20" t="str">
        <f t="shared" si="1"/>
        <v>2627@aemsys.com</v>
      </c>
      <c r="F3470" s="21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</row>
    <row r="3471" ht="15.75" customHeight="1">
      <c r="A3471" s="18" t="str">
        <f>Descargas!A3471</f>
        <v>2628@telefonica.net</v>
      </c>
      <c r="B3471" s="19" t="str">
        <f>IFERROR(__xludf.DUMMYFUNCTION("IF(OR(regexmatch(A3471,"".*@simon.es$""),REGEXMATCH(A3471,"".*@simon.pt$""),REGEXMATCH(A3471,"".*@simonelectrica.com$""),REGEXMATCH(A3471,"".*@hiberus.com$""),REGEXMATCH(A3471,"".*@simonbrico.es$""),regexmatch(A3471,"".*@simonelectric.com$"")),""null"",A3"&amp;"471)"),"2628@telefonica.net")</f>
        <v>2628@telefonica.net</v>
      </c>
      <c r="C3471" s="5">
        <f>IF(B3471="null","null",Descargas!B3471)</f>
        <v>43893</v>
      </c>
      <c r="D3471" s="6" t="str">
        <f>Descargas!E3471</f>
        <v>https://resources.simonelectric.com/simon-ebook-vehiculo-electrico</v>
      </c>
      <c r="E3471" s="20" t="str">
        <f t="shared" si="1"/>
        <v>2628@telefonica.net</v>
      </c>
      <c r="F3471" s="21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</row>
    <row r="3472" ht="15.75" customHeight="1">
      <c r="A3472" s="18" t="str">
        <f>Descargas!A3472</f>
        <v>2629@hotmail.com</v>
      </c>
      <c r="B3472" s="19" t="str">
        <f>IFERROR(__xludf.DUMMYFUNCTION("IF(OR(regexmatch(A3472,"".*@simon.es$""),REGEXMATCH(A3472,"".*@simon.pt$""),REGEXMATCH(A3472,"".*@simonelectrica.com$""),REGEXMATCH(A3472,"".*@hiberus.com$""),REGEXMATCH(A3472,"".*@simonbrico.es$""),regexmatch(A3472,"".*@simonelectric.com$"")),""null"",A3"&amp;"472)"),"2629@hotmail.com")</f>
        <v>2629@hotmail.com</v>
      </c>
      <c r="C3472" s="5">
        <f>IF(B3472="null","null",Descargas!B3472)</f>
        <v>43893</v>
      </c>
      <c r="D3472" s="6" t="str">
        <f>Descargas!E3472</f>
        <v>https://resources.simonelectric.com/simon-ebook-vehiculo-electrico</v>
      </c>
      <c r="E3472" s="20" t="str">
        <f t="shared" si="1"/>
        <v>2629@hotmail.com</v>
      </c>
      <c r="F3472" s="21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</row>
    <row r="3473" ht="15.75" customHeight="1">
      <c r="A3473" s="18" t="str">
        <f>Descargas!A3473</f>
        <v>2630@gmail.com</v>
      </c>
      <c r="B3473" s="19" t="str">
        <f>IFERROR(__xludf.DUMMYFUNCTION("IF(OR(regexmatch(A3473,"".*@simon.es$""),REGEXMATCH(A3473,"".*@simon.pt$""),REGEXMATCH(A3473,"".*@simonelectrica.com$""),REGEXMATCH(A3473,"".*@hiberus.com$""),REGEXMATCH(A3473,"".*@simonbrico.es$""),regexmatch(A3473,"".*@simonelectric.com$"")),""null"",A3"&amp;"473)"),"2630@gmail.com")</f>
        <v>2630@gmail.com</v>
      </c>
      <c r="C3473" s="5">
        <f>IF(B3473="null","null",Descargas!B3473)</f>
        <v>43893</v>
      </c>
      <c r="D3473" s="6" t="str">
        <f>Descargas!E3473</f>
        <v>https://resources.simonelectric.com/simon-ebook-vehiculo-electrico</v>
      </c>
      <c r="E3473" s="20" t="str">
        <f t="shared" si="1"/>
        <v>2630@gmail.com</v>
      </c>
      <c r="F3473" s="21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</row>
    <row r="3474" ht="15.75" customHeight="1">
      <c r="A3474" s="18" t="str">
        <f>Descargas!A3474</f>
        <v>1308@tdgi.pt</v>
      </c>
      <c r="B3474" s="19" t="str">
        <f>IFERROR(__xludf.DUMMYFUNCTION("IF(OR(regexmatch(A3474,"".*@simon.es$""),REGEXMATCH(A3474,"".*@simon.pt$""),REGEXMATCH(A3474,"".*@simonelectrica.com$""),REGEXMATCH(A3474,"".*@hiberus.com$""),REGEXMATCH(A3474,"".*@simonbrico.es$""),regexmatch(A3474,"".*@simonelectric.com$"")),""null"",A3"&amp;"474)"),"1308@tdgi.pt")</f>
        <v>1308@tdgi.pt</v>
      </c>
      <c r="C3474" s="5">
        <f>IF(B3474="null","null",Descargas!B3474)</f>
        <v>43893</v>
      </c>
      <c r="D3474" s="6" t="str">
        <f>Descargas!E3474</f>
        <v>https://resources.simonelectric.com/simon-ebook-vehiculo-electrico</v>
      </c>
      <c r="E3474" s="20" t="str">
        <f t="shared" si="1"/>
        <v>1308@tdgi.pt</v>
      </c>
      <c r="F3474" s="21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</row>
    <row r="3475" ht="15.75" customHeight="1">
      <c r="A3475" s="18" t="str">
        <f>Descargas!A3475</f>
        <v>2631@gmail.com</v>
      </c>
      <c r="B3475" s="19" t="str">
        <f>IFERROR(__xludf.DUMMYFUNCTION("IF(OR(regexmatch(A3475,"".*@simon.es$""),REGEXMATCH(A3475,"".*@simon.pt$""),REGEXMATCH(A3475,"".*@simonelectrica.com$""),REGEXMATCH(A3475,"".*@hiberus.com$""),REGEXMATCH(A3475,"".*@simonbrico.es$""),regexmatch(A3475,"".*@simonelectric.com$"")),""null"",A3"&amp;"475)"),"2631@gmail.com")</f>
        <v>2631@gmail.com</v>
      </c>
      <c r="C3475" s="5">
        <f>IF(B3475="null","null",Descargas!B3475)</f>
        <v>43893</v>
      </c>
      <c r="D3475" s="6" t="str">
        <f>Descargas!E3475</f>
        <v>https://resources.simonelectric.com/simon-ebook-vehiculo-electrico</v>
      </c>
      <c r="E3475" s="20" t="str">
        <f t="shared" si="1"/>
        <v>2631@gmail.com</v>
      </c>
      <c r="F3475" s="21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</row>
    <row r="3476" ht="15.75" customHeight="1">
      <c r="A3476" s="18" t="str">
        <f>Descargas!A3476</f>
        <v>2632@felices.agency</v>
      </c>
      <c r="B3476" s="19" t="str">
        <f>IFERROR(__xludf.DUMMYFUNCTION("IF(OR(regexmatch(A3476,"".*@simon.es$""),REGEXMATCH(A3476,"".*@simon.pt$""),REGEXMATCH(A3476,"".*@simonelectrica.com$""),REGEXMATCH(A3476,"".*@hiberus.com$""),REGEXMATCH(A3476,"".*@simonbrico.es$""),regexmatch(A3476,"".*@simonelectric.com$"")),""null"",A3"&amp;"476)"),"2632@felices.agency")</f>
        <v>2632@felices.agency</v>
      </c>
      <c r="C3476" s="5">
        <f>IF(B3476="null","null",Descargas!B3476)</f>
        <v>43893</v>
      </c>
      <c r="D3476" s="6" t="str">
        <f>Descargas!E3476</f>
        <v>https://resources.simonelectric.com/simon-ebook-vehiculo-electrico</v>
      </c>
      <c r="E3476" s="20" t="str">
        <f t="shared" si="1"/>
        <v>2632@felices.agency</v>
      </c>
      <c r="F3476" s="21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</row>
    <row r="3477" ht="15.75" customHeight="1">
      <c r="A3477" s="18" t="str">
        <f>Descargas!A3477</f>
        <v>806@gmail.com</v>
      </c>
      <c r="B3477" s="19" t="str">
        <f>IFERROR(__xludf.DUMMYFUNCTION("IF(OR(regexmatch(A3477,"".*@simon.es$""),REGEXMATCH(A3477,"".*@simon.pt$""),REGEXMATCH(A3477,"".*@simonelectrica.com$""),REGEXMATCH(A3477,"".*@hiberus.com$""),REGEXMATCH(A3477,"".*@simonbrico.es$""),regexmatch(A3477,"".*@simonelectric.com$"")),""null"",A3"&amp;"477)"),"806@gmail.com")</f>
        <v>806@gmail.com</v>
      </c>
      <c r="C3477" s="5">
        <f>IF(B3477="null","null",Descargas!B3477)</f>
        <v>43893</v>
      </c>
      <c r="D3477" s="6" t="str">
        <f>Descargas!E3477</f>
        <v>https://resources.simonelectric.com/simon-ebook-vehiculo-electrico</v>
      </c>
      <c r="E3477" s="20" t="str">
        <f t="shared" si="1"/>
        <v>806@gmail.com</v>
      </c>
      <c r="F3477" s="21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</row>
    <row r="3478" ht="15.75" customHeight="1">
      <c r="A3478" s="18" t="str">
        <f>Descargas!A3478</f>
        <v>2633@araelec.com</v>
      </c>
      <c r="B3478" s="19" t="str">
        <f>IFERROR(__xludf.DUMMYFUNCTION("IF(OR(regexmatch(A3478,"".*@simon.es$""),REGEXMATCH(A3478,"".*@simon.pt$""),REGEXMATCH(A3478,"".*@simonelectrica.com$""),REGEXMATCH(A3478,"".*@hiberus.com$""),REGEXMATCH(A3478,"".*@simonbrico.es$""),regexmatch(A3478,"".*@simonelectric.com$"")),""null"",A3"&amp;"478)"),"2633@araelec.com")</f>
        <v>2633@araelec.com</v>
      </c>
      <c r="C3478" s="5">
        <f>IF(B3478="null","null",Descargas!B3478)</f>
        <v>43893</v>
      </c>
      <c r="D3478" s="6" t="str">
        <f>Descargas!E3478</f>
        <v>https://resources.simonelectric.com/simon-ebook-vehiculo-electrico</v>
      </c>
      <c r="E3478" s="20" t="str">
        <f t="shared" si="1"/>
        <v>2633@araelec.com</v>
      </c>
      <c r="F3478" s="21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</row>
    <row r="3479" ht="15.75" customHeight="1">
      <c r="A3479" s="18" t="str">
        <f>Descargas!A3479</f>
        <v>2634@hotmail.es</v>
      </c>
      <c r="B3479" s="19" t="str">
        <f>IFERROR(__xludf.DUMMYFUNCTION("IF(OR(regexmatch(A3479,"".*@simon.es$""),REGEXMATCH(A3479,"".*@simon.pt$""),REGEXMATCH(A3479,"".*@simonelectrica.com$""),REGEXMATCH(A3479,"".*@hiberus.com$""),REGEXMATCH(A3479,"".*@simonbrico.es$""),regexmatch(A3479,"".*@simonelectric.com$"")),""null"",A3"&amp;"479)"),"2634@hotmail.es")</f>
        <v>2634@hotmail.es</v>
      </c>
      <c r="C3479" s="5">
        <f>IF(B3479="null","null",Descargas!B3479)</f>
        <v>43893</v>
      </c>
      <c r="D3479" s="6" t="str">
        <f>Descargas!E3479</f>
        <v>https://resources.simonelectric.com/simon-ebook-vehiculo-electrico</v>
      </c>
      <c r="E3479" s="20" t="str">
        <f t="shared" si="1"/>
        <v>2634@hotmail.es</v>
      </c>
      <c r="F3479" s="21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</row>
    <row r="3480" ht="15.75" customHeight="1">
      <c r="A3480" s="18" t="str">
        <f>Descargas!A3480</f>
        <v>2635@ambginy.com</v>
      </c>
      <c r="B3480" s="19" t="str">
        <f>IFERROR(__xludf.DUMMYFUNCTION("IF(OR(regexmatch(A3480,"".*@simon.es$""),REGEXMATCH(A3480,"".*@simon.pt$""),REGEXMATCH(A3480,"".*@simonelectrica.com$""),REGEXMATCH(A3480,"".*@hiberus.com$""),REGEXMATCH(A3480,"".*@simonbrico.es$""),regexmatch(A3480,"".*@simonelectric.com$"")),""null"",A3"&amp;"480)"),"2635@ambginy.com")</f>
        <v>2635@ambginy.com</v>
      </c>
      <c r="C3480" s="5">
        <f>IF(B3480="null","null",Descargas!B3480)</f>
        <v>43893</v>
      </c>
      <c r="D3480" s="6" t="str">
        <f>Descargas!E3480</f>
        <v>https://resources.simonelectric.com/simon-ebook-vehiculo-electrico</v>
      </c>
      <c r="E3480" s="20" t="str">
        <f t="shared" si="1"/>
        <v>2635@ambginy.com</v>
      </c>
      <c r="F3480" s="21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</row>
    <row r="3481" ht="15.75" customHeight="1">
      <c r="A3481" s="18" t="str">
        <f>Descargas!A3481</f>
        <v>2507@victorperezsl.com</v>
      </c>
      <c r="B3481" s="19" t="str">
        <f>IFERROR(__xludf.DUMMYFUNCTION("IF(OR(regexmatch(A3481,"".*@simon.es$""),REGEXMATCH(A3481,"".*@simon.pt$""),REGEXMATCH(A3481,"".*@simonelectrica.com$""),REGEXMATCH(A3481,"".*@hiberus.com$""),REGEXMATCH(A3481,"".*@simonbrico.es$""),regexmatch(A3481,"".*@simonelectric.com$"")),""null"",A3"&amp;"481)"),"2507@victorperezsl.com")</f>
        <v>2507@victorperezsl.com</v>
      </c>
      <c r="C3481" s="5">
        <f>IF(B3481="null","null",Descargas!B3481)</f>
        <v>43893</v>
      </c>
      <c r="D3481" s="6" t="str">
        <f>Descargas!E3481</f>
        <v>https://resources.simonelectric.com/simon-ebook-vehiculo-electrico</v>
      </c>
      <c r="E3481" s="20" t="str">
        <f t="shared" si="1"/>
        <v>2507@victorperezsl.com</v>
      </c>
      <c r="F3481" s="21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</row>
    <row r="3482" ht="15.75" customHeight="1">
      <c r="A3482" s="18" t="str">
        <f>Descargas!A3482</f>
        <v>2636@sonepar.es</v>
      </c>
      <c r="B3482" s="19" t="str">
        <f>IFERROR(__xludf.DUMMYFUNCTION("IF(OR(regexmatch(A3482,"".*@simon.es$""),REGEXMATCH(A3482,"".*@simon.pt$""),REGEXMATCH(A3482,"".*@simonelectrica.com$""),REGEXMATCH(A3482,"".*@hiberus.com$""),REGEXMATCH(A3482,"".*@simonbrico.es$""),regexmatch(A3482,"".*@simonelectric.com$"")),""null"",A3"&amp;"482)"),"2636@sonepar.es")</f>
        <v>2636@sonepar.es</v>
      </c>
      <c r="C3482" s="5">
        <f>IF(B3482="null","null",Descargas!B3482)</f>
        <v>43893</v>
      </c>
      <c r="D3482" s="6" t="str">
        <f>Descargas!E3482</f>
        <v>https://resources.simonelectric.com/simon-ebook-vehiculo-electrico</v>
      </c>
      <c r="E3482" s="20" t="str">
        <f t="shared" si="1"/>
        <v>2636@sonepar.es</v>
      </c>
      <c r="F3482" s="21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</row>
    <row r="3483" ht="15.75" customHeight="1">
      <c r="A3483" s="18" t="str">
        <f>Descargas!A3483</f>
        <v>2637@metromadrid.es</v>
      </c>
      <c r="B3483" s="19" t="str">
        <f>IFERROR(__xludf.DUMMYFUNCTION("IF(OR(regexmatch(A3483,"".*@simon.es$""),REGEXMATCH(A3483,"".*@simon.pt$""),REGEXMATCH(A3483,"".*@simonelectrica.com$""),REGEXMATCH(A3483,"".*@hiberus.com$""),REGEXMATCH(A3483,"".*@simonbrico.es$""),regexmatch(A3483,"".*@simonelectric.com$"")),""null"",A3"&amp;"483)"),"2637@metromadrid.es")</f>
        <v>2637@metromadrid.es</v>
      </c>
      <c r="C3483" s="5">
        <f>IF(B3483="null","null",Descargas!B3483)</f>
        <v>43893</v>
      </c>
      <c r="D3483" s="6" t="str">
        <f>Descargas!E3483</f>
        <v>https://resources.simonelectric.com/simon-ebook-vehiculo-electrico</v>
      </c>
      <c r="E3483" s="20" t="str">
        <f t="shared" si="1"/>
        <v>2637@metromadrid.es</v>
      </c>
      <c r="F3483" s="21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</row>
    <row r="3484" ht="15.75" customHeight="1">
      <c r="A3484" s="18" t="str">
        <f>Descargas!A3484</f>
        <v>667@ces2010.es</v>
      </c>
      <c r="B3484" s="19" t="str">
        <f>IFERROR(__xludf.DUMMYFUNCTION("IF(OR(regexmatch(A3484,"".*@simon.es$""),REGEXMATCH(A3484,"".*@simon.pt$""),REGEXMATCH(A3484,"".*@simonelectrica.com$""),REGEXMATCH(A3484,"".*@hiberus.com$""),REGEXMATCH(A3484,"".*@simonbrico.es$""),regexmatch(A3484,"".*@simonelectric.com$"")),""null"",A3"&amp;"484)"),"667@ces2010.es")</f>
        <v>667@ces2010.es</v>
      </c>
      <c r="C3484" s="5">
        <f>IF(B3484="null","null",Descargas!B3484)</f>
        <v>43893</v>
      </c>
      <c r="D3484" s="6" t="str">
        <f>Descargas!E3484</f>
        <v>https://resources.simonelectric.com/simon-ebook-vehiculo-electrico</v>
      </c>
      <c r="E3484" s="20" t="str">
        <f t="shared" si="1"/>
        <v>667@ces2010.es</v>
      </c>
      <c r="F3484" s="21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</row>
    <row r="3485" ht="15.75" customHeight="1">
      <c r="A3485" s="18" t="str">
        <f>Descargas!A3485</f>
        <v>2638@ativalles.com</v>
      </c>
      <c r="B3485" s="19" t="str">
        <f>IFERROR(__xludf.DUMMYFUNCTION("IF(OR(regexmatch(A3485,"".*@simon.es$""),REGEXMATCH(A3485,"".*@simon.pt$""),REGEXMATCH(A3485,"".*@simonelectrica.com$""),REGEXMATCH(A3485,"".*@hiberus.com$""),REGEXMATCH(A3485,"".*@simonbrico.es$""),regexmatch(A3485,"".*@simonelectric.com$"")),""null"",A3"&amp;"485)"),"2638@ativalles.com")</f>
        <v>2638@ativalles.com</v>
      </c>
      <c r="C3485" s="5">
        <f>IF(B3485="null","null",Descargas!B3485)</f>
        <v>43893</v>
      </c>
      <c r="D3485" s="6" t="str">
        <f>Descargas!E3485</f>
        <v>https://resources.simonelectric.com/simon-ebook-vehiculo-electrico</v>
      </c>
      <c r="E3485" s="20" t="str">
        <f t="shared" si="1"/>
        <v>2638@ativalles.com</v>
      </c>
      <c r="F3485" s="21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</row>
    <row r="3486" ht="15.75" customHeight="1">
      <c r="A3486" s="18" t="str">
        <f>Descargas!A3486</f>
        <v>2639@sanitariosbosco.es</v>
      </c>
      <c r="B3486" s="19" t="str">
        <f>IFERROR(__xludf.DUMMYFUNCTION("IF(OR(regexmatch(A3486,"".*@simon.es$""),REGEXMATCH(A3486,"".*@simon.pt$""),REGEXMATCH(A3486,"".*@simonelectrica.com$""),REGEXMATCH(A3486,"".*@hiberus.com$""),REGEXMATCH(A3486,"".*@simonbrico.es$""),regexmatch(A3486,"".*@simonelectric.com$"")),""null"",A3"&amp;"486)"),"2639@sanitariosbosco.es")</f>
        <v>2639@sanitariosbosco.es</v>
      </c>
      <c r="C3486" s="5">
        <f>IF(B3486="null","null",Descargas!B3486)</f>
        <v>43893</v>
      </c>
      <c r="D3486" s="6" t="str">
        <f>Descargas!E3486</f>
        <v>https://resources.simonelectric.com/simon-ebook-vehiculo-electrico</v>
      </c>
      <c r="E3486" s="20" t="str">
        <f t="shared" si="1"/>
        <v>2639@sanitariosbosco.es</v>
      </c>
      <c r="F3486" s="21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</row>
    <row r="3487" ht="15.75" customHeight="1">
      <c r="A3487" s="18" t="str">
        <f>Descargas!A3487</f>
        <v>2640@magserveis.com</v>
      </c>
      <c r="B3487" s="19" t="str">
        <f>IFERROR(__xludf.DUMMYFUNCTION("IF(OR(regexmatch(A3487,"".*@simon.es$""),REGEXMATCH(A3487,"".*@simon.pt$""),REGEXMATCH(A3487,"".*@simonelectrica.com$""),REGEXMATCH(A3487,"".*@hiberus.com$""),REGEXMATCH(A3487,"".*@simonbrico.es$""),regexmatch(A3487,"".*@simonelectric.com$"")),""null"",A3"&amp;"487)"),"2640@magserveis.com")</f>
        <v>2640@magserveis.com</v>
      </c>
      <c r="C3487" s="5">
        <f>IF(B3487="null","null",Descargas!B3487)</f>
        <v>43893</v>
      </c>
      <c r="D3487" s="6" t="str">
        <f>Descargas!E3487</f>
        <v>https://resources.simonelectric.com/simon-ebook-vehiculo-electrico</v>
      </c>
      <c r="E3487" s="20" t="str">
        <f t="shared" si="1"/>
        <v>2640@magserveis.com</v>
      </c>
      <c r="F3487" s="21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</row>
    <row r="3488" ht="15.75" customHeight="1">
      <c r="A3488" s="18" t="str">
        <f>Descargas!A3488</f>
        <v>2641@gmail.com</v>
      </c>
      <c r="B3488" s="19" t="str">
        <f>IFERROR(__xludf.DUMMYFUNCTION("IF(OR(regexmatch(A3488,"".*@simon.es$""),REGEXMATCH(A3488,"".*@simon.pt$""),REGEXMATCH(A3488,"".*@simonelectrica.com$""),REGEXMATCH(A3488,"".*@hiberus.com$""),REGEXMATCH(A3488,"".*@simonbrico.es$""),regexmatch(A3488,"".*@simonelectric.com$"")),""null"",A3"&amp;"488)"),"2641@gmail.com")</f>
        <v>2641@gmail.com</v>
      </c>
      <c r="C3488" s="5">
        <f>IF(B3488="null","null",Descargas!B3488)</f>
        <v>43893</v>
      </c>
      <c r="D3488" s="6" t="str">
        <f>Descargas!E3488</f>
        <v>https://resources.simonelectric.com/simon-ebook-vehiculo-electrico</v>
      </c>
      <c r="E3488" s="20" t="str">
        <f t="shared" si="1"/>
        <v>2641@gmail.com</v>
      </c>
      <c r="F3488" s="21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</row>
    <row r="3489" ht="15.75" customHeight="1">
      <c r="A3489" s="18" t="str">
        <f>Descargas!A3489</f>
        <v>2642@mipelsa.es</v>
      </c>
      <c r="B3489" s="19" t="str">
        <f>IFERROR(__xludf.DUMMYFUNCTION("IF(OR(regexmatch(A3489,"".*@simon.es$""),REGEXMATCH(A3489,"".*@simon.pt$""),REGEXMATCH(A3489,"".*@simonelectrica.com$""),REGEXMATCH(A3489,"".*@hiberus.com$""),REGEXMATCH(A3489,"".*@simonbrico.es$""),regexmatch(A3489,"".*@simonelectric.com$"")),""null"",A3"&amp;"489)"),"2642@mipelsa.es")</f>
        <v>2642@mipelsa.es</v>
      </c>
      <c r="C3489" s="5">
        <f>IF(B3489="null","null",Descargas!B3489)</f>
        <v>43893</v>
      </c>
      <c r="D3489" s="6" t="str">
        <f>Descargas!E3489</f>
        <v>https://resources.simonelectric.com/simon-ebook-vehiculo-electrico</v>
      </c>
      <c r="E3489" s="20" t="str">
        <f t="shared" si="1"/>
        <v>2642@mipelsa.es</v>
      </c>
      <c r="F3489" s="21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</row>
    <row r="3490" ht="15.75" customHeight="1">
      <c r="A3490" s="18" t="str">
        <f>Descargas!A3490</f>
        <v>2643@sansiga.com</v>
      </c>
      <c r="B3490" s="19" t="str">
        <f>IFERROR(__xludf.DUMMYFUNCTION("IF(OR(regexmatch(A3490,"".*@simon.es$""),REGEXMATCH(A3490,"".*@simon.pt$""),REGEXMATCH(A3490,"".*@simonelectrica.com$""),REGEXMATCH(A3490,"".*@hiberus.com$""),REGEXMATCH(A3490,"".*@simonbrico.es$""),regexmatch(A3490,"".*@simonelectric.com$"")),""null"",A3"&amp;"490)"),"2643@sansiga.com")</f>
        <v>2643@sansiga.com</v>
      </c>
      <c r="C3490" s="5">
        <f>IF(B3490="null","null",Descargas!B3490)</f>
        <v>43893</v>
      </c>
      <c r="D3490" s="6" t="str">
        <f>Descargas!E3490</f>
        <v>https://resources.simonelectric.com/simon-ebook-vehiculo-electrico</v>
      </c>
      <c r="E3490" s="20" t="str">
        <f t="shared" si="1"/>
        <v>2643@sansiga.com</v>
      </c>
      <c r="F3490" s="21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</row>
    <row r="3491" ht="15.75" customHeight="1">
      <c r="A3491" s="18" t="str">
        <f>Descargas!A3491</f>
        <v>2644@gmail.com</v>
      </c>
      <c r="B3491" s="19" t="str">
        <f>IFERROR(__xludf.DUMMYFUNCTION("IF(OR(regexmatch(A3491,"".*@simon.es$""),REGEXMATCH(A3491,"".*@simon.pt$""),REGEXMATCH(A3491,"".*@simonelectrica.com$""),REGEXMATCH(A3491,"".*@hiberus.com$""),REGEXMATCH(A3491,"".*@simonbrico.es$""),regexmatch(A3491,"".*@simonelectric.com$"")),""null"",A3"&amp;"491)"),"2644@gmail.com")</f>
        <v>2644@gmail.com</v>
      </c>
      <c r="C3491" s="5">
        <f>IF(B3491="null","null",Descargas!B3491)</f>
        <v>43893</v>
      </c>
      <c r="D3491" s="6" t="str">
        <f>Descargas!E3491</f>
        <v>https://resources.simonelectric.com/simon-ebook-vehiculo-electrico</v>
      </c>
      <c r="E3491" s="20" t="str">
        <f t="shared" si="1"/>
        <v>2644@gmail.com</v>
      </c>
      <c r="F3491" s="21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</row>
    <row r="3492" ht="15.75" customHeight="1">
      <c r="A3492" s="18" t="str">
        <f>Descargas!A3492</f>
        <v>2645@hotmail.com</v>
      </c>
      <c r="B3492" s="19" t="str">
        <f>IFERROR(__xludf.DUMMYFUNCTION("IF(OR(regexmatch(A3492,"".*@simon.es$""),REGEXMATCH(A3492,"".*@simon.pt$""),REGEXMATCH(A3492,"".*@simonelectrica.com$""),REGEXMATCH(A3492,"".*@hiberus.com$""),REGEXMATCH(A3492,"".*@simonbrico.es$""),regexmatch(A3492,"".*@simonelectric.com$"")),""null"",A3"&amp;"492)"),"2645@hotmail.com")</f>
        <v>2645@hotmail.com</v>
      </c>
      <c r="C3492" s="5">
        <f>IF(B3492="null","null",Descargas!B3492)</f>
        <v>43893</v>
      </c>
      <c r="D3492" s="6" t="str">
        <f>Descargas!E3492</f>
        <v>https://resources.simonelectric.com/simon-ebook-vehiculo-electrico</v>
      </c>
      <c r="E3492" s="20" t="str">
        <f t="shared" si="1"/>
        <v>2645@hotmail.com</v>
      </c>
      <c r="F3492" s="21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</row>
    <row r="3493" ht="15.75" customHeight="1">
      <c r="A3493" s="18" t="str">
        <f>Descargas!A3493</f>
        <v>2646@gmail.com</v>
      </c>
      <c r="B3493" s="19" t="str">
        <f>IFERROR(__xludf.DUMMYFUNCTION("IF(OR(regexmatch(A3493,"".*@simon.es$""),REGEXMATCH(A3493,"".*@simon.pt$""),REGEXMATCH(A3493,"".*@simonelectrica.com$""),REGEXMATCH(A3493,"".*@hiberus.com$""),REGEXMATCH(A3493,"".*@simonbrico.es$""),regexmatch(A3493,"".*@simonelectric.com$"")),""null"",A3"&amp;"493)"),"2646@gmail.com")</f>
        <v>2646@gmail.com</v>
      </c>
      <c r="C3493" s="5">
        <f>IF(B3493="null","null",Descargas!B3493)</f>
        <v>43893</v>
      </c>
      <c r="D3493" s="6" t="str">
        <f>Descargas!E3493</f>
        <v>https://resources.simonelectric.com/simon-ebook-vehiculo-electrico</v>
      </c>
      <c r="E3493" s="20" t="str">
        <f t="shared" si="1"/>
        <v>2646@gmail.com</v>
      </c>
      <c r="F3493" s="21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</row>
    <row r="3494" ht="15.75" customHeight="1">
      <c r="A3494" s="18" t="str">
        <f>Descargas!A3494</f>
        <v>2647@rexel.es</v>
      </c>
      <c r="B3494" s="19" t="str">
        <f>IFERROR(__xludf.DUMMYFUNCTION("IF(OR(regexmatch(A3494,"".*@simon.es$""),REGEXMATCH(A3494,"".*@simon.pt$""),REGEXMATCH(A3494,"".*@simonelectrica.com$""),REGEXMATCH(A3494,"".*@hiberus.com$""),REGEXMATCH(A3494,"".*@simonbrico.es$""),regexmatch(A3494,"".*@simonelectric.com$"")),""null"",A3"&amp;"494)"),"2647@rexel.es")</f>
        <v>2647@rexel.es</v>
      </c>
      <c r="C3494" s="5">
        <f>IF(B3494="null","null",Descargas!B3494)</f>
        <v>43893</v>
      </c>
      <c r="D3494" s="6" t="str">
        <f>Descargas!E3494</f>
        <v>https://resources.simonelectric.com/simon-ebook-vehiculo-electrico</v>
      </c>
      <c r="E3494" s="20" t="str">
        <f t="shared" si="1"/>
        <v>2647@rexel.es</v>
      </c>
      <c r="F3494" s="21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</row>
    <row r="3495" ht="15.75" customHeight="1">
      <c r="A3495" s="18" t="str">
        <f>Descargas!A3495</f>
        <v>2648@electracaldense.com</v>
      </c>
      <c r="B3495" s="19" t="str">
        <f>IFERROR(__xludf.DUMMYFUNCTION("IF(OR(regexmatch(A3495,"".*@simon.es$""),REGEXMATCH(A3495,"".*@simon.pt$""),REGEXMATCH(A3495,"".*@simonelectrica.com$""),REGEXMATCH(A3495,"".*@hiberus.com$""),REGEXMATCH(A3495,"".*@simonbrico.es$""),regexmatch(A3495,"".*@simonelectric.com$"")),""null"",A3"&amp;"495)"),"2648@electracaldense.com")</f>
        <v>2648@electracaldense.com</v>
      </c>
      <c r="C3495" s="5">
        <f>IF(B3495="null","null",Descargas!B3495)</f>
        <v>43893</v>
      </c>
      <c r="D3495" s="6" t="str">
        <f>Descargas!E3495</f>
        <v>https://resources.simonelectric.com/simon-ebook-vehiculo-electrico</v>
      </c>
      <c r="E3495" s="20" t="str">
        <f t="shared" si="1"/>
        <v>2648@electracaldense.com</v>
      </c>
      <c r="F3495" s="21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</row>
    <row r="3496" ht="15.75" customHeight="1">
      <c r="A3496" s="18" t="str">
        <f>Descargas!A3496</f>
        <v>2649@grupocuerva.com</v>
      </c>
      <c r="B3496" s="19" t="str">
        <f>IFERROR(__xludf.DUMMYFUNCTION("IF(OR(regexmatch(A3496,"".*@simon.es$""),REGEXMATCH(A3496,"".*@simon.pt$""),REGEXMATCH(A3496,"".*@simonelectrica.com$""),REGEXMATCH(A3496,"".*@hiberus.com$""),REGEXMATCH(A3496,"".*@simonbrico.es$""),regexmatch(A3496,"".*@simonelectric.com$"")),""null"",A3"&amp;"496)"),"2649@grupocuerva.com")</f>
        <v>2649@grupocuerva.com</v>
      </c>
      <c r="C3496" s="5">
        <f>IF(B3496="null","null",Descargas!B3496)</f>
        <v>43893</v>
      </c>
      <c r="D3496" s="6" t="str">
        <f>Descargas!E3496</f>
        <v>https://resources.simonelectric.com/simon-ebook-vehiculo-electrico</v>
      </c>
      <c r="E3496" s="20" t="str">
        <f t="shared" si="1"/>
        <v>2649@grupocuerva.com</v>
      </c>
      <c r="F3496" s="21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</row>
    <row r="3497" ht="15.75" customHeight="1">
      <c r="A3497" s="18" t="str">
        <f>Descargas!A3497</f>
        <v>1135@gmail.com</v>
      </c>
      <c r="B3497" s="19" t="str">
        <f>IFERROR(__xludf.DUMMYFUNCTION("IF(OR(regexmatch(A3497,"".*@simon.es$""),REGEXMATCH(A3497,"".*@simon.pt$""),REGEXMATCH(A3497,"".*@simonelectrica.com$""),REGEXMATCH(A3497,"".*@hiberus.com$""),REGEXMATCH(A3497,"".*@simonbrico.es$""),regexmatch(A3497,"".*@simonelectric.com$"")),""null"",A3"&amp;"497)"),"1135@gmail.com")</f>
        <v>1135@gmail.com</v>
      </c>
      <c r="C3497" s="5">
        <f>IF(B3497="null","null",Descargas!B3497)</f>
        <v>43893</v>
      </c>
      <c r="D3497" s="6" t="str">
        <f>Descargas!E3497</f>
        <v>https://resources.simonelectric.com/simon-ebook-vehiculo-electrico</v>
      </c>
      <c r="E3497" s="20" t="str">
        <f t="shared" si="1"/>
        <v>1135@gmail.com</v>
      </c>
      <c r="F3497" s="21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</row>
    <row r="3498" ht="15.75" customHeight="1">
      <c r="A3498" s="18" t="str">
        <f>Descargas!A3498</f>
        <v>1476@sonepar.es</v>
      </c>
      <c r="B3498" s="19" t="str">
        <f>IFERROR(__xludf.DUMMYFUNCTION("IF(OR(regexmatch(A3498,"".*@simon.es$""),REGEXMATCH(A3498,"".*@simon.pt$""),REGEXMATCH(A3498,"".*@simonelectrica.com$""),REGEXMATCH(A3498,"".*@hiberus.com$""),REGEXMATCH(A3498,"".*@simonbrico.es$""),regexmatch(A3498,"".*@simonelectric.com$"")),""null"",A3"&amp;"498)"),"1476@sonepar.es")</f>
        <v>1476@sonepar.es</v>
      </c>
      <c r="C3498" s="5">
        <f>IF(B3498="null","null",Descargas!B3498)</f>
        <v>43893</v>
      </c>
      <c r="D3498" s="6" t="str">
        <f>Descargas!E3498</f>
        <v>https://resources.simonelectric.com/simon-ebook-vehiculo-electrico</v>
      </c>
      <c r="E3498" s="20" t="str">
        <f t="shared" si="1"/>
        <v>1476@sonepar.es</v>
      </c>
      <c r="F3498" s="21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</row>
    <row r="3499" ht="15.75" customHeight="1">
      <c r="A3499" s="18" t="str">
        <f>Descargas!A3499</f>
        <v>2650@coac.net</v>
      </c>
      <c r="B3499" s="19" t="str">
        <f>IFERROR(__xludf.DUMMYFUNCTION("IF(OR(regexmatch(A3499,"".*@simon.es$""),REGEXMATCH(A3499,"".*@simon.pt$""),REGEXMATCH(A3499,"".*@simonelectrica.com$""),REGEXMATCH(A3499,"".*@hiberus.com$""),REGEXMATCH(A3499,"".*@simonbrico.es$""),regexmatch(A3499,"".*@simonelectric.com$"")),""null"",A3"&amp;"499)"),"2650@coac.net")</f>
        <v>2650@coac.net</v>
      </c>
      <c r="C3499" s="5">
        <f>IF(B3499="null","null",Descargas!B3499)</f>
        <v>43893</v>
      </c>
      <c r="D3499" s="6" t="str">
        <f>Descargas!E3499</f>
        <v>https://resources.simonelectric.com/simon-ebook-vehiculo-electrico</v>
      </c>
      <c r="E3499" s="20" t="str">
        <f t="shared" si="1"/>
        <v>2650@coac.net</v>
      </c>
      <c r="F3499" s="21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</row>
    <row r="3500" ht="15.75" customHeight="1">
      <c r="A3500" s="18" t="str">
        <f>Descargas!A3500</f>
        <v>2651@yntegraservicios.es</v>
      </c>
      <c r="B3500" s="19" t="str">
        <f>IFERROR(__xludf.DUMMYFUNCTION("IF(OR(regexmatch(A3500,"".*@simon.es$""),REGEXMATCH(A3500,"".*@simon.pt$""),REGEXMATCH(A3500,"".*@simonelectrica.com$""),REGEXMATCH(A3500,"".*@hiberus.com$""),REGEXMATCH(A3500,"".*@simonbrico.es$""),regexmatch(A3500,"".*@simonelectric.com$"")),""null"",A3"&amp;"500)"),"2651@yntegraservicios.es")</f>
        <v>2651@yntegraservicios.es</v>
      </c>
      <c r="C3500" s="5">
        <f>IF(B3500="null","null",Descargas!B3500)</f>
        <v>43893</v>
      </c>
      <c r="D3500" s="6" t="str">
        <f>Descargas!E3500</f>
        <v>https://resources.simonelectric.com/simon-catalogo-vehiculo-electrico</v>
      </c>
      <c r="E3500" s="20" t="str">
        <f t="shared" si="1"/>
        <v>2651@yntegraservicios.es</v>
      </c>
      <c r="F3500" s="21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</row>
    <row r="3501" ht="15.75" customHeight="1">
      <c r="A3501" s="18" t="str">
        <f>Descargas!A3501</f>
        <v>2652@tessai.es</v>
      </c>
      <c r="B3501" s="19" t="str">
        <f>IFERROR(__xludf.DUMMYFUNCTION("IF(OR(regexmatch(A3501,"".*@simon.es$""),REGEXMATCH(A3501,"".*@simon.pt$""),REGEXMATCH(A3501,"".*@simonelectrica.com$""),REGEXMATCH(A3501,"".*@hiberus.com$""),REGEXMATCH(A3501,"".*@simonbrico.es$""),regexmatch(A3501,"".*@simonelectric.com$"")),""null"",A3"&amp;"501)"),"2652@tessai.es")</f>
        <v>2652@tessai.es</v>
      </c>
      <c r="C3501" s="5">
        <f>IF(B3501="null","null",Descargas!B3501)</f>
        <v>43893</v>
      </c>
      <c r="D3501" s="6" t="str">
        <f>Descargas!E3501</f>
        <v>https://resources.simonelectric.com/simon-ebook-vehiculo-electrico</v>
      </c>
      <c r="E3501" s="20" t="str">
        <f t="shared" si="1"/>
        <v>2652@tessai.es</v>
      </c>
      <c r="F3501" s="21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</row>
    <row r="3502" ht="15.75" customHeight="1">
      <c r="A3502" s="18" t="str">
        <f>Descargas!A3502</f>
        <v>2651@yntegraservicios.es</v>
      </c>
      <c r="B3502" s="19" t="str">
        <f>IFERROR(__xludf.DUMMYFUNCTION("IF(OR(regexmatch(A3502,"".*@simon.es$""),REGEXMATCH(A3502,"".*@simon.pt$""),REGEXMATCH(A3502,"".*@simonelectrica.com$""),REGEXMATCH(A3502,"".*@hiberus.com$""),REGEXMATCH(A3502,"".*@simonbrico.es$""),regexmatch(A3502,"".*@simonelectric.com$"")),""null"",A3"&amp;"502)"),"2651@yntegraservicios.es")</f>
        <v>2651@yntegraservicios.es</v>
      </c>
      <c r="C3502" s="5">
        <f>IF(B3502="null","null",Descargas!B3502)</f>
        <v>43893</v>
      </c>
      <c r="D3502" s="6" t="str">
        <f>Descargas!E3502</f>
        <v>https://resources.simonelectric.com/simon-ebook-vehiculo-electrico</v>
      </c>
      <c r="E3502" s="20" t="str">
        <f t="shared" si="1"/>
        <v>2651@yntegraservicios.es</v>
      </c>
      <c r="F3502" s="21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</row>
    <row r="3503" ht="15.75" customHeight="1">
      <c r="A3503" s="18" t="str">
        <f>Descargas!A3503</f>
        <v>2506@es.issworld.com</v>
      </c>
      <c r="B3503" s="19" t="str">
        <f>IFERROR(__xludf.DUMMYFUNCTION("IF(OR(regexmatch(A3503,"".*@simon.es$""),REGEXMATCH(A3503,"".*@simon.pt$""),REGEXMATCH(A3503,"".*@simonelectrica.com$""),REGEXMATCH(A3503,"".*@hiberus.com$""),REGEXMATCH(A3503,"".*@simonbrico.es$""),regexmatch(A3503,"".*@simonelectric.com$"")),""null"",A3"&amp;"503)"),"2506@es.issworld.com")</f>
        <v>2506@es.issworld.com</v>
      </c>
      <c r="C3503" s="5">
        <f>IF(B3503="null","null",Descargas!B3503)</f>
        <v>43893</v>
      </c>
      <c r="D3503" s="6" t="str">
        <f>Descargas!E3503</f>
        <v>https://resources.simonelectric.com/simon-ebook-vehiculo-electrico</v>
      </c>
      <c r="E3503" s="20" t="str">
        <f t="shared" si="1"/>
        <v>2506@es.issworld.com</v>
      </c>
      <c r="F3503" s="21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</row>
    <row r="3504" ht="15.75" customHeight="1">
      <c r="A3504" s="18" t="str">
        <f>Descargas!A3504</f>
        <v>2653@idiada.com</v>
      </c>
      <c r="B3504" s="19" t="str">
        <f>IFERROR(__xludf.DUMMYFUNCTION("IF(OR(regexmatch(A3504,"".*@simon.es$""),REGEXMATCH(A3504,"".*@simon.pt$""),REGEXMATCH(A3504,"".*@simonelectrica.com$""),REGEXMATCH(A3504,"".*@hiberus.com$""),REGEXMATCH(A3504,"".*@simonbrico.es$""),regexmatch(A3504,"".*@simonelectric.com$"")),""null"",A3"&amp;"504)"),"2653@idiada.com")</f>
        <v>2653@idiada.com</v>
      </c>
      <c r="C3504" s="5">
        <f>IF(B3504="null","null",Descargas!B3504)</f>
        <v>43893</v>
      </c>
      <c r="D3504" s="6" t="str">
        <f>Descargas!E3504</f>
        <v>https://resources.simonelectric.com/simon-ebook-vehiculo-electrico</v>
      </c>
      <c r="E3504" s="20" t="str">
        <f t="shared" si="1"/>
        <v>2653@idiada.com</v>
      </c>
      <c r="F3504" s="21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</row>
    <row r="3505" ht="15.75" customHeight="1">
      <c r="A3505" s="18" t="str">
        <f>Descargas!A3505</f>
        <v>2654@edmcadiz.es</v>
      </c>
      <c r="B3505" s="19" t="str">
        <f>IFERROR(__xludf.DUMMYFUNCTION("IF(OR(regexmatch(A3505,"".*@simon.es$""),REGEXMATCH(A3505,"".*@simon.pt$""),REGEXMATCH(A3505,"".*@simonelectrica.com$""),REGEXMATCH(A3505,"".*@hiberus.com$""),REGEXMATCH(A3505,"".*@simonbrico.es$""),regexmatch(A3505,"".*@simonelectric.com$"")),""null"",A3"&amp;"505)"),"2654@edmcadiz.es")</f>
        <v>2654@edmcadiz.es</v>
      </c>
      <c r="C3505" s="5">
        <f>IF(B3505="null","null",Descargas!B3505)</f>
        <v>43893</v>
      </c>
      <c r="D3505" s="6" t="str">
        <f>Descargas!E3505</f>
        <v>https://resources.simonelectric.com/simon-ebook-vehiculo-electrico</v>
      </c>
      <c r="E3505" s="20" t="str">
        <f t="shared" si="1"/>
        <v>2654@edmcadiz.es</v>
      </c>
      <c r="F3505" s="21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</row>
    <row r="3506" ht="15.75" customHeight="1">
      <c r="A3506" s="18" t="str">
        <f>Descargas!A3506</f>
        <v>2655@getsa.es</v>
      </c>
      <c r="B3506" s="19" t="str">
        <f>IFERROR(__xludf.DUMMYFUNCTION("IF(OR(regexmatch(A3506,"".*@simon.es$""),REGEXMATCH(A3506,"".*@simon.pt$""),REGEXMATCH(A3506,"".*@simonelectrica.com$""),REGEXMATCH(A3506,"".*@hiberus.com$""),REGEXMATCH(A3506,"".*@simonbrico.es$""),regexmatch(A3506,"".*@simonelectric.com$"")),""null"",A3"&amp;"506)"),"2655@getsa.es")</f>
        <v>2655@getsa.es</v>
      </c>
      <c r="C3506" s="5">
        <f>IF(B3506="null","null",Descargas!B3506)</f>
        <v>43893</v>
      </c>
      <c r="D3506" s="6" t="str">
        <f>Descargas!E3506</f>
        <v>https://resources.simonelectric.com/simon-ebook-vehiculo-electrico</v>
      </c>
      <c r="E3506" s="20" t="str">
        <f t="shared" si="1"/>
        <v>2655@getsa.es</v>
      </c>
      <c r="F3506" s="21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</row>
    <row r="3507" ht="15.75" customHeight="1">
      <c r="A3507" s="18" t="str">
        <f>Descargas!A3507</f>
        <v>1180@sonepar.es</v>
      </c>
      <c r="B3507" s="19" t="str">
        <f>IFERROR(__xludf.DUMMYFUNCTION("IF(OR(regexmatch(A3507,"".*@simon.es$""),REGEXMATCH(A3507,"".*@simon.pt$""),REGEXMATCH(A3507,"".*@simonelectrica.com$""),REGEXMATCH(A3507,"".*@hiberus.com$""),REGEXMATCH(A3507,"".*@simonbrico.es$""),regexmatch(A3507,"".*@simonelectric.com$"")),""null"",A3"&amp;"507)"),"1180@sonepar.es")</f>
        <v>1180@sonepar.es</v>
      </c>
      <c r="C3507" s="5">
        <f>IF(B3507="null","null",Descargas!B3507)</f>
        <v>43893</v>
      </c>
      <c r="D3507" s="6" t="str">
        <f>Descargas!E3507</f>
        <v>https://resources.simonelectric.com/simon-ebook-vehiculo-electrico</v>
      </c>
      <c r="E3507" s="20" t="str">
        <f t="shared" si="1"/>
        <v>1180@sonepar.es</v>
      </c>
      <c r="F3507" s="21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</row>
    <row r="3508" ht="15.75" customHeight="1">
      <c r="A3508" s="18" t="str">
        <f>Descargas!A3508</f>
        <v>2656@sonepar.es</v>
      </c>
      <c r="B3508" s="19" t="str">
        <f>IFERROR(__xludf.DUMMYFUNCTION("IF(OR(regexmatch(A3508,"".*@simon.es$""),REGEXMATCH(A3508,"".*@simon.pt$""),REGEXMATCH(A3508,"".*@simonelectrica.com$""),REGEXMATCH(A3508,"".*@hiberus.com$""),REGEXMATCH(A3508,"".*@simonbrico.es$""),regexmatch(A3508,"".*@simonelectric.com$"")),""null"",A3"&amp;"508)"),"2656@sonepar.es")</f>
        <v>2656@sonepar.es</v>
      </c>
      <c r="C3508" s="5">
        <f>IF(B3508="null","null",Descargas!B3508)</f>
        <v>43893</v>
      </c>
      <c r="D3508" s="6" t="str">
        <f>Descargas!E3508</f>
        <v>https://resources.simonelectric.com/simon-ebook-vehiculo-electrico</v>
      </c>
      <c r="E3508" s="20" t="str">
        <f t="shared" si="1"/>
        <v>2656@sonepar.es</v>
      </c>
      <c r="F3508" s="21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</row>
    <row r="3509" ht="15.75" customHeight="1">
      <c r="A3509" s="18" t="str">
        <f>Descargas!A3509</f>
        <v>2513@gmail.com</v>
      </c>
      <c r="B3509" s="19" t="str">
        <f>IFERROR(__xludf.DUMMYFUNCTION("IF(OR(regexmatch(A3509,"".*@simon.es$""),REGEXMATCH(A3509,"".*@simon.pt$""),REGEXMATCH(A3509,"".*@simonelectrica.com$""),REGEXMATCH(A3509,"".*@hiberus.com$""),REGEXMATCH(A3509,"".*@simonbrico.es$""),regexmatch(A3509,"".*@simonelectric.com$"")),""null"",A3"&amp;"509)"),"2513@gmail.com")</f>
        <v>2513@gmail.com</v>
      </c>
      <c r="C3509" s="5">
        <f>IF(B3509="null","null",Descargas!B3509)</f>
        <v>43893</v>
      </c>
      <c r="D3509" s="6" t="str">
        <f>Descargas!E3509</f>
        <v>https://resources.simonelectric.com/simon-ebook-vehiculo-electrico-0</v>
      </c>
      <c r="E3509" s="20" t="str">
        <f t="shared" si="1"/>
        <v>2513@gmail.com</v>
      </c>
      <c r="F3509" s="21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</row>
    <row r="3510" ht="15.75" customHeight="1">
      <c r="A3510" s="18" t="str">
        <f>Descargas!A3510</f>
        <v>2657@a4ingenieria.es</v>
      </c>
      <c r="B3510" s="19" t="str">
        <f>IFERROR(__xludf.DUMMYFUNCTION("IF(OR(regexmatch(A3510,"".*@simon.es$""),REGEXMATCH(A3510,"".*@simon.pt$""),REGEXMATCH(A3510,"".*@simonelectrica.com$""),REGEXMATCH(A3510,"".*@hiberus.com$""),REGEXMATCH(A3510,"".*@simonbrico.es$""),regexmatch(A3510,"".*@simonelectric.com$"")),""null"",A3"&amp;"510)"),"2657@a4ingenieria.es")</f>
        <v>2657@a4ingenieria.es</v>
      </c>
      <c r="C3510" s="5">
        <f>IF(B3510="null","null",Descargas!B3510)</f>
        <v>43893</v>
      </c>
      <c r="D3510" s="6" t="str">
        <f>Descargas!E3510</f>
        <v>https://resources.simonelectric.com/simon-ebook-vehiculo-electrico</v>
      </c>
      <c r="E3510" s="20" t="str">
        <f t="shared" si="1"/>
        <v>2657@a4ingenieria.es</v>
      </c>
      <c r="F3510" s="21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</row>
    <row r="3511" ht="15.75" customHeight="1">
      <c r="A3511" s="18" t="str">
        <f>Descargas!A3511</f>
        <v>2658@gmail.com</v>
      </c>
      <c r="B3511" s="19" t="str">
        <f>IFERROR(__xludf.DUMMYFUNCTION("IF(OR(regexmatch(A3511,"".*@simon.es$""),REGEXMATCH(A3511,"".*@simon.pt$""),REGEXMATCH(A3511,"".*@simonelectrica.com$""),REGEXMATCH(A3511,"".*@hiberus.com$""),REGEXMATCH(A3511,"".*@simonbrico.es$""),regexmatch(A3511,"".*@simonelectric.com$"")),""null"",A3"&amp;"511)"),"2658@gmail.com")</f>
        <v>2658@gmail.com</v>
      </c>
      <c r="C3511" s="5">
        <f>IF(B3511="null","null",Descargas!B3511)</f>
        <v>43893</v>
      </c>
      <c r="D3511" s="6" t="str">
        <f>Descargas!E3511</f>
        <v>https://resources.simonelectric.com/simon-ebook-vehiculo-electrico</v>
      </c>
      <c r="E3511" s="20" t="str">
        <f t="shared" si="1"/>
        <v>2658@gmail.com</v>
      </c>
      <c r="F3511" s="21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</row>
    <row r="3512" ht="15.75" customHeight="1">
      <c r="A3512" s="18" t="str">
        <f>Descargas!A3512</f>
        <v>2659@gmail.com</v>
      </c>
      <c r="B3512" s="19" t="str">
        <f>IFERROR(__xludf.DUMMYFUNCTION("IF(OR(regexmatch(A3512,"".*@simon.es$""),REGEXMATCH(A3512,"".*@simon.pt$""),REGEXMATCH(A3512,"".*@simonelectrica.com$""),REGEXMATCH(A3512,"".*@hiberus.com$""),REGEXMATCH(A3512,"".*@simonbrico.es$""),regexmatch(A3512,"".*@simonelectric.com$"")),""null"",A3"&amp;"512)"),"2659@gmail.com")</f>
        <v>2659@gmail.com</v>
      </c>
      <c r="C3512" s="5">
        <f>IF(B3512="null","null",Descargas!B3512)</f>
        <v>43893</v>
      </c>
      <c r="D3512" s="6" t="str">
        <f>Descargas!E3512</f>
        <v>https://resources.simonelectric.com/simon-catalogo-vehiculo-electrico</v>
      </c>
      <c r="E3512" s="20" t="str">
        <f t="shared" si="1"/>
        <v>2659@gmail.com</v>
      </c>
      <c r="F3512" s="21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</row>
    <row r="3513" ht="15.75" customHeight="1">
      <c r="A3513" s="18" t="str">
        <f>Descargas!A3513</f>
        <v>1695@gruponortica.com</v>
      </c>
      <c r="B3513" s="19" t="str">
        <f>IFERROR(__xludf.DUMMYFUNCTION("IF(OR(regexmatch(A3513,"".*@simon.es$""),REGEXMATCH(A3513,"".*@simon.pt$""),REGEXMATCH(A3513,"".*@simonelectrica.com$""),REGEXMATCH(A3513,"".*@hiberus.com$""),REGEXMATCH(A3513,"".*@simonbrico.es$""),regexmatch(A3513,"".*@simonelectric.com$"")),""null"",A3"&amp;"513)"),"1695@gruponortica.com")</f>
        <v>1695@gruponortica.com</v>
      </c>
      <c r="C3513" s="5">
        <f>IF(B3513="null","null",Descargas!B3513)</f>
        <v>43893</v>
      </c>
      <c r="D3513" s="6" t="str">
        <f>Descargas!E3513</f>
        <v>https://resources.simonelectric.com/simon-ebook-vehiculo-electrico</v>
      </c>
      <c r="E3513" s="20" t="str">
        <f t="shared" si="1"/>
        <v>1695@gruponortica.com</v>
      </c>
      <c r="F3513" s="21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</row>
    <row r="3514" ht="15.75" customHeight="1">
      <c r="A3514" s="18" t="str">
        <f>Descargas!A3514</f>
        <v>685@climava.com</v>
      </c>
      <c r="B3514" s="19" t="str">
        <f>IFERROR(__xludf.DUMMYFUNCTION("IF(OR(regexmatch(A3514,"".*@simon.es$""),REGEXMATCH(A3514,"".*@simon.pt$""),REGEXMATCH(A3514,"".*@simonelectrica.com$""),REGEXMATCH(A3514,"".*@hiberus.com$""),REGEXMATCH(A3514,"".*@simonbrico.es$""),regexmatch(A3514,"".*@simonelectric.com$"")),""null"",A3"&amp;"514)"),"685@climava.com")</f>
        <v>685@climava.com</v>
      </c>
      <c r="C3514" s="5">
        <f>IF(B3514="null","null",Descargas!B3514)</f>
        <v>43893</v>
      </c>
      <c r="D3514" s="6" t="str">
        <f>Descargas!E3514</f>
        <v>https://resources.simonelectric.com/simon-ebook-vehiculo-electrico</v>
      </c>
      <c r="E3514" s="20" t="str">
        <f t="shared" si="1"/>
        <v>685@climava.com</v>
      </c>
      <c r="F3514" s="21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</row>
    <row r="3515" ht="15.75" customHeight="1">
      <c r="A3515" s="18" t="str">
        <f>Descargas!A3515</f>
        <v>2660@gmail.com</v>
      </c>
      <c r="B3515" s="19" t="str">
        <f>IFERROR(__xludf.DUMMYFUNCTION("IF(OR(regexmatch(A3515,"".*@simon.es$""),REGEXMATCH(A3515,"".*@simon.pt$""),REGEXMATCH(A3515,"".*@simonelectrica.com$""),REGEXMATCH(A3515,"".*@hiberus.com$""),REGEXMATCH(A3515,"".*@simonbrico.es$""),regexmatch(A3515,"".*@simonelectric.com$"")),""null"",A3"&amp;"515)"),"2660@gmail.com")</f>
        <v>2660@gmail.com</v>
      </c>
      <c r="C3515" s="5">
        <f>IF(B3515="null","null",Descargas!B3515)</f>
        <v>43893</v>
      </c>
      <c r="D3515" s="6" t="str">
        <f>Descargas!E3515</f>
        <v>https://resources.simonelectric.com/simon-ebook-vehiculo-electrico</v>
      </c>
      <c r="E3515" s="20" t="str">
        <f t="shared" si="1"/>
        <v>2660@gmail.com</v>
      </c>
      <c r="F3515" s="21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</row>
    <row r="3516" ht="15.75" customHeight="1">
      <c r="A3516" s="18" t="str">
        <f>Descargas!A3516</f>
        <v>2661@gmail.com</v>
      </c>
      <c r="B3516" s="19" t="str">
        <f>IFERROR(__xludf.DUMMYFUNCTION("IF(OR(regexmatch(A3516,"".*@simon.es$""),REGEXMATCH(A3516,"".*@simon.pt$""),REGEXMATCH(A3516,"".*@simonelectrica.com$""),REGEXMATCH(A3516,"".*@hiberus.com$""),REGEXMATCH(A3516,"".*@simonbrico.es$""),regexmatch(A3516,"".*@simonelectric.com$"")),""null"",A3"&amp;"516)"),"2661@gmail.com")</f>
        <v>2661@gmail.com</v>
      </c>
      <c r="C3516" s="5">
        <f>IF(B3516="null","null",Descargas!B3516)</f>
        <v>43893</v>
      </c>
      <c r="D3516" s="6" t="str">
        <f>Descargas!E3516</f>
        <v>https://resources.simonelectric.com/simon-ebook-vehiculo-electrico</v>
      </c>
      <c r="E3516" s="20" t="str">
        <f t="shared" si="1"/>
        <v>2661@gmail.com</v>
      </c>
      <c r="F3516" s="21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</row>
    <row r="3517" ht="15.75" customHeight="1">
      <c r="A3517" s="18" t="str">
        <f>Descargas!A3517</f>
        <v>2662@gmail.com</v>
      </c>
      <c r="B3517" s="19" t="str">
        <f>IFERROR(__xludf.DUMMYFUNCTION("IF(OR(regexmatch(A3517,"".*@simon.es$""),REGEXMATCH(A3517,"".*@simon.pt$""),REGEXMATCH(A3517,"".*@simonelectrica.com$""),REGEXMATCH(A3517,"".*@hiberus.com$""),REGEXMATCH(A3517,"".*@simonbrico.es$""),regexmatch(A3517,"".*@simonelectric.com$"")),""null"",A3"&amp;"517)"),"2662@gmail.com")</f>
        <v>2662@gmail.com</v>
      </c>
      <c r="C3517" s="5">
        <f>IF(B3517="null","null",Descargas!B3517)</f>
        <v>43893</v>
      </c>
      <c r="D3517" s="6" t="str">
        <f>Descargas!E3517</f>
        <v>https://resources.simonelectric.com/simon-ebook-vehiculo-electrico</v>
      </c>
      <c r="E3517" s="20" t="str">
        <f t="shared" si="1"/>
        <v>2662@gmail.com</v>
      </c>
      <c r="F3517" s="21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</row>
    <row r="3518" ht="15.75" customHeight="1">
      <c r="A3518" s="18" t="str">
        <f>Descargas!A3518</f>
        <v>2663@bitjerez.com</v>
      </c>
      <c r="B3518" s="19" t="str">
        <f>IFERROR(__xludf.DUMMYFUNCTION("IF(OR(regexmatch(A3518,"".*@simon.es$""),REGEXMATCH(A3518,"".*@simon.pt$""),REGEXMATCH(A3518,"".*@simonelectrica.com$""),REGEXMATCH(A3518,"".*@hiberus.com$""),REGEXMATCH(A3518,"".*@simonbrico.es$""),regexmatch(A3518,"".*@simonelectric.com$"")),""null"",A3"&amp;"518)"),"2663@bitjerez.com")</f>
        <v>2663@bitjerez.com</v>
      </c>
      <c r="C3518" s="5">
        <f>IF(B3518="null","null",Descargas!B3518)</f>
        <v>43893</v>
      </c>
      <c r="D3518" s="6" t="str">
        <f>Descargas!E3518</f>
        <v>https://resources.simonelectric.com/simon-ebook-vehiculo-electrico</v>
      </c>
      <c r="E3518" s="20" t="str">
        <f t="shared" si="1"/>
        <v>2663@bitjerez.com</v>
      </c>
      <c r="F3518" s="21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</row>
    <row r="3519" ht="15.75" customHeight="1">
      <c r="A3519" s="18" t="str">
        <f>Descargas!A3519</f>
        <v>2664@gmail.com</v>
      </c>
      <c r="B3519" s="19" t="str">
        <f>IFERROR(__xludf.DUMMYFUNCTION("IF(OR(regexmatch(A3519,"".*@simon.es$""),REGEXMATCH(A3519,"".*@simon.pt$""),REGEXMATCH(A3519,"".*@simonelectrica.com$""),REGEXMATCH(A3519,"".*@hiberus.com$""),REGEXMATCH(A3519,"".*@simonbrico.es$""),regexmatch(A3519,"".*@simonelectric.com$"")),""null"",A3"&amp;"519)"),"2664@gmail.com")</f>
        <v>2664@gmail.com</v>
      </c>
      <c r="C3519" s="5">
        <f>IF(B3519="null","null",Descargas!B3519)</f>
        <v>43893</v>
      </c>
      <c r="D3519" s="6" t="str">
        <f>Descargas!E3519</f>
        <v>https://resources.simonelectric.com/simon-ebook-vehiculo-electrico</v>
      </c>
      <c r="E3519" s="20" t="str">
        <f t="shared" si="1"/>
        <v>2664@gmail.com</v>
      </c>
      <c r="F3519" s="21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</row>
    <row r="3520" ht="15.75" customHeight="1">
      <c r="A3520" s="18" t="str">
        <f>Descargas!A3520</f>
        <v>2665@electroaldis.com</v>
      </c>
      <c r="B3520" s="19" t="str">
        <f>IFERROR(__xludf.DUMMYFUNCTION("IF(OR(regexmatch(A3520,"".*@simon.es$""),REGEXMATCH(A3520,"".*@simon.pt$""),REGEXMATCH(A3520,"".*@simonelectrica.com$""),REGEXMATCH(A3520,"".*@hiberus.com$""),REGEXMATCH(A3520,"".*@simonbrico.es$""),regexmatch(A3520,"".*@simonelectric.com$"")),""null"",A3"&amp;"520)"),"2665@electroaldis.com")</f>
        <v>2665@electroaldis.com</v>
      </c>
      <c r="C3520" s="5">
        <f>IF(B3520="null","null",Descargas!B3520)</f>
        <v>43893</v>
      </c>
      <c r="D3520" s="6" t="str">
        <f>Descargas!E3520</f>
        <v>https://resources.simonelectric.com/simon-ebook-vehiculo-electrico</v>
      </c>
      <c r="E3520" s="20" t="str">
        <f t="shared" si="1"/>
        <v>2665@electroaldis.com</v>
      </c>
      <c r="F3520" s="21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</row>
    <row r="3521" ht="15.75" customHeight="1">
      <c r="A3521" s="18" t="str">
        <f>Descargas!A3521</f>
        <v>2666@gmail.com</v>
      </c>
      <c r="B3521" s="19" t="str">
        <f>IFERROR(__xludf.DUMMYFUNCTION("IF(OR(regexmatch(A3521,"".*@simon.es$""),REGEXMATCH(A3521,"".*@simon.pt$""),REGEXMATCH(A3521,"".*@simonelectrica.com$""),REGEXMATCH(A3521,"".*@hiberus.com$""),REGEXMATCH(A3521,"".*@simonbrico.es$""),regexmatch(A3521,"".*@simonelectric.com$"")),""null"",A3"&amp;"521)"),"2666@gmail.com")</f>
        <v>2666@gmail.com</v>
      </c>
      <c r="C3521" s="5">
        <f>IF(B3521="null","null",Descargas!B3521)</f>
        <v>43893</v>
      </c>
      <c r="D3521" s="6" t="str">
        <f>Descargas!E3521</f>
        <v>https://resources.simonelectric.com/simon-ebook-vehiculo-electrico</v>
      </c>
      <c r="E3521" s="20" t="str">
        <f t="shared" si="1"/>
        <v>2666@gmail.com</v>
      </c>
      <c r="F3521" s="21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</row>
    <row r="3522" ht="15.75" customHeight="1">
      <c r="A3522" s="18" t="str">
        <f>Descargas!A3522</f>
        <v>2667@iselektric.com</v>
      </c>
      <c r="B3522" s="19" t="str">
        <f>IFERROR(__xludf.DUMMYFUNCTION("IF(OR(regexmatch(A3522,"".*@simon.es$""),REGEXMATCH(A3522,"".*@simon.pt$""),REGEXMATCH(A3522,"".*@simonelectrica.com$""),REGEXMATCH(A3522,"".*@hiberus.com$""),REGEXMATCH(A3522,"".*@simonbrico.es$""),regexmatch(A3522,"".*@simonelectric.com$"")),""null"",A3"&amp;"522)"),"2667@iselektric.com")</f>
        <v>2667@iselektric.com</v>
      </c>
      <c r="C3522" s="5">
        <f>IF(B3522="null","null",Descargas!B3522)</f>
        <v>43893</v>
      </c>
      <c r="D3522" s="6" t="str">
        <f>Descargas!E3522</f>
        <v>https://resources.simonelectric.com/simon-ebook-vehiculo-electrico</v>
      </c>
      <c r="E3522" s="20" t="str">
        <f t="shared" si="1"/>
        <v>2667@iselektric.com</v>
      </c>
      <c r="F3522" s="21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</row>
    <row r="3523" ht="15.75" customHeight="1">
      <c r="A3523" s="18" t="str">
        <f>Descargas!A3523</f>
        <v>181@juntaex.es</v>
      </c>
      <c r="B3523" s="19" t="str">
        <f>IFERROR(__xludf.DUMMYFUNCTION("IF(OR(regexmatch(A3523,"".*@simon.es$""),REGEXMATCH(A3523,"".*@simon.pt$""),REGEXMATCH(A3523,"".*@simonelectrica.com$""),REGEXMATCH(A3523,"".*@hiberus.com$""),REGEXMATCH(A3523,"".*@simonbrico.es$""),regexmatch(A3523,"".*@simonelectric.com$"")),""null"",A3"&amp;"523)"),"181@juntaex.es")</f>
        <v>181@juntaex.es</v>
      </c>
      <c r="C3523" s="5">
        <f>IF(B3523="null","null",Descargas!B3523)</f>
        <v>43893</v>
      </c>
      <c r="D3523" s="6" t="str">
        <f>Descargas!E3523</f>
        <v>https://resources.simonelectric.com/simon-ebook-vehiculo-electrico</v>
      </c>
      <c r="E3523" s="20" t="str">
        <f t="shared" si="1"/>
        <v>181@juntaex.es</v>
      </c>
      <c r="F3523" s="21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</row>
    <row r="3524" ht="15.75" customHeight="1">
      <c r="A3524" s="18" t="str">
        <f>Descargas!A3524</f>
        <v>2668@gmail.com</v>
      </c>
      <c r="B3524" s="19" t="str">
        <f>IFERROR(__xludf.DUMMYFUNCTION("IF(OR(regexmatch(A3524,"".*@simon.es$""),REGEXMATCH(A3524,"".*@simon.pt$""),REGEXMATCH(A3524,"".*@simonelectrica.com$""),REGEXMATCH(A3524,"".*@hiberus.com$""),REGEXMATCH(A3524,"".*@simonbrico.es$""),regexmatch(A3524,"".*@simonelectric.com$"")),""null"",A3"&amp;"524)"),"2668@gmail.com")</f>
        <v>2668@gmail.com</v>
      </c>
      <c r="C3524" s="5">
        <f>IF(B3524="null","null",Descargas!B3524)</f>
        <v>43893</v>
      </c>
      <c r="D3524" s="6" t="str">
        <f>Descargas!E3524</f>
        <v>https://resources.simonelectric.com/simon-ebook-vehiculo-electrico</v>
      </c>
      <c r="E3524" s="20" t="str">
        <f t="shared" si="1"/>
        <v>2668@gmail.com</v>
      </c>
      <c r="F3524" s="21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</row>
    <row r="3525" ht="15.75" customHeight="1">
      <c r="A3525" s="18" t="str">
        <f>Descargas!A3525</f>
        <v>2669@electroidella.com</v>
      </c>
      <c r="B3525" s="19" t="str">
        <f>IFERROR(__xludf.DUMMYFUNCTION("IF(OR(regexmatch(A3525,"".*@simon.es$""),REGEXMATCH(A3525,"".*@simon.pt$""),REGEXMATCH(A3525,"".*@simonelectrica.com$""),REGEXMATCH(A3525,"".*@hiberus.com$""),REGEXMATCH(A3525,"".*@simonbrico.es$""),regexmatch(A3525,"".*@simonelectric.com$"")),""null"",A3"&amp;"525)"),"2669@electroidella.com")</f>
        <v>2669@electroidella.com</v>
      </c>
      <c r="C3525" s="5">
        <f>IF(B3525="null","null",Descargas!B3525)</f>
        <v>43893</v>
      </c>
      <c r="D3525" s="6" t="str">
        <f>Descargas!E3525</f>
        <v>https://resources.simonelectric.com/simon-ebook-vehiculo-electrico</v>
      </c>
      <c r="E3525" s="20" t="str">
        <f t="shared" si="1"/>
        <v>2669@electroidella.com</v>
      </c>
      <c r="F3525" s="21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</row>
    <row r="3526" ht="15.75" customHeight="1">
      <c r="A3526" s="18" t="str">
        <f>Descargas!A3526</f>
        <v>1603@gmail.com</v>
      </c>
      <c r="B3526" s="19" t="str">
        <f>IFERROR(__xludf.DUMMYFUNCTION("IF(OR(regexmatch(A3526,"".*@simon.es$""),REGEXMATCH(A3526,"".*@simon.pt$""),REGEXMATCH(A3526,"".*@simonelectrica.com$""),REGEXMATCH(A3526,"".*@hiberus.com$""),REGEXMATCH(A3526,"".*@simonbrico.es$""),regexmatch(A3526,"".*@simonelectric.com$"")),""null"",A3"&amp;"526)"),"1603@gmail.com")</f>
        <v>1603@gmail.com</v>
      </c>
      <c r="C3526" s="5">
        <f>IF(B3526="null","null",Descargas!B3526)</f>
        <v>43893</v>
      </c>
      <c r="D3526" s="6" t="str">
        <f>Descargas!E3526</f>
        <v>https://resources.simonelectric.com/simon-ebook-vehiculo-electrico</v>
      </c>
      <c r="E3526" s="20" t="str">
        <f t="shared" si="1"/>
        <v>1603@gmail.com</v>
      </c>
      <c r="F3526" s="21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</row>
    <row r="3527" ht="15.75" customHeight="1">
      <c r="A3527" s="18" t="str">
        <f>Descargas!A3527</f>
        <v>2656@sonepar.es</v>
      </c>
      <c r="B3527" s="19" t="str">
        <f>IFERROR(__xludf.DUMMYFUNCTION("IF(OR(regexmatch(A3527,"".*@simon.es$""),REGEXMATCH(A3527,"".*@simon.pt$""),REGEXMATCH(A3527,"".*@simonelectrica.com$""),REGEXMATCH(A3527,"".*@hiberus.com$""),REGEXMATCH(A3527,"".*@simonbrico.es$""),regexmatch(A3527,"".*@simonelectric.com$"")),""null"",A3"&amp;"527)"),"2656@sonepar.es")</f>
        <v>2656@sonepar.es</v>
      </c>
      <c r="C3527" s="5">
        <f>IF(B3527="null","null",Descargas!B3527)</f>
        <v>43893</v>
      </c>
      <c r="D3527" s="6" t="str">
        <f>Descargas!E3527</f>
        <v>https://resources.simonelectric.com/simon-ebook-vehiculo-electrico</v>
      </c>
      <c r="E3527" s="20" t="str">
        <f t="shared" si="1"/>
        <v>2656@sonepar.es</v>
      </c>
      <c r="F3527" s="21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</row>
    <row r="3528" ht="15.75" customHeight="1">
      <c r="A3528" s="18" t="str">
        <f>Descargas!A3528</f>
        <v>1644@tevigrup.com</v>
      </c>
      <c r="B3528" s="19" t="str">
        <f>IFERROR(__xludf.DUMMYFUNCTION("IF(OR(regexmatch(A3528,"".*@simon.es$""),REGEXMATCH(A3528,"".*@simon.pt$""),REGEXMATCH(A3528,"".*@simonelectrica.com$""),REGEXMATCH(A3528,"".*@hiberus.com$""),REGEXMATCH(A3528,"".*@simonbrico.es$""),regexmatch(A3528,"".*@simonelectric.com$"")),""null"",A3"&amp;"528)"),"1644@tevigrup.com")</f>
        <v>1644@tevigrup.com</v>
      </c>
      <c r="C3528" s="5">
        <f>IF(B3528="null","null",Descargas!B3528)</f>
        <v>43893</v>
      </c>
      <c r="D3528" s="6" t="str">
        <f>Descargas!E3528</f>
        <v>https://resources.simonelectric.com/simon-ebook-vehiculo-electrico</v>
      </c>
      <c r="E3528" s="20" t="str">
        <f t="shared" si="1"/>
        <v>1644@tevigrup.com</v>
      </c>
      <c r="F3528" s="21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</row>
    <row r="3529" ht="15.75" customHeight="1">
      <c r="A3529" s="18" t="str">
        <f>Descargas!A3529</f>
        <v>2670@gmail.com</v>
      </c>
      <c r="B3529" s="19" t="str">
        <f>IFERROR(__xludf.DUMMYFUNCTION("IF(OR(regexmatch(A3529,"".*@simon.es$""),REGEXMATCH(A3529,"".*@simon.pt$""),REGEXMATCH(A3529,"".*@simonelectrica.com$""),REGEXMATCH(A3529,"".*@hiberus.com$""),REGEXMATCH(A3529,"".*@simonbrico.es$""),regexmatch(A3529,"".*@simonelectric.com$"")),""null"",A3"&amp;"529)"),"2670@gmail.com")</f>
        <v>2670@gmail.com</v>
      </c>
      <c r="C3529" s="5">
        <f>IF(B3529="null","null",Descargas!B3529)</f>
        <v>43892</v>
      </c>
      <c r="D3529" s="6" t="str">
        <f>Descargas!E3529</f>
        <v>https://resources.simonelectric.com/simon-ebook-vehiculo-electrico-tw</v>
      </c>
      <c r="E3529" s="20" t="str">
        <f t="shared" si="1"/>
        <v>2670@gmail.com</v>
      </c>
      <c r="F3529" s="21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</row>
    <row r="3530" ht="15.75" customHeight="1">
      <c r="A3530" s="18" t="str">
        <f>Descargas!A3530</f>
        <v>2671@gmail.com</v>
      </c>
      <c r="B3530" s="19" t="str">
        <f>IFERROR(__xludf.DUMMYFUNCTION("IF(OR(regexmatch(A3530,"".*@simon.es$""),REGEXMATCH(A3530,"".*@simon.pt$""),REGEXMATCH(A3530,"".*@simonelectrica.com$""),REGEXMATCH(A3530,"".*@hiberus.com$""),REGEXMATCH(A3530,"".*@simonbrico.es$""),regexmatch(A3530,"".*@simonelectric.com$"")),""null"",A3"&amp;"530)"),"2671@gmail.com")</f>
        <v>2671@gmail.com</v>
      </c>
      <c r="C3530" s="5">
        <f>IF(B3530="null","null",Descargas!B3530)</f>
        <v>43892</v>
      </c>
      <c r="D3530" s="6" t="str">
        <f>Descargas!E3530</f>
        <v>https://resources.simonelectric.com/simon-catalogo-vehiculo-electrico</v>
      </c>
      <c r="E3530" s="20" t="str">
        <f t="shared" si="1"/>
        <v>2671@gmail.com</v>
      </c>
      <c r="F3530" s="21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</row>
    <row r="3531" ht="15.75" customHeight="1">
      <c r="A3531" s="18" t="str">
        <f>Descargas!A3531</f>
        <v>2672@gmail.com</v>
      </c>
      <c r="B3531" s="19" t="str">
        <f>IFERROR(__xludf.DUMMYFUNCTION("IF(OR(regexmatch(A3531,"".*@simon.es$""),REGEXMATCH(A3531,"".*@simon.pt$""),REGEXMATCH(A3531,"".*@simonelectrica.com$""),REGEXMATCH(A3531,"".*@hiberus.com$""),REGEXMATCH(A3531,"".*@simonbrico.es$""),regexmatch(A3531,"".*@simonelectric.com$"")),""null"",A3"&amp;"531)"),"2672@gmail.com")</f>
        <v>2672@gmail.com</v>
      </c>
      <c r="C3531" s="5">
        <f>IF(B3531="null","null",Descargas!B3531)</f>
        <v>43892</v>
      </c>
      <c r="D3531" s="6" t="str">
        <f>Descargas!E3531</f>
        <v>https://resources.simonelectric.com/simon-ebook-vehiculo-electrico-tw</v>
      </c>
      <c r="E3531" s="20" t="str">
        <f t="shared" si="1"/>
        <v>2672@gmail.com</v>
      </c>
      <c r="F3531" s="21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</row>
    <row r="3532" ht="15.75" customHeight="1">
      <c r="A3532" s="18" t="str">
        <f>Descargas!A3532</f>
        <v>2673@gamil.com</v>
      </c>
      <c r="B3532" s="19" t="str">
        <f>IFERROR(__xludf.DUMMYFUNCTION("IF(OR(regexmatch(A3532,"".*@simon.es$""),REGEXMATCH(A3532,"".*@simon.pt$""),REGEXMATCH(A3532,"".*@simonelectrica.com$""),REGEXMATCH(A3532,"".*@hiberus.com$""),REGEXMATCH(A3532,"".*@simonbrico.es$""),regexmatch(A3532,"".*@simonelectric.com$"")),""null"",A3"&amp;"532)"),"2673@gamil.com")</f>
        <v>2673@gamil.com</v>
      </c>
      <c r="C3532" s="5">
        <f>IF(B3532="null","null",Descargas!B3532)</f>
        <v>43892</v>
      </c>
      <c r="D3532" s="6" t="str">
        <f>Descargas!E3532</f>
        <v>https://resources.simonelectric.com/simon-catalogo-vehiculo-electrico</v>
      </c>
      <c r="E3532" s="20" t="str">
        <f t="shared" si="1"/>
        <v>2673@gamil.com</v>
      </c>
      <c r="F3532" s="21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</row>
    <row r="3533" ht="15.75" customHeight="1">
      <c r="A3533" s="18" t="str">
        <f>Descargas!A3533</f>
        <v>2672@gmail.com</v>
      </c>
      <c r="B3533" s="19" t="str">
        <f>IFERROR(__xludf.DUMMYFUNCTION("IF(OR(regexmatch(A3533,"".*@simon.es$""),REGEXMATCH(A3533,"".*@simon.pt$""),REGEXMATCH(A3533,"".*@simonelectrica.com$""),REGEXMATCH(A3533,"".*@hiberus.com$""),REGEXMATCH(A3533,"".*@simonbrico.es$""),regexmatch(A3533,"".*@simonelectric.com$"")),""null"",A3"&amp;"533)"),"2672@gmail.com")</f>
        <v>2672@gmail.com</v>
      </c>
      <c r="C3533" s="5">
        <f>IF(B3533="null","null",Descargas!B3533)</f>
        <v>43892</v>
      </c>
      <c r="D3533" s="6" t="str">
        <f>Descargas!E3533</f>
        <v>https://resources.simonelectric.com/simon-ebook-vehiculo-electrico-tw</v>
      </c>
      <c r="E3533" s="20" t="str">
        <f t="shared" si="1"/>
        <v>2672@gmail.com</v>
      </c>
      <c r="F3533" s="21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</row>
    <row r="3534" ht="15.75" customHeight="1">
      <c r="A3534" s="18" t="str">
        <f>Descargas!A3534</f>
        <v>2672@gmail.com</v>
      </c>
      <c r="B3534" s="19" t="str">
        <f>IFERROR(__xludf.DUMMYFUNCTION("IF(OR(regexmatch(A3534,"".*@simon.es$""),REGEXMATCH(A3534,"".*@simon.pt$""),REGEXMATCH(A3534,"".*@simonelectrica.com$""),REGEXMATCH(A3534,"".*@hiberus.com$""),REGEXMATCH(A3534,"".*@simonbrico.es$""),regexmatch(A3534,"".*@simonelectric.com$"")),""null"",A3"&amp;"534)"),"2672@gmail.com")</f>
        <v>2672@gmail.com</v>
      </c>
      <c r="C3534" s="5">
        <f>IF(B3534="null","null",Descargas!B3534)</f>
        <v>43892</v>
      </c>
      <c r="D3534" s="6" t="str">
        <f>Descargas!E3534</f>
        <v>https://resources.simonelectric.com/simon-ebook-vehiculo-electrico-tw</v>
      </c>
      <c r="E3534" s="20" t="str">
        <f t="shared" si="1"/>
        <v>2672@gmail.com</v>
      </c>
      <c r="F3534" s="21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</row>
    <row r="3535" ht="15.75" customHeight="1">
      <c r="A3535" s="18" t="str">
        <f>Descargas!A3535</f>
        <v>2674@coar.es</v>
      </c>
      <c r="B3535" s="19" t="str">
        <f>IFERROR(__xludf.DUMMYFUNCTION("IF(OR(regexmatch(A3535,"".*@simon.es$""),REGEXMATCH(A3535,"".*@simon.pt$""),REGEXMATCH(A3535,"".*@simonelectrica.com$""),REGEXMATCH(A3535,"".*@hiberus.com$""),REGEXMATCH(A3535,"".*@simonbrico.es$""),regexmatch(A3535,"".*@simonelectric.com$"")),""null"",A3"&amp;"535)"),"2674@coar.es")</f>
        <v>2674@coar.es</v>
      </c>
      <c r="C3535" s="5">
        <f>IF(B3535="null","null",Descargas!B3535)</f>
        <v>43892</v>
      </c>
      <c r="D3535" s="6" t="str">
        <f>Descargas!E3535</f>
        <v>https://resources.simonelectric.com/simon-catalogo-vehiculo-electrico</v>
      </c>
      <c r="E3535" s="20" t="str">
        <f t="shared" si="1"/>
        <v>2674@coar.es</v>
      </c>
      <c r="F3535" s="21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</row>
    <row r="3536" ht="15.75" customHeight="1">
      <c r="A3536" s="18" t="str">
        <f>Descargas!A3536</f>
        <v>2674@coar.es</v>
      </c>
      <c r="B3536" s="19" t="str">
        <f>IFERROR(__xludf.DUMMYFUNCTION("IF(OR(regexmatch(A3536,"".*@simon.es$""),REGEXMATCH(A3536,"".*@simon.pt$""),REGEXMATCH(A3536,"".*@simonelectrica.com$""),REGEXMATCH(A3536,"".*@hiberus.com$""),REGEXMATCH(A3536,"".*@simonbrico.es$""),regexmatch(A3536,"".*@simonelectric.com$"")),""null"",A3"&amp;"536)"),"2674@coar.es")</f>
        <v>2674@coar.es</v>
      </c>
      <c r="C3536" s="5">
        <f>IF(B3536="null","null",Descargas!B3536)</f>
        <v>43892</v>
      </c>
      <c r="D3536" s="6" t="str">
        <f>Descargas!E3536</f>
        <v>https://resources.simonelectric.com/simon-ebook-vehiculo-electrico</v>
      </c>
      <c r="E3536" s="20" t="str">
        <f t="shared" si="1"/>
        <v>2674@coar.es</v>
      </c>
      <c r="F3536" s="21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</row>
    <row r="3537" ht="15.75" customHeight="1">
      <c r="A3537" s="18" t="str">
        <f>Descargas!A3537</f>
        <v>2675@grupoelectrostocks.com</v>
      </c>
      <c r="B3537" s="19" t="str">
        <f>IFERROR(__xludf.DUMMYFUNCTION("IF(OR(regexmatch(A3537,"".*@simon.es$""),REGEXMATCH(A3537,"".*@simon.pt$""),REGEXMATCH(A3537,"".*@simonelectrica.com$""),REGEXMATCH(A3537,"".*@hiberus.com$""),REGEXMATCH(A3537,"".*@simonbrico.es$""),regexmatch(A3537,"".*@simonelectric.com$"")),""null"",A3"&amp;"537)"),"2675@grupoelectrostocks.com")</f>
        <v>2675@grupoelectrostocks.com</v>
      </c>
      <c r="C3537" s="5">
        <f>IF(B3537="null","null",Descargas!B3537)</f>
        <v>43892</v>
      </c>
      <c r="D3537" s="6" t="str">
        <f>Descargas!E3537</f>
        <v>https://resources.simonelectric.com/simon-ebook-vehiculo-electrico</v>
      </c>
      <c r="E3537" s="20" t="str">
        <f t="shared" si="1"/>
        <v>2675@grupoelectrostocks.com</v>
      </c>
      <c r="F3537" s="21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</row>
    <row r="3538" ht="15.75" customHeight="1">
      <c r="A3538" s="18" t="str">
        <f>Descargas!A3538</f>
        <v>2676@gmail.com</v>
      </c>
      <c r="B3538" s="19" t="str">
        <f>IFERROR(__xludf.DUMMYFUNCTION("IF(OR(regexmatch(A3538,"".*@simon.es$""),REGEXMATCH(A3538,"".*@simon.pt$""),REGEXMATCH(A3538,"".*@simonelectrica.com$""),REGEXMATCH(A3538,"".*@hiberus.com$""),REGEXMATCH(A3538,"".*@simonbrico.es$""),regexmatch(A3538,"".*@simonelectric.com$"")),""null"",A3"&amp;"538)"),"2676@gmail.com")</f>
        <v>2676@gmail.com</v>
      </c>
      <c r="C3538" s="5">
        <f>IF(B3538="null","null",Descargas!B3538)</f>
        <v>43892</v>
      </c>
      <c r="D3538" s="6" t="str">
        <f>Descargas!E3538</f>
        <v>https://resources.simonelectric.com/simon-ebook-vehiculo-electrico</v>
      </c>
      <c r="E3538" s="20" t="str">
        <f t="shared" si="1"/>
        <v>2676@gmail.com</v>
      </c>
      <c r="F3538" s="21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</row>
    <row r="3539" ht="15.75" customHeight="1">
      <c r="A3539" s="18" t="str">
        <f>Descargas!A3539</f>
        <v>1525@abcgrup.com</v>
      </c>
      <c r="B3539" s="19" t="str">
        <f>IFERROR(__xludf.DUMMYFUNCTION("IF(OR(regexmatch(A3539,"".*@simon.es$""),REGEXMATCH(A3539,"".*@simon.pt$""),REGEXMATCH(A3539,"".*@simonelectrica.com$""),REGEXMATCH(A3539,"".*@hiberus.com$""),REGEXMATCH(A3539,"".*@simonbrico.es$""),regexmatch(A3539,"".*@simonelectric.com$"")),""null"",A3"&amp;"539)"),"1525@abcgrup.com")</f>
        <v>1525@abcgrup.com</v>
      </c>
      <c r="C3539" s="5">
        <f>IF(B3539="null","null",Descargas!B3539)</f>
        <v>43891</v>
      </c>
      <c r="D3539" s="6" t="str">
        <f>Descargas!E3539</f>
        <v>https://resources.simonelectric.com/simon-catalogo-vehiculo-electrico</v>
      </c>
      <c r="E3539" s="20" t="str">
        <f t="shared" si="1"/>
        <v>1525@abcgrup.com</v>
      </c>
      <c r="F3539" s="21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</row>
    <row r="3540" ht="15.75" customHeight="1">
      <c r="A3540" s="18" t="str">
        <f>Descargas!A3540</f>
        <v>2677@gmail.com</v>
      </c>
      <c r="B3540" s="19" t="str">
        <f>IFERROR(__xludf.DUMMYFUNCTION("IF(OR(regexmatch(A3540,"".*@simon.es$""),REGEXMATCH(A3540,"".*@simon.pt$""),REGEXMATCH(A3540,"".*@simonelectrica.com$""),REGEXMATCH(A3540,"".*@hiberus.com$""),REGEXMATCH(A3540,"".*@simonbrico.es$""),regexmatch(A3540,"".*@simonelectric.com$"")),""null"",A3"&amp;"540)"),"2677@gmail.com")</f>
        <v>2677@gmail.com</v>
      </c>
      <c r="C3540" s="5">
        <f>IF(B3540="null","null",Descargas!B3540)</f>
        <v>43891</v>
      </c>
      <c r="D3540" s="6" t="str">
        <f>Descargas!E3540</f>
        <v>https://resources.simonelectric.com/simon-ebook-vehiculo-electrico</v>
      </c>
      <c r="E3540" s="20" t="str">
        <f t="shared" si="1"/>
        <v>2677@gmail.com</v>
      </c>
      <c r="F3540" s="21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</row>
    <row r="3541" ht="15.75" customHeight="1">
      <c r="A3541" s="18" t="str">
        <f>Descargas!A3541</f>
        <v>2678@impact-al.com</v>
      </c>
      <c r="B3541" s="19" t="str">
        <f>IFERROR(__xludf.DUMMYFUNCTION("IF(OR(regexmatch(A3541,"".*@simon.es$""),REGEXMATCH(A3541,"".*@simon.pt$""),REGEXMATCH(A3541,"".*@simonelectrica.com$""),REGEXMATCH(A3541,"".*@hiberus.com$""),REGEXMATCH(A3541,"".*@simonbrico.es$""),regexmatch(A3541,"".*@simonelectric.com$"")),""null"",A3"&amp;"541)"),"2678@impact-al.com")</f>
        <v>2678@impact-al.com</v>
      </c>
      <c r="C3541" s="5">
        <f>IF(B3541="null","null",Descargas!B3541)</f>
        <v>43890</v>
      </c>
      <c r="D3541" s="6" t="str">
        <f>Descargas!E3541</f>
        <v>https://resources.simonelectric.com/simon-ebook-vehiculo-electrico</v>
      </c>
      <c r="E3541" s="20" t="str">
        <f t="shared" si="1"/>
        <v>2678@impact-al.com</v>
      </c>
      <c r="F3541" s="21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</row>
    <row r="3542" ht="15.75" customHeight="1">
      <c r="A3542" s="18" t="str">
        <f>Descargas!A3542</f>
        <v>2679@hotmail.com</v>
      </c>
      <c r="B3542" s="19" t="str">
        <f>IFERROR(__xludf.DUMMYFUNCTION("IF(OR(regexmatch(A3542,"".*@simon.es$""),REGEXMATCH(A3542,"".*@simon.pt$""),REGEXMATCH(A3542,"".*@simonelectrica.com$""),REGEXMATCH(A3542,"".*@hiberus.com$""),REGEXMATCH(A3542,"".*@simonbrico.es$""),regexmatch(A3542,"".*@simonelectric.com$"")),""null"",A3"&amp;"542)"),"2679@hotmail.com")</f>
        <v>2679@hotmail.com</v>
      </c>
      <c r="C3542" s="5">
        <f>IF(B3542="null","null",Descargas!B3542)</f>
        <v>43890</v>
      </c>
      <c r="D3542" s="6" t="str">
        <f>Descargas!E3542</f>
        <v>https://resources.simonelectric.com/simon-catalogo-vehiculo-electrico</v>
      </c>
      <c r="E3542" s="20" t="str">
        <f t="shared" si="1"/>
        <v>2679@hotmail.com</v>
      </c>
      <c r="F3542" s="21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</row>
    <row r="3543" ht="15.75" customHeight="1">
      <c r="A3543" s="18" t="str">
        <f>Descargas!A3543</f>
        <v>1525@abcgrup.com</v>
      </c>
      <c r="B3543" s="19" t="str">
        <f>IFERROR(__xludf.DUMMYFUNCTION("IF(OR(regexmatch(A3543,"".*@simon.es$""),REGEXMATCH(A3543,"".*@simon.pt$""),REGEXMATCH(A3543,"".*@simonelectrica.com$""),REGEXMATCH(A3543,"".*@hiberus.com$""),REGEXMATCH(A3543,"".*@simonbrico.es$""),regexmatch(A3543,"".*@simonelectric.com$"")),""null"",A3"&amp;"543)"),"1525@abcgrup.com")</f>
        <v>1525@abcgrup.com</v>
      </c>
      <c r="C3543" s="5">
        <f>IF(B3543="null","null",Descargas!B3543)</f>
        <v>43890</v>
      </c>
      <c r="D3543" s="6" t="str">
        <f>Descargas!E3543</f>
        <v>https://resources.simonelectric.com/simon-ebook-vehiculo-electrico</v>
      </c>
      <c r="E3543" s="20" t="str">
        <f t="shared" si="1"/>
        <v>1525@abcgrup.com</v>
      </c>
      <c r="F3543" s="21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</row>
    <row r="3544" ht="15.75" customHeight="1">
      <c r="A3544" s="18" t="str">
        <f>Descargas!A3544</f>
        <v>1525@abcgrup.com</v>
      </c>
      <c r="B3544" s="19" t="str">
        <f>IFERROR(__xludf.DUMMYFUNCTION("IF(OR(regexmatch(A3544,"".*@simon.es$""),REGEXMATCH(A3544,"".*@simon.pt$""),REGEXMATCH(A3544,"".*@simonelectrica.com$""),REGEXMATCH(A3544,"".*@hiberus.com$""),REGEXMATCH(A3544,"".*@simonbrico.es$""),regexmatch(A3544,"".*@simonelectric.com$"")),""null"",A3"&amp;"544)"),"1525@abcgrup.com")</f>
        <v>1525@abcgrup.com</v>
      </c>
      <c r="C3544" s="5">
        <f>IF(B3544="null","null",Descargas!B3544)</f>
        <v>43890</v>
      </c>
      <c r="D3544" s="6" t="str">
        <f>Descargas!E3544</f>
        <v>https://resources.simonelectric.com/simon-ebook-vehiculo-electrico</v>
      </c>
      <c r="E3544" s="20" t="str">
        <f t="shared" si="1"/>
        <v>1525@abcgrup.com</v>
      </c>
      <c r="F3544" s="21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</row>
    <row r="3545" ht="15.75" customHeight="1">
      <c r="A3545" s="18" t="str">
        <f>Descargas!A3545</f>
        <v>709@gmail.com</v>
      </c>
      <c r="B3545" s="19" t="str">
        <f>IFERROR(__xludf.DUMMYFUNCTION("IF(OR(regexmatch(A3545,"".*@simon.es$""),REGEXMATCH(A3545,"".*@simon.pt$""),REGEXMATCH(A3545,"".*@simonelectrica.com$""),REGEXMATCH(A3545,"".*@hiberus.com$""),REGEXMATCH(A3545,"".*@simonbrico.es$""),regexmatch(A3545,"".*@simonelectric.com$"")),""null"",A3"&amp;"545)"),"709@gmail.com")</f>
        <v>709@gmail.com</v>
      </c>
      <c r="C3545" s="5">
        <f>IF(B3545="null","null",Descargas!B3545)</f>
        <v>43890</v>
      </c>
      <c r="D3545" s="6" t="str">
        <f>Descargas!E3545</f>
        <v>https://resources.simonelectric.com/simon-material-formativo-vehiculo-electrico</v>
      </c>
      <c r="E3545" s="20" t="str">
        <f t="shared" si="1"/>
        <v>709@gmail.com</v>
      </c>
      <c r="F3545" s="21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</row>
    <row r="3546" ht="15.75" customHeight="1">
      <c r="A3546" s="18" t="str">
        <f>Descargas!A3546</f>
        <v>2370@gmail.com</v>
      </c>
      <c r="B3546" s="19" t="str">
        <f>IFERROR(__xludf.DUMMYFUNCTION("IF(OR(regexmatch(A3546,"".*@simon.es$""),REGEXMATCH(A3546,"".*@simon.pt$""),REGEXMATCH(A3546,"".*@simonelectrica.com$""),REGEXMATCH(A3546,"".*@hiberus.com$""),REGEXMATCH(A3546,"".*@simonbrico.es$""),regexmatch(A3546,"".*@simonelectric.com$"")),""null"",A3"&amp;"546)"),"2370@gmail.com")</f>
        <v>2370@gmail.com</v>
      </c>
      <c r="C3546" s="5">
        <f>IF(B3546="null","null",Descargas!B3546)</f>
        <v>43889</v>
      </c>
      <c r="D3546" s="6" t="str">
        <f>Descargas!E3546</f>
        <v>https://resources.simonelectric.com/simon-ebook-vehiculo-electrico-tw</v>
      </c>
      <c r="E3546" s="20" t="str">
        <f t="shared" si="1"/>
        <v>2370@gmail.com</v>
      </c>
      <c r="F3546" s="21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</row>
    <row r="3547" ht="15.75" customHeight="1">
      <c r="A3547" s="18" t="str">
        <f>Descargas!A3547</f>
        <v>2680@copitima.com</v>
      </c>
      <c r="B3547" s="19" t="str">
        <f>IFERROR(__xludf.DUMMYFUNCTION("IF(OR(regexmatch(A3547,"".*@simon.es$""),REGEXMATCH(A3547,"".*@simon.pt$""),REGEXMATCH(A3547,"".*@simonelectrica.com$""),REGEXMATCH(A3547,"".*@hiberus.com$""),REGEXMATCH(A3547,"".*@simonbrico.es$""),regexmatch(A3547,"".*@simonelectric.com$"")),""null"",A3"&amp;"547)"),"2680@copitima.com")</f>
        <v>2680@copitima.com</v>
      </c>
      <c r="C3547" s="5">
        <f>IF(B3547="null","null",Descargas!B3547)</f>
        <v>43889</v>
      </c>
      <c r="D3547" s="6" t="str">
        <f>Descargas!E3547</f>
        <v>https://resources.simonelectric.com/simon-ebook-vehiculo-electrico</v>
      </c>
      <c r="E3547" s="20" t="str">
        <f t="shared" si="1"/>
        <v>2680@copitima.com</v>
      </c>
      <c r="F3547" s="21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</row>
    <row r="3548" ht="15.75" customHeight="1">
      <c r="A3548" s="18" t="str">
        <f>Descargas!A3548</f>
        <v>2681@sueprat.es</v>
      </c>
      <c r="B3548" s="19" t="str">
        <f>IFERROR(__xludf.DUMMYFUNCTION("IF(OR(regexmatch(A3548,"".*@simon.es$""),REGEXMATCH(A3548,"".*@simon.pt$""),REGEXMATCH(A3548,"".*@simonelectrica.com$""),REGEXMATCH(A3548,"".*@hiberus.com$""),REGEXMATCH(A3548,"".*@simonbrico.es$""),regexmatch(A3548,"".*@simonelectric.com$"")),""null"",A3"&amp;"548)"),"2681@sueprat.es")</f>
        <v>2681@sueprat.es</v>
      </c>
      <c r="C3548" s="5">
        <f>IF(B3548="null","null",Descargas!B3548)</f>
        <v>43889</v>
      </c>
      <c r="D3548" s="6" t="str">
        <f>Descargas!E3548</f>
        <v>https://resources.simonelectric.com/simon-ebook-vehiculo-electrico</v>
      </c>
      <c r="E3548" s="20" t="str">
        <f t="shared" si="1"/>
        <v>2681@sueprat.es</v>
      </c>
      <c r="F3548" s="21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</row>
    <row r="3549" ht="15.75" customHeight="1">
      <c r="A3549" s="18" t="str">
        <f>Descargas!A3549</f>
        <v>1160@copcisa.com</v>
      </c>
      <c r="B3549" s="19" t="str">
        <f>IFERROR(__xludf.DUMMYFUNCTION("IF(OR(regexmatch(A3549,"".*@simon.es$""),REGEXMATCH(A3549,"".*@simon.pt$""),REGEXMATCH(A3549,"".*@simonelectrica.com$""),REGEXMATCH(A3549,"".*@hiberus.com$""),REGEXMATCH(A3549,"".*@simonbrico.es$""),regexmatch(A3549,"".*@simonelectric.com$"")),""null"",A3"&amp;"549)"),"1160@copcisa.com")</f>
        <v>1160@copcisa.com</v>
      </c>
      <c r="C3549" s="5">
        <f>IF(B3549="null","null",Descargas!B3549)</f>
        <v>43889</v>
      </c>
      <c r="D3549" s="6" t="str">
        <f>Descargas!E3549</f>
        <v>https://resources.simonelectric.com/simon-material-formativo-vehiculo-electrico</v>
      </c>
      <c r="E3549" s="20" t="str">
        <f t="shared" si="1"/>
        <v>1160@copcisa.com</v>
      </c>
      <c r="F3549" s="21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</row>
    <row r="3550" ht="15.75" customHeight="1">
      <c r="A3550" s="18" t="str">
        <f>Descargas!A3550</f>
        <v>2682@dipucuenca.es</v>
      </c>
      <c r="B3550" s="19" t="str">
        <f>IFERROR(__xludf.DUMMYFUNCTION("IF(OR(regexmatch(A3550,"".*@simon.es$""),REGEXMATCH(A3550,"".*@simon.pt$""),REGEXMATCH(A3550,"".*@simonelectrica.com$""),REGEXMATCH(A3550,"".*@hiberus.com$""),REGEXMATCH(A3550,"".*@simonbrico.es$""),regexmatch(A3550,"".*@simonelectric.com$"")),""null"",A3"&amp;"550)"),"2682@dipucuenca.es")</f>
        <v>2682@dipucuenca.es</v>
      </c>
      <c r="C3550" s="5">
        <f>IF(B3550="null","null",Descargas!B3550)</f>
        <v>43889</v>
      </c>
      <c r="D3550" s="6" t="str">
        <f>Descargas!E3550</f>
        <v>https://resources.simonelectric.com/simon-ebook-vehiculo-electrico</v>
      </c>
      <c r="E3550" s="20" t="str">
        <f t="shared" si="1"/>
        <v>2682@dipucuenca.es</v>
      </c>
      <c r="F3550" s="21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</row>
    <row r="3551" ht="15.75" customHeight="1">
      <c r="A3551" s="18" t="str">
        <f>Descargas!A3551</f>
        <v>2683@live.fr</v>
      </c>
      <c r="B3551" s="19" t="str">
        <f>IFERROR(__xludf.DUMMYFUNCTION("IF(OR(regexmatch(A3551,"".*@simon.es$""),REGEXMATCH(A3551,"".*@simon.pt$""),REGEXMATCH(A3551,"".*@simonelectrica.com$""),REGEXMATCH(A3551,"".*@hiberus.com$""),REGEXMATCH(A3551,"".*@simonbrico.es$""),regexmatch(A3551,"".*@simonelectric.com$"")),""null"",A3"&amp;"551)"),"2683@live.fr")</f>
        <v>2683@live.fr</v>
      </c>
      <c r="C3551" s="5">
        <f>IF(B3551="null","null",Descargas!B3551)</f>
        <v>43889</v>
      </c>
      <c r="D3551" s="6" t="str">
        <f>Descargas!E3551</f>
        <v>https://resources.simonelectric.com/simon-ebook-vehiculo-electrico-0</v>
      </c>
      <c r="E3551" s="20" t="str">
        <f t="shared" si="1"/>
        <v>2683@live.fr</v>
      </c>
      <c r="F3551" s="21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</row>
    <row r="3552" ht="15.75" customHeight="1">
      <c r="A3552" s="18" t="str">
        <f>Descargas!A3552</f>
        <v>1618@hotmail.com</v>
      </c>
      <c r="B3552" s="19" t="str">
        <f>IFERROR(__xludf.DUMMYFUNCTION("IF(OR(regexmatch(A3552,"".*@simon.es$""),REGEXMATCH(A3552,"".*@simon.pt$""),REGEXMATCH(A3552,"".*@simonelectrica.com$""),REGEXMATCH(A3552,"".*@hiberus.com$""),REGEXMATCH(A3552,"".*@simonbrico.es$""),regexmatch(A3552,"".*@simonelectric.com$"")),""null"",A3"&amp;"552)"),"1618@hotmail.com")</f>
        <v>1618@hotmail.com</v>
      </c>
      <c r="C3552" s="5">
        <f>IF(B3552="null","null",Descargas!B3552)</f>
        <v>43888</v>
      </c>
      <c r="D3552" s="6" t="str">
        <f>Descargas!E3552</f>
        <v>https://resources.simonelectric.com/simon-catalogo-vehiculo-electrico</v>
      </c>
      <c r="E3552" s="20" t="str">
        <f t="shared" si="1"/>
        <v>1618@hotmail.com</v>
      </c>
      <c r="F3552" s="21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</row>
    <row r="3553" ht="15.75" customHeight="1">
      <c r="A3553" s="18" t="str">
        <f>Descargas!A3553</f>
        <v>1618@hotmail.com</v>
      </c>
      <c r="B3553" s="19" t="str">
        <f>IFERROR(__xludf.DUMMYFUNCTION("IF(OR(regexmatch(A3553,"".*@simon.es$""),REGEXMATCH(A3553,"".*@simon.pt$""),REGEXMATCH(A3553,"".*@simonelectrica.com$""),REGEXMATCH(A3553,"".*@hiberus.com$""),REGEXMATCH(A3553,"".*@simonbrico.es$""),regexmatch(A3553,"".*@simonelectric.com$"")),""null"",A3"&amp;"553)"),"1618@hotmail.com")</f>
        <v>1618@hotmail.com</v>
      </c>
      <c r="C3553" s="5">
        <f>IF(B3553="null","null",Descargas!B3553)</f>
        <v>43888</v>
      </c>
      <c r="D3553" s="6" t="str">
        <f>Descargas!E3553</f>
        <v>https://resources.simonelectric.com/simon-ebook-vehiculo-electrico</v>
      </c>
      <c r="E3553" s="20" t="str">
        <f t="shared" si="1"/>
        <v>1618@hotmail.com</v>
      </c>
      <c r="F3553" s="21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</row>
    <row r="3554" ht="15.75" customHeight="1">
      <c r="A3554" s="18" t="str">
        <f>Descargas!A3554</f>
        <v>2684@hotmail.com</v>
      </c>
      <c r="B3554" s="19" t="str">
        <f>IFERROR(__xludf.DUMMYFUNCTION("IF(OR(regexmatch(A3554,"".*@simon.es$""),REGEXMATCH(A3554,"".*@simon.pt$""),REGEXMATCH(A3554,"".*@simonelectrica.com$""),REGEXMATCH(A3554,"".*@hiberus.com$""),REGEXMATCH(A3554,"".*@simonbrico.es$""),regexmatch(A3554,"".*@simonelectric.com$"")),""null"",A3"&amp;"554)"),"2684@hotmail.com")</f>
        <v>2684@hotmail.com</v>
      </c>
      <c r="C3554" s="5">
        <f>IF(B3554="null","null",Descargas!B3554)</f>
        <v>43888</v>
      </c>
      <c r="D3554" s="6" t="str">
        <f>Descargas!E3554</f>
        <v>https://resources.simonelectric.com/simon-ebook-vehiculo-electrico</v>
      </c>
      <c r="E3554" s="20" t="str">
        <f t="shared" si="1"/>
        <v>2684@hotmail.com</v>
      </c>
      <c r="F3554" s="21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</row>
    <row r="3555" ht="15.75" customHeight="1">
      <c r="A3555" s="18" t="str">
        <f>Descargas!A3555</f>
        <v>2100@simon.es</v>
      </c>
      <c r="B3555" s="19" t="str">
        <f>IFERROR(__xludf.DUMMYFUNCTION("IF(OR(regexmatch(A3555,"".*@simon.es$""),REGEXMATCH(A3555,"".*@simon.pt$""),REGEXMATCH(A3555,"".*@simonelectrica.com$""),REGEXMATCH(A3555,"".*@hiberus.com$""),REGEXMATCH(A3555,"".*@simonbrico.es$""),regexmatch(A3555,"".*@simonelectric.com$"")),""null"",A3"&amp;"555)"),"null")</f>
        <v>null</v>
      </c>
      <c r="C3555" s="5" t="str">
        <f>IF(B3555="null","null",Descargas!B3555)</f>
        <v>null</v>
      </c>
      <c r="D3555" s="6" t="str">
        <f>Descargas!E3555</f>
        <v>https://resources.simonelectric.com/simon-material-formativo-vehiculo-electrico</v>
      </c>
      <c r="E3555" s="24" t="str">
        <f t="shared" si="1"/>
        <v/>
      </c>
      <c r="F3555" s="21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</row>
    <row r="3556" ht="15.75" customHeight="1">
      <c r="A3556" s="18" t="str">
        <f>Descargas!A3556</f>
        <v>2685@orgaus.com</v>
      </c>
      <c r="B3556" s="19" t="str">
        <f>IFERROR(__xludf.DUMMYFUNCTION("IF(OR(regexmatch(A3556,"".*@simon.es$""),REGEXMATCH(A3556,"".*@simon.pt$""),REGEXMATCH(A3556,"".*@simonelectrica.com$""),REGEXMATCH(A3556,"".*@hiberus.com$""),REGEXMATCH(A3556,"".*@simonbrico.es$""),regexmatch(A3556,"".*@simonelectric.com$"")),""null"",A3"&amp;"556)"),"2685@orgaus.com")</f>
        <v>2685@orgaus.com</v>
      </c>
      <c r="C3556" s="5">
        <f>IF(B3556="null","null",Descargas!B3556)</f>
        <v>43888</v>
      </c>
      <c r="D3556" s="6" t="str">
        <f>Descargas!E3556</f>
        <v>https://resources.simonelectric.com/simon-ebook-vehiculo-electrico</v>
      </c>
      <c r="E3556" s="20" t="str">
        <f t="shared" si="1"/>
        <v>2685@orgaus.com</v>
      </c>
      <c r="F3556" s="21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</row>
    <row r="3557" ht="15.75" customHeight="1">
      <c r="A3557" s="18" t="str">
        <f>Descargas!A3557</f>
        <v>2686@kbingenieria.com</v>
      </c>
      <c r="B3557" s="19" t="str">
        <f>IFERROR(__xludf.DUMMYFUNCTION("IF(OR(regexmatch(A3557,"".*@simon.es$""),REGEXMATCH(A3557,"".*@simon.pt$""),REGEXMATCH(A3557,"".*@simonelectrica.com$""),REGEXMATCH(A3557,"".*@hiberus.com$""),REGEXMATCH(A3557,"".*@simonbrico.es$""),regexmatch(A3557,"".*@simonelectric.com$"")),""null"",A3"&amp;"557)"),"2686@kbingenieria.com")</f>
        <v>2686@kbingenieria.com</v>
      </c>
      <c r="C3557" s="5">
        <f>IF(B3557="null","null",Descargas!B3557)</f>
        <v>43888</v>
      </c>
      <c r="D3557" s="6" t="str">
        <f>Descargas!E3557</f>
        <v>https://resources.simonelectric.com/simon-ebook-vehiculo-electrico</v>
      </c>
      <c r="E3557" s="20" t="str">
        <f t="shared" si="1"/>
        <v>2686@kbingenieria.com</v>
      </c>
      <c r="F3557" s="21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</row>
    <row r="3558" ht="15.75" customHeight="1">
      <c r="A3558" s="18" t="str">
        <f>Descargas!A3558</f>
        <v>2687@serium.es</v>
      </c>
      <c r="B3558" s="19" t="str">
        <f>IFERROR(__xludf.DUMMYFUNCTION("IF(OR(regexmatch(A3558,"".*@simon.es$""),REGEXMATCH(A3558,"".*@simon.pt$""),REGEXMATCH(A3558,"".*@simonelectrica.com$""),REGEXMATCH(A3558,"".*@hiberus.com$""),REGEXMATCH(A3558,"".*@simonbrico.es$""),regexmatch(A3558,"".*@simonelectric.com$"")),""null"",A3"&amp;"558)"),"2687@serium.es")</f>
        <v>2687@serium.es</v>
      </c>
      <c r="C3558" s="5">
        <f>IF(B3558="null","null",Descargas!B3558)</f>
        <v>43888</v>
      </c>
      <c r="D3558" s="6" t="str">
        <f>Descargas!E3558</f>
        <v>https://resources.simonelectric.com/simon-ebook-vehiculo-electrico</v>
      </c>
      <c r="E3558" s="20" t="str">
        <f t="shared" si="1"/>
        <v>2687@serium.es</v>
      </c>
      <c r="F3558" s="21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</row>
    <row r="3559" ht="15.75" customHeight="1">
      <c r="A3559" s="18" t="str">
        <f>Descargas!A3559</f>
        <v>2688@hotmail.com</v>
      </c>
      <c r="B3559" s="19" t="str">
        <f>IFERROR(__xludf.DUMMYFUNCTION("IF(OR(regexmatch(A3559,"".*@simon.es$""),REGEXMATCH(A3559,"".*@simon.pt$""),REGEXMATCH(A3559,"".*@simonelectrica.com$""),REGEXMATCH(A3559,"".*@hiberus.com$""),REGEXMATCH(A3559,"".*@simonbrico.es$""),regexmatch(A3559,"".*@simonelectric.com$"")),""null"",A3"&amp;"559)"),"2688@hotmail.com")</f>
        <v>2688@hotmail.com</v>
      </c>
      <c r="C3559" s="5">
        <f>IF(B3559="null","null",Descargas!B3559)</f>
        <v>43888</v>
      </c>
      <c r="D3559" s="6" t="str">
        <f>Descargas!E3559</f>
        <v>https://resources.simonelectric.com/simon-ebook-vehiculo-electrico</v>
      </c>
      <c r="E3559" s="20" t="str">
        <f t="shared" si="1"/>
        <v>2688@hotmail.com</v>
      </c>
      <c r="F3559" s="21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</row>
    <row r="3560" ht="15.75" customHeight="1">
      <c r="A3560" s="18" t="str">
        <f>Descargas!A3560</f>
        <v>2688@hotmail.com</v>
      </c>
      <c r="B3560" s="19" t="str">
        <f>IFERROR(__xludf.DUMMYFUNCTION("IF(OR(regexmatch(A3560,"".*@simon.es$""),REGEXMATCH(A3560,"".*@simon.pt$""),REGEXMATCH(A3560,"".*@simonelectrica.com$""),REGEXMATCH(A3560,"".*@hiberus.com$""),REGEXMATCH(A3560,"".*@simonbrico.es$""),regexmatch(A3560,"".*@simonelectric.com$"")),""null"",A3"&amp;"560)"),"2688@hotmail.com")</f>
        <v>2688@hotmail.com</v>
      </c>
      <c r="C3560" s="5">
        <f>IF(B3560="null","null",Descargas!B3560)</f>
        <v>43888</v>
      </c>
      <c r="D3560" s="6" t="str">
        <f>Descargas!E3560</f>
        <v>https://resources.simonelectric.com/simon-catalogo-vehiculo-electrico</v>
      </c>
      <c r="E3560" s="20" t="str">
        <f t="shared" si="1"/>
        <v>2688@hotmail.com</v>
      </c>
      <c r="F3560" s="21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</row>
    <row r="3561" ht="15.75" customHeight="1">
      <c r="A3561" s="18" t="str">
        <f>Descargas!A3561</f>
        <v>2689@edp-sl.com</v>
      </c>
      <c r="B3561" s="19" t="str">
        <f>IFERROR(__xludf.DUMMYFUNCTION("IF(OR(regexmatch(A3561,"".*@simon.es$""),REGEXMATCH(A3561,"".*@simon.pt$""),REGEXMATCH(A3561,"".*@simonelectrica.com$""),REGEXMATCH(A3561,"".*@hiberus.com$""),REGEXMATCH(A3561,"".*@simonbrico.es$""),regexmatch(A3561,"".*@simonelectric.com$"")),""null"",A3"&amp;"561)"),"2689@edp-sl.com")</f>
        <v>2689@edp-sl.com</v>
      </c>
      <c r="C3561" s="5">
        <f>IF(B3561="null","null",Descargas!B3561)</f>
        <v>43888</v>
      </c>
      <c r="D3561" s="6" t="str">
        <f>Descargas!E3561</f>
        <v>https://resources.simonelectric.com/simon-ebook-vehiculo-electrico</v>
      </c>
      <c r="E3561" s="20" t="str">
        <f t="shared" si="1"/>
        <v>2689@edp-sl.com</v>
      </c>
      <c r="F3561" s="21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</row>
    <row r="3562" ht="15.75" customHeight="1">
      <c r="A3562" s="18" t="str">
        <f>Descargas!A3562</f>
        <v>2690@gmail.com</v>
      </c>
      <c r="B3562" s="19" t="str">
        <f>IFERROR(__xludf.DUMMYFUNCTION("IF(OR(regexmatch(A3562,"".*@simon.es$""),REGEXMATCH(A3562,"".*@simon.pt$""),REGEXMATCH(A3562,"".*@simonelectrica.com$""),REGEXMATCH(A3562,"".*@hiberus.com$""),REGEXMATCH(A3562,"".*@simonbrico.es$""),regexmatch(A3562,"".*@simonelectric.com$"")),""null"",A3"&amp;"562)"),"2690@gmail.com")</f>
        <v>2690@gmail.com</v>
      </c>
      <c r="C3562" s="5">
        <f>IF(B3562="null","null",Descargas!B3562)</f>
        <v>43888</v>
      </c>
      <c r="D3562" s="6" t="str">
        <f>Descargas!E3562</f>
        <v>https://resources.simonelectric.com/simon-ebook-vehiculo-electrico-tw</v>
      </c>
      <c r="E3562" s="20" t="str">
        <f t="shared" si="1"/>
        <v>2690@gmail.com</v>
      </c>
      <c r="F3562" s="21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</row>
    <row r="3563" ht="15.75" customHeight="1">
      <c r="A3563" s="18" t="str">
        <f>Descargas!A3563</f>
        <v>2635@ambginy.com</v>
      </c>
      <c r="B3563" s="19" t="str">
        <f>IFERROR(__xludf.DUMMYFUNCTION("IF(OR(regexmatch(A3563,"".*@simon.es$""),REGEXMATCH(A3563,"".*@simon.pt$""),REGEXMATCH(A3563,"".*@simonelectrica.com$""),REGEXMATCH(A3563,"".*@hiberus.com$""),REGEXMATCH(A3563,"".*@simonbrico.es$""),regexmatch(A3563,"".*@simonelectric.com$"")),""null"",A3"&amp;"563)"),"2635@ambginy.com")</f>
        <v>2635@ambginy.com</v>
      </c>
      <c r="C3563" s="5">
        <f>IF(B3563="null","null",Descargas!B3563)</f>
        <v>43888</v>
      </c>
      <c r="D3563" s="6" t="str">
        <f>Descargas!E3563</f>
        <v>https://resources.simonelectric.com/simon-ebook-vehiculo-electrico</v>
      </c>
      <c r="E3563" s="20" t="str">
        <f t="shared" si="1"/>
        <v>2635@ambginy.com</v>
      </c>
      <c r="F3563" s="21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</row>
    <row r="3564" ht="15.75" customHeight="1">
      <c r="A3564" s="18" t="str">
        <f>Descargas!A3564</f>
        <v>2691@magserveis.com</v>
      </c>
      <c r="B3564" s="19" t="str">
        <f>IFERROR(__xludf.DUMMYFUNCTION("IF(OR(regexmatch(A3564,"".*@simon.es$""),REGEXMATCH(A3564,"".*@simon.pt$""),REGEXMATCH(A3564,"".*@simonelectrica.com$""),REGEXMATCH(A3564,"".*@hiberus.com$""),REGEXMATCH(A3564,"".*@simonbrico.es$""),regexmatch(A3564,"".*@simonelectric.com$"")),""null"",A3"&amp;"564)"),"2691@magserveis.com")</f>
        <v>2691@magserveis.com</v>
      </c>
      <c r="C3564" s="5">
        <f>IF(B3564="null","null",Descargas!B3564)</f>
        <v>43888</v>
      </c>
      <c r="D3564" s="6" t="str">
        <f>Descargas!E3564</f>
        <v>https://resources.simonelectric.com/simon-ebook-vehiculo-electrico</v>
      </c>
      <c r="E3564" s="20" t="str">
        <f t="shared" si="1"/>
        <v>2691@magserveis.com</v>
      </c>
      <c r="F3564" s="21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</row>
    <row r="3565" ht="15.75" customHeight="1">
      <c r="A3565" s="18" t="str">
        <f>Descargas!A3565</f>
        <v>2692@gmail.com</v>
      </c>
      <c r="B3565" s="19" t="str">
        <f>IFERROR(__xludf.DUMMYFUNCTION("IF(OR(regexmatch(A3565,"".*@simon.es$""),REGEXMATCH(A3565,"".*@simon.pt$""),REGEXMATCH(A3565,"".*@simonelectrica.com$""),REGEXMATCH(A3565,"".*@hiberus.com$""),REGEXMATCH(A3565,"".*@simonbrico.es$""),regexmatch(A3565,"".*@simonelectric.com$"")),""null"",A3"&amp;"565)"),"2692@gmail.com")</f>
        <v>2692@gmail.com</v>
      </c>
      <c r="C3565" s="5">
        <f>IF(B3565="null","null",Descargas!B3565)</f>
        <v>43888</v>
      </c>
      <c r="D3565" s="6" t="str">
        <f>Descargas!E3565</f>
        <v>https://resources.simonelectric.com/simon-ebook-vehiculo-electrico</v>
      </c>
      <c r="E3565" s="20" t="str">
        <f t="shared" si="1"/>
        <v>2692@gmail.com</v>
      </c>
      <c r="F3565" s="21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</row>
    <row r="3566" ht="15.75" customHeight="1">
      <c r="A3566" s="18" t="str">
        <f>Descargas!A3566</f>
        <v>2693@bextron.es</v>
      </c>
      <c r="B3566" s="19" t="str">
        <f>IFERROR(__xludf.DUMMYFUNCTION("IF(OR(regexmatch(A3566,"".*@simon.es$""),REGEXMATCH(A3566,"".*@simon.pt$""),REGEXMATCH(A3566,"".*@simonelectrica.com$""),REGEXMATCH(A3566,"".*@hiberus.com$""),REGEXMATCH(A3566,"".*@simonbrico.es$""),regexmatch(A3566,"".*@simonelectric.com$"")),""null"",A3"&amp;"566)"),"2693@bextron.es")</f>
        <v>2693@bextron.es</v>
      </c>
      <c r="C3566" s="5">
        <f>IF(B3566="null","null",Descargas!B3566)</f>
        <v>43888</v>
      </c>
      <c r="D3566" s="6" t="str">
        <f>Descargas!E3566</f>
        <v>https://resources.simonelectric.com/simon-ebook-vehiculo-electrico-0</v>
      </c>
      <c r="E3566" s="20" t="str">
        <f t="shared" si="1"/>
        <v>2693@bextron.es</v>
      </c>
      <c r="F3566" s="21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</row>
    <row r="3567" ht="15.75" customHeight="1">
      <c r="A3567" s="18" t="str">
        <f>Descargas!A3567</f>
        <v>2694@gmail.com</v>
      </c>
      <c r="B3567" s="19" t="str">
        <f>IFERROR(__xludf.DUMMYFUNCTION("IF(OR(regexmatch(A3567,"".*@simon.es$""),REGEXMATCH(A3567,"".*@simon.pt$""),REGEXMATCH(A3567,"".*@simonelectrica.com$""),REGEXMATCH(A3567,"".*@hiberus.com$""),REGEXMATCH(A3567,"".*@simonbrico.es$""),regexmatch(A3567,"".*@simonelectric.com$"")),""null"",A3"&amp;"567)"),"2694@gmail.com")</f>
        <v>2694@gmail.com</v>
      </c>
      <c r="C3567" s="5">
        <f>IF(B3567="null","null",Descargas!B3567)</f>
        <v>43887</v>
      </c>
      <c r="D3567" s="6" t="str">
        <f>Descargas!E3567</f>
        <v>https://resources.simonelectric.com/simon-ebook-vehiculo-electrico</v>
      </c>
      <c r="E3567" s="20" t="str">
        <f t="shared" si="1"/>
        <v>2694@gmail.com</v>
      </c>
      <c r="F3567" s="21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</row>
    <row r="3568" ht="15.75" customHeight="1">
      <c r="A3568" s="18" t="str">
        <f>Descargas!A3568</f>
        <v>2098@simon.es</v>
      </c>
      <c r="B3568" s="19" t="str">
        <f>IFERROR(__xludf.DUMMYFUNCTION("IF(OR(regexmatch(A3568,"".*@simon.es$""),REGEXMATCH(A3568,"".*@simon.pt$""),REGEXMATCH(A3568,"".*@simonelectrica.com$""),REGEXMATCH(A3568,"".*@hiberus.com$""),REGEXMATCH(A3568,"".*@simonbrico.es$""),regexmatch(A3568,"".*@simonelectric.com$"")),""null"",A3"&amp;"568)"),"null")</f>
        <v>null</v>
      </c>
      <c r="C3568" s="5" t="str">
        <f>IF(B3568="null","null",Descargas!B3568)</f>
        <v>null</v>
      </c>
      <c r="D3568" s="6" t="str">
        <f>Descargas!E3568</f>
        <v>https://resources.simonelectric.com/simon-material-formativo-vehiculo-electrico</v>
      </c>
      <c r="E3568" s="24" t="str">
        <f t="shared" si="1"/>
        <v/>
      </c>
      <c r="F3568" s="21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</row>
    <row r="3569" ht="15.75" customHeight="1">
      <c r="A3569" s="18" t="str">
        <f>Descargas!A3569</f>
        <v>1092@cipfpcanastell.com</v>
      </c>
      <c r="B3569" s="19" t="str">
        <f>IFERROR(__xludf.DUMMYFUNCTION("IF(OR(regexmatch(A3569,"".*@simon.es$""),REGEXMATCH(A3569,"".*@simon.pt$""),REGEXMATCH(A3569,"".*@simonelectrica.com$""),REGEXMATCH(A3569,"".*@hiberus.com$""),REGEXMATCH(A3569,"".*@simonbrico.es$""),regexmatch(A3569,"".*@simonelectric.com$"")),""null"",A3"&amp;"569)"),"1092@cipfpcanastell.com")</f>
        <v>1092@cipfpcanastell.com</v>
      </c>
      <c r="C3569" s="5">
        <f>IF(B3569="null","null",Descargas!B3569)</f>
        <v>43887</v>
      </c>
      <c r="D3569" s="6" t="str">
        <f>Descargas!E3569</f>
        <v>https://resources.simonelectric.com/simon-ebook-vehiculo-electrico</v>
      </c>
      <c r="E3569" s="20" t="str">
        <f t="shared" si="1"/>
        <v>1092@cipfpcanastell.com</v>
      </c>
      <c r="F3569" s="21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</row>
    <row r="3570" ht="15.75" customHeight="1">
      <c r="A3570" s="18" t="str">
        <f>Descargas!A3570</f>
        <v>2695@inelt.es</v>
      </c>
      <c r="B3570" s="19" t="str">
        <f>IFERROR(__xludf.DUMMYFUNCTION("IF(OR(regexmatch(A3570,"".*@simon.es$""),REGEXMATCH(A3570,"".*@simon.pt$""),REGEXMATCH(A3570,"".*@simonelectrica.com$""),REGEXMATCH(A3570,"".*@hiberus.com$""),REGEXMATCH(A3570,"".*@simonbrico.es$""),regexmatch(A3570,"".*@simonelectric.com$"")),""null"",A3"&amp;"570)"),"2695@inelt.es")</f>
        <v>2695@inelt.es</v>
      </c>
      <c r="C3570" s="5">
        <f>IF(B3570="null","null",Descargas!B3570)</f>
        <v>43887</v>
      </c>
      <c r="D3570" s="6" t="str">
        <f>Descargas!E3570</f>
        <v>https://resources.simonelectric.com/simon-material-formativo-vehiculo-electrico</v>
      </c>
      <c r="E3570" s="20" t="str">
        <f t="shared" si="1"/>
        <v>2695@inelt.es</v>
      </c>
      <c r="F3570" s="21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</row>
    <row r="3571" ht="15.75" customHeight="1">
      <c r="A3571" s="18" t="str">
        <f>Descargas!A3571</f>
        <v>2696@1aingenieros.com</v>
      </c>
      <c r="B3571" s="19" t="str">
        <f>IFERROR(__xludf.DUMMYFUNCTION("IF(OR(regexmatch(A3571,"".*@simon.es$""),REGEXMATCH(A3571,"".*@simon.pt$""),REGEXMATCH(A3571,"".*@simonelectrica.com$""),REGEXMATCH(A3571,"".*@hiberus.com$""),REGEXMATCH(A3571,"".*@simonbrico.es$""),regexmatch(A3571,"".*@simonelectric.com$"")),""null"",A3"&amp;"571)"),"2696@1aingenieros.com")</f>
        <v>2696@1aingenieros.com</v>
      </c>
      <c r="C3571" s="5">
        <f>IF(B3571="null","null",Descargas!B3571)</f>
        <v>43887</v>
      </c>
      <c r="D3571" s="6" t="str">
        <f>Descargas!E3571</f>
        <v>https://resources.simonelectric.com/simon-ebook-vehiculo-electrico</v>
      </c>
      <c r="E3571" s="20" t="str">
        <f t="shared" si="1"/>
        <v>2696@1aingenieros.com</v>
      </c>
      <c r="F3571" s="21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</row>
    <row r="3572" ht="15.75" customHeight="1">
      <c r="A3572" s="18" t="str">
        <f>Descargas!A3572</f>
        <v>2697@digamel.com</v>
      </c>
      <c r="B3572" s="19" t="str">
        <f>IFERROR(__xludf.DUMMYFUNCTION("IF(OR(regexmatch(A3572,"".*@simon.es$""),REGEXMATCH(A3572,"".*@simon.pt$""),REGEXMATCH(A3572,"".*@simonelectrica.com$""),REGEXMATCH(A3572,"".*@hiberus.com$""),REGEXMATCH(A3572,"".*@simonbrico.es$""),regexmatch(A3572,"".*@simonelectric.com$"")),""null"",A3"&amp;"572)"),"2697@digamel.com")</f>
        <v>2697@digamel.com</v>
      </c>
      <c r="C3572" s="5">
        <f>IF(B3572="null","null",Descargas!B3572)</f>
        <v>43887</v>
      </c>
      <c r="D3572" s="6" t="str">
        <f>Descargas!E3572</f>
        <v>https://resources.simonelectric.com/simon-ebook-vehiculo-electrico</v>
      </c>
      <c r="E3572" s="20" t="str">
        <f t="shared" si="1"/>
        <v>2697@digamel.com</v>
      </c>
      <c r="F3572" s="21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</row>
    <row r="3573" ht="15.75" customHeight="1">
      <c r="A3573" s="18" t="str">
        <f>Descargas!A3573</f>
        <v>1665@gmail.com</v>
      </c>
      <c r="B3573" s="19" t="str">
        <f>IFERROR(__xludf.DUMMYFUNCTION("IF(OR(regexmatch(A3573,"".*@simon.es$""),REGEXMATCH(A3573,"".*@simon.pt$""),REGEXMATCH(A3573,"".*@simonelectrica.com$""),REGEXMATCH(A3573,"".*@hiberus.com$""),REGEXMATCH(A3573,"".*@simonbrico.es$""),regexmatch(A3573,"".*@simonelectric.com$"")),""null"",A3"&amp;"573)"),"1665@gmail.com")</f>
        <v>1665@gmail.com</v>
      </c>
      <c r="C3573" s="5">
        <f>IF(B3573="null","null",Descargas!B3573)</f>
        <v>43887</v>
      </c>
      <c r="D3573" s="6" t="str">
        <f>Descargas!E3573</f>
        <v>https://resources.simonelectric.com/simon-catalogo-vehiculo-electrico</v>
      </c>
      <c r="E3573" s="20" t="str">
        <f t="shared" si="1"/>
        <v>1665@gmail.com</v>
      </c>
      <c r="F3573" s="21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</row>
    <row r="3574" ht="15.75" customHeight="1">
      <c r="A3574" s="18" t="str">
        <f>Descargas!A3574</f>
        <v>2098@simon.es</v>
      </c>
      <c r="B3574" s="19" t="str">
        <f>IFERROR(__xludf.DUMMYFUNCTION("IF(OR(regexmatch(A3574,"".*@simon.es$""),REGEXMATCH(A3574,"".*@simon.pt$""),REGEXMATCH(A3574,"".*@simonelectrica.com$""),REGEXMATCH(A3574,"".*@hiberus.com$""),REGEXMATCH(A3574,"".*@simonbrico.es$""),regexmatch(A3574,"".*@simonelectric.com$"")),""null"",A3"&amp;"574)"),"null")</f>
        <v>null</v>
      </c>
      <c r="C3574" s="5" t="str">
        <f>IF(B3574="null","null",Descargas!B3574)</f>
        <v>null</v>
      </c>
      <c r="D3574" s="6" t="str">
        <f>Descargas!E3574</f>
        <v>https://resources.simonelectric.com/simon-material-formativo-vehiculo-electrico</v>
      </c>
      <c r="E3574" s="24" t="str">
        <f t="shared" si="1"/>
        <v/>
      </c>
      <c r="F3574" s="21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</row>
    <row r="3575" ht="15.75" customHeight="1">
      <c r="A3575" s="18" t="str">
        <f>Descargas!A3575</f>
        <v>1249@gmail.com</v>
      </c>
      <c r="B3575" s="19" t="str">
        <f>IFERROR(__xludf.DUMMYFUNCTION("IF(OR(regexmatch(A3575,"".*@simon.es$""),REGEXMATCH(A3575,"".*@simon.pt$""),REGEXMATCH(A3575,"".*@simonelectrica.com$""),REGEXMATCH(A3575,"".*@hiberus.com$""),REGEXMATCH(A3575,"".*@simonbrico.es$""),regexmatch(A3575,"".*@simonelectric.com$"")),""null"",A3"&amp;"575)"),"1249@gmail.com")</f>
        <v>1249@gmail.com</v>
      </c>
      <c r="C3575" s="5">
        <f>IF(B3575="null","null",Descargas!B3575)</f>
        <v>43887</v>
      </c>
      <c r="D3575" s="6" t="str">
        <f>Descargas!E3575</f>
        <v>https://resources.simonelectric.com/simon-catalogo-vehiculo-electrico</v>
      </c>
      <c r="E3575" s="20" t="str">
        <f t="shared" si="1"/>
        <v>1249@gmail.com</v>
      </c>
      <c r="F3575" s="21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</row>
    <row r="3576" ht="15.75" customHeight="1">
      <c r="A3576" s="18" t="str">
        <f>Descargas!A3576</f>
        <v>1249@gmail.com</v>
      </c>
      <c r="B3576" s="19" t="str">
        <f>IFERROR(__xludf.DUMMYFUNCTION("IF(OR(regexmatch(A3576,"".*@simon.es$""),REGEXMATCH(A3576,"".*@simon.pt$""),REGEXMATCH(A3576,"".*@simonelectrica.com$""),REGEXMATCH(A3576,"".*@hiberus.com$""),REGEXMATCH(A3576,"".*@simonbrico.es$""),regexmatch(A3576,"".*@simonelectric.com$"")),""null"",A3"&amp;"576)"),"1249@gmail.com")</f>
        <v>1249@gmail.com</v>
      </c>
      <c r="C3576" s="5">
        <f>IF(B3576="null","null",Descargas!B3576)</f>
        <v>43887</v>
      </c>
      <c r="D3576" s="6" t="str">
        <f>Descargas!E3576</f>
        <v>https://resources.simonelectric.com/simon-ebook-vehiculo-electrico</v>
      </c>
      <c r="E3576" s="20" t="str">
        <f t="shared" si="1"/>
        <v>1249@gmail.com</v>
      </c>
      <c r="F3576" s="21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</row>
    <row r="3577" ht="15.75" customHeight="1">
      <c r="A3577" s="18" t="str">
        <f>Descargas!A3577</f>
        <v>2698@gmail.com</v>
      </c>
      <c r="B3577" s="19" t="str">
        <f>IFERROR(__xludf.DUMMYFUNCTION("IF(OR(regexmatch(A3577,"".*@simon.es$""),REGEXMATCH(A3577,"".*@simon.pt$""),REGEXMATCH(A3577,"".*@simonelectrica.com$""),REGEXMATCH(A3577,"".*@hiberus.com$""),REGEXMATCH(A3577,"".*@simonbrico.es$""),regexmatch(A3577,"".*@simonelectric.com$"")),""null"",A3"&amp;"577)"),"2698@gmail.com")</f>
        <v>2698@gmail.com</v>
      </c>
      <c r="C3577" s="5">
        <f>IF(B3577="null","null",Descargas!B3577)</f>
        <v>43887</v>
      </c>
      <c r="D3577" s="6" t="str">
        <f>Descargas!E3577</f>
        <v>https://resources.simonelectric.com/simon-ebook-vehiculo-electrico-0</v>
      </c>
      <c r="E3577" s="20" t="str">
        <f t="shared" si="1"/>
        <v>2698@gmail.com</v>
      </c>
      <c r="F3577" s="21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</row>
    <row r="3578" ht="15.75" customHeight="1">
      <c r="A3578" s="18" t="str">
        <f>Descargas!A3578</f>
        <v>2699@gmail.com</v>
      </c>
      <c r="B3578" s="19" t="str">
        <f>IFERROR(__xludf.DUMMYFUNCTION("IF(OR(regexmatch(A3578,"".*@simon.es$""),REGEXMATCH(A3578,"".*@simon.pt$""),REGEXMATCH(A3578,"".*@simonelectrica.com$""),REGEXMATCH(A3578,"".*@hiberus.com$""),REGEXMATCH(A3578,"".*@simonbrico.es$""),regexmatch(A3578,"".*@simonelectric.com$"")),""null"",A3"&amp;"578)"),"2699@gmail.com")</f>
        <v>2699@gmail.com</v>
      </c>
      <c r="C3578" s="5">
        <f>IF(B3578="null","null",Descargas!B3578)</f>
        <v>43886</v>
      </c>
      <c r="D3578" s="6" t="str">
        <f>Descargas!E3578</f>
        <v>https://resources.simonelectric.com/simon-ebook-vehiculo-electrico</v>
      </c>
      <c r="E3578" s="20" t="str">
        <f t="shared" si="1"/>
        <v>2699@gmail.com</v>
      </c>
      <c r="F3578" s="21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</row>
    <row r="3579" ht="15.75" customHeight="1">
      <c r="A3579" s="18" t="str">
        <f>Descargas!A3579</f>
        <v>2699@gmail.com</v>
      </c>
      <c r="B3579" s="19" t="str">
        <f>IFERROR(__xludf.DUMMYFUNCTION("IF(OR(regexmatch(A3579,"".*@simon.es$""),REGEXMATCH(A3579,"".*@simon.pt$""),REGEXMATCH(A3579,"".*@simonelectrica.com$""),REGEXMATCH(A3579,"".*@hiberus.com$""),REGEXMATCH(A3579,"".*@simonbrico.es$""),regexmatch(A3579,"".*@simonelectric.com$"")),""null"",A3"&amp;"579)"),"2699@gmail.com")</f>
        <v>2699@gmail.com</v>
      </c>
      <c r="C3579" s="5">
        <f>IF(B3579="null","null",Descargas!B3579)</f>
        <v>43886</v>
      </c>
      <c r="D3579" s="6" t="str">
        <f>Descargas!E3579</f>
        <v>https://resources.simonelectric.com/simon-ebook-vehiculo-electrico</v>
      </c>
      <c r="E3579" s="20" t="str">
        <f t="shared" si="1"/>
        <v>2699@gmail.com</v>
      </c>
      <c r="F3579" s="21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</row>
    <row r="3580" ht="15.75" customHeight="1">
      <c r="A3580" s="18" t="str">
        <f>Descargas!A3580</f>
        <v>2700@hotmail.com</v>
      </c>
      <c r="B3580" s="19" t="str">
        <f>IFERROR(__xludf.DUMMYFUNCTION("IF(OR(regexmatch(A3580,"".*@simon.es$""),REGEXMATCH(A3580,"".*@simon.pt$""),REGEXMATCH(A3580,"".*@simonelectrica.com$""),REGEXMATCH(A3580,"".*@hiberus.com$""),REGEXMATCH(A3580,"".*@simonbrico.es$""),regexmatch(A3580,"".*@simonelectric.com$"")),""null"",A3"&amp;"580)"),"2700@hotmail.com")</f>
        <v>2700@hotmail.com</v>
      </c>
      <c r="C3580" s="5">
        <f>IF(B3580="null","null",Descargas!B3580)</f>
        <v>43886</v>
      </c>
      <c r="D3580" s="6" t="str">
        <f>Descargas!E3580</f>
        <v>https://resources.simonelectric.com/simon-ebook-vehiculo-electrico</v>
      </c>
      <c r="E3580" s="20" t="str">
        <f t="shared" si="1"/>
        <v>2700@hotmail.com</v>
      </c>
      <c r="F3580" s="21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</row>
    <row r="3581" ht="15.75" customHeight="1">
      <c r="A3581" s="18" t="str">
        <f>Descargas!A3581</f>
        <v>2701@gmail.com</v>
      </c>
      <c r="B3581" s="19" t="str">
        <f>IFERROR(__xludf.DUMMYFUNCTION("IF(OR(regexmatch(A3581,"".*@simon.es$""),REGEXMATCH(A3581,"".*@simon.pt$""),REGEXMATCH(A3581,"".*@simonelectrica.com$""),REGEXMATCH(A3581,"".*@hiberus.com$""),REGEXMATCH(A3581,"".*@simonbrico.es$""),regexmatch(A3581,"".*@simonelectric.com$"")),""null"",A3"&amp;"581)"),"2701@gmail.com")</f>
        <v>2701@gmail.com</v>
      </c>
      <c r="C3581" s="5">
        <f>IF(B3581="null","null",Descargas!B3581)</f>
        <v>43886</v>
      </c>
      <c r="D3581" s="6" t="str">
        <f>Descargas!E3581</f>
        <v>https://resources.simonelectric.com/simon-ebook-vehiculo-electrico-tw</v>
      </c>
      <c r="E3581" s="20" t="str">
        <f t="shared" si="1"/>
        <v>2701@gmail.com</v>
      </c>
      <c r="F3581" s="21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</row>
    <row r="3582" ht="15.75" customHeight="1">
      <c r="A3582" s="18" t="str">
        <f>Descargas!A3582</f>
        <v>2682@dipucuenca.es</v>
      </c>
      <c r="B3582" s="19" t="str">
        <f>IFERROR(__xludf.DUMMYFUNCTION("IF(OR(regexmatch(A3582,"".*@simon.es$""),REGEXMATCH(A3582,"".*@simon.pt$""),REGEXMATCH(A3582,"".*@simonelectrica.com$""),REGEXMATCH(A3582,"".*@hiberus.com$""),REGEXMATCH(A3582,"".*@simonbrico.es$""),regexmatch(A3582,"".*@simonelectric.com$"")),""null"",A3"&amp;"582)"),"2682@dipucuenca.es")</f>
        <v>2682@dipucuenca.es</v>
      </c>
      <c r="C3582" s="5">
        <f>IF(B3582="null","null",Descargas!B3582)</f>
        <v>43886</v>
      </c>
      <c r="D3582" s="6" t="str">
        <f>Descargas!E3582</f>
        <v>https://resources.simonelectric.com/simon-ebook-vehiculo-electrico</v>
      </c>
      <c r="E3582" s="20" t="str">
        <f t="shared" si="1"/>
        <v>2682@dipucuenca.es</v>
      </c>
      <c r="F3582" s="21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</row>
    <row r="3583" ht="15.75" customHeight="1">
      <c r="A3583" s="18" t="str">
        <f>Descargas!A3583</f>
        <v>2521@amisur.es</v>
      </c>
      <c r="B3583" s="19" t="str">
        <f>IFERROR(__xludf.DUMMYFUNCTION("IF(OR(regexmatch(A3583,"".*@simon.es$""),REGEXMATCH(A3583,"".*@simon.pt$""),REGEXMATCH(A3583,"".*@simonelectrica.com$""),REGEXMATCH(A3583,"".*@hiberus.com$""),REGEXMATCH(A3583,"".*@simonbrico.es$""),regexmatch(A3583,"".*@simonelectric.com$"")),""null"",A3"&amp;"583)"),"2521@amisur.es")</f>
        <v>2521@amisur.es</v>
      </c>
      <c r="C3583" s="5">
        <f>IF(B3583="null","null",Descargas!B3583)</f>
        <v>43886</v>
      </c>
      <c r="D3583" s="6" t="str">
        <f>Descargas!E3583</f>
        <v>https://resources.simonelectric.com/simon-ebook-vehiculo-electrico</v>
      </c>
      <c r="E3583" s="20" t="str">
        <f t="shared" si="1"/>
        <v>2521@amisur.es</v>
      </c>
      <c r="F3583" s="21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</row>
    <row r="3584" ht="15.75" customHeight="1">
      <c r="A3584" s="18" t="str">
        <f>Descargas!A3584</f>
        <v>2702@digamel.com</v>
      </c>
      <c r="B3584" s="19" t="str">
        <f>IFERROR(__xludf.DUMMYFUNCTION("IF(OR(regexmatch(A3584,"".*@simon.es$""),REGEXMATCH(A3584,"".*@simon.pt$""),REGEXMATCH(A3584,"".*@simonelectrica.com$""),REGEXMATCH(A3584,"".*@hiberus.com$""),REGEXMATCH(A3584,"".*@simonbrico.es$""),regexmatch(A3584,"".*@simonelectric.com$"")),""null"",A3"&amp;"584)"),"2702@digamel.com")</f>
        <v>2702@digamel.com</v>
      </c>
      <c r="C3584" s="5">
        <f>IF(B3584="null","null",Descargas!B3584)</f>
        <v>43886</v>
      </c>
      <c r="D3584" s="6" t="str">
        <f>Descargas!E3584</f>
        <v>https://resources.simonelectric.com/simon-catalogo-vehiculo-electrico</v>
      </c>
      <c r="E3584" s="20" t="str">
        <f t="shared" si="1"/>
        <v>2702@digamel.com</v>
      </c>
      <c r="F3584" s="21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</row>
    <row r="3585" ht="15.75" customHeight="1">
      <c r="A3585" s="18" t="str">
        <f>Descargas!A3585</f>
        <v>2702@digamel.com</v>
      </c>
      <c r="B3585" s="19" t="str">
        <f>IFERROR(__xludf.DUMMYFUNCTION("IF(OR(regexmatch(A3585,"".*@simon.es$""),REGEXMATCH(A3585,"".*@simon.pt$""),REGEXMATCH(A3585,"".*@simonelectrica.com$""),REGEXMATCH(A3585,"".*@hiberus.com$""),REGEXMATCH(A3585,"".*@simonbrico.es$""),regexmatch(A3585,"".*@simonelectric.com$"")),""null"",A3"&amp;"585)"),"2702@digamel.com")</f>
        <v>2702@digamel.com</v>
      </c>
      <c r="C3585" s="5">
        <f>IF(B3585="null","null",Descargas!B3585)</f>
        <v>43886</v>
      </c>
      <c r="D3585" s="6" t="str">
        <f>Descargas!E3585</f>
        <v>https://resources.simonelectric.com/simon-ebook-vehiculo-electrico</v>
      </c>
      <c r="E3585" s="20" t="str">
        <f t="shared" si="1"/>
        <v>2702@digamel.com</v>
      </c>
      <c r="F3585" s="21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</row>
    <row r="3586" ht="15.75" customHeight="1">
      <c r="A3586" s="18" t="str">
        <f>Descargas!A3586</f>
        <v>2703@hotmail.com</v>
      </c>
      <c r="B3586" s="19" t="str">
        <f>IFERROR(__xludf.DUMMYFUNCTION("IF(OR(regexmatch(A3586,"".*@simon.es$""),REGEXMATCH(A3586,"".*@simon.pt$""),REGEXMATCH(A3586,"".*@simonelectrica.com$""),REGEXMATCH(A3586,"".*@hiberus.com$""),REGEXMATCH(A3586,"".*@simonbrico.es$""),regexmatch(A3586,"".*@simonelectric.com$"")),""null"",A3"&amp;"586)"),"2703@hotmail.com")</f>
        <v>2703@hotmail.com</v>
      </c>
      <c r="C3586" s="5">
        <f>IF(B3586="null","null",Descargas!B3586)</f>
        <v>43886</v>
      </c>
      <c r="D3586" s="6" t="str">
        <f>Descargas!E3586</f>
        <v>https://resources.simonelectric.com/simon-ebook-vehiculo-electrico-tw</v>
      </c>
      <c r="E3586" s="20" t="str">
        <f t="shared" si="1"/>
        <v>2703@hotmail.com</v>
      </c>
      <c r="F3586" s="21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</row>
    <row r="3587" ht="15.75" customHeight="1">
      <c r="A3587" s="18" t="str">
        <f>Descargas!A3587</f>
        <v>2577@gmail.com</v>
      </c>
      <c r="B3587" s="19" t="str">
        <f>IFERROR(__xludf.DUMMYFUNCTION("IF(OR(regexmatch(A3587,"".*@simon.es$""),REGEXMATCH(A3587,"".*@simon.pt$""),REGEXMATCH(A3587,"".*@simonelectrica.com$""),REGEXMATCH(A3587,"".*@hiberus.com$""),REGEXMATCH(A3587,"".*@simonbrico.es$""),regexmatch(A3587,"".*@simonelectric.com$"")),""null"",A3"&amp;"587)"),"2577@gmail.com")</f>
        <v>2577@gmail.com</v>
      </c>
      <c r="C3587" s="5">
        <f>IF(B3587="null","null",Descargas!B3587)</f>
        <v>43886</v>
      </c>
      <c r="D3587" s="6" t="str">
        <f>Descargas!E3587</f>
        <v>https://resources.simonelectric.com/simon-ebook-vehiculo-electrico</v>
      </c>
      <c r="E3587" s="20" t="str">
        <f t="shared" si="1"/>
        <v>2577@gmail.com</v>
      </c>
      <c r="F3587" s="21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</row>
    <row r="3588" ht="15.75" customHeight="1">
      <c r="A3588" s="18" t="str">
        <f>Descargas!A3588</f>
        <v>2704@construciainstalaciones.com</v>
      </c>
      <c r="B3588" s="19" t="str">
        <f>IFERROR(__xludf.DUMMYFUNCTION("IF(OR(regexmatch(A3588,"".*@simon.es$""),REGEXMATCH(A3588,"".*@simon.pt$""),REGEXMATCH(A3588,"".*@simonelectrica.com$""),REGEXMATCH(A3588,"".*@hiberus.com$""),REGEXMATCH(A3588,"".*@simonbrico.es$""),regexmatch(A3588,"".*@simonelectric.com$"")),""null"",A3"&amp;"588)"),"2704@construciainstalaciones.com")</f>
        <v>2704@construciainstalaciones.com</v>
      </c>
      <c r="C3588" s="5">
        <f>IF(B3588="null","null",Descargas!B3588)</f>
        <v>43886</v>
      </c>
      <c r="D3588" s="6" t="str">
        <f>Descargas!E3588</f>
        <v>https://resources.simonelectric.com/simon-ebook-vehiculo-electrico-0</v>
      </c>
      <c r="E3588" s="20" t="str">
        <f t="shared" si="1"/>
        <v>2704@construciainstalaciones.com</v>
      </c>
      <c r="F3588" s="21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</row>
    <row r="3589" ht="15.75" customHeight="1">
      <c r="A3589" s="18" t="str">
        <f>Descargas!A3589</f>
        <v>2705@tmb.cat</v>
      </c>
      <c r="B3589" s="19" t="str">
        <f>IFERROR(__xludf.DUMMYFUNCTION("IF(OR(regexmatch(A3589,"".*@simon.es$""),REGEXMATCH(A3589,"".*@simon.pt$""),REGEXMATCH(A3589,"".*@simonelectrica.com$""),REGEXMATCH(A3589,"".*@hiberus.com$""),REGEXMATCH(A3589,"".*@simonbrico.es$""),regexmatch(A3589,"".*@simonelectric.com$"")),""null"",A3"&amp;"589)"),"2705@tmb.cat")</f>
        <v>2705@tmb.cat</v>
      </c>
      <c r="C3589" s="5">
        <f>IF(B3589="null","null",Descargas!B3589)</f>
        <v>43885</v>
      </c>
      <c r="D3589" s="6" t="str">
        <f>Descargas!E3589</f>
        <v>https://resources.simonelectric.com/simon-ebook-vehiculo-electrico</v>
      </c>
      <c r="E3589" s="20" t="str">
        <f t="shared" si="1"/>
        <v>2705@tmb.cat</v>
      </c>
      <c r="F3589" s="21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</row>
    <row r="3590" ht="15.75" customHeight="1">
      <c r="A3590" s="18" t="str">
        <f>Descargas!A3590</f>
        <v>649@yahoo.es</v>
      </c>
      <c r="B3590" s="19" t="str">
        <f>IFERROR(__xludf.DUMMYFUNCTION("IF(OR(regexmatch(A3590,"".*@simon.es$""),REGEXMATCH(A3590,"".*@simon.pt$""),REGEXMATCH(A3590,"".*@simonelectrica.com$""),REGEXMATCH(A3590,"".*@hiberus.com$""),REGEXMATCH(A3590,"".*@simonbrico.es$""),regexmatch(A3590,"".*@simonelectric.com$"")),""null"",A3"&amp;"590)"),"649@yahoo.es")</f>
        <v>649@yahoo.es</v>
      </c>
      <c r="C3590" s="5">
        <f>IF(B3590="null","null",Descargas!B3590)</f>
        <v>43885</v>
      </c>
      <c r="D3590" s="6" t="str">
        <f>Descargas!E3590</f>
        <v>https://resources.simonelectric.com/simon-ebook-vehiculo-electrico</v>
      </c>
      <c r="E3590" s="20" t="str">
        <f t="shared" si="1"/>
        <v>649@yahoo.es</v>
      </c>
      <c r="F3590" s="21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</row>
    <row r="3591" ht="15.75" customHeight="1">
      <c r="A3591" s="18" t="str">
        <f>Descargas!A3591</f>
        <v>2706@opportunity-one.com</v>
      </c>
      <c r="B3591" s="19" t="str">
        <f>IFERROR(__xludf.DUMMYFUNCTION("IF(OR(regexmatch(A3591,"".*@simon.es$""),REGEXMATCH(A3591,"".*@simon.pt$""),REGEXMATCH(A3591,"".*@simonelectrica.com$""),REGEXMATCH(A3591,"".*@hiberus.com$""),REGEXMATCH(A3591,"".*@simonbrico.es$""),regexmatch(A3591,"".*@simonelectric.com$"")),""null"",A3"&amp;"591)"),"2706@opportunity-one.com")</f>
        <v>2706@opportunity-one.com</v>
      </c>
      <c r="C3591" s="5">
        <f>IF(B3591="null","null",Descargas!B3591)</f>
        <v>43885</v>
      </c>
      <c r="D3591" s="6" t="str">
        <f>Descargas!E3591</f>
        <v>https://resources.simonelectric.com/simon-ebook-vehiculo-electrico</v>
      </c>
      <c r="E3591" s="20" t="str">
        <f t="shared" si="1"/>
        <v>2706@opportunity-one.com</v>
      </c>
      <c r="F3591" s="21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</row>
    <row r="3592" ht="15.75" customHeight="1">
      <c r="A3592" s="18" t="str">
        <f>Descargas!A3592</f>
        <v>2707@gmail.com</v>
      </c>
      <c r="B3592" s="19" t="str">
        <f>IFERROR(__xludf.DUMMYFUNCTION("IF(OR(regexmatch(A3592,"".*@simon.es$""),REGEXMATCH(A3592,"".*@simon.pt$""),REGEXMATCH(A3592,"".*@simonelectrica.com$""),REGEXMATCH(A3592,"".*@hiberus.com$""),REGEXMATCH(A3592,"".*@simonbrico.es$""),regexmatch(A3592,"".*@simonelectric.com$"")),""null"",A3"&amp;"592)"),"2707@gmail.com")</f>
        <v>2707@gmail.com</v>
      </c>
      <c r="C3592" s="5">
        <f>IF(B3592="null","null",Descargas!B3592)</f>
        <v>43885</v>
      </c>
      <c r="D3592" s="6" t="str">
        <f>Descargas!E3592</f>
        <v>https://resources.simonelectric.com/simon-material-formativo-vehiculo-electrico</v>
      </c>
      <c r="E3592" s="20" t="str">
        <f t="shared" si="1"/>
        <v>2707@gmail.com</v>
      </c>
      <c r="F3592" s="21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</row>
    <row r="3593" ht="15.75" customHeight="1">
      <c r="A3593" s="18" t="str">
        <f>Descargas!A3593</f>
        <v>2708@meta-sidecar.com</v>
      </c>
      <c r="B3593" s="19" t="str">
        <f>IFERROR(__xludf.DUMMYFUNCTION("IF(OR(regexmatch(A3593,"".*@simon.es$""),REGEXMATCH(A3593,"".*@simon.pt$""),REGEXMATCH(A3593,"".*@simonelectrica.com$""),REGEXMATCH(A3593,"".*@hiberus.com$""),REGEXMATCH(A3593,"".*@simonbrico.es$""),regexmatch(A3593,"".*@simonelectric.com$"")),""null"",A3"&amp;"593)"),"2708@meta-sidecar.com")</f>
        <v>2708@meta-sidecar.com</v>
      </c>
      <c r="C3593" s="5">
        <f>IF(B3593="null","null",Descargas!B3593)</f>
        <v>43885</v>
      </c>
      <c r="D3593" s="6" t="str">
        <f>Descargas!E3593</f>
        <v>https://resources.simonelectric.com/simon-ebook-vehiculo-electrico</v>
      </c>
      <c r="E3593" s="20" t="str">
        <f t="shared" si="1"/>
        <v>2708@meta-sidecar.com</v>
      </c>
      <c r="F3593" s="21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</row>
    <row r="3594" ht="15.75" customHeight="1">
      <c r="A3594" s="18" t="str">
        <f>Descargas!A3594</f>
        <v>2709@construciainstalaciones.com</v>
      </c>
      <c r="B3594" s="19" t="str">
        <f>IFERROR(__xludf.DUMMYFUNCTION("IF(OR(regexmatch(A3594,"".*@simon.es$""),REGEXMATCH(A3594,"".*@simon.pt$""),REGEXMATCH(A3594,"".*@simonelectrica.com$""),REGEXMATCH(A3594,"".*@hiberus.com$""),REGEXMATCH(A3594,"".*@simonbrico.es$""),regexmatch(A3594,"".*@simonelectric.com$"")),""null"",A3"&amp;"594)"),"2709@construciainstalaciones.com")</f>
        <v>2709@construciainstalaciones.com</v>
      </c>
      <c r="C3594" s="5">
        <f>IF(B3594="null","null",Descargas!B3594)</f>
        <v>43885</v>
      </c>
      <c r="D3594" s="6" t="str">
        <f>Descargas!E3594</f>
        <v>https://resources.simonelectric.com/simon-material-formativo-vehiculo-electrico</v>
      </c>
      <c r="E3594" s="20" t="str">
        <f t="shared" si="1"/>
        <v>2709@construciainstalaciones.com</v>
      </c>
      <c r="F3594" s="21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</row>
    <row r="3595" ht="15.75" customHeight="1">
      <c r="A3595" s="18" t="str">
        <f>Descargas!A3595</f>
        <v>162@gmail.com</v>
      </c>
      <c r="B3595" s="19" t="str">
        <f>IFERROR(__xludf.DUMMYFUNCTION("IF(OR(regexmatch(A3595,"".*@simon.es$""),REGEXMATCH(A3595,"".*@simon.pt$""),REGEXMATCH(A3595,"".*@simonelectrica.com$""),REGEXMATCH(A3595,"".*@hiberus.com$""),REGEXMATCH(A3595,"".*@simonbrico.es$""),regexmatch(A3595,"".*@simonelectric.com$"")),""null"",A3"&amp;"595)"),"162@gmail.com")</f>
        <v>162@gmail.com</v>
      </c>
      <c r="C3595" s="5">
        <f>IF(B3595="null","null",Descargas!B3595)</f>
        <v>43885</v>
      </c>
      <c r="D3595" s="6" t="str">
        <f>Descargas!E3595</f>
        <v>https://resources.simonelectric.com/simon-ebook-vehiculo-electrico</v>
      </c>
      <c r="E3595" s="20" t="str">
        <f t="shared" si="1"/>
        <v>162@gmail.com</v>
      </c>
      <c r="F3595" s="21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</row>
    <row r="3596" ht="15.75" customHeight="1">
      <c r="A3596" s="18" t="str">
        <f>Descargas!A3596</f>
        <v>2710@arbonapiza.com</v>
      </c>
      <c r="B3596" s="19" t="str">
        <f>IFERROR(__xludf.DUMMYFUNCTION("IF(OR(regexmatch(A3596,"".*@simon.es$""),REGEXMATCH(A3596,"".*@simon.pt$""),REGEXMATCH(A3596,"".*@simonelectrica.com$""),REGEXMATCH(A3596,"".*@hiberus.com$""),REGEXMATCH(A3596,"".*@simonbrico.es$""),regexmatch(A3596,"".*@simonelectric.com$"")),""null"",A3"&amp;"596)"),"2710@arbonapiza.com")</f>
        <v>2710@arbonapiza.com</v>
      </c>
      <c r="C3596" s="5">
        <f>IF(B3596="null","null",Descargas!B3596)</f>
        <v>43885</v>
      </c>
      <c r="D3596" s="6" t="str">
        <f>Descargas!E3596</f>
        <v>https://resources.simonelectric.com/simon-catalogo-vehiculo-electrico</v>
      </c>
      <c r="E3596" s="20" t="str">
        <f t="shared" si="1"/>
        <v>2710@arbonapiza.com</v>
      </c>
      <c r="F3596" s="21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</row>
    <row r="3597" ht="15.75" customHeight="1">
      <c r="A3597" s="18" t="str">
        <f>Descargas!A3597</f>
        <v>2711@infinitypv.com</v>
      </c>
      <c r="B3597" s="19" t="str">
        <f>IFERROR(__xludf.DUMMYFUNCTION("IF(OR(regexmatch(A3597,"".*@simon.es$""),REGEXMATCH(A3597,"".*@simon.pt$""),REGEXMATCH(A3597,"".*@simonelectrica.com$""),REGEXMATCH(A3597,"".*@hiberus.com$""),REGEXMATCH(A3597,"".*@simonbrico.es$""),regexmatch(A3597,"".*@simonelectric.com$"")),""null"",A3"&amp;"597)"),"2711@infinitypv.com")</f>
        <v>2711@infinitypv.com</v>
      </c>
      <c r="C3597" s="5">
        <f>IF(B3597="null","null",Descargas!B3597)</f>
        <v>43885</v>
      </c>
      <c r="D3597" s="6" t="str">
        <f>Descargas!E3597</f>
        <v>https://resources.simonelectric.com/simon-ebook-vehiculo-electrico-0</v>
      </c>
      <c r="E3597" s="20" t="str">
        <f t="shared" si="1"/>
        <v>2711@infinitypv.com</v>
      </c>
      <c r="F3597" s="21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</row>
    <row r="3598" ht="15.75" customHeight="1">
      <c r="A3598" s="18" t="str">
        <f>Descargas!A3598</f>
        <v>2712@gmail.com</v>
      </c>
      <c r="B3598" s="19" t="str">
        <f>IFERROR(__xludf.DUMMYFUNCTION("IF(OR(regexmatch(A3598,"".*@simon.es$""),REGEXMATCH(A3598,"".*@simon.pt$""),REGEXMATCH(A3598,"".*@simonelectrica.com$""),REGEXMATCH(A3598,"".*@hiberus.com$""),REGEXMATCH(A3598,"".*@simonbrico.es$""),regexmatch(A3598,"".*@simonelectric.com$"")),""null"",A3"&amp;"598)"),"2712@gmail.com")</f>
        <v>2712@gmail.com</v>
      </c>
      <c r="C3598" s="5">
        <f>IF(B3598="null","null",Descargas!B3598)</f>
        <v>43885</v>
      </c>
      <c r="D3598" s="6" t="str">
        <f>Descargas!E3598</f>
        <v>https://resources.simonelectric.com/simon-ebook-vehiculo-electrico</v>
      </c>
      <c r="E3598" s="20" t="str">
        <f t="shared" si="1"/>
        <v>2712@gmail.com</v>
      </c>
      <c r="F3598" s="21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</row>
    <row r="3599" ht="15.75" customHeight="1">
      <c r="A3599" s="18" t="str">
        <f>Descargas!A3599</f>
        <v>2713@gmail.com</v>
      </c>
      <c r="B3599" s="19" t="str">
        <f>IFERROR(__xludf.DUMMYFUNCTION("IF(OR(regexmatch(A3599,"".*@simon.es$""),REGEXMATCH(A3599,"".*@simon.pt$""),REGEXMATCH(A3599,"".*@simonelectrica.com$""),REGEXMATCH(A3599,"".*@hiberus.com$""),REGEXMATCH(A3599,"".*@simonbrico.es$""),regexmatch(A3599,"".*@simonelectric.com$"")),""null"",A3"&amp;"599)"),"2713@gmail.com")</f>
        <v>2713@gmail.com</v>
      </c>
      <c r="C3599" s="5">
        <f>IF(B3599="null","null",Descargas!B3599)</f>
        <v>43885</v>
      </c>
      <c r="D3599" s="6" t="str">
        <f>Descargas!E3599</f>
        <v>https://resources.simonelectric.com/simon-ebook-vehiculo-electrico-0</v>
      </c>
      <c r="E3599" s="20" t="str">
        <f t="shared" si="1"/>
        <v>2713@gmail.com</v>
      </c>
      <c r="F3599" s="21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</row>
    <row r="3600" ht="15.75" customHeight="1">
      <c r="A3600" s="18" t="str">
        <f>Descargas!A3600</f>
        <v>2714@gma.es</v>
      </c>
      <c r="B3600" s="19" t="str">
        <f>IFERROR(__xludf.DUMMYFUNCTION("IF(OR(regexmatch(A3600,"".*@simon.es$""),REGEXMATCH(A3600,"".*@simon.pt$""),REGEXMATCH(A3600,"".*@simonelectrica.com$""),REGEXMATCH(A3600,"".*@hiberus.com$""),REGEXMATCH(A3600,"".*@simonbrico.es$""),regexmatch(A3600,"".*@simonelectric.com$"")),""null"",A3"&amp;"600)"),"2714@gma.es")</f>
        <v>2714@gma.es</v>
      </c>
      <c r="C3600" s="5">
        <f>IF(B3600="null","null",Descargas!B3600)</f>
        <v>43884</v>
      </c>
      <c r="D3600" s="6" t="str">
        <f>Descargas!E3600</f>
        <v>https://resources.simonelectric.com/simon-ebook-vehiculo-electrico-tw</v>
      </c>
      <c r="E3600" s="20" t="str">
        <f t="shared" si="1"/>
        <v>2714@gma.es</v>
      </c>
      <c r="F3600" s="21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</row>
    <row r="3601" ht="15.75" customHeight="1">
      <c r="A3601" s="18" t="str">
        <f>Descargas!A3601</f>
        <v>2715@gmail.com</v>
      </c>
      <c r="B3601" s="19" t="str">
        <f>IFERROR(__xludf.DUMMYFUNCTION("IF(OR(regexmatch(A3601,"".*@simon.es$""),REGEXMATCH(A3601,"".*@simon.pt$""),REGEXMATCH(A3601,"".*@simonelectrica.com$""),REGEXMATCH(A3601,"".*@hiberus.com$""),REGEXMATCH(A3601,"".*@simonbrico.es$""),regexmatch(A3601,"".*@simonelectric.com$"")),""null"",A3"&amp;"601)"),"2715@gmail.com")</f>
        <v>2715@gmail.com</v>
      </c>
      <c r="C3601" s="5">
        <f>IF(B3601="null","null",Descargas!B3601)</f>
        <v>43884</v>
      </c>
      <c r="D3601" s="6" t="str">
        <f>Descargas!E3601</f>
        <v>https://resources.simonelectric.com/simon-ebook-vehiculo-electrico</v>
      </c>
      <c r="E3601" s="20" t="str">
        <f t="shared" si="1"/>
        <v>2715@gmail.com</v>
      </c>
      <c r="F3601" s="21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</row>
    <row r="3602" ht="15.75" customHeight="1">
      <c r="A3602" s="18" t="str">
        <f>Descargas!A3602</f>
        <v>2716@gmail.com</v>
      </c>
      <c r="B3602" s="19" t="str">
        <f>IFERROR(__xludf.DUMMYFUNCTION("IF(OR(regexmatch(A3602,"".*@simon.es$""),REGEXMATCH(A3602,"".*@simon.pt$""),REGEXMATCH(A3602,"".*@simonelectrica.com$""),REGEXMATCH(A3602,"".*@hiberus.com$""),REGEXMATCH(A3602,"".*@simonbrico.es$""),regexmatch(A3602,"".*@simonelectric.com$"")),""null"",A3"&amp;"602)"),"2716@gmail.com")</f>
        <v>2716@gmail.com</v>
      </c>
      <c r="C3602" s="5">
        <f>IF(B3602="null","null",Descargas!B3602)</f>
        <v>43884</v>
      </c>
      <c r="D3602" s="6" t="str">
        <f>Descargas!E3602</f>
        <v>https://resources.simonelectric.com/simon-ebook-vehiculo-electrico-tw</v>
      </c>
      <c r="E3602" s="20" t="str">
        <f t="shared" si="1"/>
        <v>2716@gmail.com</v>
      </c>
      <c r="F3602" s="21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</row>
    <row r="3603" ht="15.75" customHeight="1">
      <c r="A3603" s="18" t="str">
        <f>Descargas!A3603</f>
        <v>2716@gmail.com</v>
      </c>
      <c r="B3603" s="19" t="str">
        <f>IFERROR(__xludf.DUMMYFUNCTION("IF(OR(regexmatch(A3603,"".*@simon.es$""),REGEXMATCH(A3603,"".*@simon.pt$""),REGEXMATCH(A3603,"".*@simonelectrica.com$""),REGEXMATCH(A3603,"".*@hiberus.com$""),REGEXMATCH(A3603,"".*@simonbrico.es$""),regexmatch(A3603,"".*@simonelectric.com$"")),""null"",A3"&amp;"603)"),"2716@gmail.com")</f>
        <v>2716@gmail.com</v>
      </c>
      <c r="C3603" s="5">
        <f>IF(B3603="null","null",Descargas!B3603)</f>
        <v>43883</v>
      </c>
      <c r="D3603" s="6" t="str">
        <f>Descargas!E3603</f>
        <v>https://resources.simonelectric.com/simon-ebook-vehiculo-electrico-tw</v>
      </c>
      <c r="E3603" s="20" t="str">
        <f t="shared" si="1"/>
        <v>2716@gmail.com</v>
      </c>
      <c r="F3603" s="21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</row>
    <row r="3604" ht="15.75" customHeight="1">
      <c r="A3604" s="18" t="str">
        <f>Descargas!A3604</f>
        <v>2717@gmail.com</v>
      </c>
      <c r="B3604" s="19" t="str">
        <f>IFERROR(__xludf.DUMMYFUNCTION("IF(OR(regexmatch(A3604,"".*@simon.es$""),REGEXMATCH(A3604,"".*@simon.pt$""),REGEXMATCH(A3604,"".*@simonelectrica.com$""),REGEXMATCH(A3604,"".*@hiberus.com$""),REGEXMATCH(A3604,"".*@simonbrico.es$""),regexmatch(A3604,"".*@simonelectric.com$"")),""null"",A3"&amp;"604)"),"2717@gmail.com")</f>
        <v>2717@gmail.com</v>
      </c>
      <c r="C3604" s="5">
        <f>IF(B3604="null","null",Descargas!B3604)</f>
        <v>43883</v>
      </c>
      <c r="D3604" s="6" t="str">
        <f>Descargas!E3604</f>
        <v>https://resources.simonelectric.com/simon-ebook-vehiculo-electrico</v>
      </c>
      <c r="E3604" s="20" t="str">
        <f t="shared" si="1"/>
        <v>2717@gmail.com</v>
      </c>
      <c r="F3604" s="21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</row>
    <row r="3605" ht="15.75" customHeight="1">
      <c r="A3605" s="18" t="str">
        <f>Descargas!A3605</f>
        <v>2718@none.com</v>
      </c>
      <c r="B3605" s="19" t="str">
        <f>IFERROR(__xludf.DUMMYFUNCTION("IF(OR(regexmatch(A3605,"".*@simon.es$""),REGEXMATCH(A3605,"".*@simon.pt$""),REGEXMATCH(A3605,"".*@simonelectrica.com$""),REGEXMATCH(A3605,"".*@hiberus.com$""),REGEXMATCH(A3605,"".*@simonbrico.es$""),regexmatch(A3605,"".*@simonelectric.com$"")),""null"",A3"&amp;"605)"),"2718@none.com")</f>
        <v>2718@none.com</v>
      </c>
      <c r="C3605" s="5">
        <f>IF(B3605="null","null",Descargas!B3605)</f>
        <v>43883</v>
      </c>
      <c r="D3605" s="6" t="str">
        <f>Descargas!E3605</f>
        <v>https://resources.simonelectric.com/simon-ebook-vehiculo-electrico-tw</v>
      </c>
      <c r="E3605" s="20" t="str">
        <f t="shared" si="1"/>
        <v>2718@none.com</v>
      </c>
      <c r="F3605" s="21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</row>
    <row r="3606" ht="15.75" customHeight="1">
      <c r="A3606" s="18" t="str">
        <f>Descargas!A3606</f>
        <v>649@yahoo.es</v>
      </c>
      <c r="B3606" s="19" t="str">
        <f>IFERROR(__xludf.DUMMYFUNCTION("IF(OR(regexmatch(A3606,"".*@simon.es$""),REGEXMATCH(A3606,"".*@simon.pt$""),REGEXMATCH(A3606,"".*@simonelectrica.com$""),REGEXMATCH(A3606,"".*@hiberus.com$""),REGEXMATCH(A3606,"".*@simonbrico.es$""),regexmatch(A3606,"".*@simonelectric.com$"")),""null"",A3"&amp;"606)"),"649@yahoo.es")</f>
        <v>649@yahoo.es</v>
      </c>
      <c r="C3606" s="5">
        <f>IF(B3606="null","null",Descargas!B3606)</f>
        <v>43882</v>
      </c>
      <c r="D3606" s="6" t="str">
        <f>Descargas!E3606</f>
        <v>https://resources.simonelectric.com/simon-catalogo-vehiculo-electrico</v>
      </c>
      <c r="E3606" s="20" t="str">
        <f t="shared" si="1"/>
        <v>649@yahoo.es</v>
      </c>
      <c r="F3606" s="21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</row>
    <row r="3607" ht="15.75" customHeight="1">
      <c r="A3607" s="18" t="str">
        <f>Descargas!A3607</f>
        <v>649@yahoo.es</v>
      </c>
      <c r="B3607" s="19" t="str">
        <f>IFERROR(__xludf.DUMMYFUNCTION("IF(OR(regexmatch(A3607,"".*@simon.es$""),REGEXMATCH(A3607,"".*@simon.pt$""),REGEXMATCH(A3607,"".*@simonelectrica.com$""),REGEXMATCH(A3607,"".*@hiberus.com$""),REGEXMATCH(A3607,"".*@simonbrico.es$""),regexmatch(A3607,"".*@simonelectric.com$"")),""null"",A3"&amp;"607)"),"649@yahoo.es")</f>
        <v>649@yahoo.es</v>
      </c>
      <c r="C3607" s="5">
        <f>IF(B3607="null","null",Descargas!B3607)</f>
        <v>43882</v>
      </c>
      <c r="D3607" s="6" t="str">
        <f>Descargas!E3607</f>
        <v>https://resources.simonelectric.com/simon-ebook-vehiculo-electrico</v>
      </c>
      <c r="E3607" s="20" t="str">
        <f t="shared" si="1"/>
        <v>649@yahoo.es</v>
      </c>
      <c r="F3607" s="21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</row>
    <row r="3608" ht="15.75" customHeight="1">
      <c r="A3608" s="18" t="str">
        <f>Descargas!A3608</f>
        <v>2719@saltoki.es</v>
      </c>
      <c r="B3608" s="19" t="str">
        <f>IFERROR(__xludf.DUMMYFUNCTION("IF(OR(regexmatch(A3608,"".*@simon.es$""),REGEXMATCH(A3608,"".*@simon.pt$""),REGEXMATCH(A3608,"".*@simonelectrica.com$""),REGEXMATCH(A3608,"".*@hiberus.com$""),REGEXMATCH(A3608,"".*@simonbrico.es$""),regexmatch(A3608,"".*@simonelectric.com$"")),""null"",A3"&amp;"608)"),"2719@saltoki.es")</f>
        <v>2719@saltoki.es</v>
      </c>
      <c r="C3608" s="5">
        <f>IF(B3608="null","null",Descargas!B3608)</f>
        <v>43882</v>
      </c>
      <c r="D3608" s="6" t="str">
        <f>Descargas!E3608</f>
        <v>https://resources.simonelectric.com/simon-ebook-vehiculo-electrico</v>
      </c>
      <c r="E3608" s="20" t="str">
        <f t="shared" si="1"/>
        <v>2719@saltoki.es</v>
      </c>
      <c r="F3608" s="21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</row>
    <row r="3609" ht="15.75" customHeight="1">
      <c r="A3609" s="18" t="str">
        <f>Descargas!A3609</f>
        <v>2719@saltoki.es</v>
      </c>
      <c r="B3609" s="19" t="str">
        <f>IFERROR(__xludf.DUMMYFUNCTION("IF(OR(regexmatch(A3609,"".*@simon.es$""),REGEXMATCH(A3609,"".*@simon.pt$""),REGEXMATCH(A3609,"".*@simonelectrica.com$""),REGEXMATCH(A3609,"".*@hiberus.com$""),REGEXMATCH(A3609,"".*@simonbrico.es$""),regexmatch(A3609,"".*@simonelectric.com$"")),""null"",A3"&amp;"609)"),"2719@saltoki.es")</f>
        <v>2719@saltoki.es</v>
      </c>
      <c r="C3609" s="5">
        <f>IF(B3609="null","null",Descargas!B3609)</f>
        <v>43882</v>
      </c>
      <c r="D3609" s="6" t="str">
        <f>Descargas!E3609</f>
        <v>https://resources.simonelectric.com/simon-catalogo-vehiculo-electrico</v>
      </c>
      <c r="E3609" s="20" t="str">
        <f t="shared" si="1"/>
        <v>2719@saltoki.es</v>
      </c>
      <c r="F3609" s="21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</row>
    <row r="3610" ht="15.75" customHeight="1">
      <c r="A3610" s="18" t="str">
        <f>Descargas!A3610</f>
        <v>484@macegroup.com</v>
      </c>
      <c r="B3610" s="19" t="str">
        <f>IFERROR(__xludf.DUMMYFUNCTION("IF(OR(regexmatch(A3610,"".*@simon.es$""),REGEXMATCH(A3610,"".*@simon.pt$""),REGEXMATCH(A3610,"".*@simonelectrica.com$""),REGEXMATCH(A3610,"".*@hiberus.com$""),REGEXMATCH(A3610,"".*@simonbrico.es$""),regexmatch(A3610,"".*@simonelectric.com$"")),""null"",A3"&amp;"610)"),"484@macegroup.com")</f>
        <v>484@macegroup.com</v>
      </c>
      <c r="C3610" s="5">
        <f>IF(B3610="null","null",Descargas!B3610)</f>
        <v>43882</v>
      </c>
      <c r="D3610" s="6" t="str">
        <f>Descargas!E3610</f>
        <v>https://resources.simonelectric.com/simon-ebook-vehiculo-electrico</v>
      </c>
      <c r="E3610" s="20" t="str">
        <f t="shared" si="1"/>
        <v>484@macegroup.com</v>
      </c>
      <c r="F3610" s="21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</row>
    <row r="3611" ht="15.75" customHeight="1">
      <c r="A3611" s="18" t="str">
        <f>Descargas!A3611</f>
        <v>2720@grupoelectrostocks.com</v>
      </c>
      <c r="B3611" s="19" t="str">
        <f>IFERROR(__xludf.DUMMYFUNCTION("IF(OR(regexmatch(A3611,"".*@simon.es$""),REGEXMATCH(A3611,"".*@simon.pt$""),REGEXMATCH(A3611,"".*@simonelectrica.com$""),REGEXMATCH(A3611,"".*@hiberus.com$""),REGEXMATCH(A3611,"".*@simonbrico.es$""),regexmatch(A3611,"".*@simonelectric.com$"")),""null"",A3"&amp;"611)"),"2720@grupoelectrostocks.com")</f>
        <v>2720@grupoelectrostocks.com</v>
      </c>
      <c r="C3611" s="5">
        <f>IF(B3611="null","null",Descargas!B3611)</f>
        <v>43882</v>
      </c>
      <c r="D3611" s="6" t="str">
        <f>Descargas!E3611</f>
        <v>https://resources.simonelectric.com/simon-ebook-vehiculo-electrico</v>
      </c>
      <c r="E3611" s="20" t="str">
        <f t="shared" si="1"/>
        <v>2720@grupoelectrostocks.com</v>
      </c>
      <c r="F3611" s="21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</row>
    <row r="3612" ht="15.75" customHeight="1">
      <c r="A3612" s="18" t="str">
        <f>Descargas!A3612</f>
        <v>1692@tecasol.net</v>
      </c>
      <c r="B3612" s="19" t="str">
        <f>IFERROR(__xludf.DUMMYFUNCTION("IF(OR(regexmatch(A3612,"".*@simon.es$""),REGEXMATCH(A3612,"".*@simon.pt$""),REGEXMATCH(A3612,"".*@simonelectrica.com$""),REGEXMATCH(A3612,"".*@hiberus.com$""),REGEXMATCH(A3612,"".*@simonbrico.es$""),regexmatch(A3612,"".*@simonelectric.com$"")),""null"",A3"&amp;"612)"),"1692@tecasol.net")</f>
        <v>1692@tecasol.net</v>
      </c>
      <c r="C3612" s="5">
        <f>IF(B3612="null","null",Descargas!B3612)</f>
        <v>43882</v>
      </c>
      <c r="D3612" s="6" t="str">
        <f>Descargas!E3612</f>
        <v>https://resources.simonelectric.com/simon-ebook-vehiculo-electrico</v>
      </c>
      <c r="E3612" s="20" t="str">
        <f t="shared" si="1"/>
        <v>1692@tecasol.net</v>
      </c>
      <c r="F3612" s="21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</row>
    <row r="3613" ht="15.75" customHeight="1">
      <c r="A3613" s="18" t="str">
        <f>Descargas!A3613</f>
        <v>2721@anpasa.es</v>
      </c>
      <c r="B3613" s="19" t="str">
        <f>IFERROR(__xludf.DUMMYFUNCTION("IF(OR(regexmatch(A3613,"".*@simon.es$""),REGEXMATCH(A3613,"".*@simon.pt$""),REGEXMATCH(A3613,"".*@simonelectrica.com$""),REGEXMATCH(A3613,"".*@hiberus.com$""),REGEXMATCH(A3613,"".*@simonbrico.es$""),regexmatch(A3613,"".*@simonelectric.com$"")),""null"",A3"&amp;"613)"),"2721@anpasa.es")</f>
        <v>2721@anpasa.es</v>
      </c>
      <c r="C3613" s="5">
        <f>IF(B3613="null","null",Descargas!B3613)</f>
        <v>43882</v>
      </c>
      <c r="D3613" s="6" t="str">
        <f>Descargas!E3613</f>
        <v>https://resources.simonelectric.com/simon-ebook-vehiculo-electrico</v>
      </c>
      <c r="E3613" s="20" t="str">
        <f t="shared" si="1"/>
        <v>2721@anpasa.es</v>
      </c>
      <c r="F3613" s="21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</row>
    <row r="3614" ht="15.75" customHeight="1">
      <c r="A3614" s="18" t="str">
        <f>Descargas!A3614</f>
        <v>2722@instalacionesyobrasdelrio.com</v>
      </c>
      <c r="B3614" s="19" t="str">
        <f>IFERROR(__xludf.DUMMYFUNCTION("IF(OR(regexmatch(A3614,"".*@simon.es$""),REGEXMATCH(A3614,"".*@simon.pt$""),REGEXMATCH(A3614,"".*@simonelectrica.com$""),REGEXMATCH(A3614,"".*@hiberus.com$""),REGEXMATCH(A3614,"".*@simonbrico.es$""),regexmatch(A3614,"".*@simonelectric.com$"")),""null"",A3"&amp;"614)"),"2722@instalacionesyobrasdelrio.com")</f>
        <v>2722@instalacionesyobrasdelrio.com</v>
      </c>
      <c r="C3614" s="5">
        <f>IF(B3614="null","null",Descargas!B3614)</f>
        <v>43882</v>
      </c>
      <c r="D3614" s="6" t="str">
        <f>Descargas!E3614</f>
        <v>https://resources.simonelectric.com/simon-ebook-vehiculo-electrico</v>
      </c>
      <c r="E3614" s="20" t="str">
        <f t="shared" si="1"/>
        <v>2722@instalacionesyobrasdelrio.com</v>
      </c>
      <c r="F3614" s="21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</row>
    <row r="3615" ht="15.75" customHeight="1">
      <c r="A3615" s="18" t="str">
        <f>Descargas!A3615</f>
        <v>2723@hotmail.com</v>
      </c>
      <c r="B3615" s="19" t="str">
        <f>IFERROR(__xludf.DUMMYFUNCTION("IF(OR(regexmatch(A3615,"".*@simon.es$""),REGEXMATCH(A3615,"".*@simon.pt$""),REGEXMATCH(A3615,"".*@simonelectrica.com$""),REGEXMATCH(A3615,"".*@hiberus.com$""),REGEXMATCH(A3615,"".*@simonbrico.es$""),regexmatch(A3615,"".*@simonelectric.com$"")),""null"",A3"&amp;"615)"),"2723@hotmail.com")</f>
        <v>2723@hotmail.com</v>
      </c>
      <c r="C3615" s="5">
        <f>IF(B3615="null","null",Descargas!B3615)</f>
        <v>43882</v>
      </c>
      <c r="D3615" s="6" t="str">
        <f>Descargas!E3615</f>
        <v>https://resources.simonelectric.com/simon-ebook-vehiculo-electrico-0</v>
      </c>
      <c r="E3615" s="20" t="str">
        <f t="shared" si="1"/>
        <v>2723@hotmail.com</v>
      </c>
      <c r="F3615" s="21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</row>
    <row r="3616" ht="15.75" customHeight="1">
      <c r="A3616" s="18" t="str">
        <f>Descargas!A3616</f>
        <v>2724@gmeil.com</v>
      </c>
      <c r="B3616" s="19" t="str">
        <f>IFERROR(__xludf.DUMMYFUNCTION("IF(OR(regexmatch(A3616,"".*@simon.es$""),REGEXMATCH(A3616,"".*@simon.pt$""),REGEXMATCH(A3616,"".*@simonelectrica.com$""),REGEXMATCH(A3616,"".*@hiberus.com$""),REGEXMATCH(A3616,"".*@simonbrico.es$""),regexmatch(A3616,"".*@simonelectric.com$"")),""null"",A3"&amp;"616)"),"2724@gmeil.com")</f>
        <v>2724@gmeil.com</v>
      </c>
      <c r="C3616" s="5">
        <f>IF(B3616="null","null",Descargas!B3616)</f>
        <v>43882</v>
      </c>
      <c r="D3616" s="6" t="str">
        <f>Descargas!E3616</f>
        <v>https://resources.simonelectric.com/simon-ebook-vehiculo-electrico-tw</v>
      </c>
      <c r="E3616" s="20" t="str">
        <f t="shared" si="1"/>
        <v>2724@gmeil.com</v>
      </c>
      <c r="F3616" s="21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</row>
    <row r="3617" ht="15.75" customHeight="1">
      <c r="A3617" s="18" t="str">
        <f>Descargas!A3617</f>
        <v>2725@hotmail.com</v>
      </c>
      <c r="B3617" s="19" t="str">
        <f>IFERROR(__xludf.DUMMYFUNCTION("IF(OR(regexmatch(A3617,"".*@simon.es$""),REGEXMATCH(A3617,"".*@simon.pt$""),REGEXMATCH(A3617,"".*@simonelectrica.com$""),REGEXMATCH(A3617,"".*@hiberus.com$""),REGEXMATCH(A3617,"".*@simonbrico.es$""),regexmatch(A3617,"".*@simonelectric.com$"")),""null"",A3"&amp;"617)"),"2725@hotmail.com")</f>
        <v>2725@hotmail.com</v>
      </c>
      <c r="C3617" s="5">
        <f>IF(B3617="null","null",Descargas!B3617)</f>
        <v>43881</v>
      </c>
      <c r="D3617" s="6" t="str">
        <f>Descargas!E3617</f>
        <v>https://resources.simonelectric.com/simon-ebook-vehiculo-electrico</v>
      </c>
      <c r="E3617" s="20" t="str">
        <f t="shared" si="1"/>
        <v>2725@hotmail.com</v>
      </c>
      <c r="F3617" s="21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</row>
    <row r="3618" ht="15.75" customHeight="1">
      <c r="A3618" s="18" t="str">
        <f>Descargas!A3618</f>
        <v>2726@sonepar.es</v>
      </c>
      <c r="B3618" s="19" t="str">
        <f>IFERROR(__xludf.DUMMYFUNCTION("IF(OR(regexmatch(A3618,"".*@simon.es$""),REGEXMATCH(A3618,"".*@simon.pt$""),REGEXMATCH(A3618,"".*@simonelectrica.com$""),REGEXMATCH(A3618,"".*@hiberus.com$""),REGEXMATCH(A3618,"".*@simonbrico.es$""),regexmatch(A3618,"".*@simonelectric.com$"")),""null"",A3"&amp;"618)"),"2726@sonepar.es")</f>
        <v>2726@sonepar.es</v>
      </c>
      <c r="C3618" s="5">
        <f>IF(B3618="null","null",Descargas!B3618)</f>
        <v>43881</v>
      </c>
      <c r="D3618" s="6" t="str">
        <f>Descargas!E3618</f>
        <v>https://resources.simonelectric.com/simon-ebook-vehiculo-electrico</v>
      </c>
      <c r="E3618" s="20" t="str">
        <f t="shared" si="1"/>
        <v>2726@sonepar.es</v>
      </c>
      <c r="F3618" s="21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</row>
    <row r="3619" ht="15.75" customHeight="1">
      <c r="A3619" s="18" t="str">
        <f>Descargas!A3619</f>
        <v>2727@gruponovelec.com</v>
      </c>
      <c r="B3619" s="19" t="str">
        <f>IFERROR(__xludf.DUMMYFUNCTION("IF(OR(regexmatch(A3619,"".*@simon.es$""),REGEXMATCH(A3619,"".*@simon.pt$""),REGEXMATCH(A3619,"".*@simonelectrica.com$""),REGEXMATCH(A3619,"".*@hiberus.com$""),REGEXMATCH(A3619,"".*@simonbrico.es$""),regexmatch(A3619,"".*@simonelectric.com$"")),""null"",A3"&amp;"619)"),"2727@gruponovelec.com")</f>
        <v>2727@gruponovelec.com</v>
      </c>
      <c r="C3619" s="5">
        <f>IF(B3619="null","null",Descargas!B3619)</f>
        <v>43881</v>
      </c>
      <c r="D3619" s="6" t="str">
        <f>Descargas!E3619</f>
        <v>https://resources.simonelectric.com/simon-ebook-vehiculo-electrico</v>
      </c>
      <c r="E3619" s="20" t="str">
        <f t="shared" si="1"/>
        <v>2727@gruponovelec.com</v>
      </c>
      <c r="F3619" s="21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</row>
    <row r="3620" ht="15.75" customHeight="1">
      <c r="A3620" s="18" t="str">
        <f>Descargas!A3620</f>
        <v>2691@magserveis.com</v>
      </c>
      <c r="B3620" s="19" t="str">
        <f>IFERROR(__xludf.DUMMYFUNCTION("IF(OR(regexmatch(A3620,"".*@simon.es$""),REGEXMATCH(A3620,"".*@simon.pt$""),REGEXMATCH(A3620,"".*@simonelectrica.com$""),REGEXMATCH(A3620,"".*@hiberus.com$""),REGEXMATCH(A3620,"".*@simonbrico.es$""),regexmatch(A3620,"".*@simonelectric.com$"")),""null"",A3"&amp;"620)"),"2691@magserveis.com")</f>
        <v>2691@magserveis.com</v>
      </c>
      <c r="C3620" s="5">
        <f>IF(B3620="null","null",Descargas!B3620)</f>
        <v>43881</v>
      </c>
      <c r="D3620" s="6" t="str">
        <f>Descargas!E3620</f>
        <v>https://resources.simonelectric.com/simon-catalogo-vehiculo-electrico</v>
      </c>
      <c r="E3620" s="20" t="str">
        <f t="shared" si="1"/>
        <v>2691@magserveis.com</v>
      </c>
      <c r="F3620" s="21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</row>
    <row r="3621" ht="15.75" customHeight="1">
      <c r="A3621" s="18" t="str">
        <f>Descargas!A3621</f>
        <v>2691@magserveis.com</v>
      </c>
      <c r="B3621" s="19" t="str">
        <f>IFERROR(__xludf.DUMMYFUNCTION("IF(OR(regexmatch(A3621,"".*@simon.es$""),REGEXMATCH(A3621,"".*@simon.pt$""),REGEXMATCH(A3621,"".*@simonelectrica.com$""),REGEXMATCH(A3621,"".*@hiberus.com$""),REGEXMATCH(A3621,"".*@simonbrico.es$""),regexmatch(A3621,"".*@simonelectric.com$"")),""null"",A3"&amp;"621)"),"2691@magserveis.com")</f>
        <v>2691@magserveis.com</v>
      </c>
      <c r="C3621" s="5">
        <f>IF(B3621="null","null",Descargas!B3621)</f>
        <v>43881</v>
      </c>
      <c r="D3621" s="6" t="str">
        <f>Descargas!E3621</f>
        <v>https://resources.simonelectric.com/simon-ebook-vehiculo-electrico</v>
      </c>
      <c r="E3621" s="20" t="str">
        <f t="shared" si="1"/>
        <v>2691@magserveis.com</v>
      </c>
      <c r="F3621" s="21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</row>
    <row r="3622" ht="15.75" customHeight="1">
      <c r="A3622" s="18" t="str">
        <f>Descargas!A3622</f>
        <v>1260@gdr.es</v>
      </c>
      <c r="B3622" s="19" t="str">
        <f>IFERROR(__xludf.DUMMYFUNCTION("IF(OR(regexmatch(A3622,"".*@simon.es$""),REGEXMATCH(A3622,"".*@simon.pt$""),REGEXMATCH(A3622,"".*@simonelectrica.com$""),REGEXMATCH(A3622,"".*@hiberus.com$""),REGEXMATCH(A3622,"".*@simonbrico.es$""),regexmatch(A3622,"".*@simonelectric.com$"")),""null"",A3"&amp;"622)"),"1260@gdr.es")</f>
        <v>1260@gdr.es</v>
      </c>
      <c r="C3622" s="5">
        <f>IF(B3622="null","null",Descargas!B3622)</f>
        <v>43881</v>
      </c>
      <c r="D3622" s="6" t="str">
        <f>Descargas!E3622</f>
        <v>https://resources.simonelectric.com/simon-ebook-vehiculo-electrico</v>
      </c>
      <c r="E3622" s="20" t="str">
        <f t="shared" si="1"/>
        <v>1260@gdr.es</v>
      </c>
      <c r="F3622" s="21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</row>
    <row r="3623" ht="15.75" customHeight="1">
      <c r="A3623" s="18" t="str">
        <f>Descargas!A3623</f>
        <v>2114@tecnoclimainstalaciones.com</v>
      </c>
      <c r="B3623" s="19" t="str">
        <f>IFERROR(__xludf.DUMMYFUNCTION("IF(OR(regexmatch(A3623,"".*@simon.es$""),REGEXMATCH(A3623,"".*@simon.pt$""),REGEXMATCH(A3623,"".*@simonelectrica.com$""),REGEXMATCH(A3623,"".*@hiberus.com$""),REGEXMATCH(A3623,"".*@simonbrico.es$""),regexmatch(A3623,"".*@simonelectric.com$"")),""null"",A3"&amp;"623)"),"2114@tecnoclimainstalaciones.com")</f>
        <v>2114@tecnoclimainstalaciones.com</v>
      </c>
      <c r="C3623" s="5">
        <f>IF(B3623="null","null",Descargas!B3623)</f>
        <v>43881</v>
      </c>
      <c r="D3623" s="6" t="str">
        <f>Descargas!E3623</f>
        <v>https://resources.simonelectric.com/simon-ebook-vehiculo-electrico</v>
      </c>
      <c r="E3623" s="20" t="str">
        <f t="shared" si="1"/>
        <v>2114@tecnoclimainstalaciones.com</v>
      </c>
      <c r="F3623" s="21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</row>
    <row r="3624" ht="15.75" customHeight="1">
      <c r="A3624" s="18" t="str">
        <f>Descargas!A3624</f>
        <v>2728@gmail.com</v>
      </c>
      <c r="B3624" s="19" t="str">
        <f>IFERROR(__xludf.DUMMYFUNCTION("IF(OR(regexmatch(A3624,"".*@simon.es$""),REGEXMATCH(A3624,"".*@simon.pt$""),REGEXMATCH(A3624,"".*@simonelectrica.com$""),REGEXMATCH(A3624,"".*@hiberus.com$""),REGEXMATCH(A3624,"".*@simonbrico.es$""),regexmatch(A3624,"".*@simonelectric.com$"")),""null"",A3"&amp;"624)"),"2728@gmail.com")</f>
        <v>2728@gmail.com</v>
      </c>
      <c r="C3624" s="5">
        <f>IF(B3624="null","null",Descargas!B3624)</f>
        <v>43880</v>
      </c>
      <c r="D3624" s="6" t="str">
        <f>Descargas!E3624</f>
        <v>https://resources.simonelectric.com/simon-ebook-vehiculo-electrico</v>
      </c>
      <c r="E3624" s="20" t="str">
        <f t="shared" si="1"/>
        <v>2728@gmail.com</v>
      </c>
      <c r="F3624" s="21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</row>
    <row r="3625" ht="15.75" customHeight="1">
      <c r="A3625" s="18" t="str">
        <f>Descargas!A3625</f>
        <v>2729@hotmail.com</v>
      </c>
      <c r="B3625" s="19" t="str">
        <f>IFERROR(__xludf.DUMMYFUNCTION("IF(OR(regexmatch(A3625,"".*@simon.es$""),REGEXMATCH(A3625,"".*@simon.pt$""),REGEXMATCH(A3625,"".*@simonelectrica.com$""),REGEXMATCH(A3625,"".*@hiberus.com$""),REGEXMATCH(A3625,"".*@simonbrico.es$""),regexmatch(A3625,"".*@simonelectric.com$"")),""null"",A3"&amp;"625)"),"2729@hotmail.com")</f>
        <v>2729@hotmail.com</v>
      </c>
      <c r="C3625" s="5">
        <f>IF(B3625="null","null",Descargas!B3625)</f>
        <v>43880</v>
      </c>
      <c r="D3625" s="6" t="str">
        <f>Descargas!E3625</f>
        <v>https://resources.simonelectric.com/simon-ebook-vehiculo-electrico</v>
      </c>
      <c r="E3625" s="20" t="str">
        <f t="shared" si="1"/>
        <v>2729@hotmail.com</v>
      </c>
      <c r="F3625" s="21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</row>
    <row r="3626" ht="15.75" customHeight="1">
      <c r="A3626" s="18" t="str">
        <f>Descargas!A3626</f>
        <v>2730@enzazaden.es</v>
      </c>
      <c r="B3626" s="19" t="str">
        <f>IFERROR(__xludf.DUMMYFUNCTION("IF(OR(regexmatch(A3626,"".*@simon.es$""),REGEXMATCH(A3626,"".*@simon.pt$""),REGEXMATCH(A3626,"".*@simonelectrica.com$""),REGEXMATCH(A3626,"".*@hiberus.com$""),REGEXMATCH(A3626,"".*@simonbrico.es$""),regexmatch(A3626,"".*@simonelectric.com$"")),""null"",A3"&amp;"626)"),"2730@enzazaden.es")</f>
        <v>2730@enzazaden.es</v>
      </c>
      <c r="C3626" s="5">
        <f>IF(B3626="null","null",Descargas!B3626)</f>
        <v>43880</v>
      </c>
      <c r="D3626" s="6" t="str">
        <f>Descargas!E3626</f>
        <v>https://resources.simonelectric.com/simon-catalogo-vehiculo-electrico</v>
      </c>
      <c r="E3626" s="20" t="str">
        <f t="shared" si="1"/>
        <v>2730@enzazaden.es</v>
      </c>
      <c r="F3626" s="21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</row>
    <row r="3627" ht="15.75" customHeight="1">
      <c r="A3627" s="18" t="str">
        <f>Descargas!A3627</f>
        <v>2731@gmail.com</v>
      </c>
      <c r="B3627" s="19" t="str">
        <f>IFERROR(__xludf.DUMMYFUNCTION("IF(OR(regexmatch(A3627,"".*@simon.es$""),REGEXMATCH(A3627,"".*@simon.pt$""),REGEXMATCH(A3627,"".*@simonelectrica.com$""),REGEXMATCH(A3627,"".*@hiberus.com$""),REGEXMATCH(A3627,"".*@simonbrico.es$""),regexmatch(A3627,"".*@simonelectric.com$"")),""null"",A3"&amp;"627)"),"2731@gmail.com")</f>
        <v>2731@gmail.com</v>
      </c>
      <c r="C3627" s="5">
        <f>IF(B3627="null","null",Descargas!B3627)</f>
        <v>43880</v>
      </c>
      <c r="D3627" s="6" t="str">
        <f>Descargas!E3627</f>
        <v>https://resources.simonelectric.com/simon-ebook-vehiculo-electrico</v>
      </c>
      <c r="E3627" s="20" t="str">
        <f t="shared" si="1"/>
        <v>2731@gmail.com</v>
      </c>
      <c r="F3627" s="21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</row>
    <row r="3628" ht="15.75" customHeight="1">
      <c r="A3628" s="18" t="str">
        <f>Descargas!A3628</f>
        <v>2732@gmail.com</v>
      </c>
      <c r="B3628" s="19" t="str">
        <f>IFERROR(__xludf.DUMMYFUNCTION("IF(OR(regexmatch(A3628,"".*@simon.es$""),REGEXMATCH(A3628,"".*@simon.pt$""),REGEXMATCH(A3628,"".*@simonelectrica.com$""),REGEXMATCH(A3628,"".*@hiberus.com$""),REGEXMATCH(A3628,"".*@simonbrico.es$""),regexmatch(A3628,"".*@simonelectric.com$"")),""null"",A3"&amp;"628)"),"2732@gmail.com")</f>
        <v>2732@gmail.com</v>
      </c>
      <c r="C3628" s="5">
        <f>IF(B3628="null","null",Descargas!B3628)</f>
        <v>43880</v>
      </c>
      <c r="D3628" s="6" t="str">
        <f>Descargas!E3628</f>
        <v>https://resources.simonelectric.com/simon-ebook-vehiculo-electrico</v>
      </c>
      <c r="E3628" s="20" t="str">
        <f t="shared" si="1"/>
        <v>2732@gmail.com</v>
      </c>
      <c r="F3628" s="21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</row>
    <row r="3629" ht="15.75" customHeight="1">
      <c r="A3629" s="18" t="str">
        <f>Descargas!A3629</f>
        <v>2733@sigmaenginyers.es</v>
      </c>
      <c r="B3629" s="19" t="str">
        <f>IFERROR(__xludf.DUMMYFUNCTION("IF(OR(regexmatch(A3629,"".*@simon.es$""),REGEXMATCH(A3629,"".*@simon.pt$""),REGEXMATCH(A3629,"".*@simonelectrica.com$""),REGEXMATCH(A3629,"".*@hiberus.com$""),REGEXMATCH(A3629,"".*@simonbrico.es$""),regexmatch(A3629,"".*@simonelectric.com$"")),""null"",A3"&amp;"629)"),"2733@sigmaenginyers.es")</f>
        <v>2733@sigmaenginyers.es</v>
      </c>
      <c r="C3629" s="5">
        <f>IF(B3629="null","null",Descargas!B3629)</f>
        <v>43880</v>
      </c>
      <c r="D3629" s="6" t="str">
        <f>Descargas!E3629</f>
        <v>https://resources.simonelectric.com/simon-ebook-vehiculo-electrico</v>
      </c>
      <c r="E3629" s="20" t="str">
        <f t="shared" si="1"/>
        <v>2733@sigmaenginyers.es</v>
      </c>
      <c r="F3629" s="21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</row>
    <row r="3630" ht="15.75" customHeight="1">
      <c r="A3630" s="18" t="str">
        <f>Descargas!A3630</f>
        <v>2734@gmail.com</v>
      </c>
      <c r="B3630" s="19" t="str">
        <f>IFERROR(__xludf.DUMMYFUNCTION("IF(OR(regexmatch(A3630,"".*@simon.es$""),REGEXMATCH(A3630,"".*@simon.pt$""),REGEXMATCH(A3630,"".*@simonelectrica.com$""),REGEXMATCH(A3630,"".*@hiberus.com$""),REGEXMATCH(A3630,"".*@simonbrico.es$""),regexmatch(A3630,"".*@simonelectric.com$"")),""null"",A3"&amp;"630)"),"2734@gmail.com")</f>
        <v>2734@gmail.com</v>
      </c>
      <c r="C3630" s="5">
        <f>IF(B3630="null","null",Descargas!B3630)</f>
        <v>43880</v>
      </c>
      <c r="D3630" s="6" t="str">
        <f>Descargas!E3630</f>
        <v>https://resources.simonelectric.com/simon-ebook-vehiculo-electrico</v>
      </c>
      <c r="E3630" s="20" t="str">
        <f t="shared" si="1"/>
        <v>2734@gmail.com</v>
      </c>
      <c r="F3630" s="21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</row>
    <row r="3631" ht="15.75" customHeight="1">
      <c r="A3631" s="18" t="str">
        <f>Descargas!A3631</f>
        <v>2735@gmail.com</v>
      </c>
      <c r="B3631" s="19" t="str">
        <f>IFERROR(__xludf.DUMMYFUNCTION("IF(OR(regexmatch(A3631,"".*@simon.es$""),REGEXMATCH(A3631,"".*@simon.pt$""),REGEXMATCH(A3631,"".*@simonelectrica.com$""),REGEXMATCH(A3631,"".*@hiberus.com$""),REGEXMATCH(A3631,"".*@simonbrico.es$""),regexmatch(A3631,"".*@simonelectric.com$"")),""null"",A3"&amp;"631)"),"2735@gmail.com")</f>
        <v>2735@gmail.com</v>
      </c>
      <c r="C3631" s="5">
        <f>IF(B3631="null","null",Descargas!B3631)</f>
        <v>43880</v>
      </c>
      <c r="D3631" s="6" t="str">
        <f>Descargas!E3631</f>
        <v>https://resources.simonelectric.com/simon-ebook-vehiculo-electrico</v>
      </c>
      <c r="E3631" s="20" t="str">
        <f t="shared" si="1"/>
        <v>2735@gmail.com</v>
      </c>
      <c r="F3631" s="21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</row>
    <row r="3632" ht="15.75" customHeight="1">
      <c r="A3632" s="18" t="str">
        <f>Descargas!A3632</f>
        <v>2736@gmail.com</v>
      </c>
      <c r="B3632" s="19" t="str">
        <f>IFERROR(__xludf.DUMMYFUNCTION("IF(OR(regexmatch(A3632,"".*@simon.es$""),REGEXMATCH(A3632,"".*@simon.pt$""),REGEXMATCH(A3632,"".*@simonelectrica.com$""),REGEXMATCH(A3632,"".*@hiberus.com$""),REGEXMATCH(A3632,"".*@simonbrico.es$""),regexmatch(A3632,"".*@simonelectric.com$"")),""null"",A3"&amp;"632)"),"2736@gmail.com")</f>
        <v>2736@gmail.com</v>
      </c>
      <c r="C3632" s="5">
        <f>IF(B3632="null","null",Descargas!B3632)</f>
        <v>43879</v>
      </c>
      <c r="D3632" s="6" t="str">
        <f>Descargas!E3632</f>
        <v>https://resources.simonelectric.com/simon-ebook-vehiculo-electrico-tw</v>
      </c>
      <c r="E3632" s="20" t="str">
        <f t="shared" si="1"/>
        <v>2736@gmail.com</v>
      </c>
      <c r="F3632" s="21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</row>
    <row r="3633" ht="15.75" customHeight="1">
      <c r="A3633" s="18" t="str">
        <f>Descargas!A3633</f>
        <v>2737@gmail.com</v>
      </c>
      <c r="B3633" s="19" t="str">
        <f>IFERROR(__xludf.DUMMYFUNCTION("IF(OR(regexmatch(A3633,"".*@simon.es$""),REGEXMATCH(A3633,"".*@simon.pt$""),REGEXMATCH(A3633,"".*@simonelectrica.com$""),REGEXMATCH(A3633,"".*@hiberus.com$""),REGEXMATCH(A3633,"".*@simonbrico.es$""),regexmatch(A3633,"".*@simonelectric.com$"")),""null"",A3"&amp;"633)"),"2737@gmail.com")</f>
        <v>2737@gmail.com</v>
      </c>
      <c r="C3633" s="5">
        <f>IF(B3633="null","null",Descargas!B3633)</f>
        <v>43879</v>
      </c>
      <c r="D3633" s="6" t="str">
        <f>Descargas!E3633</f>
        <v>https://resources.simonelectric.com/simon-ebook-vehiculo-electrico</v>
      </c>
      <c r="E3633" s="20" t="str">
        <f t="shared" si="1"/>
        <v>2737@gmail.com</v>
      </c>
      <c r="F3633" s="21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</row>
    <row r="3634" ht="15.75" customHeight="1">
      <c r="A3634" s="18" t="str">
        <f>Descargas!A3634</f>
        <v>2738@conalepmex.edu.mx</v>
      </c>
      <c r="B3634" s="19" t="str">
        <f>IFERROR(__xludf.DUMMYFUNCTION("IF(OR(regexmatch(A3634,"".*@simon.es$""),REGEXMATCH(A3634,"".*@simon.pt$""),REGEXMATCH(A3634,"".*@simonelectrica.com$""),REGEXMATCH(A3634,"".*@hiberus.com$""),REGEXMATCH(A3634,"".*@simonbrico.es$""),regexmatch(A3634,"".*@simonelectric.com$"")),""null"",A3"&amp;"634)"),"2738@conalepmex.edu.mx")</f>
        <v>2738@conalepmex.edu.mx</v>
      </c>
      <c r="C3634" s="5">
        <f>IF(B3634="null","null",Descargas!B3634)</f>
        <v>43879</v>
      </c>
      <c r="D3634" s="6" t="str">
        <f>Descargas!E3634</f>
        <v>https://resources.simonelectric.com/simon-ebook-vehiculo-electrico</v>
      </c>
      <c r="E3634" s="20" t="str">
        <f t="shared" si="1"/>
        <v>2738@conalepmex.edu.mx</v>
      </c>
      <c r="F3634" s="21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</row>
    <row r="3635" ht="15.75" customHeight="1">
      <c r="A3635" s="18" t="str">
        <f>Descargas!A3635</f>
        <v>2728@gmail.com</v>
      </c>
      <c r="B3635" s="19" t="str">
        <f>IFERROR(__xludf.DUMMYFUNCTION("IF(OR(regexmatch(A3635,"".*@simon.es$""),REGEXMATCH(A3635,"".*@simon.pt$""),REGEXMATCH(A3635,"".*@simonelectrica.com$""),REGEXMATCH(A3635,"".*@hiberus.com$""),REGEXMATCH(A3635,"".*@simonbrico.es$""),regexmatch(A3635,"".*@simonelectric.com$"")),""null"",A3"&amp;"635)"),"2728@gmail.com")</f>
        <v>2728@gmail.com</v>
      </c>
      <c r="C3635" s="5">
        <f>IF(B3635="null","null",Descargas!B3635)</f>
        <v>43879</v>
      </c>
      <c r="D3635" s="6" t="str">
        <f>Descargas!E3635</f>
        <v>https://resources.simonelectric.com/simon-ebook-vehiculo-electrico</v>
      </c>
      <c r="E3635" s="20" t="str">
        <f t="shared" si="1"/>
        <v>2728@gmail.com</v>
      </c>
      <c r="F3635" s="21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</row>
    <row r="3636" ht="15.75" customHeight="1">
      <c r="A3636" s="18" t="str">
        <f>Descargas!A3636</f>
        <v>2720@grupoelectrostocks.com</v>
      </c>
      <c r="B3636" s="19" t="str">
        <f>IFERROR(__xludf.DUMMYFUNCTION("IF(OR(regexmatch(A3636,"".*@simon.es$""),REGEXMATCH(A3636,"".*@simon.pt$""),REGEXMATCH(A3636,"".*@simonelectrica.com$""),REGEXMATCH(A3636,"".*@hiberus.com$""),REGEXMATCH(A3636,"".*@simonbrico.es$""),regexmatch(A3636,"".*@simonelectric.com$"")),""null"",A3"&amp;"636)"),"2720@grupoelectrostocks.com")</f>
        <v>2720@grupoelectrostocks.com</v>
      </c>
      <c r="C3636" s="5">
        <f>IF(B3636="null","null",Descargas!B3636)</f>
        <v>43879</v>
      </c>
      <c r="D3636" s="6" t="str">
        <f>Descargas!E3636</f>
        <v>https://resources.simonelectric.com/simon-catalogo-vehiculo-electrico</v>
      </c>
      <c r="E3636" s="20" t="str">
        <f t="shared" si="1"/>
        <v>2720@grupoelectrostocks.com</v>
      </c>
      <c r="F3636" s="21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</row>
    <row r="3637" ht="15.75" customHeight="1">
      <c r="A3637" s="18" t="str">
        <f>Descargas!A3637</f>
        <v>2720@grupoelectrostocks.com</v>
      </c>
      <c r="B3637" s="19" t="str">
        <f>IFERROR(__xludf.DUMMYFUNCTION("IF(OR(regexmatch(A3637,"".*@simon.es$""),REGEXMATCH(A3637,"".*@simon.pt$""),REGEXMATCH(A3637,"".*@simonelectrica.com$""),REGEXMATCH(A3637,"".*@hiberus.com$""),REGEXMATCH(A3637,"".*@simonbrico.es$""),regexmatch(A3637,"".*@simonelectric.com$"")),""null"",A3"&amp;"637)"),"2720@grupoelectrostocks.com")</f>
        <v>2720@grupoelectrostocks.com</v>
      </c>
      <c r="C3637" s="5">
        <f>IF(B3637="null","null",Descargas!B3637)</f>
        <v>43879</v>
      </c>
      <c r="D3637" s="6" t="str">
        <f>Descargas!E3637</f>
        <v>https://resources.simonelectric.com/simon-ebook-vehiculo-electrico</v>
      </c>
      <c r="E3637" s="20" t="str">
        <f t="shared" si="1"/>
        <v>2720@grupoelectrostocks.com</v>
      </c>
      <c r="F3637" s="21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</row>
    <row r="3638" ht="15.75" customHeight="1">
      <c r="A3638" s="18" t="str">
        <f>Descargas!A3638</f>
        <v>2739@constructorasanjose.com</v>
      </c>
      <c r="B3638" s="19" t="str">
        <f>IFERROR(__xludf.DUMMYFUNCTION("IF(OR(regexmatch(A3638,"".*@simon.es$""),REGEXMATCH(A3638,"".*@simon.pt$""),REGEXMATCH(A3638,"".*@simonelectrica.com$""),REGEXMATCH(A3638,"".*@hiberus.com$""),REGEXMATCH(A3638,"".*@simonbrico.es$""),regexmatch(A3638,"".*@simonelectric.com$"")),""null"",A3"&amp;"638)"),"2739@constructorasanjose.com")</f>
        <v>2739@constructorasanjose.com</v>
      </c>
      <c r="C3638" s="5">
        <f>IF(B3638="null","null",Descargas!B3638)</f>
        <v>43879</v>
      </c>
      <c r="D3638" s="6" t="str">
        <f>Descargas!E3638</f>
        <v>https://resources.simonelectric.com/simon-catalogo-vehiculo-electrico</v>
      </c>
      <c r="E3638" s="20" t="str">
        <f t="shared" si="1"/>
        <v>2739@constructorasanjose.com</v>
      </c>
      <c r="F3638" s="21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</row>
    <row r="3639" ht="15.75" customHeight="1">
      <c r="A3639" s="18" t="str">
        <f>Descargas!A3639</f>
        <v>2740@gmail.com</v>
      </c>
      <c r="B3639" s="19" t="str">
        <f>IFERROR(__xludf.DUMMYFUNCTION("IF(OR(regexmatch(A3639,"".*@simon.es$""),REGEXMATCH(A3639,"".*@simon.pt$""),REGEXMATCH(A3639,"".*@simonelectrica.com$""),REGEXMATCH(A3639,"".*@hiberus.com$""),REGEXMATCH(A3639,"".*@simonbrico.es$""),regexmatch(A3639,"".*@simonelectric.com$"")),""null"",A3"&amp;"639)"),"2740@gmail.com")</f>
        <v>2740@gmail.com</v>
      </c>
      <c r="C3639" s="5">
        <f>IF(B3639="null","null",Descargas!B3639)</f>
        <v>43879</v>
      </c>
      <c r="D3639" s="6" t="str">
        <f>Descargas!E3639</f>
        <v>https://resources.simonelectric.com/simon-ebook-vehiculo-electrico-tw</v>
      </c>
      <c r="E3639" s="20" t="str">
        <f t="shared" si="1"/>
        <v>2740@gmail.com</v>
      </c>
      <c r="F3639" s="21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</row>
    <row r="3640" ht="15.75" customHeight="1">
      <c r="A3640" s="18" t="str">
        <f>Descargas!A3640</f>
        <v>2741@cruzroja.es</v>
      </c>
      <c r="B3640" s="19" t="str">
        <f>IFERROR(__xludf.DUMMYFUNCTION("IF(OR(regexmatch(A3640,"".*@simon.es$""),REGEXMATCH(A3640,"".*@simon.pt$""),REGEXMATCH(A3640,"".*@simonelectrica.com$""),REGEXMATCH(A3640,"".*@hiberus.com$""),REGEXMATCH(A3640,"".*@simonbrico.es$""),regexmatch(A3640,"".*@simonelectric.com$"")),""null"",A3"&amp;"640)"),"2741@cruzroja.es")</f>
        <v>2741@cruzroja.es</v>
      </c>
      <c r="C3640" s="5">
        <f>IF(B3640="null","null",Descargas!B3640)</f>
        <v>43879</v>
      </c>
      <c r="D3640" s="6" t="str">
        <f>Descargas!E3640</f>
        <v>https://resources.simonelectric.com/simon-ebook-vehiculo-electrico</v>
      </c>
      <c r="E3640" s="20" t="str">
        <f t="shared" si="1"/>
        <v>2741@cruzroja.es</v>
      </c>
      <c r="F3640" s="21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</row>
    <row r="3641" ht="15.75" customHeight="1">
      <c r="A3641" s="18" t="str">
        <f>Descargas!A3641</f>
        <v>2742@mindual.com</v>
      </c>
      <c r="B3641" s="19" t="str">
        <f>IFERROR(__xludf.DUMMYFUNCTION("IF(OR(regexmatch(A3641,"".*@simon.es$""),REGEXMATCH(A3641,"".*@simon.pt$""),REGEXMATCH(A3641,"".*@simonelectrica.com$""),REGEXMATCH(A3641,"".*@hiberus.com$""),REGEXMATCH(A3641,"".*@simonbrico.es$""),regexmatch(A3641,"".*@simonelectric.com$"")),""null"",A3"&amp;"641)"),"2742@mindual.com")</f>
        <v>2742@mindual.com</v>
      </c>
      <c r="C3641" s="5">
        <f>IF(B3641="null","null",Descargas!B3641)</f>
        <v>43879</v>
      </c>
      <c r="D3641" s="6" t="str">
        <f>Descargas!E3641</f>
        <v>https://resources.simonelectric.com/simon-ebook-vehiculo-electrico</v>
      </c>
      <c r="E3641" s="20" t="str">
        <f t="shared" si="1"/>
        <v>2742@mindual.com</v>
      </c>
      <c r="F3641" s="21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</row>
    <row r="3642" ht="15.75" customHeight="1">
      <c r="A3642" s="18" t="str">
        <f>Descargas!A3642</f>
        <v>2743@itaipu.gov.py</v>
      </c>
      <c r="B3642" s="19" t="str">
        <f>IFERROR(__xludf.DUMMYFUNCTION("IF(OR(regexmatch(A3642,"".*@simon.es$""),REGEXMATCH(A3642,"".*@simon.pt$""),REGEXMATCH(A3642,"".*@simonelectrica.com$""),REGEXMATCH(A3642,"".*@hiberus.com$""),REGEXMATCH(A3642,"".*@simonbrico.es$""),regexmatch(A3642,"".*@simonelectric.com$"")),""null"",A3"&amp;"642)"),"2743@itaipu.gov.py")</f>
        <v>2743@itaipu.gov.py</v>
      </c>
      <c r="C3642" s="5">
        <f>IF(B3642="null","null",Descargas!B3642)</f>
        <v>43879</v>
      </c>
      <c r="D3642" s="6" t="str">
        <f>Descargas!E3642</f>
        <v>https://resources.simonelectric.com/simon-ebook-vehiculo-electrico</v>
      </c>
      <c r="E3642" s="20" t="str">
        <f t="shared" si="1"/>
        <v>2743@itaipu.gov.py</v>
      </c>
      <c r="F3642" s="21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</row>
    <row r="3643" ht="15.75" customHeight="1">
      <c r="A3643" s="18" t="str">
        <f>Descargas!A3643</f>
        <v>2744@simon.es</v>
      </c>
      <c r="B3643" s="19" t="str">
        <f>IFERROR(__xludf.DUMMYFUNCTION("IF(OR(regexmatch(A3643,"".*@simon.es$""),REGEXMATCH(A3643,"".*@simon.pt$""),REGEXMATCH(A3643,"".*@simonelectrica.com$""),REGEXMATCH(A3643,"".*@hiberus.com$""),REGEXMATCH(A3643,"".*@simonbrico.es$""),regexmatch(A3643,"".*@simonelectric.com$"")),""null"",A3"&amp;"643)"),"null")</f>
        <v>null</v>
      </c>
      <c r="C3643" s="5" t="str">
        <f>IF(B3643="null","null",Descargas!B3643)</f>
        <v>null</v>
      </c>
      <c r="D3643" s="6" t="str">
        <f>Descargas!E3643</f>
        <v>https://resources.simonelectric.com/simon-catalogo-vehiculo-electrico</v>
      </c>
      <c r="E3643" s="24" t="str">
        <f t="shared" si="1"/>
        <v/>
      </c>
      <c r="F3643" s="21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</row>
    <row r="3644" ht="15.75" customHeight="1">
      <c r="A3644" s="18" t="str">
        <f>Descargas!A3644</f>
        <v>2745@urbanresilience.eu</v>
      </c>
      <c r="B3644" s="19" t="str">
        <f>IFERROR(__xludf.DUMMYFUNCTION("IF(OR(regexmatch(A3644,"".*@simon.es$""),REGEXMATCH(A3644,"".*@simon.pt$""),REGEXMATCH(A3644,"".*@simonelectrica.com$""),REGEXMATCH(A3644,"".*@hiberus.com$""),REGEXMATCH(A3644,"".*@simonbrico.es$""),regexmatch(A3644,"".*@simonelectric.com$"")),""null"",A3"&amp;"644)"),"2745@urbanresilience.eu")</f>
        <v>2745@urbanresilience.eu</v>
      </c>
      <c r="C3644" s="5">
        <f>IF(B3644="null","null",Descargas!B3644)</f>
        <v>43879</v>
      </c>
      <c r="D3644" s="6" t="str">
        <f>Descargas!E3644</f>
        <v>https://resources.simonelectric.com/simon-ebook-vehiculo-electrico-tw</v>
      </c>
      <c r="E3644" s="20" t="str">
        <f t="shared" si="1"/>
        <v>2745@urbanresilience.eu</v>
      </c>
      <c r="F3644" s="21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</row>
    <row r="3645" ht="15.75" customHeight="1">
      <c r="A3645" s="18" t="str">
        <f>Descargas!A3645</f>
        <v>2746@proinelec.com</v>
      </c>
      <c r="B3645" s="19" t="str">
        <f>IFERROR(__xludf.DUMMYFUNCTION("IF(OR(regexmatch(A3645,"".*@simon.es$""),REGEXMATCH(A3645,"".*@simon.pt$""),REGEXMATCH(A3645,"".*@simonelectrica.com$""),REGEXMATCH(A3645,"".*@hiberus.com$""),REGEXMATCH(A3645,"".*@simonbrico.es$""),regexmatch(A3645,"".*@simonelectric.com$"")),""null"",A3"&amp;"645)"),"2746@proinelec.com")</f>
        <v>2746@proinelec.com</v>
      </c>
      <c r="C3645" s="5">
        <f>IF(B3645="null","null",Descargas!B3645)</f>
        <v>43879</v>
      </c>
      <c r="D3645" s="6" t="str">
        <f>Descargas!E3645</f>
        <v>https://resources.simonelectric.com/simon-catalogo-vehiculo-electrico</v>
      </c>
      <c r="E3645" s="20" t="str">
        <f t="shared" si="1"/>
        <v>2746@proinelec.com</v>
      </c>
      <c r="F3645" s="21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</row>
    <row r="3646" ht="15.75" customHeight="1">
      <c r="A3646" s="18" t="str">
        <f>Descargas!A3646</f>
        <v>2747@gmail.com</v>
      </c>
      <c r="B3646" s="19" t="str">
        <f>IFERROR(__xludf.DUMMYFUNCTION("IF(OR(regexmatch(A3646,"".*@simon.es$""),REGEXMATCH(A3646,"".*@simon.pt$""),REGEXMATCH(A3646,"".*@simonelectrica.com$""),REGEXMATCH(A3646,"".*@hiberus.com$""),REGEXMATCH(A3646,"".*@simonbrico.es$""),regexmatch(A3646,"".*@simonelectric.com$"")),""null"",A3"&amp;"646)"),"2747@gmail.com")</f>
        <v>2747@gmail.com</v>
      </c>
      <c r="C3646" s="5">
        <f>IF(B3646="null","null",Descargas!B3646)</f>
        <v>43879</v>
      </c>
      <c r="D3646" s="6" t="str">
        <f>Descargas!E3646</f>
        <v>https://resources.simonelectric.com/simon-ebook-vehiculo-electrico</v>
      </c>
      <c r="E3646" s="20" t="str">
        <f t="shared" si="1"/>
        <v>2747@gmail.com</v>
      </c>
      <c r="F3646" s="21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</row>
    <row r="3647" ht="15.75" customHeight="1">
      <c r="A3647" s="18" t="str">
        <f>Descargas!A3647</f>
        <v>2746@proinelec.com</v>
      </c>
      <c r="B3647" s="19" t="str">
        <f>IFERROR(__xludf.DUMMYFUNCTION("IF(OR(regexmatch(A3647,"".*@simon.es$""),REGEXMATCH(A3647,"".*@simon.pt$""),REGEXMATCH(A3647,"".*@simonelectrica.com$""),REGEXMATCH(A3647,"".*@hiberus.com$""),REGEXMATCH(A3647,"".*@simonbrico.es$""),regexmatch(A3647,"".*@simonelectric.com$"")),""null"",A3"&amp;"647)"),"2746@proinelec.com")</f>
        <v>2746@proinelec.com</v>
      </c>
      <c r="C3647" s="5">
        <f>IF(B3647="null","null",Descargas!B3647)</f>
        <v>43878</v>
      </c>
      <c r="D3647" s="6" t="str">
        <f>Descargas!E3647</f>
        <v>https://resources.simonelectric.com/simon-ebook-vehiculo-electrico</v>
      </c>
      <c r="E3647" s="20" t="str">
        <f t="shared" si="1"/>
        <v>2746@proinelec.com</v>
      </c>
      <c r="F3647" s="21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</row>
    <row r="3648" ht="15.75" customHeight="1">
      <c r="A3648" s="18" t="str">
        <f>Descargas!A3648</f>
        <v>2748@nitlux.es</v>
      </c>
      <c r="B3648" s="19" t="str">
        <f>IFERROR(__xludf.DUMMYFUNCTION("IF(OR(regexmatch(A3648,"".*@simon.es$""),REGEXMATCH(A3648,"".*@simon.pt$""),REGEXMATCH(A3648,"".*@simonelectrica.com$""),REGEXMATCH(A3648,"".*@hiberus.com$""),REGEXMATCH(A3648,"".*@simonbrico.es$""),regexmatch(A3648,"".*@simonelectric.com$"")),""null"",A3"&amp;"648)"),"2748@nitlux.es")</f>
        <v>2748@nitlux.es</v>
      </c>
      <c r="C3648" s="5">
        <f>IF(B3648="null","null",Descargas!B3648)</f>
        <v>43878</v>
      </c>
      <c r="D3648" s="6" t="str">
        <f>Descargas!E3648</f>
        <v>https://resources.simonelectric.com/simon-material-formativo-vehiculo-electrico</v>
      </c>
      <c r="E3648" s="20" t="str">
        <f t="shared" si="1"/>
        <v>2748@nitlux.es</v>
      </c>
      <c r="F3648" s="21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</row>
    <row r="3649" ht="15.75" customHeight="1">
      <c r="A3649" s="18" t="str">
        <f>Descargas!A3649</f>
        <v>2438@gmail.com</v>
      </c>
      <c r="B3649" s="19" t="str">
        <f>IFERROR(__xludf.DUMMYFUNCTION("IF(OR(regexmatch(A3649,"".*@simon.es$""),REGEXMATCH(A3649,"".*@simon.pt$""),REGEXMATCH(A3649,"".*@simonelectrica.com$""),REGEXMATCH(A3649,"".*@hiberus.com$""),REGEXMATCH(A3649,"".*@simonbrico.es$""),regexmatch(A3649,"".*@simonelectric.com$"")),""null"",A3"&amp;"649)"),"2438@gmail.com")</f>
        <v>2438@gmail.com</v>
      </c>
      <c r="C3649" s="5">
        <f>IF(B3649="null","null",Descargas!B3649)</f>
        <v>43878</v>
      </c>
      <c r="D3649" s="6" t="str">
        <f>Descargas!E3649</f>
        <v>https://resources.simonelectric.com/simon-material-formativo-vehiculo-electrico</v>
      </c>
      <c r="E3649" s="20" t="str">
        <f t="shared" si="1"/>
        <v>2438@gmail.com</v>
      </c>
      <c r="F3649" s="21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</row>
    <row r="3650" ht="15.75" customHeight="1">
      <c r="A3650" s="18" t="str">
        <f>Descargas!A3650</f>
        <v>2746@proinelec.com</v>
      </c>
      <c r="B3650" s="19" t="str">
        <f>IFERROR(__xludf.DUMMYFUNCTION("IF(OR(regexmatch(A3650,"".*@simon.es$""),REGEXMATCH(A3650,"".*@simon.pt$""),REGEXMATCH(A3650,"".*@simonelectrica.com$""),REGEXMATCH(A3650,"".*@hiberus.com$""),REGEXMATCH(A3650,"".*@simonbrico.es$""),regexmatch(A3650,"".*@simonelectric.com$"")),""null"",A3"&amp;"650)"),"2746@proinelec.com")</f>
        <v>2746@proinelec.com</v>
      </c>
      <c r="C3650" s="5">
        <f>IF(B3650="null","null",Descargas!B3650)</f>
        <v>43878</v>
      </c>
      <c r="D3650" s="6" t="str">
        <f>Descargas!E3650</f>
        <v>https://resources.simonelectric.com/simon-ebook-vehiculo-electrico</v>
      </c>
      <c r="E3650" s="20" t="str">
        <f t="shared" si="1"/>
        <v>2746@proinelec.com</v>
      </c>
      <c r="F3650" s="21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</row>
    <row r="3651" ht="15.75" customHeight="1">
      <c r="A3651" s="18" t="str">
        <f>Descargas!A3651</f>
        <v>1260@gdr.es</v>
      </c>
      <c r="B3651" s="19" t="str">
        <f>IFERROR(__xludf.DUMMYFUNCTION("IF(OR(regexmatch(A3651,"".*@simon.es$""),REGEXMATCH(A3651,"".*@simon.pt$""),REGEXMATCH(A3651,"".*@simonelectrica.com$""),REGEXMATCH(A3651,"".*@hiberus.com$""),REGEXMATCH(A3651,"".*@simonbrico.es$""),regexmatch(A3651,"".*@simonelectric.com$"")),""null"",A3"&amp;"651)"),"1260@gdr.es")</f>
        <v>1260@gdr.es</v>
      </c>
      <c r="C3651" s="5">
        <f>IF(B3651="null","null",Descargas!B3651)</f>
        <v>43878</v>
      </c>
      <c r="D3651" s="6" t="str">
        <f>Descargas!E3651</f>
        <v>https://resources.simonelectric.com/simon-catalogo-vehiculo-electrico</v>
      </c>
      <c r="E3651" s="20" t="str">
        <f t="shared" si="1"/>
        <v>1260@gdr.es</v>
      </c>
      <c r="F3651" s="21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</row>
    <row r="3652" ht="15.75" customHeight="1">
      <c r="A3652" s="18" t="str">
        <f>Descargas!A3652</f>
        <v>1260@gdr.es</v>
      </c>
      <c r="B3652" s="19" t="str">
        <f>IFERROR(__xludf.DUMMYFUNCTION("IF(OR(regexmatch(A3652,"".*@simon.es$""),REGEXMATCH(A3652,"".*@simon.pt$""),REGEXMATCH(A3652,"".*@simonelectrica.com$""),REGEXMATCH(A3652,"".*@hiberus.com$""),REGEXMATCH(A3652,"".*@simonbrico.es$""),regexmatch(A3652,"".*@simonelectric.com$"")),""null"",A3"&amp;"652)"),"1260@gdr.es")</f>
        <v>1260@gdr.es</v>
      </c>
      <c r="C3652" s="5">
        <f>IF(B3652="null","null",Descargas!B3652)</f>
        <v>43878</v>
      </c>
      <c r="D3652" s="6" t="str">
        <f>Descargas!E3652</f>
        <v>https://resources.simonelectric.com/simon-ebook-vehiculo-electrico</v>
      </c>
      <c r="E3652" s="20" t="str">
        <f t="shared" si="1"/>
        <v>1260@gdr.es</v>
      </c>
      <c r="F3652" s="21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</row>
    <row r="3653" ht="15.75" customHeight="1">
      <c r="A3653" s="18" t="str">
        <f>Descargas!A3653</f>
        <v>2749@gmail.com</v>
      </c>
      <c r="B3653" s="19" t="str">
        <f>IFERROR(__xludf.DUMMYFUNCTION("IF(OR(regexmatch(A3653,"".*@simon.es$""),REGEXMATCH(A3653,"".*@simon.pt$""),REGEXMATCH(A3653,"".*@simonelectrica.com$""),REGEXMATCH(A3653,"".*@hiberus.com$""),REGEXMATCH(A3653,"".*@simonbrico.es$""),regexmatch(A3653,"".*@simonelectric.com$"")),""null"",A3"&amp;"653)"),"2749@gmail.com")</f>
        <v>2749@gmail.com</v>
      </c>
      <c r="C3653" s="5">
        <f>IF(B3653="null","null",Descargas!B3653)</f>
        <v>43878</v>
      </c>
      <c r="D3653" s="6" t="str">
        <f>Descargas!E3653</f>
        <v>https://resources.simonelectric.com/simon-ebook-vehiculo-electrico</v>
      </c>
      <c r="E3653" s="20" t="str">
        <f t="shared" si="1"/>
        <v>2749@gmail.com</v>
      </c>
      <c r="F3653" s="21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</row>
    <row r="3654" ht="15.75" customHeight="1">
      <c r="A3654" s="18" t="str">
        <f>Descargas!A3654</f>
        <v>2750@exavoltio.es</v>
      </c>
      <c r="B3654" s="19" t="str">
        <f>IFERROR(__xludf.DUMMYFUNCTION("IF(OR(regexmatch(A3654,"".*@simon.es$""),REGEXMATCH(A3654,"".*@simon.pt$""),REGEXMATCH(A3654,"".*@simonelectrica.com$""),REGEXMATCH(A3654,"".*@hiberus.com$""),REGEXMATCH(A3654,"".*@simonbrico.es$""),regexmatch(A3654,"".*@simonelectric.com$"")),""null"",A3"&amp;"654)"),"2750@exavoltio.es")</f>
        <v>2750@exavoltio.es</v>
      </c>
      <c r="C3654" s="5">
        <f>IF(B3654="null","null",Descargas!B3654)</f>
        <v>43878</v>
      </c>
      <c r="D3654" s="6" t="str">
        <f>Descargas!E3654</f>
        <v>https://resources.simonelectric.com/simon-ebook-vehiculo-electrico</v>
      </c>
      <c r="E3654" s="20" t="str">
        <f t="shared" si="1"/>
        <v>2750@exavoltio.es</v>
      </c>
      <c r="F3654" s="21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</row>
    <row r="3655" ht="15.75" customHeight="1">
      <c r="A3655" s="18" t="str">
        <f>Descargas!A3655</f>
        <v>2751@gruponovelec.com</v>
      </c>
      <c r="B3655" s="19" t="str">
        <f>IFERROR(__xludf.DUMMYFUNCTION("IF(OR(regexmatch(A3655,"".*@simon.es$""),REGEXMATCH(A3655,"".*@simon.pt$""),REGEXMATCH(A3655,"".*@simonelectrica.com$""),REGEXMATCH(A3655,"".*@hiberus.com$""),REGEXMATCH(A3655,"".*@simonbrico.es$""),regexmatch(A3655,"".*@simonelectric.com$"")),""null"",A3"&amp;"655)"),"2751@gruponovelec.com")</f>
        <v>2751@gruponovelec.com</v>
      </c>
      <c r="C3655" s="5">
        <f>IF(B3655="null","null",Descargas!B3655)</f>
        <v>43878</v>
      </c>
      <c r="D3655" s="6" t="str">
        <f>Descargas!E3655</f>
        <v>https://resources.simonelectric.com/simon-catalogo-vehiculo-electrico</v>
      </c>
      <c r="E3655" s="20" t="str">
        <f t="shared" si="1"/>
        <v>2751@gruponovelec.com</v>
      </c>
      <c r="F3655" s="21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</row>
    <row r="3656" ht="15.75" customHeight="1">
      <c r="A3656" s="18" t="str">
        <f>Descargas!A3656</f>
        <v>2752@ingener.net</v>
      </c>
      <c r="B3656" s="19" t="str">
        <f>IFERROR(__xludf.DUMMYFUNCTION("IF(OR(regexmatch(A3656,"".*@simon.es$""),REGEXMATCH(A3656,"".*@simon.pt$""),REGEXMATCH(A3656,"".*@simonelectrica.com$""),REGEXMATCH(A3656,"".*@hiberus.com$""),REGEXMATCH(A3656,"".*@simonbrico.es$""),regexmatch(A3656,"".*@simonelectric.com$"")),""null"",A3"&amp;"656)"),"2752@ingener.net")</f>
        <v>2752@ingener.net</v>
      </c>
      <c r="C3656" s="5">
        <f>IF(B3656="null","null",Descargas!B3656)</f>
        <v>43878</v>
      </c>
      <c r="D3656" s="6" t="str">
        <f>Descargas!E3656</f>
        <v>https://resources.simonelectric.com/simon-catalogo-vehiculo-electrico</v>
      </c>
      <c r="E3656" s="20" t="str">
        <f t="shared" si="1"/>
        <v>2752@ingener.net</v>
      </c>
      <c r="F3656" s="21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</row>
    <row r="3657" ht="15.75" customHeight="1">
      <c r="A3657" s="18" t="str">
        <f>Descargas!A3657</f>
        <v>2753@aurialux.com</v>
      </c>
      <c r="B3657" s="19" t="str">
        <f>IFERROR(__xludf.DUMMYFUNCTION("IF(OR(regexmatch(A3657,"".*@simon.es$""),REGEXMATCH(A3657,"".*@simon.pt$""),REGEXMATCH(A3657,"".*@simonelectrica.com$""),REGEXMATCH(A3657,"".*@hiberus.com$""),REGEXMATCH(A3657,"".*@simonbrico.es$""),regexmatch(A3657,"".*@simonelectric.com$"")),""null"",A3"&amp;"657)"),"2753@aurialux.com")</f>
        <v>2753@aurialux.com</v>
      </c>
      <c r="C3657" s="5">
        <f>IF(B3657="null","null",Descargas!B3657)</f>
        <v>43878</v>
      </c>
      <c r="D3657" s="6" t="str">
        <f>Descargas!E3657</f>
        <v>https://resources.simonelectric.com/simon-ebook-vehiculo-electrico</v>
      </c>
      <c r="E3657" s="20" t="str">
        <f t="shared" si="1"/>
        <v>2753@aurialux.com</v>
      </c>
      <c r="F3657" s="21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</row>
    <row r="3658" ht="15.75" customHeight="1">
      <c r="A3658" s="18" t="str">
        <f>Descargas!A3658</f>
        <v>2754@emgvlasrozas.org</v>
      </c>
      <c r="B3658" s="19" t="str">
        <f>IFERROR(__xludf.DUMMYFUNCTION("IF(OR(regexmatch(A3658,"".*@simon.es$""),REGEXMATCH(A3658,"".*@simon.pt$""),REGEXMATCH(A3658,"".*@simonelectrica.com$""),REGEXMATCH(A3658,"".*@hiberus.com$""),REGEXMATCH(A3658,"".*@simonbrico.es$""),regexmatch(A3658,"".*@simonelectric.com$"")),""null"",A3"&amp;"658)"),"2754@emgvlasrozas.org")</f>
        <v>2754@emgvlasrozas.org</v>
      </c>
      <c r="C3658" s="5">
        <f>IF(B3658="null","null",Descargas!B3658)</f>
        <v>43878</v>
      </c>
      <c r="D3658" s="6" t="str">
        <f>Descargas!E3658</f>
        <v>https://resources.simonelectric.com/simon-ebook-vehiculo-electrico-tw</v>
      </c>
      <c r="E3658" s="20" t="str">
        <f t="shared" si="1"/>
        <v>2754@emgvlasrozas.org</v>
      </c>
      <c r="F3658" s="21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</row>
    <row r="3659" ht="15.75" customHeight="1">
      <c r="A3659" s="18" t="str">
        <f>Descargas!A3659</f>
        <v>2755@gmail.com</v>
      </c>
      <c r="B3659" s="19" t="str">
        <f>IFERROR(__xludf.DUMMYFUNCTION("IF(OR(regexmatch(A3659,"".*@simon.es$""),REGEXMATCH(A3659,"".*@simon.pt$""),REGEXMATCH(A3659,"".*@simonelectrica.com$""),REGEXMATCH(A3659,"".*@hiberus.com$""),REGEXMATCH(A3659,"".*@simonbrico.es$""),regexmatch(A3659,"".*@simonelectric.com$"")),""null"",A3"&amp;"659)"),"2755@gmail.com")</f>
        <v>2755@gmail.com</v>
      </c>
      <c r="C3659" s="5">
        <f>IF(B3659="null","null",Descargas!B3659)</f>
        <v>43878</v>
      </c>
      <c r="D3659" s="6" t="str">
        <f>Descargas!E3659</f>
        <v>https://resources.simonelectric.com/simon-ebook-vehiculo-electrico</v>
      </c>
      <c r="E3659" s="20" t="str">
        <f t="shared" si="1"/>
        <v>2755@gmail.com</v>
      </c>
      <c r="F3659" s="21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</row>
    <row r="3660" ht="15.75" customHeight="1">
      <c r="A3660" s="18" t="str">
        <f>Descargas!A3660</f>
        <v>1295@hotmail.es</v>
      </c>
      <c r="B3660" s="19" t="str">
        <f>IFERROR(__xludf.DUMMYFUNCTION("IF(OR(regexmatch(A3660,"".*@simon.es$""),REGEXMATCH(A3660,"".*@simon.pt$""),REGEXMATCH(A3660,"".*@simonelectrica.com$""),REGEXMATCH(A3660,"".*@hiberus.com$""),REGEXMATCH(A3660,"".*@simonbrico.es$""),regexmatch(A3660,"".*@simonelectric.com$"")),""null"",A3"&amp;"660)"),"1295@hotmail.es")</f>
        <v>1295@hotmail.es</v>
      </c>
      <c r="C3660" s="5">
        <f>IF(B3660="null","null",Descargas!B3660)</f>
        <v>43878</v>
      </c>
      <c r="D3660" s="6" t="str">
        <f>Descargas!E3660</f>
        <v>https://resources.simonelectric.com/simon-ebook-vehiculo-electrico</v>
      </c>
      <c r="E3660" s="20" t="str">
        <f t="shared" si="1"/>
        <v>1295@hotmail.es</v>
      </c>
      <c r="F3660" s="21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</row>
    <row r="3661" ht="15.75" customHeight="1">
      <c r="A3661" s="18" t="str">
        <f>Descargas!A3661</f>
        <v>2756@gmail.com</v>
      </c>
      <c r="B3661" s="19" t="str">
        <f>IFERROR(__xludf.DUMMYFUNCTION("IF(OR(regexmatch(A3661,"".*@simon.es$""),REGEXMATCH(A3661,"".*@simon.pt$""),REGEXMATCH(A3661,"".*@simonelectrica.com$""),REGEXMATCH(A3661,"".*@hiberus.com$""),REGEXMATCH(A3661,"".*@simonbrico.es$""),regexmatch(A3661,"".*@simonelectric.com$"")),""null"",A3"&amp;"661)"),"2756@gmail.com")</f>
        <v>2756@gmail.com</v>
      </c>
      <c r="C3661" s="5">
        <f>IF(B3661="null","null",Descargas!B3661)</f>
        <v>43878</v>
      </c>
      <c r="D3661" s="6" t="str">
        <f>Descargas!E3661</f>
        <v>https://resources.simonelectric.com/simon-ebook-vehiculo-electrico</v>
      </c>
      <c r="E3661" s="20" t="str">
        <f t="shared" si="1"/>
        <v>2756@gmail.com</v>
      </c>
      <c r="F3661" s="21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</row>
    <row r="3662" ht="15.75" customHeight="1">
      <c r="A3662" s="18" t="str">
        <f>Descargas!A3662</f>
        <v>2757@irradiaenergia.com</v>
      </c>
      <c r="B3662" s="19" t="str">
        <f>IFERROR(__xludf.DUMMYFUNCTION("IF(OR(regexmatch(A3662,"".*@simon.es$""),REGEXMATCH(A3662,"".*@simon.pt$""),REGEXMATCH(A3662,"".*@simonelectrica.com$""),REGEXMATCH(A3662,"".*@hiberus.com$""),REGEXMATCH(A3662,"".*@simonbrico.es$""),regexmatch(A3662,"".*@simonelectric.com$"")),""null"",A3"&amp;"662)"),"2757@irradiaenergia.com")</f>
        <v>2757@irradiaenergia.com</v>
      </c>
      <c r="C3662" s="5">
        <f>IF(B3662="null","null",Descargas!B3662)</f>
        <v>43877</v>
      </c>
      <c r="D3662" s="6" t="str">
        <f>Descargas!E3662</f>
        <v>https://resources.simonelectric.com/simon-ebook-vehiculo-electrico-tw</v>
      </c>
      <c r="E3662" s="20" t="str">
        <f t="shared" si="1"/>
        <v>2757@irradiaenergia.com</v>
      </c>
      <c r="F3662" s="21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</row>
    <row r="3663" ht="15.75" customHeight="1">
      <c r="A3663" s="18" t="str">
        <f>Descargas!A3663</f>
        <v>2758@gmail.com</v>
      </c>
      <c r="B3663" s="19" t="str">
        <f>IFERROR(__xludf.DUMMYFUNCTION("IF(OR(regexmatch(A3663,"".*@simon.es$""),REGEXMATCH(A3663,"".*@simon.pt$""),REGEXMATCH(A3663,"".*@simonelectrica.com$""),REGEXMATCH(A3663,"".*@hiberus.com$""),REGEXMATCH(A3663,"".*@simonbrico.es$""),regexmatch(A3663,"".*@simonelectric.com$"")),""null"",A3"&amp;"663)"),"2758@gmail.com")</f>
        <v>2758@gmail.com</v>
      </c>
      <c r="C3663" s="5">
        <f>IF(B3663="null","null",Descargas!B3663)</f>
        <v>43877</v>
      </c>
      <c r="D3663" s="6" t="str">
        <f>Descargas!E3663</f>
        <v>https://resources.simonelectric.com/simon-ebook-vehiculo-electrico-tw</v>
      </c>
      <c r="E3663" s="20" t="str">
        <f t="shared" si="1"/>
        <v>2758@gmail.com</v>
      </c>
      <c r="F3663" s="21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</row>
    <row r="3664" ht="15.75" customHeight="1">
      <c r="A3664" s="18" t="str">
        <f>Descargas!A3664</f>
        <v>2759@gmail.com</v>
      </c>
      <c r="B3664" s="19" t="str">
        <f>IFERROR(__xludf.DUMMYFUNCTION("IF(OR(regexmatch(A3664,"".*@simon.es$""),REGEXMATCH(A3664,"".*@simon.pt$""),REGEXMATCH(A3664,"".*@simonelectrica.com$""),REGEXMATCH(A3664,"".*@hiberus.com$""),REGEXMATCH(A3664,"".*@simonbrico.es$""),regexmatch(A3664,"".*@simonelectric.com$"")),""null"",A3"&amp;"664)"),"2759@gmail.com")</f>
        <v>2759@gmail.com</v>
      </c>
      <c r="C3664" s="5">
        <f>IF(B3664="null","null",Descargas!B3664)</f>
        <v>43877</v>
      </c>
      <c r="D3664" s="6" t="str">
        <f>Descargas!E3664</f>
        <v>https://resources.simonelectric.com/simon-ebook-vehiculo-electrico-tw</v>
      </c>
      <c r="E3664" s="20" t="str">
        <f t="shared" si="1"/>
        <v>2759@gmail.com</v>
      </c>
      <c r="F3664" s="21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</row>
    <row r="3665" ht="15.75" customHeight="1">
      <c r="A3665" s="18" t="str">
        <f>Descargas!A3665</f>
        <v>2760@yahoo.es</v>
      </c>
      <c r="B3665" s="19" t="str">
        <f>IFERROR(__xludf.DUMMYFUNCTION("IF(OR(regexmatch(A3665,"".*@simon.es$""),REGEXMATCH(A3665,"".*@simon.pt$""),REGEXMATCH(A3665,"".*@simonelectrica.com$""),REGEXMATCH(A3665,"".*@hiberus.com$""),REGEXMATCH(A3665,"".*@simonbrico.es$""),regexmatch(A3665,"".*@simonelectric.com$"")),""null"",A3"&amp;"665)"),"2760@yahoo.es")</f>
        <v>2760@yahoo.es</v>
      </c>
      <c r="C3665" s="5">
        <f>IF(B3665="null","null",Descargas!B3665)</f>
        <v>43877</v>
      </c>
      <c r="D3665" s="6" t="str">
        <f>Descargas!E3665</f>
        <v>https://resources.simonelectric.com/simon-ebook-vehiculo-electrico-tw</v>
      </c>
      <c r="E3665" s="20" t="str">
        <f t="shared" si="1"/>
        <v>2760@yahoo.es</v>
      </c>
      <c r="F3665" s="21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</row>
    <row r="3666" ht="15.75" customHeight="1">
      <c r="A3666" s="18" t="str">
        <f>Descargas!A3666</f>
        <v>2511@gmail.com</v>
      </c>
      <c r="B3666" s="19" t="str">
        <f>IFERROR(__xludf.DUMMYFUNCTION("IF(OR(regexmatch(A3666,"".*@simon.es$""),REGEXMATCH(A3666,"".*@simon.pt$""),REGEXMATCH(A3666,"".*@simonelectrica.com$""),REGEXMATCH(A3666,"".*@hiberus.com$""),REGEXMATCH(A3666,"".*@simonbrico.es$""),regexmatch(A3666,"".*@simonelectric.com$"")),""null"",A3"&amp;"666)"),"2511@gmail.com")</f>
        <v>2511@gmail.com</v>
      </c>
      <c r="C3666" s="5">
        <f>IF(B3666="null","null",Descargas!B3666)</f>
        <v>43877</v>
      </c>
      <c r="D3666" s="6" t="str">
        <f>Descargas!E3666</f>
        <v>https://resources.simonelectric.com/simon-catalogo-vehiculo-electrico</v>
      </c>
      <c r="E3666" s="20" t="str">
        <f t="shared" si="1"/>
        <v>2511@gmail.com</v>
      </c>
      <c r="F3666" s="21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</row>
    <row r="3667" ht="15.75" customHeight="1">
      <c r="A3667" s="18" t="str">
        <f>Descargas!A3667</f>
        <v>2511@gmail.com</v>
      </c>
      <c r="B3667" s="19" t="str">
        <f>IFERROR(__xludf.DUMMYFUNCTION("IF(OR(regexmatch(A3667,"".*@simon.es$""),REGEXMATCH(A3667,"".*@simon.pt$""),REGEXMATCH(A3667,"".*@simonelectrica.com$""),REGEXMATCH(A3667,"".*@hiberus.com$""),REGEXMATCH(A3667,"".*@simonbrico.es$""),regexmatch(A3667,"".*@simonelectric.com$"")),""null"",A3"&amp;"667)"),"2511@gmail.com")</f>
        <v>2511@gmail.com</v>
      </c>
      <c r="C3667" s="5">
        <f>IF(B3667="null","null",Descargas!B3667)</f>
        <v>43877</v>
      </c>
      <c r="D3667" s="6" t="str">
        <f>Descargas!E3667</f>
        <v>https://resources.simonelectric.com/simon-ebook-vehiculo-electrico</v>
      </c>
      <c r="E3667" s="20" t="str">
        <f t="shared" si="1"/>
        <v>2511@gmail.com</v>
      </c>
      <c r="F3667" s="21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</row>
    <row r="3668" ht="15.75" customHeight="1">
      <c r="A3668" s="18" t="str">
        <f>Descargas!A3668</f>
        <v>2761@stratum22.com</v>
      </c>
      <c r="B3668" s="19" t="str">
        <f>IFERROR(__xludf.DUMMYFUNCTION("IF(OR(regexmatch(A3668,"".*@simon.es$""),REGEXMATCH(A3668,"".*@simon.pt$""),REGEXMATCH(A3668,"".*@simonelectrica.com$""),REGEXMATCH(A3668,"".*@hiberus.com$""),REGEXMATCH(A3668,"".*@simonbrico.es$""),regexmatch(A3668,"".*@simonelectric.com$"")),""null"",A3"&amp;"668)"),"2761@stratum22.com")</f>
        <v>2761@stratum22.com</v>
      </c>
      <c r="C3668" s="5">
        <f>IF(B3668="null","null",Descargas!B3668)</f>
        <v>43877</v>
      </c>
      <c r="D3668" s="6" t="str">
        <f>Descargas!E3668</f>
        <v>https://resources.simonelectric.com/simon-ebook-vehiculo-electrico</v>
      </c>
      <c r="E3668" s="20" t="str">
        <f t="shared" si="1"/>
        <v>2761@stratum22.com</v>
      </c>
      <c r="F3668" s="21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</row>
    <row r="3669" ht="15.75" customHeight="1">
      <c r="A3669" s="18" t="str">
        <f>Descargas!A3669</f>
        <v>2761@stratum22.com</v>
      </c>
      <c r="B3669" s="19" t="str">
        <f>IFERROR(__xludf.DUMMYFUNCTION("IF(OR(regexmatch(A3669,"".*@simon.es$""),REGEXMATCH(A3669,"".*@simon.pt$""),REGEXMATCH(A3669,"".*@simonelectrica.com$""),REGEXMATCH(A3669,"".*@hiberus.com$""),REGEXMATCH(A3669,"".*@simonbrico.es$""),regexmatch(A3669,"".*@simonelectric.com$"")),""null"",A3"&amp;"669)"),"2761@stratum22.com")</f>
        <v>2761@stratum22.com</v>
      </c>
      <c r="C3669" s="5">
        <f>IF(B3669="null","null",Descargas!B3669)</f>
        <v>43877</v>
      </c>
      <c r="D3669" s="6" t="str">
        <f>Descargas!E3669</f>
        <v>https://resources.simonelectric.com/simon-catalogo-vehiculo-electrico</v>
      </c>
      <c r="E3669" s="20" t="str">
        <f t="shared" si="1"/>
        <v>2761@stratum22.com</v>
      </c>
      <c r="F3669" s="21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</row>
    <row r="3670" ht="15.75" customHeight="1">
      <c r="A3670" s="18" t="str">
        <f>Descargas!A3670</f>
        <v>2762@gmail.com</v>
      </c>
      <c r="B3670" s="19" t="str">
        <f>IFERROR(__xludf.DUMMYFUNCTION("IF(OR(regexmatch(A3670,"".*@simon.es$""),REGEXMATCH(A3670,"".*@simon.pt$""),REGEXMATCH(A3670,"".*@simonelectrica.com$""),REGEXMATCH(A3670,"".*@hiberus.com$""),REGEXMATCH(A3670,"".*@simonbrico.es$""),regexmatch(A3670,"".*@simonelectric.com$"")),""null"",A3"&amp;"670)"),"2762@gmail.com")</f>
        <v>2762@gmail.com</v>
      </c>
      <c r="C3670" s="5">
        <f>IF(B3670="null","null",Descargas!B3670)</f>
        <v>43877</v>
      </c>
      <c r="D3670" s="6" t="str">
        <f>Descargas!E3670</f>
        <v>https://resources.simonelectric.com/simon-ebook-vehiculo-electrico</v>
      </c>
      <c r="E3670" s="20" t="str">
        <f t="shared" si="1"/>
        <v>2762@gmail.com</v>
      </c>
      <c r="F3670" s="21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</row>
    <row r="3671" ht="15.75" customHeight="1">
      <c r="A3671" s="18" t="str">
        <f>Descargas!A3671</f>
        <v>2763@gmail.com</v>
      </c>
      <c r="B3671" s="19" t="str">
        <f>IFERROR(__xludf.DUMMYFUNCTION("IF(OR(regexmatch(A3671,"".*@simon.es$""),REGEXMATCH(A3671,"".*@simon.pt$""),REGEXMATCH(A3671,"".*@simonelectrica.com$""),REGEXMATCH(A3671,"".*@hiberus.com$""),REGEXMATCH(A3671,"".*@simonbrico.es$""),regexmatch(A3671,"".*@simonelectric.com$"")),""null"",A3"&amp;"671)"),"2763@gmail.com")</f>
        <v>2763@gmail.com</v>
      </c>
      <c r="C3671" s="5">
        <f>IF(B3671="null","null",Descargas!B3671)</f>
        <v>43877</v>
      </c>
      <c r="D3671" s="6" t="str">
        <f>Descargas!E3671</f>
        <v>https://resources.simonelectric.com/simon-ebook-vehiculo-electrico-tw</v>
      </c>
      <c r="E3671" s="20" t="str">
        <f t="shared" si="1"/>
        <v>2763@gmail.com</v>
      </c>
      <c r="F3671" s="21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</row>
    <row r="3672" ht="15.75" customHeight="1">
      <c r="A3672" s="18" t="str">
        <f>Descargas!A3672</f>
        <v>2764@gmail.com</v>
      </c>
      <c r="B3672" s="19" t="str">
        <f>IFERROR(__xludf.DUMMYFUNCTION("IF(OR(regexmatch(A3672,"".*@simon.es$""),REGEXMATCH(A3672,"".*@simon.pt$""),REGEXMATCH(A3672,"".*@simonelectrica.com$""),REGEXMATCH(A3672,"".*@hiberus.com$""),REGEXMATCH(A3672,"".*@simonbrico.es$""),regexmatch(A3672,"".*@simonelectric.com$"")),""null"",A3"&amp;"672)"),"2764@gmail.com")</f>
        <v>2764@gmail.com</v>
      </c>
      <c r="C3672" s="5">
        <f>IF(B3672="null","null",Descargas!B3672)</f>
        <v>43877</v>
      </c>
      <c r="D3672" s="6" t="str">
        <f>Descargas!E3672</f>
        <v>https://resources.simonelectric.com/simon-ebook-vehiculo-electrico</v>
      </c>
      <c r="E3672" s="20" t="str">
        <f t="shared" si="1"/>
        <v>2764@gmail.com</v>
      </c>
      <c r="F3672" s="21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</row>
    <row r="3673" ht="15.75" customHeight="1">
      <c r="A3673" s="18" t="str">
        <f>Descargas!A3673</f>
        <v>2765@gmail.com</v>
      </c>
      <c r="B3673" s="19" t="str">
        <f>IFERROR(__xludf.DUMMYFUNCTION("IF(OR(regexmatch(A3673,"".*@simon.es$""),REGEXMATCH(A3673,"".*@simon.pt$""),REGEXMATCH(A3673,"".*@simonelectrica.com$""),REGEXMATCH(A3673,"".*@hiberus.com$""),REGEXMATCH(A3673,"".*@simonbrico.es$""),regexmatch(A3673,"".*@simonelectric.com$"")),""null"",A3"&amp;"673)"),"2765@gmail.com")</f>
        <v>2765@gmail.com</v>
      </c>
      <c r="C3673" s="5">
        <f>IF(B3673="null","null",Descargas!B3673)</f>
        <v>43877</v>
      </c>
      <c r="D3673" s="6" t="str">
        <f>Descargas!E3673</f>
        <v>https://resources.simonelectric.com/simon-catalogo-vehiculo-electrico</v>
      </c>
      <c r="E3673" s="20" t="str">
        <f t="shared" si="1"/>
        <v>2765@gmail.com</v>
      </c>
      <c r="F3673" s="21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</row>
    <row r="3674" ht="15.75" customHeight="1">
      <c r="A3674" s="18" t="str">
        <f>Descargas!A3674</f>
        <v>2765@gmail.com</v>
      </c>
      <c r="B3674" s="19" t="str">
        <f>IFERROR(__xludf.DUMMYFUNCTION("IF(OR(regexmatch(A3674,"".*@simon.es$""),REGEXMATCH(A3674,"".*@simon.pt$""),REGEXMATCH(A3674,"".*@simonelectrica.com$""),REGEXMATCH(A3674,"".*@hiberus.com$""),REGEXMATCH(A3674,"".*@simonbrico.es$""),regexmatch(A3674,"".*@simonelectric.com$"")),""null"",A3"&amp;"674)"),"2765@gmail.com")</f>
        <v>2765@gmail.com</v>
      </c>
      <c r="C3674" s="5">
        <f>IF(B3674="null","null",Descargas!B3674)</f>
        <v>43877</v>
      </c>
      <c r="D3674" s="6" t="str">
        <f>Descargas!E3674</f>
        <v>https://resources.simonelectric.com/simon-catalogo-vehiculo-electrico</v>
      </c>
      <c r="E3674" s="20" t="str">
        <f t="shared" si="1"/>
        <v>2765@gmail.com</v>
      </c>
      <c r="F3674" s="21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</row>
    <row r="3675" ht="15.75" customHeight="1">
      <c r="A3675" s="18" t="str">
        <f>Descargas!A3675</f>
        <v>2766@telefonica.net</v>
      </c>
      <c r="B3675" s="19" t="str">
        <f>IFERROR(__xludf.DUMMYFUNCTION("IF(OR(regexmatch(A3675,"".*@simon.es$""),REGEXMATCH(A3675,"".*@simon.pt$""),REGEXMATCH(A3675,"".*@simonelectrica.com$""),REGEXMATCH(A3675,"".*@hiberus.com$""),REGEXMATCH(A3675,"".*@simonbrico.es$""),regexmatch(A3675,"".*@simonelectric.com$"")),""null"",A3"&amp;"675)"),"2766@telefonica.net")</f>
        <v>2766@telefonica.net</v>
      </c>
      <c r="C3675" s="5">
        <f>IF(B3675="null","null",Descargas!B3675)</f>
        <v>43876</v>
      </c>
      <c r="D3675" s="6" t="str">
        <f>Descargas!E3675</f>
        <v>https://resources.simonelectric.com/simon-ebook-vehiculo-electrico-tw</v>
      </c>
      <c r="E3675" s="20" t="str">
        <f t="shared" si="1"/>
        <v>2766@telefonica.net</v>
      </c>
      <c r="F3675" s="21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</row>
    <row r="3676" ht="15.75" customHeight="1">
      <c r="A3676" s="18" t="str">
        <f>Descargas!A3676</f>
        <v>2767@gmail.com</v>
      </c>
      <c r="B3676" s="19" t="str">
        <f>IFERROR(__xludf.DUMMYFUNCTION("IF(OR(regexmatch(A3676,"".*@simon.es$""),REGEXMATCH(A3676,"".*@simon.pt$""),REGEXMATCH(A3676,"".*@simonelectrica.com$""),REGEXMATCH(A3676,"".*@hiberus.com$""),REGEXMATCH(A3676,"".*@simonbrico.es$""),regexmatch(A3676,"".*@simonelectric.com$"")),""null"",A3"&amp;"676)"),"2767@gmail.com")</f>
        <v>2767@gmail.com</v>
      </c>
      <c r="C3676" s="5">
        <f>IF(B3676="null","null",Descargas!B3676)</f>
        <v>43876</v>
      </c>
      <c r="D3676" s="6" t="str">
        <f>Descargas!E3676</f>
        <v>https://resources.simonelectric.com/simon-catalogo-vehiculo-electrico</v>
      </c>
      <c r="E3676" s="20" t="str">
        <f t="shared" si="1"/>
        <v>2767@gmail.com</v>
      </c>
      <c r="F3676" s="21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</row>
    <row r="3677" ht="15.75" customHeight="1">
      <c r="A3677" s="18" t="str">
        <f>Descargas!A3677</f>
        <v>2767@gmail.com</v>
      </c>
      <c r="B3677" s="19" t="str">
        <f>IFERROR(__xludf.DUMMYFUNCTION("IF(OR(regexmatch(A3677,"".*@simon.es$""),REGEXMATCH(A3677,"".*@simon.pt$""),REGEXMATCH(A3677,"".*@simonelectrica.com$""),REGEXMATCH(A3677,"".*@hiberus.com$""),REGEXMATCH(A3677,"".*@simonbrico.es$""),regexmatch(A3677,"".*@simonelectric.com$"")),""null"",A3"&amp;"677)"),"2767@gmail.com")</f>
        <v>2767@gmail.com</v>
      </c>
      <c r="C3677" s="5">
        <f>IF(B3677="null","null",Descargas!B3677)</f>
        <v>43876</v>
      </c>
      <c r="D3677" s="6" t="str">
        <f>Descargas!E3677</f>
        <v>https://resources.simonelectric.com/simon-ebook-vehiculo-electrico</v>
      </c>
      <c r="E3677" s="20" t="str">
        <f t="shared" si="1"/>
        <v>2767@gmail.com</v>
      </c>
      <c r="F3677" s="21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</row>
    <row r="3678" ht="15.75" customHeight="1">
      <c r="A3678" s="18" t="str">
        <f>Descargas!A3678</f>
        <v>2768@gmail.com</v>
      </c>
      <c r="B3678" s="19" t="str">
        <f>IFERROR(__xludf.DUMMYFUNCTION("IF(OR(regexmatch(A3678,"".*@simon.es$""),REGEXMATCH(A3678,"".*@simon.pt$""),REGEXMATCH(A3678,"".*@simonelectrica.com$""),REGEXMATCH(A3678,"".*@hiberus.com$""),REGEXMATCH(A3678,"".*@simonbrico.es$""),regexmatch(A3678,"".*@simonelectric.com$"")),""null"",A3"&amp;"678)"),"2768@gmail.com")</f>
        <v>2768@gmail.com</v>
      </c>
      <c r="C3678" s="5">
        <f>IF(B3678="null","null",Descargas!B3678)</f>
        <v>43876</v>
      </c>
      <c r="D3678" s="6" t="str">
        <f>Descargas!E3678</f>
        <v>https://resources.simonelectric.com/simon-ebook-vehiculo-electrico-tw</v>
      </c>
      <c r="E3678" s="20" t="str">
        <f t="shared" si="1"/>
        <v>2768@gmail.com</v>
      </c>
      <c r="F3678" s="21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</row>
    <row r="3679" ht="15.75" customHeight="1">
      <c r="A3679" s="18" t="str">
        <f>Descargas!A3679</f>
        <v>2769@gmail.com</v>
      </c>
      <c r="B3679" s="19" t="str">
        <f>IFERROR(__xludf.DUMMYFUNCTION("IF(OR(regexmatch(A3679,"".*@simon.es$""),REGEXMATCH(A3679,"".*@simon.pt$""),REGEXMATCH(A3679,"".*@simonelectrica.com$""),REGEXMATCH(A3679,"".*@hiberus.com$""),REGEXMATCH(A3679,"".*@simonbrico.es$""),regexmatch(A3679,"".*@simonelectric.com$"")),""null"",A3"&amp;"679)"),"2769@gmail.com")</f>
        <v>2769@gmail.com</v>
      </c>
      <c r="C3679" s="5">
        <f>IF(B3679="null","null",Descargas!B3679)</f>
        <v>43876</v>
      </c>
      <c r="D3679" s="6" t="str">
        <f>Descargas!E3679</f>
        <v>https://resources.simonelectric.com/simon-ebook-vehiculo-electrico-tw</v>
      </c>
      <c r="E3679" s="20" t="str">
        <f t="shared" si="1"/>
        <v>2769@gmail.com</v>
      </c>
      <c r="F3679" s="21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</row>
    <row r="3680" ht="15.75" customHeight="1">
      <c r="A3680" s="18" t="str">
        <f>Descargas!A3680</f>
        <v>2770@gmail.com</v>
      </c>
      <c r="B3680" s="19" t="str">
        <f>IFERROR(__xludf.DUMMYFUNCTION("IF(OR(regexmatch(A3680,"".*@simon.es$""),REGEXMATCH(A3680,"".*@simon.pt$""),REGEXMATCH(A3680,"".*@simonelectrica.com$""),REGEXMATCH(A3680,"".*@hiberus.com$""),REGEXMATCH(A3680,"".*@simonbrico.es$""),regexmatch(A3680,"".*@simonelectric.com$"")),""null"",A3"&amp;"680)"),"2770@gmail.com")</f>
        <v>2770@gmail.com</v>
      </c>
      <c r="C3680" s="5">
        <f>IF(B3680="null","null",Descargas!B3680)</f>
        <v>43875</v>
      </c>
      <c r="D3680" s="6" t="str">
        <f>Descargas!E3680</f>
        <v>https://resources.simonelectric.com/simon-ebook-vehiculo-electrico-tw</v>
      </c>
      <c r="E3680" s="20" t="str">
        <f t="shared" si="1"/>
        <v>2770@gmail.com</v>
      </c>
      <c r="F3680" s="21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</row>
    <row r="3681" ht="15.75" customHeight="1">
      <c r="A3681" s="18" t="str">
        <f>Descargas!A3681</f>
        <v>2771@gmail.com</v>
      </c>
      <c r="B3681" s="19" t="str">
        <f>IFERROR(__xludf.DUMMYFUNCTION("IF(OR(regexmatch(A3681,"".*@simon.es$""),REGEXMATCH(A3681,"".*@simon.pt$""),REGEXMATCH(A3681,"".*@simonelectrica.com$""),REGEXMATCH(A3681,"".*@hiberus.com$""),REGEXMATCH(A3681,"".*@simonbrico.es$""),regexmatch(A3681,"".*@simonelectric.com$"")),""null"",A3"&amp;"681)"),"2771@gmail.com")</f>
        <v>2771@gmail.com</v>
      </c>
      <c r="C3681" s="5">
        <f>IF(B3681="null","null",Descargas!B3681)</f>
        <v>43875</v>
      </c>
      <c r="D3681" s="6" t="str">
        <f>Descargas!E3681</f>
        <v>https://resources.simonelectric.com/simon-ebook-vehiculo-electrico-tw</v>
      </c>
      <c r="E3681" s="20" t="str">
        <f t="shared" si="1"/>
        <v>2771@gmail.com</v>
      </c>
      <c r="F3681" s="21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</row>
    <row r="3682" ht="15.75" customHeight="1">
      <c r="A3682" s="18" t="str">
        <f>Descargas!A3682</f>
        <v>2772@saltoki.es</v>
      </c>
      <c r="B3682" s="19" t="str">
        <f>IFERROR(__xludf.DUMMYFUNCTION("IF(OR(regexmatch(A3682,"".*@simon.es$""),REGEXMATCH(A3682,"".*@simon.pt$""),REGEXMATCH(A3682,"".*@simonelectrica.com$""),REGEXMATCH(A3682,"".*@hiberus.com$""),REGEXMATCH(A3682,"".*@simonbrico.es$""),regexmatch(A3682,"".*@simonelectric.com$"")),""null"",A3"&amp;"682)"),"2772@saltoki.es")</f>
        <v>2772@saltoki.es</v>
      </c>
      <c r="C3682" s="5">
        <f>IF(B3682="null","null",Descargas!B3682)</f>
        <v>43875</v>
      </c>
      <c r="D3682" s="6" t="str">
        <f>Descargas!E3682</f>
        <v>https://resources.simonelectric.com/simon-catalogo-vehiculo-electrico</v>
      </c>
      <c r="E3682" s="20" t="str">
        <f t="shared" si="1"/>
        <v>2772@saltoki.es</v>
      </c>
      <c r="F3682" s="21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</row>
    <row r="3683" ht="15.75" customHeight="1">
      <c r="A3683" s="18" t="str">
        <f>Descargas!A3683</f>
        <v>2773@energiaactiva.es</v>
      </c>
      <c r="B3683" s="19" t="str">
        <f>IFERROR(__xludf.DUMMYFUNCTION("IF(OR(regexmatch(A3683,"".*@simon.es$""),REGEXMATCH(A3683,"".*@simon.pt$""),REGEXMATCH(A3683,"".*@simonelectrica.com$""),REGEXMATCH(A3683,"".*@hiberus.com$""),REGEXMATCH(A3683,"".*@simonbrico.es$""),regexmatch(A3683,"".*@simonelectric.com$"")),""null"",A3"&amp;"683)"),"2773@energiaactiva.es")</f>
        <v>2773@energiaactiva.es</v>
      </c>
      <c r="C3683" s="5">
        <f>IF(B3683="null","null",Descargas!B3683)</f>
        <v>43875</v>
      </c>
      <c r="D3683" s="6" t="str">
        <f>Descargas!E3683</f>
        <v>https://resources.simonelectric.com/simon-ebook-vehiculo-electrico</v>
      </c>
      <c r="E3683" s="20" t="str">
        <f t="shared" si="1"/>
        <v>2773@energiaactiva.es</v>
      </c>
      <c r="F3683" s="21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</row>
    <row r="3684" ht="15.75" customHeight="1">
      <c r="A3684" s="18" t="str">
        <f>Descargas!A3684</f>
        <v>2774@trensfm.com</v>
      </c>
      <c r="B3684" s="19" t="str">
        <f>IFERROR(__xludf.DUMMYFUNCTION("IF(OR(regexmatch(A3684,"".*@simon.es$""),REGEXMATCH(A3684,"".*@simon.pt$""),REGEXMATCH(A3684,"".*@simonelectrica.com$""),REGEXMATCH(A3684,"".*@hiberus.com$""),REGEXMATCH(A3684,"".*@simonbrico.es$""),regexmatch(A3684,"".*@simonelectric.com$"")),""null"",A3"&amp;"684)"),"2774@trensfm.com")</f>
        <v>2774@trensfm.com</v>
      </c>
      <c r="C3684" s="5">
        <f>IF(B3684="null","null",Descargas!B3684)</f>
        <v>43875</v>
      </c>
      <c r="D3684" s="6" t="str">
        <f>Descargas!E3684</f>
        <v>https://resources.simonelectric.com/simon-material-formativo-vehiculo-electrico</v>
      </c>
      <c r="E3684" s="20" t="str">
        <f t="shared" si="1"/>
        <v>2774@trensfm.com</v>
      </c>
      <c r="F3684" s="21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</row>
    <row r="3685" ht="15.75" customHeight="1">
      <c r="A3685" s="18" t="str">
        <f>Descargas!A3685</f>
        <v>2775@gmail.com</v>
      </c>
      <c r="B3685" s="19" t="str">
        <f>IFERROR(__xludf.DUMMYFUNCTION("IF(OR(regexmatch(A3685,"".*@simon.es$""),REGEXMATCH(A3685,"".*@simon.pt$""),REGEXMATCH(A3685,"".*@simonelectrica.com$""),REGEXMATCH(A3685,"".*@hiberus.com$""),REGEXMATCH(A3685,"".*@simonbrico.es$""),regexmatch(A3685,"".*@simonelectric.com$"")),""null"",A3"&amp;"685)"),"2775@gmail.com")</f>
        <v>2775@gmail.com</v>
      </c>
      <c r="C3685" s="5">
        <f>IF(B3685="null","null",Descargas!B3685)</f>
        <v>43875</v>
      </c>
      <c r="D3685" s="6" t="str">
        <f>Descargas!E3685</f>
        <v>https://resources.simonelectric.com/simon-ebook-vehiculo-electrico-tw</v>
      </c>
      <c r="E3685" s="20" t="str">
        <f t="shared" si="1"/>
        <v>2775@gmail.com</v>
      </c>
      <c r="F3685" s="21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</row>
    <row r="3686" ht="15.75" customHeight="1">
      <c r="A3686" s="18" t="str">
        <f>Descargas!A3686</f>
        <v>2776@pgiengineering.com</v>
      </c>
      <c r="B3686" s="19" t="str">
        <f>IFERROR(__xludf.DUMMYFUNCTION("IF(OR(regexmatch(A3686,"".*@simon.es$""),REGEXMATCH(A3686,"".*@simon.pt$""),REGEXMATCH(A3686,"".*@simonelectrica.com$""),REGEXMATCH(A3686,"".*@hiberus.com$""),REGEXMATCH(A3686,"".*@simonbrico.es$""),regexmatch(A3686,"".*@simonelectric.com$"")),""null"",A3"&amp;"686)"),"2776@pgiengineering.com")</f>
        <v>2776@pgiengineering.com</v>
      </c>
      <c r="C3686" s="5">
        <f>IF(B3686="null","null",Descargas!B3686)</f>
        <v>43875</v>
      </c>
      <c r="D3686" s="6" t="str">
        <f>Descargas!E3686</f>
        <v>https://resources.simonelectric.com/simon-catalogo-vehiculo-electrico</v>
      </c>
      <c r="E3686" s="20" t="str">
        <f t="shared" si="1"/>
        <v>2776@pgiengineering.com</v>
      </c>
      <c r="F3686" s="21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</row>
    <row r="3687" ht="15.75" customHeight="1">
      <c r="A3687" s="18" t="str">
        <f>Descargas!A3687</f>
        <v>2777@huelva.es</v>
      </c>
      <c r="B3687" s="19" t="str">
        <f>IFERROR(__xludf.DUMMYFUNCTION("IF(OR(regexmatch(A3687,"".*@simon.es$""),REGEXMATCH(A3687,"".*@simon.pt$""),REGEXMATCH(A3687,"".*@simonelectrica.com$""),REGEXMATCH(A3687,"".*@hiberus.com$""),REGEXMATCH(A3687,"".*@simonbrico.es$""),regexmatch(A3687,"".*@simonelectric.com$"")),""null"",A3"&amp;"687)"),"2777@huelva.es")</f>
        <v>2777@huelva.es</v>
      </c>
      <c r="C3687" s="5">
        <f>IF(B3687="null","null",Descargas!B3687)</f>
        <v>43875</v>
      </c>
      <c r="D3687" s="6" t="str">
        <f>Descargas!E3687</f>
        <v>https://resources.simonelectric.com/simon-ebook-vehiculo-electrico</v>
      </c>
      <c r="E3687" s="20" t="str">
        <f t="shared" si="1"/>
        <v>2777@huelva.es</v>
      </c>
      <c r="F3687" s="21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</row>
    <row r="3688" ht="15.75" customHeight="1">
      <c r="A3688" s="18" t="str">
        <f>Descargas!A3688</f>
        <v>2778@empretelco.es</v>
      </c>
      <c r="B3688" s="19" t="str">
        <f>IFERROR(__xludf.DUMMYFUNCTION("IF(OR(regexmatch(A3688,"".*@simon.es$""),REGEXMATCH(A3688,"".*@simon.pt$""),REGEXMATCH(A3688,"".*@simonelectrica.com$""),REGEXMATCH(A3688,"".*@hiberus.com$""),REGEXMATCH(A3688,"".*@simonbrico.es$""),regexmatch(A3688,"".*@simonelectric.com$"")),""null"",A3"&amp;"688)"),"2778@empretelco.es")</f>
        <v>2778@empretelco.es</v>
      </c>
      <c r="C3688" s="5">
        <f>IF(B3688="null","null",Descargas!B3688)</f>
        <v>43875</v>
      </c>
      <c r="D3688" s="6" t="str">
        <f>Descargas!E3688</f>
        <v>https://resources.simonelectric.com/simon-catalogo-vehiculo-electrico</v>
      </c>
      <c r="E3688" s="20" t="str">
        <f t="shared" si="1"/>
        <v>2778@empretelco.es</v>
      </c>
      <c r="F3688" s="21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</row>
    <row r="3689" ht="15.75" customHeight="1">
      <c r="A3689" s="18" t="str">
        <f>Descargas!A3689</f>
        <v>2779@gmail.com</v>
      </c>
      <c r="B3689" s="19" t="str">
        <f>IFERROR(__xludf.DUMMYFUNCTION("IF(OR(regexmatch(A3689,"".*@simon.es$""),REGEXMATCH(A3689,"".*@simon.pt$""),REGEXMATCH(A3689,"".*@simonelectrica.com$""),REGEXMATCH(A3689,"".*@hiberus.com$""),REGEXMATCH(A3689,"".*@simonbrico.es$""),regexmatch(A3689,"".*@simonelectric.com$"")),""null"",A3"&amp;"689)"),"2779@gmail.com")</f>
        <v>2779@gmail.com</v>
      </c>
      <c r="C3689" s="5">
        <f>IF(B3689="null","null",Descargas!B3689)</f>
        <v>43875</v>
      </c>
      <c r="D3689" s="6" t="str">
        <f>Descargas!E3689</f>
        <v>https://resources.simonelectric.com/simon-catalogo-vehiculo-electrico</v>
      </c>
      <c r="E3689" s="20" t="str">
        <f t="shared" si="1"/>
        <v>2779@gmail.com</v>
      </c>
      <c r="F3689" s="21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</row>
    <row r="3690" ht="15.75" customHeight="1">
      <c r="A3690" s="18" t="str">
        <f>Descargas!A3690</f>
        <v>2780@abcgrup.com</v>
      </c>
      <c r="B3690" s="19" t="str">
        <f>IFERROR(__xludf.DUMMYFUNCTION("IF(OR(regexmatch(A3690,"".*@simon.es$""),REGEXMATCH(A3690,"".*@simon.pt$""),REGEXMATCH(A3690,"".*@simonelectrica.com$""),REGEXMATCH(A3690,"".*@hiberus.com$""),REGEXMATCH(A3690,"".*@simonbrico.es$""),regexmatch(A3690,"".*@simonelectric.com$"")),""null"",A3"&amp;"690)"),"2780@abcgrup.com")</f>
        <v>2780@abcgrup.com</v>
      </c>
      <c r="C3690" s="5">
        <f>IF(B3690="null","null",Descargas!B3690)</f>
        <v>43875</v>
      </c>
      <c r="D3690" s="6" t="str">
        <f>Descargas!E3690</f>
        <v>https://resources.simonelectric.com/simon-ebook-vehiculo-electrico</v>
      </c>
      <c r="E3690" s="20" t="str">
        <f t="shared" si="1"/>
        <v>2780@abcgrup.com</v>
      </c>
      <c r="F3690" s="21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</row>
    <row r="3691" ht="15.75" customHeight="1">
      <c r="A3691" s="18" t="str">
        <f>Descargas!A3691</f>
        <v>2781@ahabana.co.cu</v>
      </c>
      <c r="B3691" s="19" t="str">
        <f>IFERROR(__xludf.DUMMYFUNCTION("IF(OR(regexmatch(A3691,"".*@simon.es$""),REGEXMATCH(A3691,"".*@simon.pt$""),REGEXMATCH(A3691,"".*@simonelectrica.com$""),REGEXMATCH(A3691,"".*@hiberus.com$""),REGEXMATCH(A3691,"".*@simonbrico.es$""),regexmatch(A3691,"".*@simonelectric.com$"")),""null"",A3"&amp;"691)"),"2781@ahabana.co.cu")</f>
        <v>2781@ahabana.co.cu</v>
      </c>
      <c r="C3691" s="5">
        <f>IF(B3691="null","null",Descargas!B3691)</f>
        <v>43874</v>
      </c>
      <c r="D3691" s="6" t="str">
        <f>Descargas!E3691</f>
        <v>https://resources.simonelectric.com/simon-ebook-vehiculo-electrico</v>
      </c>
      <c r="E3691" s="20" t="str">
        <f t="shared" si="1"/>
        <v>2781@ahabana.co.cu</v>
      </c>
      <c r="F3691" s="21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</row>
    <row r="3692" ht="15.75" customHeight="1">
      <c r="A3692" s="18" t="str">
        <f>Descargas!A3692</f>
        <v>2765@gmail.com</v>
      </c>
      <c r="B3692" s="19" t="str">
        <f>IFERROR(__xludf.DUMMYFUNCTION("IF(OR(regexmatch(A3692,"".*@simon.es$""),REGEXMATCH(A3692,"".*@simon.pt$""),REGEXMATCH(A3692,"".*@simonelectrica.com$""),REGEXMATCH(A3692,"".*@hiberus.com$""),REGEXMATCH(A3692,"".*@simonbrico.es$""),regexmatch(A3692,"".*@simonelectric.com$"")),""null"",A3"&amp;"692)"),"2765@gmail.com")</f>
        <v>2765@gmail.com</v>
      </c>
      <c r="C3692" s="5">
        <f>IF(B3692="null","null",Descargas!B3692)</f>
        <v>43874</v>
      </c>
      <c r="D3692" s="6" t="str">
        <f>Descargas!E3692</f>
        <v>https://resources.simonelectric.com/simon-ebook-vehiculo-electrico</v>
      </c>
      <c r="E3692" s="20" t="str">
        <f t="shared" si="1"/>
        <v>2765@gmail.com</v>
      </c>
      <c r="F3692" s="21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</row>
    <row r="3693" ht="15.75" customHeight="1">
      <c r="A3693" s="18" t="str">
        <f>Descargas!A3693</f>
        <v>2765@gmail.com</v>
      </c>
      <c r="B3693" s="19" t="str">
        <f>IFERROR(__xludf.DUMMYFUNCTION("IF(OR(regexmatch(A3693,"".*@simon.es$""),REGEXMATCH(A3693,"".*@simon.pt$""),REGEXMATCH(A3693,"".*@simonelectrica.com$""),REGEXMATCH(A3693,"".*@hiberus.com$""),REGEXMATCH(A3693,"".*@simonbrico.es$""),regexmatch(A3693,"".*@simonelectric.com$"")),""null"",A3"&amp;"693)"),"2765@gmail.com")</f>
        <v>2765@gmail.com</v>
      </c>
      <c r="C3693" s="5">
        <f>IF(B3693="null","null",Descargas!B3693)</f>
        <v>43874</v>
      </c>
      <c r="D3693" s="6" t="str">
        <f>Descargas!E3693</f>
        <v>https://resources.simonelectric.com/simon-ebook-vehiculo-electrico</v>
      </c>
      <c r="E3693" s="20" t="str">
        <f t="shared" si="1"/>
        <v>2765@gmail.com</v>
      </c>
      <c r="F3693" s="21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</row>
    <row r="3694" ht="15.75" customHeight="1">
      <c r="A3694" s="18" t="str">
        <f>Descargas!A3694</f>
        <v>2782@gmail.com</v>
      </c>
      <c r="B3694" s="19" t="str">
        <f>IFERROR(__xludf.DUMMYFUNCTION("IF(OR(regexmatch(A3694,"".*@simon.es$""),REGEXMATCH(A3694,"".*@simon.pt$""),REGEXMATCH(A3694,"".*@simonelectrica.com$""),REGEXMATCH(A3694,"".*@hiberus.com$""),REGEXMATCH(A3694,"".*@simonbrico.es$""),regexmatch(A3694,"".*@simonelectric.com$"")),""null"",A3"&amp;"694)"),"2782@gmail.com")</f>
        <v>2782@gmail.com</v>
      </c>
      <c r="C3694" s="5">
        <f>IF(B3694="null","null",Descargas!B3694)</f>
        <v>43874</v>
      </c>
      <c r="D3694" s="6" t="str">
        <f>Descargas!E3694</f>
        <v>https://resources.simonelectric.com/simon-ebook-vehiculo-electrico-tw</v>
      </c>
      <c r="E3694" s="20" t="str">
        <f t="shared" si="1"/>
        <v>2782@gmail.com</v>
      </c>
      <c r="F3694" s="21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</row>
    <row r="3695" ht="15.75" customHeight="1">
      <c r="A3695" s="18" t="str">
        <f>Descargas!A3695</f>
        <v>2783@gmail.com</v>
      </c>
      <c r="B3695" s="19" t="str">
        <f>IFERROR(__xludf.DUMMYFUNCTION("IF(OR(regexmatch(A3695,"".*@simon.es$""),REGEXMATCH(A3695,"".*@simon.pt$""),REGEXMATCH(A3695,"".*@simonelectrica.com$""),REGEXMATCH(A3695,"".*@hiberus.com$""),REGEXMATCH(A3695,"".*@simonbrico.es$""),regexmatch(A3695,"".*@simonelectric.com$"")),""null"",A3"&amp;"695)"),"2783@gmail.com")</f>
        <v>2783@gmail.com</v>
      </c>
      <c r="C3695" s="5">
        <f>IF(B3695="null","null",Descargas!B3695)</f>
        <v>43874</v>
      </c>
      <c r="D3695" s="6" t="str">
        <f>Descargas!E3695</f>
        <v>https://resources.simonelectric.com/simon-ebook-vehiculo-electrico-tw</v>
      </c>
      <c r="E3695" s="20" t="str">
        <f t="shared" si="1"/>
        <v>2783@gmail.com</v>
      </c>
      <c r="F3695" s="21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</row>
    <row r="3696" ht="15.75" customHeight="1">
      <c r="A3696" s="18" t="str">
        <f>Descargas!A3696</f>
        <v>2784@coac.net</v>
      </c>
      <c r="B3696" s="19" t="str">
        <f>IFERROR(__xludf.DUMMYFUNCTION("IF(OR(regexmatch(A3696,"".*@simon.es$""),REGEXMATCH(A3696,"".*@simon.pt$""),REGEXMATCH(A3696,"".*@simonelectrica.com$""),REGEXMATCH(A3696,"".*@hiberus.com$""),REGEXMATCH(A3696,"".*@simonbrico.es$""),regexmatch(A3696,"".*@simonelectric.com$"")),""null"",A3"&amp;"696)"),"2784@coac.net")</f>
        <v>2784@coac.net</v>
      </c>
      <c r="C3696" s="5">
        <f>IF(B3696="null","null",Descargas!B3696)</f>
        <v>43874</v>
      </c>
      <c r="D3696" s="6" t="str">
        <f>Descargas!E3696</f>
        <v>https://resources.simonelectric.com/simon-ebook-vehiculo-electrico-tw</v>
      </c>
      <c r="E3696" s="20" t="str">
        <f t="shared" si="1"/>
        <v>2784@coac.net</v>
      </c>
      <c r="F3696" s="21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</row>
    <row r="3697" ht="15.75" customHeight="1">
      <c r="A3697" s="18" t="str">
        <f>Descargas!A3697</f>
        <v>2785@climarubi.com</v>
      </c>
      <c r="B3697" s="19" t="str">
        <f>IFERROR(__xludf.DUMMYFUNCTION("IF(OR(regexmatch(A3697,"".*@simon.es$""),REGEXMATCH(A3697,"".*@simon.pt$""),REGEXMATCH(A3697,"".*@simonelectrica.com$""),REGEXMATCH(A3697,"".*@hiberus.com$""),REGEXMATCH(A3697,"".*@simonbrico.es$""),regexmatch(A3697,"".*@simonelectric.com$"")),""null"",A3"&amp;"697)"),"2785@climarubi.com")</f>
        <v>2785@climarubi.com</v>
      </c>
      <c r="C3697" s="5">
        <f>IF(B3697="null","null",Descargas!B3697)</f>
        <v>43874</v>
      </c>
      <c r="D3697" s="6" t="str">
        <f>Descargas!E3697</f>
        <v>https://resources.simonelectric.com/simon-ebook-vehiculo-electrico</v>
      </c>
      <c r="E3697" s="20" t="str">
        <f t="shared" si="1"/>
        <v>2785@climarubi.com</v>
      </c>
      <c r="F3697" s="21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</row>
    <row r="3698" ht="15.75" customHeight="1">
      <c r="A3698" s="18" t="str">
        <f>Descargas!A3698</f>
        <v>2786@metromadrid.es</v>
      </c>
      <c r="B3698" s="19" t="str">
        <f>IFERROR(__xludf.DUMMYFUNCTION("IF(OR(regexmatch(A3698,"".*@simon.es$""),REGEXMATCH(A3698,"".*@simon.pt$""),REGEXMATCH(A3698,"".*@simonelectrica.com$""),REGEXMATCH(A3698,"".*@hiberus.com$""),REGEXMATCH(A3698,"".*@simonbrico.es$""),regexmatch(A3698,"".*@simonelectric.com$"")),""null"",A3"&amp;"698)"),"2786@metromadrid.es")</f>
        <v>2786@metromadrid.es</v>
      </c>
      <c r="C3698" s="5">
        <f>IF(B3698="null","null",Descargas!B3698)</f>
        <v>43874</v>
      </c>
      <c r="D3698" s="6" t="str">
        <f>Descargas!E3698</f>
        <v>https://resources.simonelectric.com/simon-ebook-vehiculo-electrico</v>
      </c>
      <c r="E3698" s="20" t="str">
        <f t="shared" si="1"/>
        <v>2786@metromadrid.es</v>
      </c>
      <c r="F3698" s="21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</row>
    <row r="3699" ht="15.75" customHeight="1">
      <c r="A3699" s="18" t="str">
        <f>Descargas!A3699</f>
        <v>2787@grupocematel.com</v>
      </c>
      <c r="B3699" s="19" t="str">
        <f>IFERROR(__xludf.DUMMYFUNCTION("IF(OR(regexmatch(A3699,"".*@simon.es$""),REGEXMATCH(A3699,"".*@simon.pt$""),REGEXMATCH(A3699,"".*@simonelectrica.com$""),REGEXMATCH(A3699,"".*@hiberus.com$""),REGEXMATCH(A3699,"".*@simonbrico.es$""),regexmatch(A3699,"".*@simonelectric.com$"")),""null"",A3"&amp;"699)"),"2787@grupocematel.com")</f>
        <v>2787@grupocematel.com</v>
      </c>
      <c r="C3699" s="5">
        <f>IF(B3699="null","null",Descargas!B3699)</f>
        <v>43874</v>
      </c>
      <c r="D3699" s="6" t="str">
        <f>Descargas!E3699</f>
        <v>https://resources.simonelectric.com/simon-ebook-vehiculo-electrico</v>
      </c>
      <c r="E3699" s="20" t="str">
        <f t="shared" si="1"/>
        <v>2787@grupocematel.com</v>
      </c>
      <c r="F3699" s="21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</row>
    <row r="3700" ht="15.75" customHeight="1">
      <c r="A3700" s="18" t="str">
        <f>Descargas!A3700</f>
        <v>2787@grupocematel.com</v>
      </c>
      <c r="B3700" s="19" t="str">
        <f>IFERROR(__xludf.DUMMYFUNCTION("IF(OR(regexmatch(A3700,"".*@simon.es$""),REGEXMATCH(A3700,"".*@simon.pt$""),REGEXMATCH(A3700,"".*@simonelectrica.com$""),REGEXMATCH(A3700,"".*@hiberus.com$""),REGEXMATCH(A3700,"".*@simonbrico.es$""),regexmatch(A3700,"".*@simonelectric.com$"")),""null"",A3"&amp;"700)"),"2787@grupocematel.com")</f>
        <v>2787@grupocematel.com</v>
      </c>
      <c r="C3700" s="5">
        <f>IF(B3700="null","null",Descargas!B3700)</f>
        <v>43874</v>
      </c>
      <c r="D3700" s="6" t="str">
        <f>Descargas!E3700</f>
        <v>https://resources.simonelectric.com/simon-ebook-vehiculo-electrico</v>
      </c>
      <c r="E3700" s="20" t="str">
        <f t="shared" si="1"/>
        <v>2787@grupocematel.com</v>
      </c>
      <c r="F3700" s="21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</row>
    <row r="3701" ht="15.75" customHeight="1">
      <c r="A3701" s="18" t="str">
        <f>Descargas!A3701</f>
        <v>2787@grupocematel.com</v>
      </c>
      <c r="B3701" s="19" t="str">
        <f>IFERROR(__xludf.DUMMYFUNCTION("IF(OR(regexmatch(A3701,"".*@simon.es$""),REGEXMATCH(A3701,"".*@simon.pt$""),REGEXMATCH(A3701,"".*@simonelectrica.com$""),REGEXMATCH(A3701,"".*@hiberus.com$""),REGEXMATCH(A3701,"".*@simonbrico.es$""),regexmatch(A3701,"".*@simonelectric.com$"")),""null"",A3"&amp;"701)"),"2787@grupocematel.com")</f>
        <v>2787@grupocematel.com</v>
      </c>
      <c r="C3701" s="5">
        <f>IF(B3701="null","null",Descargas!B3701)</f>
        <v>43874</v>
      </c>
      <c r="D3701" s="6" t="str">
        <f>Descargas!E3701</f>
        <v>https://resources.simonelectric.com/simon-ebook-vehiculo-electrico</v>
      </c>
      <c r="E3701" s="20" t="str">
        <f t="shared" si="1"/>
        <v>2787@grupocematel.com</v>
      </c>
      <c r="F3701" s="21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</row>
    <row r="3702" ht="15.75" customHeight="1">
      <c r="A3702" s="18" t="str">
        <f>Descargas!A3702</f>
        <v>2788@eurocabos.es</v>
      </c>
      <c r="B3702" s="19" t="str">
        <f>IFERROR(__xludf.DUMMYFUNCTION("IF(OR(regexmatch(A3702,"".*@simon.es$""),REGEXMATCH(A3702,"".*@simon.pt$""),REGEXMATCH(A3702,"".*@simonelectrica.com$""),REGEXMATCH(A3702,"".*@hiberus.com$""),REGEXMATCH(A3702,"".*@simonbrico.es$""),regexmatch(A3702,"".*@simonelectric.com$"")),""null"",A3"&amp;"702)"),"2788@eurocabos.es")</f>
        <v>2788@eurocabos.es</v>
      </c>
      <c r="C3702" s="5">
        <f>IF(B3702="null","null",Descargas!B3702)</f>
        <v>43874</v>
      </c>
      <c r="D3702" s="6" t="str">
        <f>Descargas!E3702</f>
        <v>https://resources.simonelectric.com/simon-ebook-vehiculo-electrico</v>
      </c>
      <c r="E3702" s="20" t="str">
        <f t="shared" si="1"/>
        <v>2788@eurocabos.es</v>
      </c>
      <c r="F3702" s="21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</row>
    <row r="3703" ht="15.75" customHeight="1">
      <c r="A3703" s="18" t="str">
        <f>Descargas!A3703</f>
        <v>2728@gmail.com</v>
      </c>
      <c r="B3703" s="19" t="str">
        <f>IFERROR(__xludf.DUMMYFUNCTION("IF(OR(regexmatch(A3703,"".*@simon.es$""),REGEXMATCH(A3703,"".*@simon.pt$""),REGEXMATCH(A3703,"".*@simonelectrica.com$""),REGEXMATCH(A3703,"".*@hiberus.com$""),REGEXMATCH(A3703,"".*@simonbrico.es$""),regexmatch(A3703,"".*@simonelectric.com$"")),""null"",A3"&amp;"703)"),"2728@gmail.com")</f>
        <v>2728@gmail.com</v>
      </c>
      <c r="C3703" s="5">
        <f>IF(B3703="null","null",Descargas!B3703)</f>
        <v>43873</v>
      </c>
      <c r="D3703" s="6" t="str">
        <f>Descargas!E3703</f>
        <v>https://resources.simonelectric.com/simon-ebook-vehiculo-electrico</v>
      </c>
      <c r="E3703" s="20" t="str">
        <f t="shared" si="1"/>
        <v>2728@gmail.com</v>
      </c>
      <c r="F3703" s="21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</row>
    <row r="3704" ht="15.75" customHeight="1">
      <c r="A3704" s="18" t="str">
        <f>Descargas!A3704</f>
        <v>2789@telefonica.net</v>
      </c>
      <c r="B3704" s="19" t="str">
        <f>IFERROR(__xludf.DUMMYFUNCTION("IF(OR(regexmatch(A3704,"".*@simon.es$""),REGEXMATCH(A3704,"".*@simon.pt$""),REGEXMATCH(A3704,"".*@simonelectrica.com$""),REGEXMATCH(A3704,"".*@hiberus.com$""),REGEXMATCH(A3704,"".*@simonbrico.es$""),regexmatch(A3704,"".*@simonelectric.com$"")),""null"",A3"&amp;"704)"),"2789@telefonica.net")</f>
        <v>2789@telefonica.net</v>
      </c>
      <c r="C3704" s="5">
        <f>IF(B3704="null","null",Descargas!B3704)</f>
        <v>43873</v>
      </c>
      <c r="D3704" s="6" t="str">
        <f>Descargas!E3704</f>
        <v>https://resources.simonelectric.com/simon-ebook-vehiculo-electrico-tw</v>
      </c>
      <c r="E3704" s="20" t="str">
        <f t="shared" si="1"/>
        <v>2789@telefonica.net</v>
      </c>
      <c r="F3704" s="21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</row>
    <row r="3705" ht="15.75" customHeight="1">
      <c r="A3705" s="18" t="str">
        <f>Descargas!A3705</f>
        <v>2790@gmail.com</v>
      </c>
      <c r="B3705" s="19" t="str">
        <f>IFERROR(__xludf.DUMMYFUNCTION("IF(OR(regexmatch(A3705,"".*@simon.es$""),REGEXMATCH(A3705,"".*@simon.pt$""),REGEXMATCH(A3705,"".*@simonelectrica.com$""),REGEXMATCH(A3705,"".*@hiberus.com$""),REGEXMATCH(A3705,"".*@simonbrico.es$""),regexmatch(A3705,"".*@simonelectric.com$"")),""null"",A3"&amp;"705)"),"2790@gmail.com")</f>
        <v>2790@gmail.com</v>
      </c>
      <c r="C3705" s="5">
        <f>IF(B3705="null","null",Descargas!B3705)</f>
        <v>43873</v>
      </c>
      <c r="D3705" s="6" t="str">
        <f>Descargas!E3705</f>
        <v>https://resources.simonelectric.com/simon-ebook-vehiculo-electrico-tw</v>
      </c>
      <c r="E3705" s="20" t="str">
        <f t="shared" si="1"/>
        <v>2790@gmail.com</v>
      </c>
      <c r="F3705" s="21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</row>
    <row r="3706" ht="15.75" customHeight="1">
      <c r="A3706" s="18" t="str">
        <f>Descargas!A3706</f>
        <v>2791@pickdata.net</v>
      </c>
      <c r="B3706" s="19" t="str">
        <f>IFERROR(__xludf.DUMMYFUNCTION("IF(OR(regexmatch(A3706,"".*@simon.es$""),REGEXMATCH(A3706,"".*@simon.pt$""),REGEXMATCH(A3706,"".*@simonelectrica.com$""),REGEXMATCH(A3706,"".*@hiberus.com$""),REGEXMATCH(A3706,"".*@simonbrico.es$""),regexmatch(A3706,"".*@simonelectric.com$"")),""null"",A3"&amp;"706)"),"2791@pickdata.net")</f>
        <v>2791@pickdata.net</v>
      </c>
      <c r="C3706" s="5">
        <f>IF(B3706="null","null",Descargas!B3706)</f>
        <v>43873</v>
      </c>
      <c r="D3706" s="6" t="str">
        <f>Descargas!E3706</f>
        <v>https://resources.simonelectric.com/simon-ebook-vehiculo-electrico</v>
      </c>
      <c r="E3706" s="20" t="str">
        <f t="shared" si="1"/>
        <v>2791@pickdata.net</v>
      </c>
      <c r="F3706" s="21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</row>
    <row r="3707" ht="15.75" customHeight="1">
      <c r="A3707" s="18" t="str">
        <f>Descargas!A3707</f>
        <v>2792@ajcampos.org</v>
      </c>
      <c r="B3707" s="19" t="str">
        <f>IFERROR(__xludf.DUMMYFUNCTION("IF(OR(regexmatch(A3707,"".*@simon.es$""),REGEXMATCH(A3707,"".*@simon.pt$""),REGEXMATCH(A3707,"".*@simonelectrica.com$""),REGEXMATCH(A3707,"".*@hiberus.com$""),REGEXMATCH(A3707,"".*@simonbrico.es$""),regexmatch(A3707,"".*@simonelectric.com$"")),""null"",A3"&amp;"707)"),"2792@ajcampos.org")</f>
        <v>2792@ajcampos.org</v>
      </c>
      <c r="C3707" s="5">
        <f>IF(B3707="null","null",Descargas!B3707)</f>
        <v>43873</v>
      </c>
      <c r="D3707" s="6" t="str">
        <f>Descargas!E3707</f>
        <v>https://resources.simonelectric.com/simon-material-formativo-vehiculo-electrico</v>
      </c>
      <c r="E3707" s="20" t="str">
        <f t="shared" si="1"/>
        <v>2792@ajcampos.org</v>
      </c>
      <c r="F3707" s="21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</row>
    <row r="3708" ht="15.75" customHeight="1">
      <c r="A3708" s="18" t="str">
        <f>Descargas!A3708</f>
        <v>2793@gmail.com</v>
      </c>
      <c r="B3708" s="19" t="str">
        <f>IFERROR(__xludf.DUMMYFUNCTION("IF(OR(regexmatch(A3708,"".*@simon.es$""),REGEXMATCH(A3708,"".*@simon.pt$""),REGEXMATCH(A3708,"".*@simonelectrica.com$""),REGEXMATCH(A3708,"".*@hiberus.com$""),REGEXMATCH(A3708,"".*@simonbrico.es$""),regexmatch(A3708,"".*@simonelectric.com$"")),""null"",A3"&amp;"708)"),"2793@gmail.com")</f>
        <v>2793@gmail.com</v>
      </c>
      <c r="C3708" s="5">
        <f>IF(B3708="null","null",Descargas!B3708)</f>
        <v>43873</v>
      </c>
      <c r="D3708" s="6" t="str">
        <f>Descargas!E3708</f>
        <v>https://resources.simonelectric.com/simon-ebook-vehiculo-electrico-tw</v>
      </c>
      <c r="E3708" s="20" t="str">
        <f t="shared" si="1"/>
        <v>2793@gmail.com</v>
      </c>
      <c r="F3708" s="21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</row>
    <row r="3709" ht="15.75" customHeight="1">
      <c r="A3709" s="18" t="str">
        <f>Descargas!A3709</f>
        <v>2710@arbonapiza.com</v>
      </c>
      <c r="B3709" s="19" t="str">
        <f>IFERROR(__xludf.DUMMYFUNCTION("IF(OR(regexmatch(A3709,"".*@simon.es$""),REGEXMATCH(A3709,"".*@simon.pt$""),REGEXMATCH(A3709,"".*@simonelectrica.com$""),REGEXMATCH(A3709,"".*@hiberus.com$""),REGEXMATCH(A3709,"".*@simonbrico.es$""),regexmatch(A3709,"".*@simonelectric.com$"")),""null"",A3"&amp;"709)"),"2710@arbonapiza.com")</f>
        <v>2710@arbonapiza.com</v>
      </c>
      <c r="C3709" s="5">
        <f>IF(B3709="null","null",Descargas!B3709)</f>
        <v>43873</v>
      </c>
      <c r="D3709" s="6" t="str">
        <f>Descargas!E3709</f>
        <v>https://resources.simonelectric.com/simon-material-formativo-vehiculo-electrico</v>
      </c>
      <c r="E3709" s="20" t="str">
        <f t="shared" si="1"/>
        <v>2710@arbonapiza.com</v>
      </c>
      <c r="F3709" s="21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</row>
    <row r="3710" ht="15.75" customHeight="1">
      <c r="A3710" s="18" t="str">
        <f>Descargas!A3710</f>
        <v>2794@efinetika.com</v>
      </c>
      <c r="B3710" s="19" t="str">
        <f>IFERROR(__xludf.DUMMYFUNCTION("IF(OR(regexmatch(A3710,"".*@simon.es$""),REGEXMATCH(A3710,"".*@simon.pt$""),REGEXMATCH(A3710,"".*@simonelectrica.com$""),REGEXMATCH(A3710,"".*@hiberus.com$""),REGEXMATCH(A3710,"".*@simonbrico.es$""),regexmatch(A3710,"".*@simonelectric.com$"")),""null"",A3"&amp;"710)"),"2794@efinetika.com")</f>
        <v>2794@efinetika.com</v>
      </c>
      <c r="C3710" s="5">
        <f>IF(B3710="null","null",Descargas!B3710)</f>
        <v>43873</v>
      </c>
      <c r="D3710" s="6" t="str">
        <f>Descargas!E3710</f>
        <v>https://resources.simonelectric.com/simon-ebook-vehiculo-electrico</v>
      </c>
      <c r="E3710" s="20" t="str">
        <f t="shared" si="1"/>
        <v>2794@efinetika.com</v>
      </c>
      <c r="F3710" s="21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</row>
    <row r="3711" ht="15.75" customHeight="1">
      <c r="A3711" s="18" t="str">
        <f>Descargas!A3711</f>
        <v>2795@gmail.com</v>
      </c>
      <c r="B3711" s="19" t="str">
        <f>IFERROR(__xludf.DUMMYFUNCTION("IF(OR(regexmatch(A3711,"".*@simon.es$""),REGEXMATCH(A3711,"".*@simon.pt$""),REGEXMATCH(A3711,"".*@simonelectrica.com$""),REGEXMATCH(A3711,"".*@hiberus.com$""),REGEXMATCH(A3711,"".*@simonbrico.es$""),regexmatch(A3711,"".*@simonelectric.com$"")),""null"",A3"&amp;"711)"),"2795@gmail.com")</f>
        <v>2795@gmail.com</v>
      </c>
      <c r="C3711" s="5">
        <f>IF(B3711="null","null",Descargas!B3711)</f>
        <v>43873</v>
      </c>
      <c r="D3711" s="6" t="str">
        <f>Descargas!E3711</f>
        <v>https://resources.simonelectric.com/simon-ebook-vehiculo-electrico-tw</v>
      </c>
      <c r="E3711" s="20" t="str">
        <f t="shared" si="1"/>
        <v>2795@gmail.com</v>
      </c>
      <c r="F3711" s="21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</row>
    <row r="3712" ht="15.75" customHeight="1">
      <c r="A3712" s="18" t="str">
        <f>Descargas!A3712</f>
        <v>2796@gmail.com</v>
      </c>
      <c r="B3712" s="19" t="str">
        <f>IFERROR(__xludf.DUMMYFUNCTION("IF(OR(regexmatch(A3712,"".*@simon.es$""),REGEXMATCH(A3712,"".*@simon.pt$""),REGEXMATCH(A3712,"".*@simonelectrica.com$""),REGEXMATCH(A3712,"".*@hiberus.com$""),REGEXMATCH(A3712,"".*@simonbrico.es$""),regexmatch(A3712,"".*@simonelectric.com$"")),""null"",A3"&amp;"712)"),"2796@gmail.com")</f>
        <v>2796@gmail.com</v>
      </c>
      <c r="C3712" s="5">
        <f>IF(B3712="null","null",Descargas!B3712)</f>
        <v>43873</v>
      </c>
      <c r="D3712" s="6" t="str">
        <f>Descargas!E3712</f>
        <v>https://resources.simonelectric.com/simon-ebook-vehiculo-electrico-tw</v>
      </c>
      <c r="E3712" s="20" t="str">
        <f t="shared" si="1"/>
        <v>2796@gmail.com</v>
      </c>
      <c r="F3712" s="21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</row>
    <row r="3713" ht="15.75" customHeight="1">
      <c r="A3713" s="18" t="str">
        <f>Descargas!A3713</f>
        <v>2797@gmail.com</v>
      </c>
      <c r="B3713" s="19" t="str">
        <f>IFERROR(__xludf.DUMMYFUNCTION("IF(OR(regexmatch(A3713,"".*@simon.es$""),REGEXMATCH(A3713,"".*@simon.pt$""),REGEXMATCH(A3713,"".*@simonelectrica.com$""),REGEXMATCH(A3713,"".*@hiberus.com$""),REGEXMATCH(A3713,"".*@simonbrico.es$""),regexmatch(A3713,"".*@simonelectric.com$"")),""null"",A3"&amp;"713)"),"2797@gmail.com")</f>
        <v>2797@gmail.com</v>
      </c>
      <c r="C3713" s="5">
        <f>IF(B3713="null","null",Descargas!B3713)</f>
        <v>43873</v>
      </c>
      <c r="D3713" s="6" t="str">
        <f>Descargas!E3713</f>
        <v>https://resources.simonelectric.com/simon-ebook-vehiculo-electrico-tw</v>
      </c>
      <c r="E3713" s="20" t="str">
        <f t="shared" si="1"/>
        <v>2797@gmail.com</v>
      </c>
      <c r="F3713" s="21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</row>
    <row r="3714" ht="15.75" customHeight="1">
      <c r="A3714" s="18" t="str">
        <f>Descargas!A3714</f>
        <v>2798@yahoo.es</v>
      </c>
      <c r="B3714" s="19" t="str">
        <f>IFERROR(__xludf.DUMMYFUNCTION("IF(OR(regexmatch(A3714,"".*@simon.es$""),REGEXMATCH(A3714,"".*@simon.pt$""),REGEXMATCH(A3714,"".*@simonelectrica.com$""),REGEXMATCH(A3714,"".*@hiberus.com$""),REGEXMATCH(A3714,"".*@simonbrico.es$""),regexmatch(A3714,"".*@simonelectric.com$"")),""null"",A3"&amp;"714)"),"2798@yahoo.es")</f>
        <v>2798@yahoo.es</v>
      </c>
      <c r="C3714" s="5">
        <f>IF(B3714="null","null",Descargas!B3714)</f>
        <v>43872</v>
      </c>
      <c r="D3714" s="6" t="str">
        <f>Descargas!E3714</f>
        <v>https://resources.simonelectric.com/simon-ebook-vehiculo-electrico-tw</v>
      </c>
      <c r="E3714" s="20" t="str">
        <f t="shared" si="1"/>
        <v>2798@yahoo.es</v>
      </c>
      <c r="F3714" s="21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</row>
    <row r="3715" ht="15.75" customHeight="1">
      <c r="A3715" s="18" t="str">
        <f>Descargas!A3715</f>
        <v>1221@gencat.cat</v>
      </c>
      <c r="B3715" s="19" t="str">
        <f>IFERROR(__xludf.DUMMYFUNCTION("IF(OR(regexmatch(A3715,"".*@simon.es$""),REGEXMATCH(A3715,"".*@simon.pt$""),REGEXMATCH(A3715,"".*@simonelectrica.com$""),REGEXMATCH(A3715,"".*@hiberus.com$""),REGEXMATCH(A3715,"".*@simonbrico.es$""),regexmatch(A3715,"".*@simonelectric.com$"")),""null"",A3"&amp;"715)"),"1221@gencat.cat")</f>
        <v>1221@gencat.cat</v>
      </c>
      <c r="C3715" s="5">
        <f>IF(B3715="null","null",Descargas!B3715)</f>
        <v>43872</v>
      </c>
      <c r="D3715" s="6" t="str">
        <f>Descargas!E3715</f>
        <v>https://resources.simonelectric.com/simon-ebook-vehiculo-electrico</v>
      </c>
      <c r="E3715" s="20" t="str">
        <f t="shared" si="1"/>
        <v>1221@gencat.cat</v>
      </c>
      <c r="F3715" s="21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</row>
    <row r="3716" ht="15.75" customHeight="1">
      <c r="A3716" s="18" t="str">
        <f>Descargas!A3716</f>
        <v>2799@oceanim.es</v>
      </c>
      <c r="B3716" s="19" t="str">
        <f>IFERROR(__xludf.DUMMYFUNCTION("IF(OR(regexmatch(A3716,"".*@simon.es$""),REGEXMATCH(A3716,"".*@simon.pt$""),REGEXMATCH(A3716,"".*@simonelectrica.com$""),REGEXMATCH(A3716,"".*@hiberus.com$""),REGEXMATCH(A3716,"".*@simonbrico.es$""),regexmatch(A3716,"".*@simonelectric.com$"")),""null"",A3"&amp;"716)"),"2799@oceanim.es")</f>
        <v>2799@oceanim.es</v>
      </c>
      <c r="C3716" s="5">
        <f>IF(B3716="null","null",Descargas!B3716)</f>
        <v>43872</v>
      </c>
      <c r="D3716" s="6" t="str">
        <f>Descargas!E3716</f>
        <v>https://resources.simonelectric.com/simon-material-formativo-vehiculo-electrico</v>
      </c>
      <c r="E3716" s="20" t="str">
        <f t="shared" si="1"/>
        <v>2799@oceanim.es</v>
      </c>
      <c r="F3716" s="21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</row>
    <row r="3717" ht="15.75" customHeight="1">
      <c r="A3717" s="18" t="str">
        <f>Descargas!A3717</f>
        <v>2800@gmail.com</v>
      </c>
      <c r="B3717" s="19" t="str">
        <f>IFERROR(__xludf.DUMMYFUNCTION("IF(OR(regexmatch(A3717,"".*@simon.es$""),REGEXMATCH(A3717,"".*@simon.pt$""),REGEXMATCH(A3717,"".*@simonelectrica.com$""),REGEXMATCH(A3717,"".*@hiberus.com$""),REGEXMATCH(A3717,"".*@simonbrico.es$""),regexmatch(A3717,"".*@simonelectric.com$"")),""null"",A3"&amp;"717)"),"2800@gmail.com")</f>
        <v>2800@gmail.com</v>
      </c>
      <c r="C3717" s="5">
        <f>IF(B3717="null","null",Descargas!B3717)</f>
        <v>43872</v>
      </c>
      <c r="D3717" s="6" t="str">
        <f>Descargas!E3717</f>
        <v>https://resources.simonelectric.com/simon-material-formativo-vehiculo-electrico</v>
      </c>
      <c r="E3717" s="20" t="str">
        <f t="shared" si="1"/>
        <v>2800@gmail.com</v>
      </c>
      <c r="F3717" s="21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</row>
    <row r="3718" ht="15.75" customHeight="1">
      <c r="A3718" s="18" t="str">
        <f>Descargas!A3718</f>
        <v>2801@eei-ingenieria.com</v>
      </c>
      <c r="B3718" s="19" t="str">
        <f>IFERROR(__xludf.DUMMYFUNCTION("IF(OR(regexmatch(A3718,"".*@simon.es$""),REGEXMATCH(A3718,"".*@simon.pt$""),REGEXMATCH(A3718,"".*@simonelectrica.com$""),REGEXMATCH(A3718,"".*@hiberus.com$""),REGEXMATCH(A3718,"".*@simonbrico.es$""),regexmatch(A3718,"".*@simonelectric.com$"")),""null"",A3"&amp;"718)"),"2801@eei-ingenieria.com")</f>
        <v>2801@eei-ingenieria.com</v>
      </c>
      <c r="C3718" s="5">
        <f>IF(B3718="null","null",Descargas!B3718)</f>
        <v>43872</v>
      </c>
      <c r="D3718" s="6" t="str">
        <f>Descargas!E3718</f>
        <v>https://resources.simonelectric.com/simon-material-formativo-vehiculo-electrico</v>
      </c>
      <c r="E3718" s="20" t="str">
        <f t="shared" si="1"/>
        <v>2801@eei-ingenieria.com</v>
      </c>
      <c r="F3718" s="21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</row>
    <row r="3719" ht="15.75" customHeight="1">
      <c r="A3719" s="18" t="str">
        <f>Descargas!A3719</f>
        <v>1724@arbonapiza.com</v>
      </c>
      <c r="B3719" s="19" t="str">
        <f>IFERROR(__xludf.DUMMYFUNCTION("IF(OR(regexmatch(A3719,"".*@simon.es$""),REGEXMATCH(A3719,"".*@simon.pt$""),REGEXMATCH(A3719,"".*@simonelectrica.com$""),REGEXMATCH(A3719,"".*@hiberus.com$""),REGEXMATCH(A3719,"".*@simonbrico.es$""),regexmatch(A3719,"".*@simonelectric.com$"")),""null"",A3"&amp;"719)"),"1724@arbonapiza.com")</f>
        <v>1724@arbonapiza.com</v>
      </c>
      <c r="C3719" s="5">
        <f>IF(B3719="null","null",Descargas!B3719)</f>
        <v>43872</v>
      </c>
      <c r="D3719" s="6" t="str">
        <f>Descargas!E3719</f>
        <v>https://resources.simonelectric.com/simon-material-formativo-vehiculo-electrico</v>
      </c>
      <c r="E3719" s="20" t="str">
        <f t="shared" si="1"/>
        <v>1724@arbonapiza.com</v>
      </c>
      <c r="F3719" s="21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</row>
    <row r="3720" ht="15.75" customHeight="1">
      <c r="A3720" s="18" t="str">
        <f>Descargas!A3720</f>
        <v>2438@gmail.com</v>
      </c>
      <c r="B3720" s="19" t="str">
        <f>IFERROR(__xludf.DUMMYFUNCTION("IF(OR(regexmatch(A3720,"".*@simon.es$""),REGEXMATCH(A3720,"".*@simon.pt$""),REGEXMATCH(A3720,"".*@simonelectrica.com$""),REGEXMATCH(A3720,"".*@hiberus.com$""),REGEXMATCH(A3720,"".*@simonbrico.es$""),regexmatch(A3720,"".*@simonelectric.com$"")),""null"",A3"&amp;"720)"),"2438@gmail.com")</f>
        <v>2438@gmail.com</v>
      </c>
      <c r="C3720" s="5">
        <f>IF(B3720="null","null",Descargas!B3720)</f>
        <v>43872</v>
      </c>
      <c r="D3720" s="6" t="str">
        <f>Descargas!E3720</f>
        <v>https://resources.simonelectric.com/simon-material-formativo-vehiculo-electrico</v>
      </c>
      <c r="E3720" s="20" t="str">
        <f t="shared" si="1"/>
        <v>2438@gmail.com</v>
      </c>
      <c r="F3720" s="21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</row>
    <row r="3721" ht="15.75" customHeight="1">
      <c r="A3721" s="18" t="str">
        <f>Descargas!A3721</f>
        <v>2802@gonzalezsme.com</v>
      </c>
      <c r="B3721" s="19" t="str">
        <f>IFERROR(__xludf.DUMMYFUNCTION("IF(OR(regexmatch(A3721,"".*@simon.es$""),REGEXMATCH(A3721,"".*@simon.pt$""),REGEXMATCH(A3721,"".*@simonelectrica.com$""),REGEXMATCH(A3721,"".*@hiberus.com$""),REGEXMATCH(A3721,"".*@simonbrico.es$""),regexmatch(A3721,"".*@simonelectric.com$"")),""null"",A3"&amp;"721)"),"2802@gonzalezsme.com")</f>
        <v>2802@gonzalezsme.com</v>
      </c>
      <c r="C3721" s="5">
        <f>IF(B3721="null","null",Descargas!B3721)</f>
        <v>43872</v>
      </c>
      <c r="D3721" s="6" t="str">
        <f>Descargas!E3721</f>
        <v>https://resources.simonelectric.com/simon-ebook-vehiculo-electrico</v>
      </c>
      <c r="E3721" s="20" t="str">
        <f t="shared" si="1"/>
        <v>2802@gonzalezsme.com</v>
      </c>
      <c r="F3721" s="21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</row>
    <row r="3722" ht="15.75" customHeight="1">
      <c r="A3722" s="18" t="str">
        <f>Descargas!A3722</f>
        <v>1697@yahoo.es</v>
      </c>
      <c r="B3722" s="19" t="str">
        <f>IFERROR(__xludf.DUMMYFUNCTION("IF(OR(regexmatch(A3722,"".*@simon.es$""),REGEXMATCH(A3722,"".*@simon.pt$""),REGEXMATCH(A3722,"".*@simonelectrica.com$""),REGEXMATCH(A3722,"".*@hiberus.com$""),REGEXMATCH(A3722,"".*@simonbrico.es$""),regexmatch(A3722,"".*@simonelectric.com$"")),""null"",A3"&amp;"722)"),"1697@yahoo.es")</f>
        <v>1697@yahoo.es</v>
      </c>
      <c r="C3722" s="5">
        <f>IF(B3722="null","null",Descargas!B3722)</f>
        <v>43872</v>
      </c>
      <c r="D3722" s="6" t="str">
        <f>Descargas!E3722</f>
        <v>https://resources.simonelectric.com/simon-ebook-vehiculo-electrico</v>
      </c>
      <c r="E3722" s="20" t="str">
        <f t="shared" si="1"/>
        <v>1697@yahoo.es</v>
      </c>
      <c r="F3722" s="21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</row>
    <row r="3723" ht="15.75" customHeight="1">
      <c r="A3723" s="18" t="str">
        <f>Descargas!A3723</f>
        <v>2074@hotmail.com</v>
      </c>
      <c r="B3723" s="19" t="str">
        <f>IFERROR(__xludf.DUMMYFUNCTION("IF(OR(regexmatch(A3723,"".*@simon.es$""),REGEXMATCH(A3723,"".*@simon.pt$""),REGEXMATCH(A3723,"".*@simonelectrica.com$""),REGEXMATCH(A3723,"".*@hiberus.com$""),REGEXMATCH(A3723,"".*@simonbrico.es$""),regexmatch(A3723,"".*@simonelectric.com$"")),""null"",A3"&amp;"723)"),"2074@hotmail.com")</f>
        <v>2074@hotmail.com</v>
      </c>
      <c r="C3723" s="5">
        <f>IF(B3723="null","null",Descargas!B3723)</f>
        <v>43872</v>
      </c>
      <c r="D3723" s="6" t="str">
        <f>Descargas!E3723</f>
        <v>https://resources.simonelectric.com/simon-ebook-vehiculo-electrico</v>
      </c>
      <c r="E3723" s="20" t="str">
        <f t="shared" si="1"/>
        <v>2074@hotmail.com</v>
      </c>
      <c r="F3723" s="21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</row>
    <row r="3724" ht="15.75" customHeight="1">
      <c r="A3724" s="18" t="str">
        <f>Descargas!A3724</f>
        <v>2803@rodriguezromeu.com</v>
      </c>
      <c r="B3724" s="19" t="str">
        <f>IFERROR(__xludf.DUMMYFUNCTION("IF(OR(regexmatch(A3724,"".*@simon.es$""),REGEXMATCH(A3724,"".*@simon.pt$""),REGEXMATCH(A3724,"".*@simonelectrica.com$""),REGEXMATCH(A3724,"".*@hiberus.com$""),REGEXMATCH(A3724,"".*@simonbrico.es$""),regexmatch(A3724,"".*@simonelectric.com$"")),""null"",A3"&amp;"724)"),"2803@rodriguezromeu.com")</f>
        <v>2803@rodriguezromeu.com</v>
      </c>
      <c r="C3724" s="5">
        <f>IF(B3724="null","null",Descargas!B3724)</f>
        <v>43871</v>
      </c>
      <c r="D3724" s="6" t="str">
        <f>Descargas!E3724</f>
        <v>https://resources.simonelectric.com/simon-ebook-vehiculo-electrico</v>
      </c>
      <c r="E3724" s="20" t="str">
        <f t="shared" si="1"/>
        <v>2803@rodriguezromeu.com</v>
      </c>
      <c r="F3724" s="21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</row>
    <row r="3725" ht="15.75" customHeight="1">
      <c r="A3725" s="18" t="str">
        <f>Descargas!A3725</f>
        <v>1079@outlook.es</v>
      </c>
      <c r="B3725" s="19" t="str">
        <f>IFERROR(__xludf.DUMMYFUNCTION("IF(OR(regexmatch(A3725,"".*@simon.es$""),REGEXMATCH(A3725,"".*@simon.pt$""),REGEXMATCH(A3725,"".*@simonelectrica.com$""),REGEXMATCH(A3725,"".*@hiberus.com$""),REGEXMATCH(A3725,"".*@simonbrico.es$""),regexmatch(A3725,"".*@simonelectric.com$"")),""null"",A3"&amp;"725)"),"1079@outlook.es")</f>
        <v>1079@outlook.es</v>
      </c>
      <c r="C3725" s="5">
        <f>IF(B3725="null","null",Descargas!B3725)</f>
        <v>43871</v>
      </c>
      <c r="D3725" s="6" t="str">
        <f>Descargas!E3725</f>
        <v>https://resources.simonelectric.com/simon-ebook-vehiculo-electrico</v>
      </c>
      <c r="E3725" s="20" t="str">
        <f t="shared" si="1"/>
        <v>1079@outlook.es</v>
      </c>
      <c r="F3725" s="21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</row>
    <row r="3726" ht="15.75" customHeight="1">
      <c r="A3726" s="18" t="str">
        <f>Descargas!A3726</f>
        <v>2804@vtisl.com</v>
      </c>
      <c r="B3726" s="19" t="str">
        <f>IFERROR(__xludf.DUMMYFUNCTION("IF(OR(regexmatch(A3726,"".*@simon.es$""),REGEXMATCH(A3726,"".*@simon.pt$""),REGEXMATCH(A3726,"".*@simonelectrica.com$""),REGEXMATCH(A3726,"".*@hiberus.com$""),REGEXMATCH(A3726,"".*@simonbrico.es$""),regexmatch(A3726,"".*@simonelectric.com$"")),""null"",A3"&amp;"726)"),"2804@vtisl.com")</f>
        <v>2804@vtisl.com</v>
      </c>
      <c r="C3726" s="5">
        <f>IF(B3726="null","null",Descargas!B3726)</f>
        <v>43871</v>
      </c>
      <c r="D3726" s="6" t="str">
        <f>Descargas!E3726</f>
        <v>https://resources.simonelectric.com/simon-ebook-vehiculo-electrico</v>
      </c>
      <c r="E3726" s="20" t="str">
        <f t="shared" si="1"/>
        <v>2804@vtisl.com</v>
      </c>
      <c r="F3726" s="21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</row>
    <row r="3727" ht="15.75" customHeight="1">
      <c r="A3727" s="18" t="str">
        <f>Descargas!A3727</f>
        <v>2805@gmail.com</v>
      </c>
      <c r="B3727" s="19" t="str">
        <f>IFERROR(__xludf.DUMMYFUNCTION("IF(OR(regexmatch(A3727,"".*@simon.es$""),REGEXMATCH(A3727,"".*@simon.pt$""),REGEXMATCH(A3727,"".*@simonelectrica.com$""),REGEXMATCH(A3727,"".*@hiberus.com$""),REGEXMATCH(A3727,"".*@simonbrico.es$""),regexmatch(A3727,"".*@simonelectric.com$"")),""null"",A3"&amp;"727)"),"2805@gmail.com")</f>
        <v>2805@gmail.com</v>
      </c>
      <c r="C3727" s="5">
        <f>IF(B3727="null","null",Descargas!B3727)</f>
        <v>43871</v>
      </c>
      <c r="D3727" s="6" t="str">
        <f>Descargas!E3727</f>
        <v>https://resources.simonelectric.com/simon-catalogo-vehiculo-electrico</v>
      </c>
      <c r="E3727" s="20" t="str">
        <f t="shared" si="1"/>
        <v>2805@gmail.com</v>
      </c>
      <c r="F3727" s="21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</row>
    <row r="3728" ht="15.75" customHeight="1">
      <c r="A3728" s="18" t="str">
        <f>Descargas!A3728</f>
        <v>2806@jdingenieria.com</v>
      </c>
      <c r="B3728" s="19" t="str">
        <f>IFERROR(__xludf.DUMMYFUNCTION("IF(OR(regexmatch(A3728,"".*@simon.es$""),REGEXMATCH(A3728,"".*@simon.pt$""),REGEXMATCH(A3728,"".*@simonelectrica.com$""),REGEXMATCH(A3728,"".*@hiberus.com$""),REGEXMATCH(A3728,"".*@simonbrico.es$""),regexmatch(A3728,"".*@simonelectric.com$"")),""null"",A3"&amp;"728)"),"2806@jdingenieria.com")</f>
        <v>2806@jdingenieria.com</v>
      </c>
      <c r="C3728" s="5">
        <f>IF(B3728="null","null",Descargas!B3728)</f>
        <v>43871</v>
      </c>
      <c r="D3728" s="6" t="str">
        <f>Descargas!E3728</f>
        <v>https://resources.simonelectric.com/simon-ebook-vehiculo-electrico</v>
      </c>
      <c r="E3728" s="20" t="str">
        <f t="shared" si="1"/>
        <v>2806@jdingenieria.com</v>
      </c>
      <c r="F3728" s="21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</row>
    <row r="3729" ht="15.75" customHeight="1">
      <c r="A3729" s="18" t="str">
        <f>Descargas!A3729</f>
        <v>2100@simon.es</v>
      </c>
      <c r="B3729" s="19" t="str">
        <f>IFERROR(__xludf.DUMMYFUNCTION("IF(OR(regexmatch(A3729,"".*@simon.es$""),REGEXMATCH(A3729,"".*@simon.pt$""),REGEXMATCH(A3729,"".*@simonelectrica.com$""),REGEXMATCH(A3729,"".*@hiberus.com$""),REGEXMATCH(A3729,"".*@simonbrico.es$""),regexmatch(A3729,"".*@simonelectric.com$"")),""null"",A3"&amp;"729)"),"null")</f>
        <v>null</v>
      </c>
      <c r="C3729" s="5" t="str">
        <f>IF(B3729="null","null",Descargas!B3729)</f>
        <v>null</v>
      </c>
      <c r="D3729" s="6" t="str">
        <f>Descargas!E3729</f>
        <v>https://resources.simonelectric.com/simon-material-formativo-vehiculo-electrico</v>
      </c>
      <c r="E3729" s="24" t="str">
        <f t="shared" si="1"/>
        <v/>
      </c>
      <c r="F3729" s="21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</row>
    <row r="3730" ht="15.75" customHeight="1">
      <c r="A3730" s="18" t="str">
        <f>Descargas!A3730</f>
        <v>2269@qq.com</v>
      </c>
      <c r="B3730" s="19" t="str">
        <f>IFERROR(__xludf.DUMMYFUNCTION("IF(OR(regexmatch(A3730,"".*@simon.es$""),REGEXMATCH(A3730,"".*@simon.pt$""),REGEXMATCH(A3730,"".*@simonelectrica.com$""),REGEXMATCH(A3730,"".*@hiberus.com$""),REGEXMATCH(A3730,"".*@simonbrico.es$""),regexmatch(A3730,"".*@simonelectric.com$"")),""null"",A3"&amp;"730)"),"2269@qq.com")</f>
        <v>2269@qq.com</v>
      </c>
      <c r="C3730" s="5">
        <f>IF(B3730="null","null",Descargas!B3730)</f>
        <v>43871</v>
      </c>
      <c r="D3730" s="6" t="str">
        <f>Descargas!E3730</f>
        <v>https://resources.simonelectric.com/simon-catalogo-vehiculo-electrico</v>
      </c>
      <c r="E3730" s="20" t="str">
        <f t="shared" si="1"/>
        <v>2269@qq.com</v>
      </c>
      <c r="F3730" s="21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</row>
    <row r="3731" ht="15.75" customHeight="1">
      <c r="A3731" s="18" t="str">
        <f>Descargas!A3731</f>
        <v>2269@qq.com</v>
      </c>
      <c r="B3731" s="19" t="str">
        <f>IFERROR(__xludf.DUMMYFUNCTION("IF(OR(regexmatch(A3731,"".*@simon.es$""),REGEXMATCH(A3731,"".*@simon.pt$""),REGEXMATCH(A3731,"".*@simonelectrica.com$""),REGEXMATCH(A3731,"".*@hiberus.com$""),REGEXMATCH(A3731,"".*@simonbrico.es$""),regexmatch(A3731,"".*@simonelectric.com$"")),""null"",A3"&amp;"731)"),"2269@qq.com")</f>
        <v>2269@qq.com</v>
      </c>
      <c r="C3731" s="5">
        <f>IF(B3731="null","null",Descargas!B3731)</f>
        <v>43871</v>
      </c>
      <c r="D3731" s="6" t="str">
        <f>Descargas!E3731</f>
        <v>https://resources.simonelectric.com/simon-ebook-vehiculo-electrico</v>
      </c>
      <c r="E3731" s="20" t="str">
        <f t="shared" si="1"/>
        <v>2269@qq.com</v>
      </c>
      <c r="F3731" s="21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</row>
    <row r="3732" ht="15.75" customHeight="1">
      <c r="A3732" s="18" t="str">
        <f>Descargas!A3732</f>
        <v>2679@hotmail.com</v>
      </c>
      <c r="B3732" s="19" t="str">
        <f>IFERROR(__xludf.DUMMYFUNCTION("IF(OR(regexmatch(A3732,"".*@simon.es$""),REGEXMATCH(A3732,"".*@simon.pt$""),REGEXMATCH(A3732,"".*@simonelectrica.com$""),REGEXMATCH(A3732,"".*@hiberus.com$""),REGEXMATCH(A3732,"".*@simonbrico.es$""),regexmatch(A3732,"".*@simonelectric.com$"")),""null"",A3"&amp;"732)"),"2679@hotmail.com")</f>
        <v>2679@hotmail.com</v>
      </c>
      <c r="C3732" s="5">
        <f>IF(B3732="null","null",Descargas!B3732)</f>
        <v>43871</v>
      </c>
      <c r="D3732" s="6" t="str">
        <f>Descargas!E3732</f>
        <v>https://resources.simonelectric.com/simon-ebook-vehiculo-electrico</v>
      </c>
      <c r="E3732" s="20" t="str">
        <f t="shared" si="1"/>
        <v>2679@hotmail.com</v>
      </c>
      <c r="F3732" s="21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</row>
    <row r="3733" ht="15.75" customHeight="1">
      <c r="A3733" s="18" t="str">
        <f>Descargas!A3733</f>
        <v>888@zivautomation.com</v>
      </c>
      <c r="B3733" s="19" t="str">
        <f>IFERROR(__xludf.DUMMYFUNCTION("IF(OR(regexmatch(A3733,"".*@simon.es$""),REGEXMATCH(A3733,"".*@simon.pt$""),REGEXMATCH(A3733,"".*@simonelectrica.com$""),REGEXMATCH(A3733,"".*@hiberus.com$""),REGEXMATCH(A3733,"".*@simonbrico.es$""),regexmatch(A3733,"".*@simonelectric.com$"")),""null"",A3"&amp;"733)"),"888@zivautomation.com")</f>
        <v>888@zivautomation.com</v>
      </c>
      <c r="C3733" s="5">
        <f>IF(B3733="null","null",Descargas!B3733)</f>
        <v>43871</v>
      </c>
      <c r="D3733" s="6" t="str">
        <f>Descargas!E3733</f>
        <v>https://resources.simonelectric.com/simon-ebook-vehiculo-electrico</v>
      </c>
      <c r="E3733" s="20" t="str">
        <f t="shared" si="1"/>
        <v>888@zivautomation.com</v>
      </c>
      <c r="F3733" s="21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</row>
    <row r="3734" ht="15.75" customHeight="1">
      <c r="A3734" s="18" t="str">
        <f>Descargas!A3734</f>
        <v>2323@gmail.com</v>
      </c>
      <c r="B3734" s="19" t="str">
        <f>IFERROR(__xludf.DUMMYFUNCTION("IF(OR(regexmatch(A3734,"".*@simon.es$""),REGEXMATCH(A3734,"".*@simon.pt$""),REGEXMATCH(A3734,"".*@simonelectrica.com$""),REGEXMATCH(A3734,"".*@hiberus.com$""),REGEXMATCH(A3734,"".*@simonbrico.es$""),regexmatch(A3734,"".*@simonelectric.com$"")),""null"",A3"&amp;"734)"),"2323@gmail.com")</f>
        <v>2323@gmail.com</v>
      </c>
      <c r="C3734" s="5">
        <f>IF(B3734="null","null",Descargas!B3734)</f>
        <v>43871</v>
      </c>
      <c r="D3734" s="6" t="str">
        <f>Descargas!E3734</f>
        <v>https://resources.simonelectric.com/simon-ebook-vehiculo-electrico</v>
      </c>
      <c r="E3734" s="20" t="str">
        <f t="shared" si="1"/>
        <v>2323@gmail.com</v>
      </c>
      <c r="F3734" s="21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</row>
    <row r="3735" ht="15.75" customHeight="1">
      <c r="A3735" s="18" t="str">
        <f>Descargas!A3735</f>
        <v>2807@jhfsystemcrane.com</v>
      </c>
      <c r="B3735" s="19" t="str">
        <f>IFERROR(__xludf.DUMMYFUNCTION("IF(OR(regexmatch(A3735,"".*@simon.es$""),REGEXMATCH(A3735,"".*@simon.pt$""),REGEXMATCH(A3735,"".*@simonelectrica.com$""),REGEXMATCH(A3735,"".*@hiberus.com$""),REGEXMATCH(A3735,"".*@simonbrico.es$""),regexmatch(A3735,"".*@simonelectric.com$"")),""null"",A3"&amp;"735)"),"2807@jhfsystemcrane.com")</f>
        <v>2807@jhfsystemcrane.com</v>
      </c>
      <c r="C3735" s="5">
        <f>IF(B3735="null","null",Descargas!B3735)</f>
        <v>43871</v>
      </c>
      <c r="D3735" s="6" t="str">
        <f>Descargas!E3735</f>
        <v>https://resources.simonelectric.com/simon-ebook-vehiculo-electrico</v>
      </c>
      <c r="E3735" s="20" t="str">
        <f t="shared" si="1"/>
        <v>2807@jhfsystemcrane.com</v>
      </c>
      <c r="F3735" s="21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</row>
    <row r="3736" ht="15.75" customHeight="1">
      <c r="A3736" s="18" t="str">
        <f>Descargas!A3736</f>
        <v>2808@gmail.com</v>
      </c>
      <c r="B3736" s="19" t="str">
        <f>IFERROR(__xludf.DUMMYFUNCTION("IF(OR(regexmatch(A3736,"".*@simon.es$""),REGEXMATCH(A3736,"".*@simon.pt$""),REGEXMATCH(A3736,"".*@simonelectrica.com$""),REGEXMATCH(A3736,"".*@hiberus.com$""),REGEXMATCH(A3736,"".*@simonbrico.es$""),regexmatch(A3736,"".*@simonelectric.com$"")),""null"",A3"&amp;"736)"),"2808@gmail.com")</f>
        <v>2808@gmail.com</v>
      </c>
      <c r="C3736" s="5">
        <f>IF(B3736="null","null",Descargas!B3736)</f>
        <v>43871</v>
      </c>
      <c r="D3736" s="6" t="str">
        <f>Descargas!E3736</f>
        <v>https://resources.simonelectric.com/simon-catalogo-vehiculo-electrico</v>
      </c>
      <c r="E3736" s="20" t="str">
        <f t="shared" si="1"/>
        <v>2808@gmail.com</v>
      </c>
      <c r="F3736" s="21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</row>
    <row r="3737" ht="15.75" customHeight="1">
      <c r="A3737" s="18" t="str">
        <f>Descargas!A3737</f>
        <v>2809@solerteselen.cat</v>
      </c>
      <c r="B3737" s="19" t="str">
        <f>IFERROR(__xludf.DUMMYFUNCTION("IF(OR(regexmatch(A3737,"".*@simon.es$""),REGEXMATCH(A3737,"".*@simon.pt$""),REGEXMATCH(A3737,"".*@simonelectrica.com$""),REGEXMATCH(A3737,"".*@hiberus.com$""),REGEXMATCH(A3737,"".*@simonbrico.es$""),regexmatch(A3737,"".*@simonelectric.com$"")),""null"",A3"&amp;"737)"),"2809@solerteselen.cat")</f>
        <v>2809@solerteselen.cat</v>
      </c>
      <c r="C3737" s="5">
        <f>IF(B3737="null","null",Descargas!B3737)</f>
        <v>43871</v>
      </c>
      <c r="D3737" s="6" t="str">
        <f>Descargas!E3737</f>
        <v>https://resources.simonelectric.com/simon-ebook-vehiculo-electrico</v>
      </c>
      <c r="E3737" s="20" t="str">
        <f t="shared" si="1"/>
        <v>2809@solerteselen.cat</v>
      </c>
      <c r="F3737" s="21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</row>
    <row r="3738" ht="15.75" customHeight="1">
      <c r="A3738" s="18" t="str">
        <f>Descargas!A3738</f>
        <v>2810@sensorstecnics.net</v>
      </c>
      <c r="B3738" s="19" t="str">
        <f>IFERROR(__xludf.DUMMYFUNCTION("IF(OR(regexmatch(A3738,"".*@simon.es$""),REGEXMATCH(A3738,"".*@simon.pt$""),REGEXMATCH(A3738,"".*@simonelectrica.com$""),REGEXMATCH(A3738,"".*@hiberus.com$""),REGEXMATCH(A3738,"".*@simonbrico.es$""),regexmatch(A3738,"".*@simonelectric.com$"")),""null"",A3"&amp;"738)"),"2810@sensorstecnics.net")</f>
        <v>2810@sensorstecnics.net</v>
      </c>
      <c r="C3738" s="5">
        <f>IF(B3738="null","null",Descargas!B3738)</f>
        <v>43870</v>
      </c>
      <c r="D3738" s="6" t="str">
        <f>Descargas!E3738</f>
        <v>https://resources.simonelectric.com/simon-ebook-vehiculo-electrico</v>
      </c>
      <c r="E3738" s="20" t="str">
        <f t="shared" si="1"/>
        <v>2810@sensorstecnics.net</v>
      </c>
      <c r="F3738" s="21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</row>
    <row r="3739" ht="15.75" customHeight="1">
      <c r="A3739" s="18" t="str">
        <f>Descargas!A3739</f>
        <v>2811@gmail.com</v>
      </c>
      <c r="B3739" s="19" t="str">
        <f>IFERROR(__xludf.DUMMYFUNCTION("IF(OR(regexmatch(A3739,"".*@simon.es$""),REGEXMATCH(A3739,"".*@simon.pt$""),REGEXMATCH(A3739,"".*@simonelectrica.com$""),REGEXMATCH(A3739,"".*@hiberus.com$""),REGEXMATCH(A3739,"".*@simonbrico.es$""),regexmatch(A3739,"".*@simonelectric.com$"")),""null"",A3"&amp;"739)"),"2811@gmail.com")</f>
        <v>2811@gmail.com</v>
      </c>
      <c r="C3739" s="5">
        <f>IF(B3739="null","null",Descargas!B3739)</f>
        <v>43870</v>
      </c>
      <c r="D3739" s="6" t="str">
        <f>Descargas!E3739</f>
        <v>https://resources.simonelectric.com/simon-ebook-vehiculo-electrico</v>
      </c>
      <c r="E3739" s="20" t="str">
        <f t="shared" si="1"/>
        <v>2811@gmail.com</v>
      </c>
      <c r="F3739" s="21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</row>
    <row r="3740" ht="15.75" customHeight="1">
      <c r="A3740" s="18" t="str">
        <f>Descargas!A3740</f>
        <v>2812@martipala.com</v>
      </c>
      <c r="B3740" s="19" t="str">
        <f>IFERROR(__xludf.DUMMYFUNCTION("IF(OR(regexmatch(A3740,"".*@simon.es$""),REGEXMATCH(A3740,"".*@simon.pt$""),REGEXMATCH(A3740,"".*@simonelectrica.com$""),REGEXMATCH(A3740,"".*@hiberus.com$""),REGEXMATCH(A3740,"".*@simonbrico.es$""),regexmatch(A3740,"".*@simonelectric.com$"")),""null"",A3"&amp;"740)"),"2812@martipala.com")</f>
        <v>2812@martipala.com</v>
      </c>
      <c r="C3740" s="5">
        <f>IF(B3740="null","null",Descargas!B3740)</f>
        <v>43870</v>
      </c>
      <c r="D3740" s="6" t="str">
        <f>Descargas!E3740</f>
        <v>https://resources.simonelectric.com/simon-ebook-vehiculo-electrico</v>
      </c>
      <c r="E3740" s="20" t="str">
        <f t="shared" si="1"/>
        <v>2812@martipala.com</v>
      </c>
      <c r="F3740" s="21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</row>
    <row r="3741" ht="15.75" customHeight="1">
      <c r="A3741" s="18" t="str">
        <f>Descargas!A3741</f>
        <v>2813@gmail.com</v>
      </c>
      <c r="B3741" s="19" t="str">
        <f>IFERROR(__xludf.DUMMYFUNCTION("IF(OR(regexmatch(A3741,"".*@simon.es$""),REGEXMATCH(A3741,"".*@simon.pt$""),REGEXMATCH(A3741,"".*@simonelectrica.com$""),REGEXMATCH(A3741,"".*@hiberus.com$""),REGEXMATCH(A3741,"".*@simonbrico.es$""),regexmatch(A3741,"".*@simonelectric.com$"")),""null"",A3"&amp;"741)"),"2813@gmail.com")</f>
        <v>2813@gmail.com</v>
      </c>
      <c r="C3741" s="5">
        <f>IF(B3741="null","null",Descargas!B3741)</f>
        <v>43870</v>
      </c>
      <c r="D3741" s="6" t="str">
        <f>Descargas!E3741</f>
        <v>https://resources.simonelectric.com/simon-ebook-vehiculo-electrico</v>
      </c>
      <c r="E3741" s="20" t="str">
        <f t="shared" si="1"/>
        <v>2813@gmail.com</v>
      </c>
      <c r="F3741" s="21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</row>
    <row r="3742" ht="15.75" customHeight="1">
      <c r="A3742" s="18" t="str">
        <f>Descargas!A3742</f>
        <v>2814@vitrosep.com</v>
      </c>
      <c r="B3742" s="19" t="str">
        <f>IFERROR(__xludf.DUMMYFUNCTION("IF(OR(regexmatch(A3742,"".*@simon.es$""),REGEXMATCH(A3742,"".*@simon.pt$""),REGEXMATCH(A3742,"".*@simonelectrica.com$""),REGEXMATCH(A3742,"".*@hiberus.com$""),REGEXMATCH(A3742,"".*@simonbrico.es$""),regexmatch(A3742,"".*@simonelectric.com$"")),""null"",A3"&amp;"742)"),"2814@vitrosep.com")</f>
        <v>2814@vitrosep.com</v>
      </c>
      <c r="C3742" s="5">
        <f>IF(B3742="null","null",Descargas!B3742)</f>
        <v>43870</v>
      </c>
      <c r="D3742" s="6" t="str">
        <f>Descargas!E3742</f>
        <v>https://resources.simonelectric.com/simon-ebook-vehiculo-electrico</v>
      </c>
      <c r="E3742" s="20" t="str">
        <f t="shared" si="1"/>
        <v>2814@vitrosep.com</v>
      </c>
      <c r="F3742" s="21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</row>
    <row r="3743" ht="15.75" customHeight="1">
      <c r="A3743" s="18" t="str">
        <f>Descargas!A3743</f>
        <v>2815@gmail.com</v>
      </c>
      <c r="B3743" s="19" t="str">
        <f>IFERROR(__xludf.DUMMYFUNCTION("IF(OR(regexmatch(A3743,"".*@simon.es$""),REGEXMATCH(A3743,"".*@simon.pt$""),REGEXMATCH(A3743,"".*@simonelectrica.com$""),REGEXMATCH(A3743,"".*@hiberus.com$""),REGEXMATCH(A3743,"".*@simonbrico.es$""),regexmatch(A3743,"".*@simonelectric.com$"")),""null"",A3"&amp;"743)"),"2815@gmail.com")</f>
        <v>2815@gmail.com</v>
      </c>
      <c r="C3743" s="5">
        <f>IF(B3743="null","null",Descargas!B3743)</f>
        <v>43869</v>
      </c>
      <c r="D3743" s="6" t="str">
        <f>Descargas!E3743</f>
        <v>https://resources.simonelectric.com/simon-ebook-vehiculo-electrico</v>
      </c>
      <c r="E3743" s="20" t="str">
        <f t="shared" si="1"/>
        <v>2815@gmail.com</v>
      </c>
      <c r="F3743" s="21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</row>
    <row r="3744" ht="15.75" customHeight="1">
      <c r="A3744" s="18" t="str">
        <f>Descargas!A3744</f>
        <v>2816@hotmail.com</v>
      </c>
      <c r="B3744" s="19" t="str">
        <f>IFERROR(__xludf.DUMMYFUNCTION("IF(OR(regexmatch(A3744,"".*@simon.es$""),REGEXMATCH(A3744,"".*@simon.pt$""),REGEXMATCH(A3744,"".*@simonelectrica.com$""),REGEXMATCH(A3744,"".*@hiberus.com$""),REGEXMATCH(A3744,"".*@simonbrico.es$""),regexmatch(A3744,"".*@simonelectric.com$"")),""null"",A3"&amp;"744)"),"2816@hotmail.com")</f>
        <v>2816@hotmail.com</v>
      </c>
      <c r="C3744" s="5">
        <f>IF(B3744="null","null",Descargas!B3744)</f>
        <v>43868</v>
      </c>
      <c r="D3744" s="6" t="str">
        <f>Descargas!E3744</f>
        <v>https://resources.simonelectric.com/simon-ebook-vehiculo-electrico</v>
      </c>
      <c r="E3744" s="20" t="str">
        <f t="shared" si="1"/>
        <v>2816@hotmail.com</v>
      </c>
      <c r="F3744" s="21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</row>
    <row r="3745" ht="15.75" customHeight="1">
      <c r="A3745" s="18" t="str">
        <f>Descargas!A3745</f>
        <v>2817@hotmail.com</v>
      </c>
      <c r="B3745" s="19" t="str">
        <f>IFERROR(__xludf.DUMMYFUNCTION("IF(OR(regexmatch(A3745,"".*@simon.es$""),REGEXMATCH(A3745,"".*@simon.pt$""),REGEXMATCH(A3745,"".*@simonelectrica.com$""),REGEXMATCH(A3745,"".*@hiberus.com$""),REGEXMATCH(A3745,"".*@simonbrico.es$""),regexmatch(A3745,"".*@simonelectric.com$"")),""null"",A3"&amp;"745)"),"2817@hotmail.com")</f>
        <v>2817@hotmail.com</v>
      </c>
      <c r="C3745" s="5">
        <f>IF(B3745="null","null",Descargas!B3745)</f>
        <v>43868</v>
      </c>
      <c r="D3745" s="6" t="str">
        <f>Descargas!E3745</f>
        <v>https://resources.simonelectric.com/simon-ebook-vehiculo-electrico</v>
      </c>
      <c r="E3745" s="20" t="str">
        <f t="shared" si="1"/>
        <v>2817@hotmail.com</v>
      </c>
      <c r="F3745" s="21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</row>
    <row r="3746" ht="15.75" customHeight="1">
      <c r="A3746" s="18" t="str">
        <f>Descargas!A3746</f>
        <v>2818@gmail.com</v>
      </c>
      <c r="B3746" s="19" t="str">
        <f>IFERROR(__xludf.DUMMYFUNCTION("IF(OR(regexmatch(A3746,"".*@simon.es$""),REGEXMATCH(A3746,"".*@simon.pt$""),REGEXMATCH(A3746,"".*@simonelectrica.com$""),REGEXMATCH(A3746,"".*@hiberus.com$""),REGEXMATCH(A3746,"".*@simonbrico.es$""),regexmatch(A3746,"".*@simonelectric.com$"")),""null"",A3"&amp;"746)"),"2818@gmail.com")</f>
        <v>2818@gmail.com</v>
      </c>
      <c r="C3746" s="5">
        <f>IF(B3746="null","null",Descargas!B3746)</f>
        <v>43868</v>
      </c>
      <c r="D3746" s="6" t="str">
        <f>Descargas!E3746</f>
        <v>https://resources.simonelectric.com/simon-catalogo-vehiculo-electrico</v>
      </c>
      <c r="E3746" s="20" t="str">
        <f t="shared" si="1"/>
        <v>2818@gmail.com</v>
      </c>
      <c r="F3746" s="21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</row>
    <row r="3747" ht="15.75" customHeight="1">
      <c r="A3747" s="18" t="str">
        <f>Descargas!A3747</f>
        <v>1797@icaingenieros.com</v>
      </c>
      <c r="B3747" s="19" t="str">
        <f>IFERROR(__xludf.DUMMYFUNCTION("IF(OR(regexmatch(A3747,"".*@simon.es$""),REGEXMATCH(A3747,"".*@simon.pt$""),REGEXMATCH(A3747,"".*@simonelectrica.com$""),REGEXMATCH(A3747,"".*@hiberus.com$""),REGEXMATCH(A3747,"".*@simonbrico.es$""),regexmatch(A3747,"".*@simonelectric.com$"")),""null"",A3"&amp;"747)"),"1797@icaingenieros.com")</f>
        <v>1797@icaingenieros.com</v>
      </c>
      <c r="C3747" s="5">
        <f>IF(B3747="null","null",Descargas!B3747)</f>
        <v>43868</v>
      </c>
      <c r="D3747" s="6" t="str">
        <f>Descargas!E3747</f>
        <v>https://resources.simonelectric.com/simon-catalogo-vehiculo-electrico</v>
      </c>
      <c r="E3747" s="20" t="str">
        <f t="shared" si="1"/>
        <v>1797@icaingenieros.com</v>
      </c>
      <c r="F3747" s="21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</row>
    <row r="3748" ht="15.75" customHeight="1">
      <c r="A3748" s="18" t="str">
        <f>Descargas!A3748</f>
        <v>1125@rocaingenieros.com</v>
      </c>
      <c r="B3748" s="19" t="str">
        <f>IFERROR(__xludf.DUMMYFUNCTION("IF(OR(regexmatch(A3748,"".*@simon.es$""),REGEXMATCH(A3748,"".*@simon.pt$""),REGEXMATCH(A3748,"".*@simonelectrica.com$""),REGEXMATCH(A3748,"".*@hiberus.com$""),REGEXMATCH(A3748,"".*@simonbrico.es$""),regexmatch(A3748,"".*@simonelectric.com$"")),""null"",A3"&amp;"748)"),"1125@rocaingenieros.com")</f>
        <v>1125@rocaingenieros.com</v>
      </c>
      <c r="C3748" s="5">
        <f>IF(B3748="null","null",Descargas!B3748)</f>
        <v>43868</v>
      </c>
      <c r="D3748" s="6" t="str">
        <f>Descargas!E3748</f>
        <v>https://resources.simonelectric.com/simon-ebook-vehiculo-electrico</v>
      </c>
      <c r="E3748" s="20" t="str">
        <f t="shared" si="1"/>
        <v>1125@rocaingenieros.com</v>
      </c>
      <c r="F3748" s="21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</row>
    <row r="3749" ht="15.75" customHeight="1">
      <c r="A3749" s="18" t="str">
        <f>Descargas!A3749</f>
        <v>2819@satydal.es</v>
      </c>
      <c r="B3749" s="19" t="str">
        <f>IFERROR(__xludf.DUMMYFUNCTION("IF(OR(regexmatch(A3749,"".*@simon.es$""),REGEXMATCH(A3749,"".*@simon.pt$""),REGEXMATCH(A3749,"".*@simonelectrica.com$""),REGEXMATCH(A3749,"".*@hiberus.com$""),REGEXMATCH(A3749,"".*@simonbrico.es$""),regexmatch(A3749,"".*@simonelectric.com$"")),""null"",A3"&amp;"749)"),"2819@satydal.es")</f>
        <v>2819@satydal.es</v>
      </c>
      <c r="C3749" s="5">
        <f>IF(B3749="null","null",Descargas!B3749)</f>
        <v>43868</v>
      </c>
      <c r="D3749" s="6" t="str">
        <f>Descargas!E3749</f>
        <v>https://resources.simonelectric.com/simon-catalogo-vehiculo-electrico</v>
      </c>
      <c r="E3749" s="20" t="str">
        <f t="shared" si="1"/>
        <v>2819@satydal.es</v>
      </c>
      <c r="F3749" s="21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</row>
    <row r="3750" ht="15.75" customHeight="1">
      <c r="A3750" s="18" t="str">
        <f>Descargas!A3750</f>
        <v>2820@sanitariosbosco.es</v>
      </c>
      <c r="B3750" s="19" t="str">
        <f>IFERROR(__xludf.DUMMYFUNCTION("IF(OR(regexmatch(A3750,"".*@simon.es$""),REGEXMATCH(A3750,"".*@simon.pt$""),REGEXMATCH(A3750,"".*@simonelectrica.com$""),REGEXMATCH(A3750,"".*@hiberus.com$""),REGEXMATCH(A3750,"".*@simonbrico.es$""),regexmatch(A3750,"".*@simonelectric.com$"")),""null"",A3"&amp;"750)"),"2820@sanitariosbosco.es")</f>
        <v>2820@sanitariosbosco.es</v>
      </c>
      <c r="C3750" s="5">
        <f>IF(B3750="null","null",Descargas!B3750)</f>
        <v>43868</v>
      </c>
      <c r="D3750" s="6" t="str">
        <f>Descargas!E3750</f>
        <v>https://resources.simonelectric.com/simon-ebook-vehiculo-electrico</v>
      </c>
      <c r="E3750" s="20" t="str">
        <f t="shared" si="1"/>
        <v>2820@sanitariosbosco.es</v>
      </c>
      <c r="F3750" s="21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</row>
    <row r="3751" ht="15.75" customHeight="1">
      <c r="A3751" s="18" t="str">
        <f>Descargas!A3751</f>
        <v>2821@gmail.com</v>
      </c>
      <c r="B3751" s="19" t="str">
        <f>IFERROR(__xludf.DUMMYFUNCTION("IF(OR(regexmatch(A3751,"".*@simon.es$""),REGEXMATCH(A3751,"".*@simon.pt$""),REGEXMATCH(A3751,"".*@simonelectrica.com$""),REGEXMATCH(A3751,"".*@hiberus.com$""),REGEXMATCH(A3751,"".*@simonbrico.es$""),regexmatch(A3751,"".*@simonelectric.com$"")),""null"",A3"&amp;"751)"),"2821@gmail.com")</f>
        <v>2821@gmail.com</v>
      </c>
      <c r="C3751" s="5">
        <f>IF(B3751="null","null",Descargas!B3751)</f>
        <v>43868</v>
      </c>
      <c r="D3751" s="6" t="str">
        <f>Descargas!E3751</f>
        <v>https://resources.simonelectric.com/simon-ebook-vehiculo-electrico</v>
      </c>
      <c r="E3751" s="20" t="str">
        <f t="shared" si="1"/>
        <v>2821@gmail.com</v>
      </c>
      <c r="F3751" s="21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</row>
    <row r="3752" ht="15.75" customHeight="1">
      <c r="A3752" s="18" t="str">
        <f>Descargas!A3752</f>
        <v>2822@gmail.com</v>
      </c>
      <c r="B3752" s="19" t="str">
        <f>IFERROR(__xludf.DUMMYFUNCTION("IF(OR(regexmatch(A3752,"".*@simon.es$""),REGEXMATCH(A3752,"".*@simon.pt$""),REGEXMATCH(A3752,"".*@simonelectrica.com$""),REGEXMATCH(A3752,"".*@hiberus.com$""),REGEXMATCH(A3752,"".*@simonbrico.es$""),regexmatch(A3752,"".*@simonelectric.com$"")),""null"",A3"&amp;"752)"),"2822@gmail.com")</f>
        <v>2822@gmail.com</v>
      </c>
      <c r="C3752" s="5">
        <f>IF(B3752="null","null",Descargas!B3752)</f>
        <v>43868</v>
      </c>
      <c r="D3752" s="6" t="str">
        <f>Descargas!E3752</f>
        <v>https://resources.simonelectric.com/simon-ebook-vehiculo-electrico</v>
      </c>
      <c r="E3752" s="20" t="str">
        <f t="shared" si="1"/>
        <v>2822@gmail.com</v>
      </c>
      <c r="F3752" s="21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</row>
    <row r="3753" ht="15.75" customHeight="1">
      <c r="A3753" s="18" t="str">
        <f>Descargas!A3753</f>
        <v>2823@mindual.com</v>
      </c>
      <c r="B3753" s="19" t="str">
        <f>IFERROR(__xludf.DUMMYFUNCTION("IF(OR(regexmatch(A3753,"".*@simon.es$""),REGEXMATCH(A3753,"".*@simon.pt$""),REGEXMATCH(A3753,"".*@simonelectrica.com$""),REGEXMATCH(A3753,"".*@hiberus.com$""),REGEXMATCH(A3753,"".*@simonbrico.es$""),regexmatch(A3753,"".*@simonelectric.com$"")),""null"",A3"&amp;"753)"),"2823@mindual.com")</f>
        <v>2823@mindual.com</v>
      </c>
      <c r="C3753" s="5">
        <f>IF(B3753="null","null",Descargas!B3753)</f>
        <v>43867</v>
      </c>
      <c r="D3753" s="6" t="str">
        <f>Descargas!E3753</f>
        <v>https://resources.simonelectric.com/simon-ebook-vehiculo-electrico</v>
      </c>
      <c r="E3753" s="20" t="str">
        <f t="shared" si="1"/>
        <v>2823@mindual.com</v>
      </c>
      <c r="F3753" s="21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</row>
    <row r="3754" ht="15.75" customHeight="1">
      <c r="A3754" s="18" t="str">
        <f>Descargas!A3754</f>
        <v>2824@gmail.com</v>
      </c>
      <c r="B3754" s="19" t="str">
        <f>IFERROR(__xludf.DUMMYFUNCTION("IF(OR(regexmatch(A3754,"".*@simon.es$""),REGEXMATCH(A3754,"".*@simon.pt$""),REGEXMATCH(A3754,"".*@simonelectrica.com$""),REGEXMATCH(A3754,"".*@hiberus.com$""),REGEXMATCH(A3754,"".*@simonbrico.es$""),regexmatch(A3754,"".*@simonelectric.com$"")),""null"",A3"&amp;"754)"),"2824@gmail.com")</f>
        <v>2824@gmail.com</v>
      </c>
      <c r="C3754" s="5">
        <f>IF(B3754="null","null",Descargas!B3754)</f>
        <v>43867</v>
      </c>
      <c r="D3754" s="6" t="str">
        <f>Descargas!E3754</f>
        <v>https://resources.simonelectric.com/simon-catalogo-vehiculo-electrico</v>
      </c>
      <c r="E3754" s="20" t="str">
        <f t="shared" si="1"/>
        <v>2824@gmail.com</v>
      </c>
      <c r="F3754" s="21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</row>
    <row r="3755" ht="15.75" customHeight="1">
      <c r="A3755" s="18" t="str">
        <f>Descargas!A3755</f>
        <v>2825@gmail.com</v>
      </c>
      <c r="B3755" s="19" t="str">
        <f>IFERROR(__xludf.DUMMYFUNCTION("IF(OR(regexmatch(A3755,"".*@simon.es$""),REGEXMATCH(A3755,"".*@simon.pt$""),REGEXMATCH(A3755,"".*@simonelectrica.com$""),REGEXMATCH(A3755,"".*@hiberus.com$""),REGEXMATCH(A3755,"".*@simonbrico.es$""),regexmatch(A3755,"".*@simonelectric.com$"")),""null"",A3"&amp;"755)"),"2825@gmail.com")</f>
        <v>2825@gmail.com</v>
      </c>
      <c r="C3755" s="5">
        <f>IF(B3755="null","null",Descargas!B3755)</f>
        <v>43867</v>
      </c>
      <c r="D3755" s="6" t="str">
        <f>Descargas!E3755</f>
        <v>https://resources.simonelectric.com/simon-catalogo-vehiculo-electrico</v>
      </c>
      <c r="E3755" s="20" t="str">
        <f t="shared" si="1"/>
        <v>2825@gmail.com</v>
      </c>
      <c r="F3755" s="21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</row>
    <row r="3756" ht="15.75" customHeight="1">
      <c r="A3756" s="18" t="str">
        <f>Descargas!A3756</f>
        <v>2825@gmail.com</v>
      </c>
      <c r="B3756" s="19" t="str">
        <f>IFERROR(__xludf.DUMMYFUNCTION("IF(OR(regexmatch(A3756,"".*@simon.es$""),REGEXMATCH(A3756,"".*@simon.pt$""),REGEXMATCH(A3756,"".*@simonelectrica.com$""),REGEXMATCH(A3756,"".*@hiberus.com$""),REGEXMATCH(A3756,"".*@simonbrico.es$""),regexmatch(A3756,"".*@simonelectric.com$"")),""null"",A3"&amp;"756)"),"2825@gmail.com")</f>
        <v>2825@gmail.com</v>
      </c>
      <c r="C3756" s="5">
        <f>IF(B3756="null","null",Descargas!B3756)</f>
        <v>43867</v>
      </c>
      <c r="D3756" s="6" t="str">
        <f>Descargas!E3756</f>
        <v>https://resources.simonelectric.com/simon-ebook-vehiculo-electrico</v>
      </c>
      <c r="E3756" s="20" t="str">
        <f t="shared" si="1"/>
        <v>2825@gmail.com</v>
      </c>
      <c r="F3756" s="21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</row>
    <row r="3757" ht="15.75" customHeight="1">
      <c r="A3757" s="18" t="str">
        <f>Descargas!A3757</f>
        <v>2826@educacion.gob.es</v>
      </c>
      <c r="B3757" s="19" t="str">
        <f>IFERROR(__xludf.DUMMYFUNCTION("IF(OR(regexmatch(A3757,"".*@simon.es$""),REGEXMATCH(A3757,"".*@simon.pt$""),REGEXMATCH(A3757,"".*@simonelectrica.com$""),REGEXMATCH(A3757,"".*@hiberus.com$""),REGEXMATCH(A3757,"".*@simonbrico.es$""),regexmatch(A3757,"".*@simonelectric.com$"")),""null"",A3"&amp;"757)"),"2826@educacion.gob.es")</f>
        <v>2826@educacion.gob.es</v>
      </c>
      <c r="C3757" s="5">
        <f>IF(B3757="null","null",Descargas!B3757)</f>
        <v>43867</v>
      </c>
      <c r="D3757" s="6" t="str">
        <f>Descargas!E3757</f>
        <v>https://resources.simonelectric.com/simon-ebook-vehiculo-electrico</v>
      </c>
      <c r="E3757" s="20" t="str">
        <f t="shared" si="1"/>
        <v>2826@educacion.gob.es</v>
      </c>
      <c r="F3757" s="21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</row>
    <row r="3758" ht="15.75" customHeight="1">
      <c r="A3758" s="18" t="str">
        <f>Descargas!A3758</f>
        <v>2827@soltecgrupo.es</v>
      </c>
      <c r="B3758" s="19" t="str">
        <f>IFERROR(__xludf.DUMMYFUNCTION("IF(OR(regexmatch(A3758,"".*@simon.es$""),REGEXMATCH(A3758,"".*@simon.pt$""),REGEXMATCH(A3758,"".*@simonelectrica.com$""),REGEXMATCH(A3758,"".*@hiberus.com$""),REGEXMATCH(A3758,"".*@simonbrico.es$""),regexmatch(A3758,"".*@simonelectric.com$"")),""null"",A3"&amp;"758)"),"2827@soltecgrupo.es")</f>
        <v>2827@soltecgrupo.es</v>
      </c>
      <c r="C3758" s="5">
        <f>IF(B3758="null","null",Descargas!B3758)</f>
        <v>43867</v>
      </c>
      <c r="D3758" s="6" t="str">
        <f>Descargas!E3758</f>
        <v>https://resources.simonelectric.com/simon-ebook-vehiculo-electrico</v>
      </c>
      <c r="E3758" s="20" t="str">
        <f t="shared" si="1"/>
        <v>2827@soltecgrupo.es</v>
      </c>
      <c r="F3758" s="21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</row>
    <row r="3759" ht="15.75" customHeight="1">
      <c r="A3759" s="18" t="str">
        <f>Descargas!A3759</f>
        <v>2828@coaatz.org</v>
      </c>
      <c r="B3759" s="19" t="str">
        <f>IFERROR(__xludf.DUMMYFUNCTION("IF(OR(regexmatch(A3759,"".*@simon.es$""),REGEXMATCH(A3759,"".*@simon.pt$""),REGEXMATCH(A3759,"".*@simonelectrica.com$""),REGEXMATCH(A3759,"".*@hiberus.com$""),REGEXMATCH(A3759,"".*@simonbrico.es$""),regexmatch(A3759,"".*@simonelectric.com$"")),""null"",A3"&amp;"759)"),"2828@coaatz.org")</f>
        <v>2828@coaatz.org</v>
      </c>
      <c r="C3759" s="5">
        <f>IF(B3759="null","null",Descargas!B3759)</f>
        <v>43867</v>
      </c>
      <c r="D3759" s="6" t="str">
        <f>Descargas!E3759</f>
        <v>https://resources.simonelectric.com/simon-ebook-vehiculo-electrico</v>
      </c>
      <c r="E3759" s="20" t="str">
        <f t="shared" si="1"/>
        <v>2828@coaatz.org</v>
      </c>
      <c r="F3759" s="21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</row>
    <row r="3760" ht="15.75" customHeight="1">
      <c r="A3760" s="18" t="str">
        <f>Descargas!A3760</f>
        <v>2829@sindel.es</v>
      </c>
      <c r="B3760" s="19" t="str">
        <f>IFERROR(__xludf.DUMMYFUNCTION("IF(OR(regexmatch(A3760,"".*@simon.es$""),REGEXMATCH(A3760,"".*@simon.pt$""),REGEXMATCH(A3760,"".*@simonelectrica.com$""),REGEXMATCH(A3760,"".*@hiberus.com$""),REGEXMATCH(A3760,"".*@simonbrico.es$""),regexmatch(A3760,"".*@simonelectric.com$"")),""null"",A3"&amp;"760)"),"2829@sindel.es")</f>
        <v>2829@sindel.es</v>
      </c>
      <c r="C3760" s="5">
        <f>IF(B3760="null","null",Descargas!B3760)</f>
        <v>43867</v>
      </c>
      <c r="D3760" s="6" t="str">
        <f>Descargas!E3760</f>
        <v>https://resources.simonelectric.com/simon-ebook-vehiculo-electrico</v>
      </c>
      <c r="E3760" s="20" t="str">
        <f t="shared" si="1"/>
        <v>2829@sindel.es</v>
      </c>
      <c r="F3760" s="21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</row>
    <row r="3761" ht="15.75" customHeight="1">
      <c r="A3761" s="18" t="str">
        <f>Descargas!A3761</f>
        <v>668@dipucordoba.es</v>
      </c>
      <c r="B3761" s="19" t="str">
        <f>IFERROR(__xludf.DUMMYFUNCTION("IF(OR(regexmatch(A3761,"".*@simon.es$""),REGEXMATCH(A3761,"".*@simon.pt$""),REGEXMATCH(A3761,"".*@simonelectrica.com$""),REGEXMATCH(A3761,"".*@hiberus.com$""),REGEXMATCH(A3761,"".*@simonbrico.es$""),regexmatch(A3761,"".*@simonelectric.com$"")),""null"",A3"&amp;"761)"),"668@dipucordoba.es")</f>
        <v>668@dipucordoba.es</v>
      </c>
      <c r="C3761" s="5">
        <f>IF(B3761="null","null",Descargas!B3761)</f>
        <v>43867</v>
      </c>
      <c r="D3761" s="6" t="str">
        <f>Descargas!E3761</f>
        <v>https://resources.simonelectric.com/simon-ebook-vehiculo-electrico</v>
      </c>
      <c r="E3761" s="20" t="str">
        <f t="shared" si="1"/>
        <v>668@dipucordoba.es</v>
      </c>
      <c r="F3761" s="21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</row>
    <row r="3762" ht="15.75" customHeight="1">
      <c r="A3762" s="18" t="str">
        <f>Descargas!A3762</f>
        <v>2830@mequintana.com</v>
      </c>
      <c r="B3762" s="19" t="str">
        <f>IFERROR(__xludf.DUMMYFUNCTION("IF(OR(regexmatch(A3762,"".*@simon.es$""),REGEXMATCH(A3762,"".*@simon.pt$""),REGEXMATCH(A3762,"".*@simonelectrica.com$""),REGEXMATCH(A3762,"".*@hiberus.com$""),REGEXMATCH(A3762,"".*@simonbrico.es$""),regexmatch(A3762,"".*@simonelectric.com$"")),""null"",A3"&amp;"762)"),"2830@mequintana.com")</f>
        <v>2830@mequintana.com</v>
      </c>
      <c r="C3762" s="5">
        <f>IF(B3762="null","null",Descargas!B3762)</f>
        <v>43867</v>
      </c>
      <c r="D3762" s="6" t="str">
        <f>Descargas!E3762</f>
        <v>https://resources.simonelectric.com/simon-ebook-vehiculo-electrico</v>
      </c>
      <c r="E3762" s="20" t="str">
        <f t="shared" si="1"/>
        <v>2830@mequintana.com</v>
      </c>
      <c r="F3762" s="21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</row>
    <row r="3763" ht="15.75" customHeight="1">
      <c r="A3763" s="18" t="str">
        <f>Descargas!A3763</f>
        <v>2831@lantec.es</v>
      </c>
      <c r="B3763" s="19" t="str">
        <f>IFERROR(__xludf.DUMMYFUNCTION("IF(OR(regexmatch(A3763,"".*@simon.es$""),REGEXMATCH(A3763,"".*@simon.pt$""),REGEXMATCH(A3763,"".*@simonelectrica.com$""),REGEXMATCH(A3763,"".*@hiberus.com$""),REGEXMATCH(A3763,"".*@simonbrico.es$""),regexmatch(A3763,"".*@simonelectric.com$"")),""null"",A3"&amp;"763)"),"2831@lantec.es")</f>
        <v>2831@lantec.es</v>
      </c>
      <c r="C3763" s="5">
        <f>IF(B3763="null","null",Descargas!B3763)</f>
        <v>43867</v>
      </c>
      <c r="D3763" s="6" t="str">
        <f>Descargas!E3763</f>
        <v>https://resources.simonelectric.com/simon-ebook-vehiculo-electrico</v>
      </c>
      <c r="E3763" s="20" t="str">
        <f t="shared" si="1"/>
        <v>2831@lantec.es</v>
      </c>
      <c r="F3763" s="21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</row>
    <row r="3764" ht="15.75" customHeight="1">
      <c r="A3764" s="18" t="str">
        <f>Descargas!A3764</f>
        <v>2831@lantec.es</v>
      </c>
      <c r="B3764" s="19" t="str">
        <f>IFERROR(__xludf.DUMMYFUNCTION("IF(OR(regexmatch(A3764,"".*@simon.es$""),REGEXMATCH(A3764,"".*@simon.pt$""),REGEXMATCH(A3764,"".*@simonelectrica.com$""),REGEXMATCH(A3764,"".*@hiberus.com$""),REGEXMATCH(A3764,"".*@simonbrico.es$""),regexmatch(A3764,"".*@simonelectric.com$"")),""null"",A3"&amp;"764)"),"2831@lantec.es")</f>
        <v>2831@lantec.es</v>
      </c>
      <c r="C3764" s="5">
        <f>IF(B3764="null","null",Descargas!B3764)</f>
        <v>43867</v>
      </c>
      <c r="D3764" s="6" t="str">
        <f>Descargas!E3764</f>
        <v>https://resources.simonelectric.com/simon-ebook-vehiculo-electrico</v>
      </c>
      <c r="E3764" s="20" t="str">
        <f t="shared" si="1"/>
        <v>2831@lantec.es</v>
      </c>
      <c r="F3764" s="21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</row>
    <row r="3765" ht="15.75" customHeight="1">
      <c r="A3765" s="18" t="str">
        <f>Descargas!A3765</f>
        <v>2751@gruponovelec.com</v>
      </c>
      <c r="B3765" s="19" t="str">
        <f>IFERROR(__xludf.DUMMYFUNCTION("IF(OR(regexmatch(A3765,"".*@simon.es$""),REGEXMATCH(A3765,"".*@simon.pt$""),REGEXMATCH(A3765,"".*@simonelectrica.com$""),REGEXMATCH(A3765,"".*@hiberus.com$""),REGEXMATCH(A3765,"".*@simonbrico.es$""),regexmatch(A3765,"".*@simonelectric.com$"")),""null"",A3"&amp;"765)"),"2751@gruponovelec.com")</f>
        <v>2751@gruponovelec.com</v>
      </c>
      <c r="C3765" s="5">
        <f>IF(B3765="null","null",Descargas!B3765)</f>
        <v>43866</v>
      </c>
      <c r="D3765" s="6" t="str">
        <f>Descargas!E3765</f>
        <v>https://resources.simonelectric.com/simon-catalogo-vehiculo-electrico</v>
      </c>
      <c r="E3765" s="20" t="str">
        <f t="shared" si="1"/>
        <v>2751@gruponovelec.com</v>
      </c>
      <c r="F3765" s="21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</row>
    <row r="3766" ht="15.75" customHeight="1">
      <c r="A3766" s="18" t="str">
        <f>Descargas!A3766</f>
        <v>2751@gruponovelec.com</v>
      </c>
      <c r="B3766" s="19" t="str">
        <f>IFERROR(__xludf.DUMMYFUNCTION("IF(OR(regexmatch(A3766,"".*@simon.es$""),REGEXMATCH(A3766,"".*@simon.pt$""),REGEXMATCH(A3766,"".*@simonelectrica.com$""),REGEXMATCH(A3766,"".*@hiberus.com$""),REGEXMATCH(A3766,"".*@simonbrico.es$""),regexmatch(A3766,"".*@simonelectric.com$"")),""null"",A3"&amp;"766)"),"2751@gruponovelec.com")</f>
        <v>2751@gruponovelec.com</v>
      </c>
      <c r="C3766" s="5">
        <f>IF(B3766="null","null",Descargas!B3766)</f>
        <v>43866</v>
      </c>
      <c r="D3766" s="6" t="str">
        <f>Descargas!E3766</f>
        <v>https://resources.simonelectric.com/simon-ebook-vehiculo-electrico</v>
      </c>
      <c r="E3766" s="20" t="str">
        <f t="shared" si="1"/>
        <v>2751@gruponovelec.com</v>
      </c>
      <c r="F3766" s="21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</row>
    <row r="3767" ht="15.75" customHeight="1">
      <c r="A3767" s="18" t="str">
        <f>Descargas!A3767</f>
        <v>2832@energia.eiffage.es</v>
      </c>
      <c r="B3767" s="19" t="str">
        <f>IFERROR(__xludf.DUMMYFUNCTION("IF(OR(regexmatch(A3767,"".*@simon.es$""),REGEXMATCH(A3767,"".*@simon.pt$""),REGEXMATCH(A3767,"".*@simonelectrica.com$""),REGEXMATCH(A3767,"".*@hiberus.com$""),REGEXMATCH(A3767,"".*@simonbrico.es$""),regexmatch(A3767,"".*@simonelectric.com$"")),""null"",A3"&amp;"767)"),"2832@energia.eiffage.es")</f>
        <v>2832@energia.eiffage.es</v>
      </c>
      <c r="C3767" s="5">
        <f>IF(B3767="null","null",Descargas!B3767)</f>
        <v>43866</v>
      </c>
      <c r="D3767" s="6" t="str">
        <f>Descargas!E3767</f>
        <v>https://resources.simonelectric.com/simon-ebook-vehiculo-electrico</v>
      </c>
      <c r="E3767" s="20" t="str">
        <f t="shared" si="1"/>
        <v>2832@energia.eiffage.es</v>
      </c>
      <c r="F3767" s="21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</row>
    <row r="3768" ht="15.75" customHeight="1">
      <c r="A3768" s="18" t="str">
        <f>Descargas!A3768</f>
        <v>2833@inelsa.com</v>
      </c>
      <c r="B3768" s="19" t="str">
        <f>IFERROR(__xludf.DUMMYFUNCTION("IF(OR(regexmatch(A3768,"".*@simon.es$""),REGEXMATCH(A3768,"".*@simon.pt$""),REGEXMATCH(A3768,"".*@simonelectrica.com$""),REGEXMATCH(A3768,"".*@hiberus.com$""),REGEXMATCH(A3768,"".*@simonbrico.es$""),regexmatch(A3768,"".*@simonelectric.com$"")),""null"",A3"&amp;"768)"),"2833@inelsa.com")</f>
        <v>2833@inelsa.com</v>
      </c>
      <c r="C3768" s="5">
        <f>IF(B3768="null","null",Descargas!B3768)</f>
        <v>43866</v>
      </c>
      <c r="D3768" s="6" t="str">
        <f>Descargas!E3768</f>
        <v>https://resources.simonelectric.com/simon-ebook-vehiculo-electrico</v>
      </c>
      <c r="E3768" s="20" t="str">
        <f t="shared" si="1"/>
        <v>2833@inelsa.com</v>
      </c>
      <c r="F3768" s="21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</row>
    <row r="3769" ht="15.75" customHeight="1">
      <c r="A3769" s="18" t="str">
        <f>Descargas!A3769</f>
        <v>2834@idom.com</v>
      </c>
      <c r="B3769" s="19" t="str">
        <f>IFERROR(__xludf.DUMMYFUNCTION("IF(OR(regexmatch(A3769,"".*@simon.es$""),REGEXMATCH(A3769,"".*@simon.pt$""),REGEXMATCH(A3769,"".*@simonelectrica.com$""),REGEXMATCH(A3769,"".*@hiberus.com$""),REGEXMATCH(A3769,"".*@simonbrico.es$""),regexmatch(A3769,"".*@simonelectric.com$"")),""null"",A3"&amp;"769)"),"2834@idom.com")</f>
        <v>2834@idom.com</v>
      </c>
      <c r="C3769" s="5">
        <f>IF(B3769="null","null",Descargas!B3769)</f>
        <v>43866</v>
      </c>
      <c r="D3769" s="6" t="str">
        <f>Descargas!E3769</f>
        <v>https://resources.simonelectric.com/simon-ebook-vehiculo-electrico</v>
      </c>
      <c r="E3769" s="20" t="str">
        <f t="shared" si="1"/>
        <v>2834@idom.com</v>
      </c>
      <c r="F3769" s="21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</row>
    <row r="3770" ht="15.75" customHeight="1">
      <c r="A3770" s="18" t="str">
        <f>Descargas!A3770</f>
        <v>2835@idom.com</v>
      </c>
      <c r="B3770" s="19" t="str">
        <f>IFERROR(__xludf.DUMMYFUNCTION("IF(OR(regexmatch(A3770,"".*@simon.es$""),REGEXMATCH(A3770,"".*@simon.pt$""),REGEXMATCH(A3770,"".*@simonelectrica.com$""),REGEXMATCH(A3770,"".*@hiberus.com$""),REGEXMATCH(A3770,"".*@simonbrico.es$""),regexmatch(A3770,"".*@simonelectric.com$"")),""null"",A3"&amp;"770)"),"2835@idom.com")</f>
        <v>2835@idom.com</v>
      </c>
      <c r="C3770" s="5">
        <f>IF(B3770="null","null",Descargas!B3770)</f>
        <v>43866</v>
      </c>
      <c r="D3770" s="6" t="str">
        <f>Descargas!E3770</f>
        <v>https://resources.simonelectric.com/simon-ebook-vehiculo-electrico</v>
      </c>
      <c r="E3770" s="20" t="str">
        <f t="shared" si="1"/>
        <v>2835@idom.com</v>
      </c>
      <c r="F3770" s="21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</row>
    <row r="3771" ht="15.75" customHeight="1">
      <c r="A3771" s="18" t="str">
        <f>Descargas!A3771</f>
        <v>2836@pgigrup.com</v>
      </c>
      <c r="B3771" s="19" t="str">
        <f>IFERROR(__xludf.DUMMYFUNCTION("IF(OR(regexmatch(A3771,"".*@simon.es$""),REGEXMATCH(A3771,"".*@simon.pt$""),REGEXMATCH(A3771,"".*@simonelectrica.com$""),REGEXMATCH(A3771,"".*@hiberus.com$""),REGEXMATCH(A3771,"".*@simonbrico.es$""),regexmatch(A3771,"".*@simonelectric.com$"")),""null"",A3"&amp;"771)"),"2836@pgigrup.com")</f>
        <v>2836@pgigrup.com</v>
      </c>
      <c r="C3771" s="5">
        <f>IF(B3771="null","null",Descargas!B3771)</f>
        <v>43866</v>
      </c>
      <c r="D3771" s="6" t="str">
        <f>Descargas!E3771</f>
        <v>https://resources.simonelectric.com/simon-ebook-vehiculo-electrico</v>
      </c>
      <c r="E3771" s="20" t="str">
        <f t="shared" si="1"/>
        <v>2836@pgigrup.com</v>
      </c>
      <c r="F3771" s="21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</row>
    <row r="3772" ht="15.75" customHeight="1">
      <c r="A3772" s="18" t="str">
        <f>Descargas!A3772</f>
        <v>2830@mequintana.com</v>
      </c>
      <c r="B3772" s="19" t="str">
        <f>IFERROR(__xludf.DUMMYFUNCTION("IF(OR(regexmatch(A3772,"".*@simon.es$""),REGEXMATCH(A3772,"".*@simon.pt$""),REGEXMATCH(A3772,"".*@simonelectrica.com$""),REGEXMATCH(A3772,"".*@hiberus.com$""),REGEXMATCH(A3772,"".*@simonbrico.es$""),regexmatch(A3772,"".*@simonelectric.com$"")),""null"",A3"&amp;"772)"),"2830@mequintana.com")</f>
        <v>2830@mequintana.com</v>
      </c>
      <c r="C3772" s="5">
        <f>IF(B3772="null","null",Descargas!B3772)</f>
        <v>43865</v>
      </c>
      <c r="D3772" s="6" t="str">
        <f>Descargas!E3772</f>
        <v>https://resources.simonelectric.com/simon-ebook-vehiculo-electrico</v>
      </c>
      <c r="E3772" s="20" t="str">
        <f t="shared" si="1"/>
        <v>2830@mequintana.com</v>
      </c>
      <c r="F3772" s="21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</row>
    <row r="3773" ht="15.75" customHeight="1">
      <c r="A3773" s="18" t="str">
        <f>Descargas!A3773</f>
        <v>2837@gmail.com</v>
      </c>
      <c r="B3773" s="19" t="str">
        <f>IFERROR(__xludf.DUMMYFUNCTION("IF(OR(regexmatch(A3773,"".*@simon.es$""),REGEXMATCH(A3773,"".*@simon.pt$""),REGEXMATCH(A3773,"".*@simonelectrica.com$""),REGEXMATCH(A3773,"".*@hiberus.com$""),REGEXMATCH(A3773,"".*@simonbrico.es$""),regexmatch(A3773,"".*@simonelectric.com$"")),""null"",A3"&amp;"773)"),"2837@gmail.com")</f>
        <v>2837@gmail.com</v>
      </c>
      <c r="C3773" s="5">
        <f>IF(B3773="null","null",Descargas!B3773)</f>
        <v>43865</v>
      </c>
      <c r="D3773" s="6" t="str">
        <f>Descargas!E3773</f>
        <v>https://resources.simonelectric.com/simon-ebook-vehiculo-electrico</v>
      </c>
      <c r="E3773" s="20" t="str">
        <f t="shared" si="1"/>
        <v>2837@gmail.com</v>
      </c>
      <c r="F3773" s="21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</row>
    <row r="3774" ht="15.75" customHeight="1">
      <c r="A3774" s="18" t="str">
        <f>Descargas!A3774</f>
        <v>2838@gmail.com</v>
      </c>
      <c r="B3774" s="19" t="str">
        <f>IFERROR(__xludf.DUMMYFUNCTION("IF(OR(regexmatch(A3774,"".*@simon.es$""),REGEXMATCH(A3774,"".*@simon.pt$""),REGEXMATCH(A3774,"".*@simonelectrica.com$""),REGEXMATCH(A3774,"".*@hiberus.com$""),REGEXMATCH(A3774,"".*@simonbrico.es$""),regexmatch(A3774,"".*@simonelectric.com$"")),""null"",A3"&amp;"774)"),"2838@gmail.com")</f>
        <v>2838@gmail.com</v>
      </c>
      <c r="C3774" s="5">
        <f>IF(B3774="null","null",Descargas!B3774)</f>
        <v>43865</v>
      </c>
      <c r="D3774" s="6" t="str">
        <f>Descargas!E3774</f>
        <v>https://resources.simonelectric.com/simon-ebook-vehiculo-electrico</v>
      </c>
      <c r="E3774" s="20" t="str">
        <f t="shared" si="1"/>
        <v>2838@gmail.com</v>
      </c>
      <c r="F3774" s="21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</row>
    <row r="3775" ht="15.75" customHeight="1">
      <c r="A3775" s="18" t="str">
        <f>Descargas!A3775</f>
        <v>2622@instavi.es</v>
      </c>
      <c r="B3775" s="19" t="str">
        <f>IFERROR(__xludf.DUMMYFUNCTION("IF(OR(regexmatch(A3775,"".*@simon.es$""),REGEXMATCH(A3775,"".*@simon.pt$""),REGEXMATCH(A3775,"".*@simonelectrica.com$""),REGEXMATCH(A3775,"".*@hiberus.com$""),REGEXMATCH(A3775,"".*@simonbrico.es$""),regexmatch(A3775,"".*@simonelectric.com$"")),""null"",A3"&amp;"775)"),"2622@instavi.es")</f>
        <v>2622@instavi.es</v>
      </c>
      <c r="C3775" s="5">
        <f>IF(B3775="null","null",Descargas!B3775)</f>
        <v>43865</v>
      </c>
      <c r="D3775" s="6" t="str">
        <f>Descargas!E3775</f>
        <v>https://resources.simonelectric.com/simon-ebook-vehiculo-electrico</v>
      </c>
      <c r="E3775" s="20" t="str">
        <f t="shared" si="1"/>
        <v>2622@instavi.es</v>
      </c>
      <c r="F3775" s="21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</row>
    <row r="3776" ht="15.75" customHeight="1">
      <c r="A3776" s="18" t="str">
        <f>Descargas!A3776</f>
        <v>2839@esprosa.es</v>
      </c>
      <c r="B3776" s="19" t="str">
        <f>IFERROR(__xludf.DUMMYFUNCTION("IF(OR(regexmatch(A3776,"".*@simon.es$""),REGEXMATCH(A3776,"".*@simon.pt$""),REGEXMATCH(A3776,"".*@simonelectrica.com$""),REGEXMATCH(A3776,"".*@hiberus.com$""),REGEXMATCH(A3776,"".*@simonbrico.es$""),regexmatch(A3776,"".*@simonelectric.com$"")),""null"",A3"&amp;"776)"),"2839@esprosa.es")</f>
        <v>2839@esprosa.es</v>
      </c>
      <c r="C3776" s="5">
        <f>IF(B3776="null","null",Descargas!B3776)</f>
        <v>43865</v>
      </c>
      <c r="D3776" s="6" t="str">
        <f>Descargas!E3776</f>
        <v>https://resources.simonelectric.com/simon-material-formativo-vehiculo-electrico</v>
      </c>
      <c r="E3776" s="20" t="str">
        <f t="shared" si="1"/>
        <v>2839@esprosa.es</v>
      </c>
      <c r="F3776" s="21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</row>
    <row r="3777" ht="15.75" customHeight="1">
      <c r="A3777" s="18" t="str">
        <f>Descargas!A3777</f>
        <v>2840@onemons.es</v>
      </c>
      <c r="B3777" s="19" t="str">
        <f>IFERROR(__xludf.DUMMYFUNCTION("IF(OR(regexmatch(A3777,"".*@simon.es$""),REGEXMATCH(A3777,"".*@simon.pt$""),REGEXMATCH(A3777,"".*@simonelectrica.com$""),REGEXMATCH(A3777,"".*@hiberus.com$""),REGEXMATCH(A3777,"".*@simonbrico.es$""),regexmatch(A3777,"".*@simonelectric.com$"")),""null"",A3"&amp;"777)"),"2840@onemons.es")</f>
        <v>2840@onemons.es</v>
      </c>
      <c r="C3777" s="5">
        <f>IF(B3777="null","null",Descargas!B3777)</f>
        <v>43865</v>
      </c>
      <c r="D3777" s="6" t="str">
        <f>Descargas!E3777</f>
        <v>https://resources.simonelectric.com/simon-ebook-vehiculo-electrico</v>
      </c>
      <c r="E3777" s="20" t="str">
        <f t="shared" si="1"/>
        <v>2840@onemons.es</v>
      </c>
      <c r="F3777" s="21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</row>
    <row r="3778" ht="15.75" customHeight="1">
      <c r="A3778" s="18" t="str">
        <f>Descargas!A3778</f>
        <v>2841@blaudrive.com</v>
      </c>
      <c r="B3778" s="19" t="str">
        <f>IFERROR(__xludf.DUMMYFUNCTION("IF(OR(regexmatch(A3778,"".*@simon.es$""),REGEXMATCH(A3778,"".*@simon.pt$""),REGEXMATCH(A3778,"".*@simonelectrica.com$""),REGEXMATCH(A3778,"".*@hiberus.com$""),REGEXMATCH(A3778,"".*@simonbrico.es$""),regexmatch(A3778,"".*@simonelectric.com$"")),""null"",A3"&amp;"778)"),"2841@blaudrive.com")</f>
        <v>2841@blaudrive.com</v>
      </c>
      <c r="C3778" s="5">
        <f>IF(B3778="null","null",Descargas!B3778)</f>
        <v>43865</v>
      </c>
      <c r="D3778" s="6" t="str">
        <f>Descargas!E3778</f>
        <v>https://resources.simonelectric.com/simon-catalogo-vehiculo-electrico</v>
      </c>
      <c r="E3778" s="20" t="str">
        <f t="shared" si="1"/>
        <v>2841@blaudrive.com</v>
      </c>
      <c r="F3778" s="21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</row>
    <row r="3779" ht="15.75" customHeight="1">
      <c r="A3779" s="18" t="str">
        <f>Descargas!A3779</f>
        <v>2841@blaudrive.com</v>
      </c>
      <c r="B3779" s="19" t="str">
        <f>IFERROR(__xludf.DUMMYFUNCTION("IF(OR(regexmatch(A3779,"".*@simon.es$""),REGEXMATCH(A3779,"".*@simon.pt$""),REGEXMATCH(A3779,"".*@simonelectrica.com$""),REGEXMATCH(A3779,"".*@hiberus.com$""),REGEXMATCH(A3779,"".*@simonbrico.es$""),regexmatch(A3779,"".*@simonelectric.com$"")),""null"",A3"&amp;"779)"),"2841@blaudrive.com")</f>
        <v>2841@blaudrive.com</v>
      </c>
      <c r="C3779" s="5">
        <f>IF(B3779="null","null",Descargas!B3779)</f>
        <v>43865</v>
      </c>
      <c r="D3779" s="6" t="str">
        <f>Descargas!E3779</f>
        <v>https://resources.simonelectric.com/simon-ebook-vehiculo-electrico</v>
      </c>
      <c r="E3779" s="20" t="str">
        <f t="shared" si="1"/>
        <v>2841@blaudrive.com</v>
      </c>
      <c r="F3779" s="21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</row>
    <row r="3780" ht="15.75" customHeight="1">
      <c r="A3780" s="18" t="str">
        <f>Descargas!A3780</f>
        <v>832@suministradora.com</v>
      </c>
      <c r="B3780" s="19" t="str">
        <f>IFERROR(__xludf.DUMMYFUNCTION("IF(OR(regexmatch(A3780,"".*@simon.es$""),REGEXMATCH(A3780,"".*@simon.pt$""),REGEXMATCH(A3780,"".*@simonelectrica.com$""),REGEXMATCH(A3780,"".*@hiberus.com$""),REGEXMATCH(A3780,"".*@simonbrico.es$""),regexmatch(A3780,"".*@simonelectric.com$"")),""null"",A3"&amp;"780)"),"832@suministradora.com")</f>
        <v>832@suministradora.com</v>
      </c>
      <c r="C3780" s="5">
        <f>IF(B3780="null","null",Descargas!B3780)</f>
        <v>43865</v>
      </c>
      <c r="D3780" s="6" t="str">
        <f>Descargas!E3780</f>
        <v>https://resources.simonelectric.com/simon-ebook-vehiculo-electrico</v>
      </c>
      <c r="E3780" s="20" t="str">
        <f t="shared" si="1"/>
        <v>832@suministradora.com</v>
      </c>
      <c r="F3780" s="21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</row>
    <row r="3781" ht="15.75" customHeight="1">
      <c r="A3781" s="18" t="str">
        <f>Descargas!A3781</f>
        <v>2842@yahoo.es</v>
      </c>
      <c r="B3781" s="19" t="str">
        <f>IFERROR(__xludf.DUMMYFUNCTION("IF(OR(regexmatch(A3781,"".*@simon.es$""),REGEXMATCH(A3781,"".*@simon.pt$""),REGEXMATCH(A3781,"".*@simonelectrica.com$""),REGEXMATCH(A3781,"".*@hiberus.com$""),REGEXMATCH(A3781,"".*@simonbrico.es$""),regexmatch(A3781,"".*@simonelectric.com$"")),""null"",A3"&amp;"781)"),"2842@yahoo.es")</f>
        <v>2842@yahoo.es</v>
      </c>
      <c r="C3781" s="5">
        <f>IF(B3781="null","null",Descargas!B3781)</f>
        <v>43865</v>
      </c>
      <c r="D3781" s="6" t="str">
        <f>Descargas!E3781</f>
        <v>https://resources.simonelectric.com/simon-ebook-vehiculo-electrico</v>
      </c>
      <c r="E3781" s="20" t="str">
        <f t="shared" si="1"/>
        <v>2842@yahoo.es</v>
      </c>
      <c r="F3781" s="21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</row>
    <row r="3782" ht="15.75" customHeight="1">
      <c r="A3782" s="18" t="str">
        <f>Descargas!A3782</f>
        <v>2843@gmail.com</v>
      </c>
      <c r="B3782" s="19" t="str">
        <f>IFERROR(__xludf.DUMMYFUNCTION("IF(OR(regexmatch(A3782,"".*@simon.es$""),REGEXMATCH(A3782,"".*@simon.pt$""),REGEXMATCH(A3782,"".*@simonelectrica.com$""),REGEXMATCH(A3782,"".*@hiberus.com$""),REGEXMATCH(A3782,"".*@simonbrico.es$""),regexmatch(A3782,"".*@simonelectric.com$"")),""null"",A3"&amp;"782)"),"2843@gmail.com")</f>
        <v>2843@gmail.com</v>
      </c>
      <c r="C3782" s="5">
        <f>IF(B3782="null","null",Descargas!B3782)</f>
        <v>43865</v>
      </c>
      <c r="D3782" s="6" t="str">
        <f>Descargas!E3782</f>
        <v>https://resources.simonelectric.com/simon-ebook-vehiculo-electrico</v>
      </c>
      <c r="E3782" s="20" t="str">
        <f t="shared" si="1"/>
        <v>2843@gmail.com</v>
      </c>
      <c r="F3782" s="21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</row>
    <row r="3783" ht="15.75" customHeight="1">
      <c r="A3783" s="18" t="str">
        <f>Descargas!A3783</f>
        <v>668@dipucordoba.es</v>
      </c>
      <c r="B3783" s="19" t="str">
        <f>IFERROR(__xludf.DUMMYFUNCTION("IF(OR(regexmatch(A3783,"".*@simon.es$""),REGEXMATCH(A3783,"".*@simon.pt$""),REGEXMATCH(A3783,"".*@simonelectrica.com$""),REGEXMATCH(A3783,"".*@hiberus.com$""),REGEXMATCH(A3783,"".*@simonbrico.es$""),regexmatch(A3783,"".*@simonelectric.com$"")),""null"",A3"&amp;"783)"),"668@dipucordoba.es")</f>
        <v>668@dipucordoba.es</v>
      </c>
      <c r="C3783" s="5">
        <f>IF(B3783="null","null",Descargas!B3783)</f>
        <v>43864</v>
      </c>
      <c r="D3783" s="6" t="str">
        <f>Descargas!E3783</f>
        <v>https://resources.simonelectric.com/simon-ebook-vehiculo-electrico</v>
      </c>
      <c r="E3783" s="20" t="str">
        <f t="shared" si="1"/>
        <v>668@dipucordoba.es</v>
      </c>
      <c r="F3783" s="21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</row>
    <row r="3784" ht="15.75" customHeight="1">
      <c r="A3784" s="18" t="str">
        <f>Descargas!A3784</f>
        <v>1213@hotmail.com</v>
      </c>
      <c r="B3784" s="19" t="str">
        <f>IFERROR(__xludf.DUMMYFUNCTION("IF(OR(regexmatch(A3784,"".*@simon.es$""),REGEXMATCH(A3784,"".*@simon.pt$""),REGEXMATCH(A3784,"".*@simonelectrica.com$""),REGEXMATCH(A3784,"".*@hiberus.com$""),REGEXMATCH(A3784,"".*@simonbrico.es$""),regexmatch(A3784,"".*@simonelectric.com$"")),""null"",A3"&amp;"784)"),"1213@hotmail.com")</f>
        <v>1213@hotmail.com</v>
      </c>
      <c r="C3784" s="5">
        <f>IF(B3784="null","null",Descargas!B3784)</f>
        <v>43864</v>
      </c>
      <c r="D3784" s="6" t="str">
        <f>Descargas!E3784</f>
        <v>https://resources.simonelectric.com/simon-ebook-vehiculo-electrico</v>
      </c>
      <c r="E3784" s="20" t="str">
        <f t="shared" si="1"/>
        <v>1213@hotmail.com</v>
      </c>
      <c r="F3784" s="21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</row>
    <row r="3785" ht="15.75" customHeight="1">
      <c r="A3785" s="18" t="str">
        <f>Descargas!A3785</f>
        <v>2844@alamos.es</v>
      </c>
      <c r="B3785" s="19" t="str">
        <f>IFERROR(__xludf.DUMMYFUNCTION("IF(OR(regexmatch(A3785,"".*@simon.es$""),REGEXMATCH(A3785,"".*@simon.pt$""),REGEXMATCH(A3785,"".*@simonelectrica.com$""),REGEXMATCH(A3785,"".*@hiberus.com$""),REGEXMATCH(A3785,"".*@simonbrico.es$""),regexmatch(A3785,"".*@simonelectric.com$"")),""null"",A3"&amp;"785)"),"2844@alamos.es")</f>
        <v>2844@alamos.es</v>
      </c>
      <c r="C3785" s="5">
        <f>IF(B3785="null","null",Descargas!B3785)</f>
        <v>43864</v>
      </c>
      <c r="D3785" s="6" t="str">
        <f>Descargas!E3785</f>
        <v>https://resources.simonelectric.com/simon-ebook-vehiculo-electrico</v>
      </c>
      <c r="E3785" s="20" t="str">
        <f t="shared" si="1"/>
        <v>2844@alamos.es</v>
      </c>
      <c r="F3785" s="21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</row>
    <row r="3786" ht="15.75" customHeight="1">
      <c r="A3786" s="18" t="str">
        <f>Descargas!A3786</f>
        <v>2845@araiz.es</v>
      </c>
      <c r="B3786" s="19" t="str">
        <f>IFERROR(__xludf.DUMMYFUNCTION("IF(OR(regexmatch(A3786,"".*@simon.es$""),REGEXMATCH(A3786,"".*@simon.pt$""),REGEXMATCH(A3786,"".*@simonelectrica.com$""),REGEXMATCH(A3786,"".*@hiberus.com$""),REGEXMATCH(A3786,"".*@simonbrico.es$""),regexmatch(A3786,"".*@simonelectric.com$"")),""null"",A3"&amp;"786)"),"2845@araiz.es")</f>
        <v>2845@araiz.es</v>
      </c>
      <c r="C3786" s="5">
        <f>IF(B3786="null","null",Descargas!B3786)</f>
        <v>43864</v>
      </c>
      <c r="D3786" s="6" t="str">
        <f>Descargas!E3786</f>
        <v>https://resources.simonelectric.com/simon-ebook-vehiculo-electrico</v>
      </c>
      <c r="E3786" s="20" t="str">
        <f t="shared" si="1"/>
        <v>2845@araiz.es</v>
      </c>
      <c r="F3786" s="21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</row>
    <row r="3787" ht="15.75" customHeight="1">
      <c r="A3787" s="18" t="str">
        <f>Descargas!A3787</f>
        <v>2846@kubicat.com</v>
      </c>
      <c r="B3787" s="19" t="str">
        <f>IFERROR(__xludf.DUMMYFUNCTION("IF(OR(regexmatch(A3787,"".*@simon.es$""),REGEXMATCH(A3787,"".*@simon.pt$""),REGEXMATCH(A3787,"".*@simonelectrica.com$""),REGEXMATCH(A3787,"".*@hiberus.com$""),REGEXMATCH(A3787,"".*@simonbrico.es$""),regexmatch(A3787,"".*@simonelectric.com$"")),""null"",A3"&amp;"787)"),"2846@kubicat.com")</f>
        <v>2846@kubicat.com</v>
      </c>
      <c r="C3787" s="5">
        <f>IF(B3787="null","null",Descargas!B3787)</f>
        <v>43864</v>
      </c>
      <c r="D3787" s="6" t="str">
        <f>Descargas!E3787</f>
        <v>https://resources.simonelectric.com/simon-ebook-vehiculo-electrico</v>
      </c>
      <c r="E3787" s="20" t="str">
        <f t="shared" si="1"/>
        <v>2846@kubicat.com</v>
      </c>
      <c r="F3787" s="21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</row>
    <row r="3788" ht="15.75" customHeight="1">
      <c r="A3788" s="18" t="str">
        <f>Descargas!A3788</f>
        <v>2808@gmail.com</v>
      </c>
      <c r="B3788" s="19" t="str">
        <f>IFERROR(__xludf.DUMMYFUNCTION("IF(OR(regexmatch(A3788,"".*@simon.es$""),REGEXMATCH(A3788,"".*@simon.pt$""),REGEXMATCH(A3788,"".*@simonelectrica.com$""),REGEXMATCH(A3788,"".*@hiberus.com$""),REGEXMATCH(A3788,"".*@simonbrico.es$""),regexmatch(A3788,"".*@simonelectric.com$"")),""null"",A3"&amp;"788)"),"2808@gmail.com")</f>
        <v>2808@gmail.com</v>
      </c>
      <c r="C3788" s="5">
        <f>IF(B3788="null","null",Descargas!B3788)</f>
        <v>43864</v>
      </c>
      <c r="D3788" s="6" t="str">
        <f>Descargas!E3788</f>
        <v>https://resources.simonelectric.com/simon-catalogo-vehiculo-electrico</v>
      </c>
      <c r="E3788" s="20" t="str">
        <f t="shared" si="1"/>
        <v>2808@gmail.com</v>
      </c>
      <c r="F3788" s="21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</row>
    <row r="3789" ht="15.75" customHeight="1">
      <c r="A3789" s="18" t="str">
        <f>Descargas!A3789</f>
        <v>2808@gmail.com</v>
      </c>
      <c r="B3789" s="19" t="str">
        <f>IFERROR(__xludf.DUMMYFUNCTION("IF(OR(regexmatch(A3789,"".*@simon.es$""),REGEXMATCH(A3789,"".*@simon.pt$""),REGEXMATCH(A3789,"".*@simonelectrica.com$""),REGEXMATCH(A3789,"".*@hiberus.com$""),REGEXMATCH(A3789,"".*@simonbrico.es$""),regexmatch(A3789,"".*@simonelectric.com$"")),""null"",A3"&amp;"789)"),"2808@gmail.com")</f>
        <v>2808@gmail.com</v>
      </c>
      <c r="C3789" s="5">
        <f>IF(B3789="null","null",Descargas!B3789)</f>
        <v>43864</v>
      </c>
      <c r="D3789" s="6" t="str">
        <f>Descargas!E3789</f>
        <v>https://resources.simonelectric.com/simon-ebook-vehiculo-electrico</v>
      </c>
      <c r="E3789" s="20" t="str">
        <f t="shared" si="1"/>
        <v>2808@gmail.com</v>
      </c>
      <c r="F3789" s="21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</row>
    <row r="3790" ht="15.75" customHeight="1">
      <c r="A3790" s="18" t="str">
        <f>Descargas!A3790</f>
        <v>2808@gmail.com</v>
      </c>
      <c r="B3790" s="19" t="str">
        <f>IFERROR(__xludf.DUMMYFUNCTION("IF(OR(regexmatch(A3790,"".*@simon.es$""),REGEXMATCH(A3790,"".*@simon.pt$""),REGEXMATCH(A3790,"".*@simonelectrica.com$""),REGEXMATCH(A3790,"".*@hiberus.com$""),REGEXMATCH(A3790,"".*@simonbrico.es$""),regexmatch(A3790,"".*@simonelectric.com$"")),""null"",A3"&amp;"790)"),"2808@gmail.com")</f>
        <v>2808@gmail.com</v>
      </c>
      <c r="C3790" s="5">
        <f>IF(B3790="null","null",Descargas!B3790)</f>
        <v>43864</v>
      </c>
      <c r="D3790" s="6" t="str">
        <f>Descargas!E3790</f>
        <v>https://resources.simonelectric.com/simon-ebook-vehiculo-electrico</v>
      </c>
      <c r="E3790" s="20" t="str">
        <f t="shared" si="1"/>
        <v>2808@gmail.com</v>
      </c>
      <c r="F3790" s="21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</row>
    <row r="3791" ht="15.75" customHeight="1">
      <c r="A3791" s="18" t="str">
        <f>Descargas!A3791</f>
        <v>2847@gmail.com</v>
      </c>
      <c r="B3791" s="19" t="str">
        <f>IFERROR(__xludf.DUMMYFUNCTION("IF(OR(regexmatch(A3791,"".*@simon.es$""),REGEXMATCH(A3791,"".*@simon.pt$""),REGEXMATCH(A3791,"".*@simonelectrica.com$""),REGEXMATCH(A3791,"".*@hiberus.com$""),REGEXMATCH(A3791,"".*@simonbrico.es$""),regexmatch(A3791,"".*@simonelectric.com$"")),""null"",A3"&amp;"791)"),"2847@gmail.com")</f>
        <v>2847@gmail.com</v>
      </c>
      <c r="C3791" s="5">
        <f>IF(B3791="null","null",Descargas!B3791)</f>
        <v>43863</v>
      </c>
      <c r="D3791" s="6" t="str">
        <f>Descargas!E3791</f>
        <v>https://resources.simonelectric.com/simon-ebook-vehiculo-electrico</v>
      </c>
      <c r="E3791" s="20" t="str">
        <f t="shared" si="1"/>
        <v>2847@gmail.com</v>
      </c>
      <c r="F3791" s="21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</row>
    <row r="3792" ht="15.75" customHeight="1">
      <c r="A3792" s="18" t="str">
        <f>Descargas!A3792</f>
        <v>2848@telefonica.net</v>
      </c>
      <c r="B3792" s="19" t="str">
        <f>IFERROR(__xludf.DUMMYFUNCTION("IF(OR(regexmatch(A3792,"".*@simon.es$""),REGEXMATCH(A3792,"".*@simon.pt$""),REGEXMATCH(A3792,"".*@simonelectrica.com$""),REGEXMATCH(A3792,"".*@hiberus.com$""),REGEXMATCH(A3792,"".*@simonbrico.es$""),regexmatch(A3792,"".*@simonelectric.com$"")),""null"",A3"&amp;"792)"),"2848@telefonica.net")</f>
        <v>2848@telefonica.net</v>
      </c>
      <c r="C3792" s="5">
        <f>IF(B3792="null","null",Descargas!B3792)</f>
        <v>43863</v>
      </c>
      <c r="D3792" s="6" t="str">
        <f>Descargas!E3792</f>
        <v>https://resources.simonelectric.com/simon-ebook-vehiculo-electrico</v>
      </c>
      <c r="E3792" s="20" t="str">
        <f t="shared" si="1"/>
        <v>2848@telefonica.net</v>
      </c>
      <c r="F3792" s="21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</row>
    <row r="3793" ht="15.75" customHeight="1">
      <c r="A3793" s="18" t="str">
        <f>Descargas!A3793</f>
        <v>1270@solcansl.com</v>
      </c>
      <c r="B3793" s="19" t="str">
        <f>IFERROR(__xludf.DUMMYFUNCTION("IF(OR(regexmatch(A3793,"".*@simon.es$""),REGEXMATCH(A3793,"".*@simon.pt$""),REGEXMATCH(A3793,"".*@simonelectrica.com$""),REGEXMATCH(A3793,"".*@hiberus.com$""),REGEXMATCH(A3793,"".*@simonbrico.es$""),regexmatch(A3793,"".*@simonelectric.com$"")),""null"",A3"&amp;"793)"),"1270@solcansl.com")</f>
        <v>1270@solcansl.com</v>
      </c>
      <c r="C3793" s="5">
        <f>IF(B3793="null","null",Descargas!B3793)</f>
        <v>43862</v>
      </c>
      <c r="D3793" s="6" t="str">
        <f>Descargas!E3793</f>
        <v>https://resources.simonelectric.com/simon-ebook-vehiculo-electrico</v>
      </c>
      <c r="E3793" s="20" t="str">
        <f t="shared" si="1"/>
        <v>1270@solcansl.com</v>
      </c>
      <c r="F3793" s="21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</row>
    <row r="3794" ht="15.75" customHeight="1">
      <c r="A3794" s="18" t="str">
        <f>Descargas!A3794</f>
        <v>2849@gmail.com</v>
      </c>
      <c r="B3794" s="19" t="str">
        <f>IFERROR(__xludf.DUMMYFUNCTION("IF(OR(regexmatch(A3794,"".*@simon.es$""),REGEXMATCH(A3794,"".*@simon.pt$""),REGEXMATCH(A3794,"".*@simonelectrica.com$""),REGEXMATCH(A3794,"".*@hiberus.com$""),REGEXMATCH(A3794,"".*@simonbrico.es$""),regexmatch(A3794,"".*@simonelectric.com$"")),""null"",A3"&amp;"794)"),"2849@gmail.com")</f>
        <v>2849@gmail.com</v>
      </c>
      <c r="C3794" s="5">
        <f>IF(B3794="null","null",Descargas!B3794)</f>
        <v>43862</v>
      </c>
      <c r="D3794" s="6" t="str">
        <f>Descargas!E3794</f>
        <v>https://resources.simonelectric.com/simon-ebook-vehiculo-electrico</v>
      </c>
      <c r="E3794" s="20" t="str">
        <f t="shared" si="1"/>
        <v>2849@gmail.com</v>
      </c>
      <c r="F3794" s="21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</row>
    <row r="3795" ht="15.75" customHeight="1">
      <c r="A3795" s="18" t="str">
        <f>Descargas!A3795</f>
        <v>2850@hotmail.com</v>
      </c>
      <c r="B3795" s="19" t="str">
        <f>IFERROR(__xludf.DUMMYFUNCTION("IF(OR(regexmatch(A3795,"".*@simon.es$""),REGEXMATCH(A3795,"".*@simon.pt$""),REGEXMATCH(A3795,"".*@simonelectrica.com$""),REGEXMATCH(A3795,"".*@hiberus.com$""),REGEXMATCH(A3795,"".*@simonbrico.es$""),regexmatch(A3795,"".*@simonelectric.com$"")),""null"",A3"&amp;"795)"),"2850@hotmail.com")</f>
        <v>2850@hotmail.com</v>
      </c>
      <c r="C3795" s="5">
        <f>IF(B3795="null","null",Descargas!B3795)</f>
        <v>43862</v>
      </c>
      <c r="D3795" s="6" t="str">
        <f>Descargas!E3795</f>
        <v>https://resources.simonelectric.com/simon-ebook-vehiculo-electrico</v>
      </c>
      <c r="E3795" s="20" t="str">
        <f t="shared" si="1"/>
        <v>2850@hotmail.com</v>
      </c>
      <c r="F3795" s="21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</row>
    <row r="3796" ht="15.75" customHeight="1">
      <c r="A3796" s="18" t="str">
        <f>Descargas!A3796</f>
        <v>2851@yahoo.es</v>
      </c>
      <c r="B3796" s="19" t="str">
        <f>IFERROR(__xludf.DUMMYFUNCTION("IF(OR(regexmatch(A3796,"".*@simon.es$""),REGEXMATCH(A3796,"".*@simon.pt$""),REGEXMATCH(A3796,"".*@simonelectrica.com$""),REGEXMATCH(A3796,"".*@hiberus.com$""),REGEXMATCH(A3796,"".*@simonbrico.es$""),regexmatch(A3796,"".*@simonelectric.com$"")),""null"",A3"&amp;"796)"),"2851@yahoo.es")</f>
        <v>2851@yahoo.es</v>
      </c>
      <c r="C3796" s="5">
        <f>IF(B3796="null","null",Descargas!B3796)</f>
        <v>43861</v>
      </c>
      <c r="D3796" s="6" t="str">
        <f>Descargas!E3796</f>
        <v>https://resources.simonelectric.com/simon-ebook-vehiculo-electrico</v>
      </c>
      <c r="E3796" s="20" t="str">
        <f t="shared" si="1"/>
        <v>2851@yahoo.es</v>
      </c>
      <c r="F3796" s="21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</row>
    <row r="3797" ht="15.75" customHeight="1">
      <c r="A3797" s="18" t="str">
        <f>Descargas!A3797</f>
        <v>2852@gmail.com</v>
      </c>
      <c r="B3797" s="19" t="str">
        <f>IFERROR(__xludf.DUMMYFUNCTION("IF(OR(regexmatch(A3797,"".*@simon.es$""),REGEXMATCH(A3797,"".*@simon.pt$""),REGEXMATCH(A3797,"".*@simonelectrica.com$""),REGEXMATCH(A3797,"".*@hiberus.com$""),REGEXMATCH(A3797,"".*@simonbrico.es$""),regexmatch(A3797,"".*@simonelectric.com$"")),""null"",A3"&amp;"797)"),"2852@gmail.com")</f>
        <v>2852@gmail.com</v>
      </c>
      <c r="C3797" s="5">
        <f>IF(B3797="null","null",Descargas!B3797)</f>
        <v>43861</v>
      </c>
      <c r="D3797" s="6" t="str">
        <f>Descargas!E3797</f>
        <v>https://resources.simonelectric.com/simon-ebook-vehiculo-electrico</v>
      </c>
      <c r="E3797" s="20" t="str">
        <f t="shared" si="1"/>
        <v>2852@gmail.com</v>
      </c>
      <c r="F3797" s="21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</row>
    <row r="3798" ht="15.75" customHeight="1">
      <c r="A3798" s="18" t="str">
        <f>Descargas!A3798</f>
        <v>2853@gmail.com</v>
      </c>
      <c r="B3798" s="19" t="str">
        <f>IFERROR(__xludf.DUMMYFUNCTION("IF(OR(regexmatch(A3798,"".*@simon.es$""),REGEXMATCH(A3798,"".*@simon.pt$""),REGEXMATCH(A3798,"".*@simonelectrica.com$""),REGEXMATCH(A3798,"".*@hiberus.com$""),REGEXMATCH(A3798,"".*@simonbrico.es$""),regexmatch(A3798,"".*@simonelectric.com$"")),""null"",A3"&amp;"798)"),"2853@gmail.com")</f>
        <v>2853@gmail.com</v>
      </c>
      <c r="C3798" s="5">
        <f>IF(B3798="null","null",Descargas!B3798)</f>
        <v>43861</v>
      </c>
      <c r="D3798" s="6" t="str">
        <f>Descargas!E3798</f>
        <v>https://resources.simonelectric.com/simon-ebook-vehiculo-electrico</v>
      </c>
      <c r="E3798" s="20" t="str">
        <f t="shared" si="1"/>
        <v>2853@gmail.com</v>
      </c>
      <c r="F3798" s="21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</row>
    <row r="3799" ht="15.75" customHeight="1">
      <c r="A3799" s="18" t="str">
        <f>Descargas!A3799</f>
        <v>2854@voltplus.es</v>
      </c>
      <c r="B3799" s="19" t="str">
        <f>IFERROR(__xludf.DUMMYFUNCTION("IF(OR(regexmatch(A3799,"".*@simon.es$""),REGEXMATCH(A3799,"".*@simon.pt$""),REGEXMATCH(A3799,"".*@simonelectrica.com$""),REGEXMATCH(A3799,"".*@hiberus.com$""),REGEXMATCH(A3799,"".*@simonbrico.es$""),regexmatch(A3799,"".*@simonelectric.com$"")),""null"",A3"&amp;"799)"),"2854@voltplus.es")</f>
        <v>2854@voltplus.es</v>
      </c>
      <c r="C3799" s="5">
        <f>IF(B3799="null","null",Descargas!B3799)</f>
        <v>43861</v>
      </c>
      <c r="D3799" s="6" t="str">
        <f>Descargas!E3799</f>
        <v>https://resources.simonelectric.com/simon-catalogo-vehiculo-electrico</v>
      </c>
      <c r="E3799" s="20" t="str">
        <f t="shared" si="1"/>
        <v>2854@voltplus.es</v>
      </c>
      <c r="F3799" s="21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</row>
    <row r="3800" ht="15.75" customHeight="1">
      <c r="A3800" s="18" t="str">
        <f>Descargas!A3800</f>
        <v>2854@voltplus.es</v>
      </c>
      <c r="B3800" s="19" t="str">
        <f>IFERROR(__xludf.DUMMYFUNCTION("IF(OR(regexmatch(A3800,"".*@simon.es$""),REGEXMATCH(A3800,"".*@simon.pt$""),REGEXMATCH(A3800,"".*@simonelectrica.com$""),REGEXMATCH(A3800,"".*@hiberus.com$""),REGEXMATCH(A3800,"".*@simonbrico.es$""),regexmatch(A3800,"".*@simonelectric.com$"")),""null"",A3"&amp;"800)"),"2854@voltplus.es")</f>
        <v>2854@voltplus.es</v>
      </c>
      <c r="C3800" s="5">
        <f>IF(B3800="null","null",Descargas!B3800)</f>
        <v>43861</v>
      </c>
      <c r="D3800" s="6" t="str">
        <f>Descargas!E3800</f>
        <v>https://resources.simonelectric.com/simon-ebook-vehiculo-electrico</v>
      </c>
      <c r="E3800" s="20" t="str">
        <f t="shared" si="1"/>
        <v>2854@voltplus.es</v>
      </c>
      <c r="F3800" s="21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</row>
    <row r="3801" ht="15.75" customHeight="1">
      <c r="A3801" s="18" t="str">
        <f>Descargas!A3801</f>
        <v>2855@trc.es</v>
      </c>
      <c r="B3801" s="19" t="str">
        <f>IFERROR(__xludf.DUMMYFUNCTION("IF(OR(regexmatch(A3801,"".*@simon.es$""),REGEXMATCH(A3801,"".*@simon.pt$""),REGEXMATCH(A3801,"".*@simonelectrica.com$""),REGEXMATCH(A3801,"".*@hiberus.com$""),REGEXMATCH(A3801,"".*@simonbrico.es$""),regexmatch(A3801,"".*@simonelectric.com$"")),""null"",A3"&amp;"801)"),"2855@trc.es")</f>
        <v>2855@trc.es</v>
      </c>
      <c r="C3801" s="5">
        <f>IF(B3801="null","null",Descargas!B3801)</f>
        <v>43861</v>
      </c>
      <c r="D3801" s="6" t="str">
        <f>Descargas!E3801</f>
        <v>https://resources.simonelectric.com/simon-ebook-vehiculo-electrico</v>
      </c>
      <c r="E3801" s="20" t="str">
        <f t="shared" si="1"/>
        <v>2855@trc.es</v>
      </c>
      <c r="F3801" s="21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</row>
    <row r="3802" ht="15.75" customHeight="1">
      <c r="A3802" s="18" t="str">
        <f>Descargas!A3802</f>
        <v>2856@eurocabos.es</v>
      </c>
      <c r="B3802" s="19" t="str">
        <f>IFERROR(__xludf.DUMMYFUNCTION("IF(OR(regexmatch(A3802,"".*@simon.es$""),REGEXMATCH(A3802,"".*@simon.pt$""),REGEXMATCH(A3802,"".*@simonelectrica.com$""),REGEXMATCH(A3802,"".*@hiberus.com$""),REGEXMATCH(A3802,"".*@simonbrico.es$""),regexmatch(A3802,"".*@simonelectric.com$"")),""null"",A3"&amp;"802)"),"2856@eurocabos.es")</f>
        <v>2856@eurocabos.es</v>
      </c>
      <c r="C3802" s="5">
        <f>IF(B3802="null","null",Descargas!B3802)</f>
        <v>43861</v>
      </c>
      <c r="D3802" s="6" t="str">
        <f>Descargas!E3802</f>
        <v>https://resources.simonelectric.com/simon-ebook-vehiculo-electrico</v>
      </c>
      <c r="E3802" s="20" t="str">
        <f t="shared" si="1"/>
        <v>2856@eurocabos.es</v>
      </c>
      <c r="F3802" s="21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</row>
    <row r="3803" ht="15.75" customHeight="1">
      <c r="A3803" s="18" t="str">
        <f>Descargas!A3803</f>
        <v>2808@gmail.com</v>
      </c>
      <c r="B3803" s="19" t="str">
        <f>IFERROR(__xludf.DUMMYFUNCTION("IF(OR(regexmatch(A3803,"".*@simon.es$""),REGEXMATCH(A3803,"".*@simon.pt$""),REGEXMATCH(A3803,"".*@simonelectrica.com$""),REGEXMATCH(A3803,"".*@hiberus.com$""),REGEXMATCH(A3803,"".*@simonbrico.es$""),regexmatch(A3803,"".*@simonelectric.com$"")),""null"",A3"&amp;"803)"),"2808@gmail.com")</f>
        <v>2808@gmail.com</v>
      </c>
      <c r="C3803" s="5">
        <f>IF(B3803="null","null",Descargas!B3803)</f>
        <v>43860</v>
      </c>
      <c r="D3803" s="6" t="str">
        <f>Descargas!E3803</f>
        <v>https://resources.simonelectric.com/simon-ebook-vehiculo-electrico</v>
      </c>
      <c r="E3803" s="20" t="str">
        <f t="shared" si="1"/>
        <v>2808@gmail.com</v>
      </c>
      <c r="F3803" s="21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</row>
    <row r="3804" ht="15.75" customHeight="1">
      <c r="A3804" s="18" t="str">
        <f>Descargas!A3804</f>
        <v>2857@gmail.com</v>
      </c>
      <c r="B3804" s="19" t="str">
        <f>IFERROR(__xludf.DUMMYFUNCTION("IF(OR(regexmatch(A3804,"".*@simon.es$""),REGEXMATCH(A3804,"".*@simon.pt$""),REGEXMATCH(A3804,"".*@simonelectrica.com$""),REGEXMATCH(A3804,"".*@hiberus.com$""),REGEXMATCH(A3804,"".*@simonbrico.es$""),regexmatch(A3804,"".*@simonelectric.com$"")),""null"",A3"&amp;"804)"),"2857@gmail.com")</f>
        <v>2857@gmail.com</v>
      </c>
      <c r="C3804" s="5">
        <f>IF(B3804="null","null",Descargas!B3804)</f>
        <v>43860</v>
      </c>
      <c r="D3804" s="6" t="str">
        <f>Descargas!E3804</f>
        <v>https://resources.simonelectric.com/simon-ebook-vehiculo-electrico</v>
      </c>
      <c r="E3804" s="20" t="str">
        <f t="shared" si="1"/>
        <v>2857@gmail.com</v>
      </c>
      <c r="F3804" s="21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</row>
    <row r="3805" ht="15.75" customHeight="1">
      <c r="A3805" s="18" t="str">
        <f>Descargas!A3805</f>
        <v>2858@gmail.com</v>
      </c>
      <c r="B3805" s="19" t="str">
        <f>IFERROR(__xludf.DUMMYFUNCTION("IF(OR(regexmatch(A3805,"".*@simon.es$""),REGEXMATCH(A3805,"".*@simon.pt$""),REGEXMATCH(A3805,"".*@simonelectrica.com$""),REGEXMATCH(A3805,"".*@hiberus.com$""),REGEXMATCH(A3805,"".*@simonbrico.es$""),regexmatch(A3805,"".*@simonelectric.com$"")),""null"",A3"&amp;"805)"),"2858@gmail.com")</f>
        <v>2858@gmail.com</v>
      </c>
      <c r="C3805" s="5">
        <f>IF(B3805="null","null",Descargas!B3805)</f>
        <v>43860</v>
      </c>
      <c r="D3805" s="6" t="str">
        <f>Descargas!E3805</f>
        <v>https://resources.simonelectric.com/simon-ebook-vehiculo-electrico</v>
      </c>
      <c r="E3805" s="20" t="str">
        <f t="shared" si="1"/>
        <v>2858@gmail.com</v>
      </c>
      <c r="F3805" s="21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</row>
    <row r="3806" ht="15.75" customHeight="1">
      <c r="A3806" s="18" t="str">
        <f>Descargas!A3806</f>
        <v>2859@hotmail.com</v>
      </c>
      <c r="B3806" s="19" t="str">
        <f>IFERROR(__xludf.DUMMYFUNCTION("IF(OR(regexmatch(A3806,"".*@simon.es$""),REGEXMATCH(A3806,"".*@simon.pt$""),REGEXMATCH(A3806,"".*@simonelectrica.com$""),REGEXMATCH(A3806,"".*@hiberus.com$""),REGEXMATCH(A3806,"".*@simonbrico.es$""),regexmatch(A3806,"".*@simonelectric.com$"")),""null"",A3"&amp;"806)"),"2859@hotmail.com")</f>
        <v>2859@hotmail.com</v>
      </c>
      <c r="C3806" s="5">
        <f>IF(B3806="null","null",Descargas!B3806)</f>
        <v>43860</v>
      </c>
      <c r="D3806" s="6" t="str">
        <f>Descargas!E3806</f>
        <v>https://resources.simonelectric.com/simon-ebook-vehiculo-electrico</v>
      </c>
      <c r="E3806" s="20" t="str">
        <f t="shared" si="1"/>
        <v>2859@hotmail.com</v>
      </c>
      <c r="F3806" s="21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</row>
    <row r="3807" ht="15.75" customHeight="1">
      <c r="A3807" s="18" t="str">
        <f>Descargas!A3807</f>
        <v>2860@soltecingenieros.com</v>
      </c>
      <c r="B3807" s="19" t="str">
        <f>IFERROR(__xludf.DUMMYFUNCTION("IF(OR(regexmatch(A3807,"".*@simon.es$""),REGEXMATCH(A3807,"".*@simon.pt$""),REGEXMATCH(A3807,"".*@simonelectrica.com$""),REGEXMATCH(A3807,"".*@hiberus.com$""),REGEXMATCH(A3807,"".*@simonbrico.es$""),regexmatch(A3807,"".*@simonelectric.com$"")),""null"",A3"&amp;"807)"),"2860@soltecingenieros.com")</f>
        <v>2860@soltecingenieros.com</v>
      </c>
      <c r="C3807" s="5">
        <f>IF(B3807="null","null",Descargas!B3807)</f>
        <v>43860</v>
      </c>
      <c r="D3807" s="6" t="str">
        <f>Descargas!E3807</f>
        <v>https://resources.simonelectric.com/simon-ebook-vehiculo-electrico</v>
      </c>
      <c r="E3807" s="20" t="str">
        <f t="shared" si="1"/>
        <v>2860@soltecingenieros.com</v>
      </c>
      <c r="F3807" s="21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</row>
    <row r="3808" ht="15.75" customHeight="1">
      <c r="A3808" s="18" t="str">
        <f>Descargas!A3808</f>
        <v>2861@live.com</v>
      </c>
      <c r="B3808" s="19" t="str">
        <f>IFERROR(__xludf.DUMMYFUNCTION("IF(OR(regexmatch(A3808,"".*@simon.es$""),REGEXMATCH(A3808,"".*@simon.pt$""),REGEXMATCH(A3808,"".*@simonelectrica.com$""),REGEXMATCH(A3808,"".*@hiberus.com$""),REGEXMATCH(A3808,"".*@simonbrico.es$""),regexmatch(A3808,"".*@simonelectric.com$"")),""null"",A3"&amp;"808)"),"2861@live.com")</f>
        <v>2861@live.com</v>
      </c>
      <c r="C3808" s="5">
        <f>IF(B3808="null","null",Descargas!B3808)</f>
        <v>43860</v>
      </c>
      <c r="D3808" s="6" t="str">
        <f>Descargas!E3808</f>
        <v>https://resources.simonelectric.com/simon-ebook-vehiculo-electrico</v>
      </c>
      <c r="E3808" s="20" t="str">
        <f t="shared" si="1"/>
        <v>2861@live.com</v>
      </c>
      <c r="F3808" s="21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</row>
    <row r="3809" ht="15.75" customHeight="1">
      <c r="A3809" s="18" t="str">
        <f>Descargas!A3809</f>
        <v>2862@gmail.com</v>
      </c>
      <c r="B3809" s="19" t="str">
        <f>IFERROR(__xludf.DUMMYFUNCTION("IF(OR(regexmatch(A3809,"".*@simon.es$""),REGEXMATCH(A3809,"".*@simon.pt$""),REGEXMATCH(A3809,"".*@simonelectrica.com$""),REGEXMATCH(A3809,"".*@hiberus.com$""),REGEXMATCH(A3809,"".*@simonbrico.es$""),regexmatch(A3809,"".*@simonelectric.com$"")),""null"",A3"&amp;"809)"),"2862@gmail.com")</f>
        <v>2862@gmail.com</v>
      </c>
      <c r="C3809" s="5">
        <f>IF(B3809="null","null",Descargas!B3809)</f>
        <v>43859</v>
      </c>
      <c r="D3809" s="6" t="str">
        <f>Descargas!E3809</f>
        <v>https://resources.simonelectric.com/simon-ebook-vehiculo-electrico</v>
      </c>
      <c r="E3809" s="20" t="str">
        <f t="shared" si="1"/>
        <v>2862@gmail.com</v>
      </c>
      <c r="F3809" s="21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</row>
    <row r="3810" ht="15.75" customHeight="1">
      <c r="A3810" s="18" t="str">
        <f>Descargas!A3810</f>
        <v>2863@hibrielectric.com</v>
      </c>
      <c r="B3810" s="19" t="str">
        <f>IFERROR(__xludf.DUMMYFUNCTION("IF(OR(regexmatch(A3810,"".*@simon.es$""),REGEXMATCH(A3810,"".*@simon.pt$""),REGEXMATCH(A3810,"".*@simonelectrica.com$""),REGEXMATCH(A3810,"".*@hiberus.com$""),REGEXMATCH(A3810,"".*@simonbrico.es$""),regexmatch(A3810,"".*@simonelectric.com$"")),""null"",A3"&amp;"810)"),"2863@hibrielectric.com")</f>
        <v>2863@hibrielectric.com</v>
      </c>
      <c r="C3810" s="5">
        <f>IF(B3810="null","null",Descargas!B3810)</f>
        <v>43859</v>
      </c>
      <c r="D3810" s="6" t="str">
        <f>Descargas!E3810</f>
        <v>https://resources.simonelectric.com/simon-ebook-vehiculo-electrico</v>
      </c>
      <c r="E3810" s="20" t="str">
        <f t="shared" si="1"/>
        <v>2863@hibrielectric.com</v>
      </c>
      <c r="F3810" s="21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</row>
    <row r="3811" ht="15.75" customHeight="1">
      <c r="A3811" s="18" t="str">
        <f>Descargas!A3811</f>
        <v>2864@gmail.com</v>
      </c>
      <c r="B3811" s="19" t="str">
        <f>IFERROR(__xludf.DUMMYFUNCTION("IF(OR(regexmatch(A3811,"".*@simon.es$""),REGEXMATCH(A3811,"".*@simon.pt$""),REGEXMATCH(A3811,"".*@simonelectrica.com$""),REGEXMATCH(A3811,"".*@hiberus.com$""),REGEXMATCH(A3811,"".*@simonbrico.es$""),regexmatch(A3811,"".*@simonelectric.com$"")),""null"",A3"&amp;"811)"),"2864@gmail.com")</f>
        <v>2864@gmail.com</v>
      </c>
      <c r="C3811" s="5">
        <f>IF(B3811="null","null",Descargas!B3811)</f>
        <v>43859</v>
      </c>
      <c r="D3811" s="6" t="str">
        <f>Descargas!E3811</f>
        <v>https://resources.simonelectric.com/simon-ebook-vehiculo-electrico</v>
      </c>
      <c r="E3811" s="20" t="str">
        <f t="shared" si="1"/>
        <v>2864@gmail.com</v>
      </c>
      <c r="F3811" s="21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</row>
    <row r="3812" ht="15.75" customHeight="1">
      <c r="A3812" s="18" t="str">
        <f>Descargas!A3812</f>
        <v>1021@proturhotels.com</v>
      </c>
      <c r="B3812" s="19" t="str">
        <f>IFERROR(__xludf.DUMMYFUNCTION("IF(OR(regexmatch(A3812,"".*@simon.es$""),REGEXMATCH(A3812,"".*@simon.pt$""),REGEXMATCH(A3812,"".*@simonelectrica.com$""),REGEXMATCH(A3812,"".*@hiberus.com$""),REGEXMATCH(A3812,"".*@simonbrico.es$""),regexmatch(A3812,"".*@simonelectric.com$"")),""null"",A3"&amp;"812)"),"1021@proturhotels.com")</f>
        <v>1021@proturhotels.com</v>
      </c>
      <c r="C3812" s="5">
        <f>IF(B3812="null","null",Descargas!B3812)</f>
        <v>43859</v>
      </c>
      <c r="D3812" s="6" t="str">
        <f>Descargas!E3812</f>
        <v>https://resources.simonelectric.com/simon-ebook-vehiculo-electrico</v>
      </c>
      <c r="E3812" s="20" t="str">
        <f t="shared" si="1"/>
        <v>1021@proturhotels.com</v>
      </c>
      <c r="F3812" s="21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</row>
    <row r="3813" ht="15.75" customHeight="1">
      <c r="A3813" s="18" t="str">
        <f>Descargas!A3813</f>
        <v>2865@gadisel.com</v>
      </c>
      <c r="B3813" s="19" t="str">
        <f>IFERROR(__xludf.DUMMYFUNCTION("IF(OR(regexmatch(A3813,"".*@simon.es$""),REGEXMATCH(A3813,"".*@simon.pt$""),REGEXMATCH(A3813,"".*@simonelectrica.com$""),REGEXMATCH(A3813,"".*@hiberus.com$""),REGEXMATCH(A3813,"".*@simonbrico.es$""),regexmatch(A3813,"".*@simonelectric.com$"")),""null"",A3"&amp;"813)"),"2865@gadisel.com")</f>
        <v>2865@gadisel.com</v>
      </c>
      <c r="C3813" s="5">
        <f>IF(B3813="null","null",Descargas!B3813)</f>
        <v>43859</v>
      </c>
      <c r="D3813" s="6" t="str">
        <f>Descargas!E3813</f>
        <v>https://resources.simonelectric.com/simon-ebook-vehiculo-electrico</v>
      </c>
      <c r="E3813" s="20" t="str">
        <f t="shared" si="1"/>
        <v>2865@gadisel.com</v>
      </c>
      <c r="F3813" s="21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</row>
    <row r="3814" ht="15.75" customHeight="1">
      <c r="A3814" s="18" t="str">
        <f>Descargas!A3814</f>
        <v>2252@energestic.es</v>
      </c>
      <c r="B3814" s="19" t="str">
        <f>IFERROR(__xludf.DUMMYFUNCTION("IF(OR(regexmatch(A3814,"".*@simon.es$""),REGEXMATCH(A3814,"".*@simon.pt$""),REGEXMATCH(A3814,"".*@simonelectrica.com$""),REGEXMATCH(A3814,"".*@hiberus.com$""),REGEXMATCH(A3814,"".*@simonbrico.es$""),regexmatch(A3814,"".*@simonelectric.com$"")),""null"",A3"&amp;"814)"),"2252@energestic.es")</f>
        <v>2252@energestic.es</v>
      </c>
      <c r="C3814" s="5">
        <f>IF(B3814="null","null",Descargas!B3814)</f>
        <v>43859</v>
      </c>
      <c r="D3814" s="6" t="str">
        <f>Descargas!E3814</f>
        <v>https://resources.simonelectric.com/simon-ebook-vehiculo-electrico</v>
      </c>
      <c r="E3814" s="20" t="str">
        <f t="shared" si="1"/>
        <v>2252@energestic.es</v>
      </c>
      <c r="F3814" s="21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</row>
    <row r="3815" ht="15.75" customHeight="1">
      <c r="A3815" s="18" t="str">
        <f>Descargas!A3815</f>
        <v>2866@hotmail.com</v>
      </c>
      <c r="B3815" s="19" t="str">
        <f>IFERROR(__xludf.DUMMYFUNCTION("IF(OR(regexmatch(A3815,"".*@simon.es$""),REGEXMATCH(A3815,"".*@simon.pt$""),REGEXMATCH(A3815,"".*@simonelectrica.com$""),REGEXMATCH(A3815,"".*@hiberus.com$""),REGEXMATCH(A3815,"".*@simonbrico.es$""),regexmatch(A3815,"".*@simonelectric.com$"")),""null"",A3"&amp;"815)"),"2866@hotmail.com")</f>
        <v>2866@hotmail.com</v>
      </c>
      <c r="C3815" s="5">
        <f>IF(B3815="null","null",Descargas!B3815)</f>
        <v>43859</v>
      </c>
      <c r="D3815" s="6" t="str">
        <f>Descargas!E3815</f>
        <v>https://resources.simonelectric.com/simon-ebook-vehiculo-electrico</v>
      </c>
      <c r="E3815" s="20" t="str">
        <f t="shared" si="1"/>
        <v>2866@hotmail.com</v>
      </c>
      <c r="F3815" s="21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</row>
    <row r="3816" ht="15.75" customHeight="1">
      <c r="A3816" s="18" t="str">
        <f>Descargas!A3816</f>
        <v>2252@energestic.es</v>
      </c>
      <c r="B3816" s="19" t="str">
        <f>IFERROR(__xludf.DUMMYFUNCTION("IF(OR(regexmatch(A3816,"".*@simon.es$""),REGEXMATCH(A3816,"".*@simon.pt$""),REGEXMATCH(A3816,"".*@simonelectrica.com$""),REGEXMATCH(A3816,"".*@hiberus.com$""),REGEXMATCH(A3816,"".*@simonbrico.es$""),regexmatch(A3816,"".*@simonelectric.com$"")),""null"",A3"&amp;"816)"),"2252@energestic.es")</f>
        <v>2252@energestic.es</v>
      </c>
      <c r="C3816" s="5">
        <f>IF(B3816="null","null",Descargas!B3816)</f>
        <v>43859</v>
      </c>
      <c r="D3816" s="6" t="str">
        <f>Descargas!E3816</f>
        <v>https://resources.simonelectric.com/simon-ebook-vehiculo-electrico</v>
      </c>
      <c r="E3816" s="20" t="str">
        <f t="shared" si="1"/>
        <v>2252@energestic.es</v>
      </c>
      <c r="F3816" s="21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</row>
    <row r="3817" ht="15.75" customHeight="1">
      <c r="A3817" s="18" t="str">
        <f>Descargas!A3817</f>
        <v>2867@jqadvisors.com</v>
      </c>
      <c r="B3817" s="19" t="str">
        <f>IFERROR(__xludf.DUMMYFUNCTION("IF(OR(regexmatch(A3817,"".*@simon.es$""),REGEXMATCH(A3817,"".*@simon.pt$""),REGEXMATCH(A3817,"".*@simonelectrica.com$""),REGEXMATCH(A3817,"".*@hiberus.com$""),REGEXMATCH(A3817,"".*@simonbrico.es$""),regexmatch(A3817,"".*@simonelectric.com$"")),""null"",A3"&amp;"817)"),"2867@jqadvisors.com")</f>
        <v>2867@jqadvisors.com</v>
      </c>
      <c r="C3817" s="5">
        <f>IF(B3817="null","null",Descargas!B3817)</f>
        <v>43858</v>
      </c>
      <c r="D3817" s="6" t="str">
        <f>Descargas!E3817</f>
        <v>https://resources.simonelectric.com/simon-ebook-vehiculo-electrico</v>
      </c>
      <c r="E3817" s="20" t="str">
        <f t="shared" si="1"/>
        <v>2867@jqadvisors.com</v>
      </c>
      <c r="F3817" s="21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</row>
    <row r="3818" ht="15.75" customHeight="1">
      <c r="A3818" s="18" t="str">
        <f>Descargas!A3818</f>
        <v>2868@cipfplacostera.com</v>
      </c>
      <c r="B3818" s="19" t="str">
        <f>IFERROR(__xludf.DUMMYFUNCTION("IF(OR(regexmatch(A3818,"".*@simon.es$""),REGEXMATCH(A3818,"".*@simon.pt$""),REGEXMATCH(A3818,"".*@simonelectrica.com$""),REGEXMATCH(A3818,"".*@hiberus.com$""),REGEXMATCH(A3818,"".*@simonbrico.es$""),regexmatch(A3818,"".*@simonelectric.com$"")),""null"",A3"&amp;"818)"),"2868@cipfplacostera.com")</f>
        <v>2868@cipfplacostera.com</v>
      </c>
      <c r="C3818" s="5">
        <f>IF(B3818="null","null",Descargas!B3818)</f>
        <v>43858</v>
      </c>
      <c r="D3818" s="6" t="str">
        <f>Descargas!E3818</f>
        <v>https://resources.simonelectric.com/simon-catalogo-vehiculo-electrico</v>
      </c>
      <c r="E3818" s="20" t="str">
        <f t="shared" si="1"/>
        <v>2868@cipfplacostera.com</v>
      </c>
      <c r="F3818" s="21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</row>
    <row r="3819" ht="15.75" customHeight="1">
      <c r="A3819" s="18" t="str">
        <f>Descargas!A3819</f>
        <v>2868@cipfplacostera.com</v>
      </c>
      <c r="B3819" s="19" t="str">
        <f>IFERROR(__xludf.DUMMYFUNCTION("IF(OR(regexmatch(A3819,"".*@simon.es$""),REGEXMATCH(A3819,"".*@simon.pt$""),REGEXMATCH(A3819,"".*@simonelectrica.com$""),REGEXMATCH(A3819,"".*@hiberus.com$""),REGEXMATCH(A3819,"".*@simonbrico.es$""),regexmatch(A3819,"".*@simonelectric.com$"")),""null"",A3"&amp;"819)"),"2868@cipfplacostera.com")</f>
        <v>2868@cipfplacostera.com</v>
      </c>
      <c r="C3819" s="5">
        <f>IF(B3819="null","null",Descargas!B3819)</f>
        <v>43858</v>
      </c>
      <c r="D3819" s="6" t="str">
        <f>Descargas!E3819</f>
        <v>https://resources.simonelectric.com/simon-ebook-vehiculo-electrico</v>
      </c>
      <c r="E3819" s="20" t="str">
        <f t="shared" si="1"/>
        <v>2868@cipfplacostera.com</v>
      </c>
      <c r="F3819" s="21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</row>
    <row r="3820" ht="15.75" customHeight="1">
      <c r="A3820" s="18" t="str">
        <f>Descargas!A3820</f>
        <v>2869@montajes-medyp.com</v>
      </c>
      <c r="B3820" s="19" t="str">
        <f>IFERROR(__xludf.DUMMYFUNCTION("IF(OR(regexmatch(A3820,"".*@simon.es$""),REGEXMATCH(A3820,"".*@simon.pt$""),REGEXMATCH(A3820,"".*@simonelectrica.com$""),REGEXMATCH(A3820,"".*@hiberus.com$""),REGEXMATCH(A3820,"".*@simonbrico.es$""),regexmatch(A3820,"".*@simonelectric.com$"")),""null"",A3"&amp;"820)"),"2869@montajes-medyp.com")</f>
        <v>2869@montajes-medyp.com</v>
      </c>
      <c r="C3820" s="5">
        <f>IF(B3820="null","null",Descargas!B3820)</f>
        <v>43858</v>
      </c>
      <c r="D3820" s="6" t="str">
        <f>Descargas!E3820</f>
        <v>https://resources.simonelectric.com/simon-ebook-vehiculo-electrico</v>
      </c>
      <c r="E3820" s="20" t="str">
        <f t="shared" si="1"/>
        <v>2869@montajes-medyp.com</v>
      </c>
      <c r="F3820" s="21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</row>
    <row r="3821" ht="15.75" customHeight="1">
      <c r="A3821" s="18" t="str">
        <f>Descargas!A3821</f>
        <v>2869@montajes-medyp.com</v>
      </c>
      <c r="B3821" s="19" t="str">
        <f>IFERROR(__xludf.DUMMYFUNCTION("IF(OR(regexmatch(A3821,"".*@simon.es$""),REGEXMATCH(A3821,"".*@simon.pt$""),REGEXMATCH(A3821,"".*@simonelectrica.com$""),REGEXMATCH(A3821,"".*@hiberus.com$""),REGEXMATCH(A3821,"".*@simonbrico.es$""),regexmatch(A3821,"".*@simonelectric.com$"")),""null"",A3"&amp;"821)"),"2869@montajes-medyp.com")</f>
        <v>2869@montajes-medyp.com</v>
      </c>
      <c r="C3821" s="5">
        <f>IF(B3821="null","null",Descargas!B3821)</f>
        <v>43858</v>
      </c>
      <c r="D3821" s="6" t="str">
        <f>Descargas!E3821</f>
        <v>https://resources.simonelectric.com/simon-catalogo-vehiculo-electrico</v>
      </c>
      <c r="E3821" s="20" t="str">
        <f t="shared" si="1"/>
        <v>2869@montajes-medyp.com</v>
      </c>
      <c r="F3821" s="21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</row>
    <row r="3822" ht="15.75" customHeight="1">
      <c r="A3822" s="18" t="str">
        <f>Descargas!A3822</f>
        <v>2870@yahoo.com</v>
      </c>
      <c r="B3822" s="19" t="str">
        <f>IFERROR(__xludf.DUMMYFUNCTION("IF(OR(regexmatch(A3822,"".*@simon.es$""),REGEXMATCH(A3822,"".*@simon.pt$""),REGEXMATCH(A3822,"".*@simonelectrica.com$""),REGEXMATCH(A3822,"".*@hiberus.com$""),REGEXMATCH(A3822,"".*@simonbrico.es$""),regexmatch(A3822,"".*@simonelectric.com$"")),""null"",A3"&amp;"822)"),"2870@yahoo.com")</f>
        <v>2870@yahoo.com</v>
      </c>
      <c r="C3822" s="5">
        <f>IF(B3822="null","null",Descargas!B3822)</f>
        <v>43857</v>
      </c>
      <c r="D3822" s="6" t="str">
        <f>Descargas!E3822</f>
        <v>https://resources.simonelectric.com/simon-ebook-vehiculo-electrico</v>
      </c>
      <c r="E3822" s="20" t="str">
        <f t="shared" si="1"/>
        <v>2870@yahoo.com</v>
      </c>
      <c r="F3822" s="21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</row>
    <row r="3823" ht="15.75" customHeight="1">
      <c r="A3823" s="18" t="str">
        <f>Descargas!A3823</f>
        <v>2871@assinsta.com</v>
      </c>
      <c r="B3823" s="19" t="str">
        <f>IFERROR(__xludf.DUMMYFUNCTION("IF(OR(regexmatch(A3823,"".*@simon.es$""),REGEXMATCH(A3823,"".*@simon.pt$""),REGEXMATCH(A3823,"".*@simonelectrica.com$""),REGEXMATCH(A3823,"".*@hiberus.com$""),REGEXMATCH(A3823,"".*@simonbrico.es$""),regexmatch(A3823,"".*@simonelectric.com$"")),""null"",A3"&amp;"823)"),"2871@assinsta.com")</f>
        <v>2871@assinsta.com</v>
      </c>
      <c r="C3823" s="5">
        <f>IF(B3823="null","null",Descargas!B3823)</f>
        <v>43857</v>
      </c>
      <c r="D3823" s="6" t="str">
        <f>Descargas!E3823</f>
        <v>https://resources.simonelectric.com/simon-ebook-vehiculo-electrico</v>
      </c>
      <c r="E3823" s="20" t="str">
        <f t="shared" si="1"/>
        <v>2871@assinsta.com</v>
      </c>
      <c r="F3823" s="21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</row>
    <row r="3824" ht="15.75" customHeight="1">
      <c r="A3824" s="18" t="str">
        <f>Descargas!A3824</f>
        <v>2872@hotmail.com</v>
      </c>
      <c r="B3824" s="19" t="str">
        <f>IFERROR(__xludf.DUMMYFUNCTION("IF(OR(regexmatch(A3824,"".*@simon.es$""),REGEXMATCH(A3824,"".*@simon.pt$""),REGEXMATCH(A3824,"".*@simonelectrica.com$""),REGEXMATCH(A3824,"".*@hiberus.com$""),REGEXMATCH(A3824,"".*@simonbrico.es$""),regexmatch(A3824,"".*@simonelectric.com$"")),""null"",A3"&amp;"824)"),"2872@hotmail.com")</f>
        <v>2872@hotmail.com</v>
      </c>
      <c r="C3824" s="5">
        <f>IF(B3824="null","null",Descargas!B3824)</f>
        <v>43857</v>
      </c>
      <c r="D3824" s="6" t="str">
        <f>Descargas!E3824</f>
        <v>https://resources.simonelectric.com/simon-ebook-vehiculo-electrico</v>
      </c>
      <c r="E3824" s="20" t="str">
        <f t="shared" si="1"/>
        <v>2872@hotmail.com</v>
      </c>
      <c r="F3824" s="21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</row>
    <row r="3825" ht="15.75" customHeight="1">
      <c r="A3825" s="18" t="str">
        <f>Descargas!A3825</f>
        <v>2873@gmail.com</v>
      </c>
      <c r="B3825" s="19" t="str">
        <f>IFERROR(__xludf.DUMMYFUNCTION("IF(OR(regexmatch(A3825,"".*@simon.es$""),REGEXMATCH(A3825,"".*@simon.pt$""),REGEXMATCH(A3825,"".*@simonelectrica.com$""),REGEXMATCH(A3825,"".*@hiberus.com$""),REGEXMATCH(A3825,"".*@simonbrico.es$""),regexmatch(A3825,"".*@simonelectric.com$"")),""null"",A3"&amp;"825)"),"2873@gmail.com")</f>
        <v>2873@gmail.com</v>
      </c>
      <c r="C3825" s="5">
        <f>IF(B3825="null","null",Descargas!B3825)</f>
        <v>43857</v>
      </c>
      <c r="D3825" s="6" t="str">
        <f>Descargas!E3825</f>
        <v>https://resources.simonelectric.com/simon-catalogo-vehiculo-electrico</v>
      </c>
      <c r="E3825" s="20" t="str">
        <f t="shared" si="1"/>
        <v>2873@gmail.com</v>
      </c>
      <c r="F3825" s="21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</row>
    <row r="3826" ht="15.75" customHeight="1">
      <c r="A3826" s="18" t="str">
        <f>Descargas!A3826</f>
        <v>2874@broa.net</v>
      </c>
      <c r="B3826" s="19" t="str">
        <f>IFERROR(__xludf.DUMMYFUNCTION("IF(OR(regexmatch(A3826,"".*@simon.es$""),REGEXMATCH(A3826,"".*@simon.pt$""),REGEXMATCH(A3826,"".*@simonelectrica.com$""),REGEXMATCH(A3826,"".*@hiberus.com$""),REGEXMATCH(A3826,"".*@simonbrico.es$""),regexmatch(A3826,"".*@simonelectric.com$"")),""null"",A3"&amp;"826)"),"2874@broa.net")</f>
        <v>2874@broa.net</v>
      </c>
      <c r="C3826" s="5">
        <f>IF(B3826="null","null",Descargas!B3826)</f>
        <v>43857</v>
      </c>
      <c r="D3826" s="6" t="str">
        <f>Descargas!E3826</f>
        <v>https://resources.simonelectric.com/simon-ebook-vehiculo-electrico</v>
      </c>
      <c r="E3826" s="20" t="str">
        <f t="shared" si="1"/>
        <v>2874@broa.net</v>
      </c>
      <c r="F3826" s="21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</row>
    <row r="3827" ht="15.75" customHeight="1">
      <c r="A3827" s="18" t="str">
        <f>Descargas!A3827</f>
        <v>8@gomezmoreno.com</v>
      </c>
      <c r="B3827" s="19" t="str">
        <f>IFERROR(__xludf.DUMMYFUNCTION("IF(OR(regexmatch(A3827,"".*@simon.es$""),REGEXMATCH(A3827,"".*@simon.pt$""),REGEXMATCH(A3827,"".*@simonelectrica.com$""),REGEXMATCH(A3827,"".*@hiberus.com$""),REGEXMATCH(A3827,"".*@simonbrico.es$""),regexmatch(A3827,"".*@simonelectric.com$"")),""null"",A3"&amp;"827)"),"8@gomezmoreno.com")</f>
        <v>8@gomezmoreno.com</v>
      </c>
      <c r="C3827" s="5">
        <f>IF(B3827="null","null",Descargas!B3827)</f>
        <v>43857</v>
      </c>
      <c r="D3827" s="6" t="str">
        <f>Descargas!E3827</f>
        <v>https://resources.simonelectric.com/simon-catalogo-vehiculo-electrico</v>
      </c>
      <c r="E3827" s="20" t="str">
        <f t="shared" si="1"/>
        <v>8@gomezmoreno.com</v>
      </c>
      <c r="F3827" s="21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</row>
    <row r="3828" ht="15.75" customHeight="1">
      <c r="A3828" s="18" t="str">
        <f>Descargas!A3828</f>
        <v>8@gomezmoreno.com</v>
      </c>
      <c r="B3828" s="19" t="str">
        <f>IFERROR(__xludf.DUMMYFUNCTION("IF(OR(regexmatch(A3828,"".*@simon.es$""),REGEXMATCH(A3828,"".*@simon.pt$""),REGEXMATCH(A3828,"".*@simonelectrica.com$""),REGEXMATCH(A3828,"".*@hiberus.com$""),REGEXMATCH(A3828,"".*@simonbrico.es$""),regexmatch(A3828,"".*@simonelectric.com$"")),""null"",A3"&amp;"828)"),"8@gomezmoreno.com")</f>
        <v>8@gomezmoreno.com</v>
      </c>
      <c r="C3828" s="5">
        <f>IF(B3828="null","null",Descargas!B3828)</f>
        <v>43857</v>
      </c>
      <c r="D3828" s="6" t="str">
        <f>Descargas!E3828</f>
        <v>https://resources.simonelectric.com/simon-ebook-vehiculo-electrico</v>
      </c>
      <c r="E3828" s="20" t="str">
        <f t="shared" si="1"/>
        <v>8@gomezmoreno.com</v>
      </c>
      <c r="F3828" s="21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</row>
    <row r="3829" ht="15.75" customHeight="1">
      <c r="A3829" s="18" t="str">
        <f>Descargas!A3829</f>
        <v>2875@ulper.es</v>
      </c>
      <c r="B3829" s="19" t="str">
        <f>IFERROR(__xludf.DUMMYFUNCTION("IF(OR(regexmatch(A3829,"".*@simon.es$""),REGEXMATCH(A3829,"".*@simon.pt$""),REGEXMATCH(A3829,"".*@simonelectrica.com$""),REGEXMATCH(A3829,"".*@hiberus.com$""),REGEXMATCH(A3829,"".*@simonbrico.es$""),regexmatch(A3829,"".*@simonelectric.com$"")),""null"",A3"&amp;"829)"),"2875@ulper.es")</f>
        <v>2875@ulper.es</v>
      </c>
      <c r="C3829" s="5">
        <f>IF(B3829="null","null",Descargas!B3829)</f>
        <v>43857</v>
      </c>
      <c r="D3829" s="6" t="str">
        <f>Descargas!E3829</f>
        <v>https://resources.simonelectric.com/simon-catalogo-vehiculo-electrico</v>
      </c>
      <c r="E3829" s="20" t="str">
        <f t="shared" si="1"/>
        <v>2875@ulper.es</v>
      </c>
      <c r="F3829" s="21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</row>
    <row r="3830" ht="15.75" customHeight="1">
      <c r="A3830" s="18" t="str">
        <f>Descargas!A3830</f>
        <v>2876@gmail.com</v>
      </c>
      <c r="B3830" s="19" t="str">
        <f>IFERROR(__xludf.DUMMYFUNCTION("IF(OR(regexmatch(A3830,"".*@simon.es$""),REGEXMATCH(A3830,"".*@simon.pt$""),REGEXMATCH(A3830,"".*@simonelectrica.com$""),REGEXMATCH(A3830,"".*@hiberus.com$""),REGEXMATCH(A3830,"".*@simonbrico.es$""),regexmatch(A3830,"".*@simonelectric.com$"")),""null"",A3"&amp;"830)"),"2876@gmail.com")</f>
        <v>2876@gmail.com</v>
      </c>
      <c r="C3830" s="5">
        <f>IF(B3830="null","null",Descargas!B3830)</f>
        <v>43857</v>
      </c>
      <c r="D3830" s="6" t="str">
        <f>Descargas!E3830</f>
        <v>https://resources.simonelectric.com/simon-ebook-vehiculo-electrico</v>
      </c>
      <c r="E3830" s="20" t="str">
        <f t="shared" si="1"/>
        <v>2876@gmail.com</v>
      </c>
      <c r="F3830" s="21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</row>
    <row r="3831" ht="15.75" customHeight="1">
      <c r="A3831" s="18" t="str">
        <f>Descargas!A3831</f>
        <v>2877@gammasg.com</v>
      </c>
      <c r="B3831" s="19" t="str">
        <f>IFERROR(__xludf.DUMMYFUNCTION("IF(OR(regexmatch(A3831,"".*@simon.es$""),REGEXMATCH(A3831,"".*@simon.pt$""),REGEXMATCH(A3831,"".*@simonelectrica.com$""),REGEXMATCH(A3831,"".*@hiberus.com$""),REGEXMATCH(A3831,"".*@simonbrico.es$""),regexmatch(A3831,"".*@simonelectric.com$"")),""null"",A3"&amp;"831)"),"2877@gammasg.com")</f>
        <v>2877@gammasg.com</v>
      </c>
      <c r="C3831" s="5">
        <f>IF(B3831="null","null",Descargas!B3831)</f>
        <v>43857</v>
      </c>
      <c r="D3831" s="6" t="str">
        <f>Descargas!E3831</f>
        <v>https://resources.simonelectric.com/simon-catalogo-vehiculo-electrico</v>
      </c>
      <c r="E3831" s="20" t="str">
        <f t="shared" si="1"/>
        <v>2877@gammasg.com</v>
      </c>
      <c r="F3831" s="21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</row>
    <row r="3832" ht="15.75" customHeight="1">
      <c r="A3832" s="18" t="str">
        <f>Descargas!A3832</f>
        <v>2878@grupojab.es</v>
      </c>
      <c r="B3832" s="19" t="str">
        <f>IFERROR(__xludf.DUMMYFUNCTION("IF(OR(regexmatch(A3832,"".*@simon.es$""),REGEXMATCH(A3832,"".*@simon.pt$""),REGEXMATCH(A3832,"".*@simonelectrica.com$""),REGEXMATCH(A3832,"".*@hiberus.com$""),REGEXMATCH(A3832,"".*@simonbrico.es$""),regexmatch(A3832,"".*@simonelectric.com$"")),""null"",A3"&amp;"832)"),"2878@grupojab.es")</f>
        <v>2878@grupojab.es</v>
      </c>
      <c r="C3832" s="5">
        <f>IF(B3832="null","null",Descargas!B3832)</f>
        <v>43857</v>
      </c>
      <c r="D3832" s="6" t="str">
        <f>Descargas!E3832</f>
        <v>https://resources.simonelectric.com/simon-ebook-vehiculo-electrico</v>
      </c>
      <c r="E3832" s="20" t="str">
        <f t="shared" si="1"/>
        <v>2878@grupojab.es</v>
      </c>
      <c r="F3832" s="21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</row>
    <row r="3833" ht="15.75" customHeight="1">
      <c r="A3833" s="18" t="str">
        <f>Descargas!A3833</f>
        <v>2879@hbalcells.com</v>
      </c>
      <c r="B3833" s="19" t="str">
        <f>IFERROR(__xludf.DUMMYFUNCTION("IF(OR(regexmatch(A3833,"".*@simon.es$""),REGEXMATCH(A3833,"".*@simon.pt$""),REGEXMATCH(A3833,"".*@simonelectrica.com$""),REGEXMATCH(A3833,"".*@hiberus.com$""),REGEXMATCH(A3833,"".*@simonbrico.es$""),regexmatch(A3833,"".*@simonelectric.com$"")),""null"",A3"&amp;"833)"),"2879@hbalcells.com")</f>
        <v>2879@hbalcells.com</v>
      </c>
      <c r="C3833" s="5">
        <f>IF(B3833="null","null",Descargas!B3833)</f>
        <v>43856</v>
      </c>
      <c r="D3833" s="6" t="str">
        <f>Descargas!E3833</f>
        <v>https://resources.simonelectric.com/simon-ebook-vehiculo-electrico</v>
      </c>
      <c r="E3833" s="20" t="str">
        <f t="shared" si="1"/>
        <v>2879@hbalcells.com</v>
      </c>
      <c r="F3833" s="21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</row>
    <row r="3834" ht="15.75" customHeight="1">
      <c r="A3834" s="18" t="str">
        <f>Descargas!A3834</f>
        <v>2880@alfasel.es</v>
      </c>
      <c r="B3834" s="19" t="str">
        <f>IFERROR(__xludf.DUMMYFUNCTION("IF(OR(regexmatch(A3834,"".*@simon.es$""),REGEXMATCH(A3834,"".*@simon.pt$""),REGEXMATCH(A3834,"".*@simonelectrica.com$""),REGEXMATCH(A3834,"".*@hiberus.com$""),REGEXMATCH(A3834,"".*@simonbrico.es$""),regexmatch(A3834,"".*@simonelectric.com$"")),""null"",A3"&amp;"834)"),"2880@alfasel.es")</f>
        <v>2880@alfasel.es</v>
      </c>
      <c r="C3834" s="5">
        <f>IF(B3834="null","null",Descargas!B3834)</f>
        <v>43856</v>
      </c>
      <c r="D3834" s="6" t="str">
        <f>Descargas!E3834</f>
        <v>https://resources.simonelectric.com/simon-catalogo-vehiculo-electrico</v>
      </c>
      <c r="E3834" s="20" t="str">
        <f t="shared" si="1"/>
        <v>2880@alfasel.es</v>
      </c>
      <c r="F3834" s="21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</row>
    <row r="3835" ht="15.75" customHeight="1">
      <c r="A3835" s="18" t="str">
        <f>Descargas!A3835</f>
        <v>2880@alfasel.es</v>
      </c>
      <c r="B3835" s="19" t="str">
        <f>IFERROR(__xludf.DUMMYFUNCTION("IF(OR(regexmatch(A3835,"".*@simon.es$""),REGEXMATCH(A3835,"".*@simon.pt$""),REGEXMATCH(A3835,"".*@simonelectrica.com$""),REGEXMATCH(A3835,"".*@hiberus.com$""),REGEXMATCH(A3835,"".*@simonbrico.es$""),regexmatch(A3835,"".*@simonelectric.com$"")),""null"",A3"&amp;"835)"),"2880@alfasel.es")</f>
        <v>2880@alfasel.es</v>
      </c>
      <c r="C3835" s="5">
        <f>IF(B3835="null","null",Descargas!B3835)</f>
        <v>43856</v>
      </c>
      <c r="D3835" s="6" t="str">
        <f>Descargas!E3835</f>
        <v>https://resources.simonelectric.com/simon-ebook-vehiculo-electrico</v>
      </c>
      <c r="E3835" s="20" t="str">
        <f t="shared" si="1"/>
        <v>2880@alfasel.es</v>
      </c>
      <c r="F3835" s="21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</row>
    <row r="3836" ht="15.75" customHeight="1">
      <c r="A3836" s="18" t="str">
        <f>Descargas!A3836</f>
        <v>1286@instalacionespiru.es</v>
      </c>
      <c r="B3836" s="19" t="str">
        <f>IFERROR(__xludf.DUMMYFUNCTION("IF(OR(regexmatch(A3836,"".*@simon.es$""),REGEXMATCH(A3836,"".*@simon.pt$""),REGEXMATCH(A3836,"".*@simonelectrica.com$""),REGEXMATCH(A3836,"".*@hiberus.com$""),REGEXMATCH(A3836,"".*@simonbrico.es$""),regexmatch(A3836,"".*@simonelectric.com$"")),""null"",A3"&amp;"836)"),"1286@instalacionespiru.es")</f>
        <v>1286@instalacionespiru.es</v>
      </c>
      <c r="C3836" s="5">
        <f>IF(B3836="null","null",Descargas!B3836)</f>
        <v>43856</v>
      </c>
      <c r="D3836" s="6" t="str">
        <f>Descargas!E3836</f>
        <v>https://resources.simonelectric.com/simon-catalogo-vehiculo-electrico</v>
      </c>
      <c r="E3836" s="20" t="str">
        <f t="shared" si="1"/>
        <v>1286@instalacionespiru.es</v>
      </c>
      <c r="F3836" s="21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</row>
    <row r="3837" ht="15.75" customHeight="1">
      <c r="A3837" s="18" t="str">
        <f>Descargas!A3837</f>
        <v>2881@hotmail.com</v>
      </c>
      <c r="B3837" s="19" t="str">
        <f>IFERROR(__xludf.DUMMYFUNCTION("IF(OR(regexmatch(A3837,"".*@simon.es$""),REGEXMATCH(A3837,"".*@simon.pt$""),REGEXMATCH(A3837,"".*@simonelectrica.com$""),REGEXMATCH(A3837,"".*@hiberus.com$""),REGEXMATCH(A3837,"".*@simonbrico.es$""),regexmatch(A3837,"".*@simonelectric.com$"")),""null"",A3"&amp;"837)"),"2881@hotmail.com")</f>
        <v>2881@hotmail.com</v>
      </c>
      <c r="C3837" s="5">
        <f>IF(B3837="null","null",Descargas!B3837)</f>
        <v>43854</v>
      </c>
      <c r="D3837" s="6" t="str">
        <f>Descargas!E3837</f>
        <v>https://resources.simonelectric.com/simon-ebook-vehiculo-electrico</v>
      </c>
      <c r="E3837" s="20" t="str">
        <f t="shared" si="1"/>
        <v>2881@hotmail.com</v>
      </c>
      <c r="F3837" s="21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</row>
    <row r="3838" ht="15.75" customHeight="1">
      <c r="A3838" s="18" t="str">
        <f>Descargas!A3838</f>
        <v>2882@secorsa.com</v>
      </c>
      <c r="B3838" s="19" t="str">
        <f>IFERROR(__xludf.DUMMYFUNCTION("IF(OR(regexmatch(A3838,"".*@simon.es$""),REGEXMATCH(A3838,"".*@simon.pt$""),REGEXMATCH(A3838,"".*@simonelectrica.com$""),REGEXMATCH(A3838,"".*@hiberus.com$""),REGEXMATCH(A3838,"".*@simonbrico.es$""),regexmatch(A3838,"".*@simonelectric.com$"")),""null"",A3"&amp;"838)"),"2882@secorsa.com")</f>
        <v>2882@secorsa.com</v>
      </c>
      <c r="C3838" s="5">
        <f>IF(B3838="null","null",Descargas!B3838)</f>
        <v>43854</v>
      </c>
      <c r="D3838" s="6" t="str">
        <f>Descargas!E3838</f>
        <v>https://resources.simonelectric.com/simon-ebook-vehiculo-electrico</v>
      </c>
      <c r="E3838" s="20" t="str">
        <f t="shared" si="1"/>
        <v>2882@secorsa.com</v>
      </c>
      <c r="F3838" s="21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</row>
    <row r="3839" ht="15.75" customHeight="1">
      <c r="A3839" s="18" t="str">
        <f>Descargas!A3839</f>
        <v>2883@acciona.com</v>
      </c>
      <c r="B3839" s="19" t="str">
        <f>IFERROR(__xludf.DUMMYFUNCTION("IF(OR(regexmatch(A3839,"".*@simon.es$""),REGEXMATCH(A3839,"".*@simon.pt$""),REGEXMATCH(A3839,"".*@simonelectrica.com$""),REGEXMATCH(A3839,"".*@hiberus.com$""),REGEXMATCH(A3839,"".*@simonbrico.es$""),regexmatch(A3839,"".*@simonelectric.com$"")),""null"",A3"&amp;"839)"),"2883@acciona.com")</f>
        <v>2883@acciona.com</v>
      </c>
      <c r="C3839" s="5">
        <f>IF(B3839="null","null",Descargas!B3839)</f>
        <v>43854</v>
      </c>
      <c r="D3839" s="6" t="str">
        <f>Descargas!E3839</f>
        <v>https://resources.simonelectric.com/simon-ebook-vehiculo-electrico</v>
      </c>
      <c r="E3839" s="20" t="str">
        <f t="shared" si="1"/>
        <v>2883@acciona.com</v>
      </c>
      <c r="F3839" s="21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</row>
    <row r="3840" ht="15.75" customHeight="1">
      <c r="A3840" s="18" t="str">
        <f>Descargas!A3840</f>
        <v>2884@gmail.com</v>
      </c>
      <c r="B3840" s="19" t="str">
        <f>IFERROR(__xludf.DUMMYFUNCTION("IF(OR(regexmatch(A3840,"".*@simon.es$""),REGEXMATCH(A3840,"".*@simon.pt$""),REGEXMATCH(A3840,"".*@simonelectrica.com$""),REGEXMATCH(A3840,"".*@hiberus.com$""),REGEXMATCH(A3840,"".*@simonbrico.es$""),regexmatch(A3840,"".*@simonelectric.com$"")),""null"",A3"&amp;"840)"),"2884@gmail.com")</f>
        <v>2884@gmail.com</v>
      </c>
      <c r="C3840" s="5">
        <f>IF(B3840="null","null",Descargas!B3840)</f>
        <v>43854</v>
      </c>
      <c r="D3840" s="6" t="str">
        <f>Descargas!E3840</f>
        <v>https://resources.simonelectric.com/simon-ebook-vehiculo-electrico</v>
      </c>
      <c r="E3840" s="20" t="str">
        <f t="shared" si="1"/>
        <v>2884@gmail.com</v>
      </c>
      <c r="F3840" s="21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</row>
    <row r="3841" ht="15.75" customHeight="1">
      <c r="A3841" s="18" t="str">
        <f>Descargas!A3841</f>
        <v>1607@talesingenieria.es</v>
      </c>
      <c r="B3841" s="19" t="str">
        <f>IFERROR(__xludf.DUMMYFUNCTION("IF(OR(regexmatch(A3841,"".*@simon.es$""),REGEXMATCH(A3841,"".*@simon.pt$""),REGEXMATCH(A3841,"".*@simonelectrica.com$""),REGEXMATCH(A3841,"".*@hiberus.com$""),REGEXMATCH(A3841,"".*@simonbrico.es$""),regexmatch(A3841,"".*@simonelectric.com$"")),""null"",A3"&amp;"841)"),"1607@talesingenieria.es")</f>
        <v>1607@talesingenieria.es</v>
      </c>
      <c r="C3841" s="5">
        <f>IF(B3841="null","null",Descargas!B3841)</f>
        <v>43854</v>
      </c>
      <c r="D3841" s="6" t="str">
        <f>Descargas!E3841</f>
        <v>https://resources.simonelectric.com/simon-catalogo-vehiculo-electrico</v>
      </c>
      <c r="E3841" s="20" t="str">
        <f t="shared" si="1"/>
        <v>1607@talesingenieria.es</v>
      </c>
      <c r="F3841" s="21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</row>
    <row r="3842" ht="15.75" customHeight="1">
      <c r="A3842" s="18" t="str">
        <f>Descargas!A3842</f>
        <v>2885@instalacionessegura.es</v>
      </c>
      <c r="B3842" s="19" t="str">
        <f>IFERROR(__xludf.DUMMYFUNCTION("IF(OR(regexmatch(A3842,"".*@simon.es$""),REGEXMATCH(A3842,"".*@simon.pt$""),REGEXMATCH(A3842,"".*@simonelectrica.com$""),REGEXMATCH(A3842,"".*@hiberus.com$""),REGEXMATCH(A3842,"".*@simonbrico.es$""),regexmatch(A3842,"".*@simonelectric.com$"")),""null"",A3"&amp;"842)"),"2885@instalacionessegura.es")</f>
        <v>2885@instalacionessegura.es</v>
      </c>
      <c r="C3842" s="5">
        <f>IF(B3842="null","null",Descargas!B3842)</f>
        <v>43853</v>
      </c>
      <c r="D3842" s="6" t="str">
        <f>Descargas!E3842</f>
        <v>https://resources.simonelectric.com/simon-ebook-vehiculo-electrico</v>
      </c>
      <c r="E3842" s="20" t="str">
        <f t="shared" si="1"/>
        <v>2885@instalacionessegura.es</v>
      </c>
      <c r="F3842" s="21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</row>
    <row r="3843" ht="15.75" customHeight="1">
      <c r="A3843" s="18" t="str">
        <f>Descargas!A3843</f>
        <v>2886@construroura.es</v>
      </c>
      <c r="B3843" s="19" t="str">
        <f>IFERROR(__xludf.DUMMYFUNCTION("IF(OR(regexmatch(A3843,"".*@simon.es$""),REGEXMATCH(A3843,"".*@simon.pt$""),REGEXMATCH(A3843,"".*@simonelectrica.com$""),REGEXMATCH(A3843,"".*@hiberus.com$""),REGEXMATCH(A3843,"".*@simonbrico.es$""),regexmatch(A3843,"".*@simonelectric.com$"")),""null"",A3"&amp;"843)"),"2886@construroura.es")</f>
        <v>2886@construroura.es</v>
      </c>
      <c r="C3843" s="5">
        <f>IF(B3843="null","null",Descargas!B3843)</f>
        <v>43853</v>
      </c>
      <c r="D3843" s="6" t="str">
        <f>Descargas!E3843</f>
        <v>https://resources.simonelectric.com/simon-ebook-vehiculo-electrico</v>
      </c>
      <c r="E3843" s="20" t="str">
        <f t="shared" si="1"/>
        <v>2886@construroura.es</v>
      </c>
      <c r="F3843" s="21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</row>
    <row r="3844" ht="15.75" customHeight="1">
      <c r="A3844" s="18" t="str">
        <f>Descargas!A3844</f>
        <v>1776@incat.cat</v>
      </c>
      <c r="B3844" s="19" t="str">
        <f>IFERROR(__xludf.DUMMYFUNCTION("IF(OR(regexmatch(A3844,"".*@simon.es$""),REGEXMATCH(A3844,"".*@simon.pt$""),REGEXMATCH(A3844,"".*@simonelectrica.com$""),REGEXMATCH(A3844,"".*@hiberus.com$""),REGEXMATCH(A3844,"".*@simonbrico.es$""),regexmatch(A3844,"".*@simonelectric.com$"")),""null"",A3"&amp;"844)"),"1776@incat.cat")</f>
        <v>1776@incat.cat</v>
      </c>
      <c r="C3844" s="5">
        <f>IF(B3844="null","null",Descargas!B3844)</f>
        <v>43853</v>
      </c>
      <c r="D3844" s="6" t="str">
        <f>Descargas!E3844</f>
        <v>https://resources.simonelectric.com/simon-catalogo-vehiculo-electrico</v>
      </c>
      <c r="E3844" s="20" t="str">
        <f t="shared" si="1"/>
        <v>1776@incat.cat</v>
      </c>
      <c r="F3844" s="21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</row>
    <row r="3845" ht="15.75" customHeight="1">
      <c r="A3845" s="18" t="str">
        <f>Descargas!A3845</f>
        <v>2887@indasasl.es</v>
      </c>
      <c r="B3845" s="19" t="str">
        <f>IFERROR(__xludf.DUMMYFUNCTION("IF(OR(regexmatch(A3845,"".*@simon.es$""),REGEXMATCH(A3845,"".*@simon.pt$""),REGEXMATCH(A3845,"".*@simonelectrica.com$""),REGEXMATCH(A3845,"".*@hiberus.com$""),REGEXMATCH(A3845,"".*@simonbrico.es$""),regexmatch(A3845,"".*@simonelectric.com$"")),""null"",A3"&amp;"845)"),"2887@indasasl.es")</f>
        <v>2887@indasasl.es</v>
      </c>
      <c r="C3845" s="5">
        <f>IF(B3845="null","null",Descargas!B3845)</f>
        <v>43853</v>
      </c>
      <c r="D3845" s="6" t="str">
        <f>Descargas!E3845</f>
        <v>https://resources.simonelectric.com/simon-catalogo-vehiculo-electrico</v>
      </c>
      <c r="E3845" s="20" t="str">
        <f t="shared" si="1"/>
        <v>2887@indasasl.es</v>
      </c>
      <c r="F3845" s="21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</row>
    <row r="3846" ht="15.75" customHeight="1">
      <c r="A3846" s="18" t="str">
        <f>Descargas!A3846</f>
        <v>2887@indasasl.es</v>
      </c>
      <c r="B3846" s="19" t="str">
        <f>IFERROR(__xludf.DUMMYFUNCTION("IF(OR(regexmatch(A3846,"".*@simon.es$""),REGEXMATCH(A3846,"".*@simon.pt$""),REGEXMATCH(A3846,"".*@simonelectrica.com$""),REGEXMATCH(A3846,"".*@hiberus.com$""),REGEXMATCH(A3846,"".*@simonbrico.es$""),regexmatch(A3846,"".*@simonelectric.com$"")),""null"",A3"&amp;"846)"),"2887@indasasl.es")</f>
        <v>2887@indasasl.es</v>
      </c>
      <c r="C3846" s="5">
        <f>IF(B3846="null","null",Descargas!B3846)</f>
        <v>43853</v>
      </c>
      <c r="D3846" s="6" t="str">
        <f>Descargas!E3846</f>
        <v>https://resources.simonelectric.com/simon-ebook-vehiculo-electrico</v>
      </c>
      <c r="E3846" s="20" t="str">
        <f t="shared" si="1"/>
        <v>2887@indasasl.es</v>
      </c>
      <c r="F3846" s="21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</row>
    <row r="3847" ht="15.75" customHeight="1">
      <c r="A3847" s="18" t="str">
        <f>Descargas!A3847</f>
        <v>2888@proalingenieros.com</v>
      </c>
      <c r="B3847" s="19" t="str">
        <f>IFERROR(__xludf.DUMMYFUNCTION("IF(OR(regexmatch(A3847,"".*@simon.es$""),REGEXMATCH(A3847,"".*@simon.pt$""),REGEXMATCH(A3847,"".*@simonelectrica.com$""),REGEXMATCH(A3847,"".*@hiberus.com$""),REGEXMATCH(A3847,"".*@simonbrico.es$""),regexmatch(A3847,"".*@simonelectric.com$"")),""null"",A3"&amp;"847)"),"2888@proalingenieros.com")</f>
        <v>2888@proalingenieros.com</v>
      </c>
      <c r="C3847" s="5">
        <f>IF(B3847="null","null",Descargas!B3847)</f>
        <v>43852</v>
      </c>
      <c r="D3847" s="6" t="str">
        <f>Descargas!E3847</f>
        <v>https://resources.simonelectric.com/simon-ebook-vehiculo-electrico</v>
      </c>
      <c r="E3847" s="20" t="str">
        <f t="shared" si="1"/>
        <v>2888@proalingenieros.com</v>
      </c>
      <c r="F3847" s="21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</row>
    <row r="3848" ht="15.75" customHeight="1">
      <c r="A3848" s="18" t="str">
        <f>Descargas!A3848</f>
        <v>2889@eurocabos.es</v>
      </c>
      <c r="B3848" s="19" t="str">
        <f>IFERROR(__xludf.DUMMYFUNCTION("IF(OR(regexmatch(A3848,"".*@simon.es$""),REGEXMATCH(A3848,"".*@simon.pt$""),REGEXMATCH(A3848,"".*@simonelectrica.com$""),REGEXMATCH(A3848,"".*@hiberus.com$""),REGEXMATCH(A3848,"".*@simonbrico.es$""),regexmatch(A3848,"".*@simonelectric.com$"")),""null"",A3"&amp;"848)"),"2889@eurocabos.es")</f>
        <v>2889@eurocabos.es</v>
      </c>
      <c r="C3848" s="5">
        <f>IF(B3848="null","null",Descargas!B3848)</f>
        <v>43852</v>
      </c>
      <c r="D3848" s="6" t="str">
        <f>Descargas!E3848</f>
        <v>https://resources.simonelectric.com/simon-ebook-vehiculo-electrico</v>
      </c>
      <c r="E3848" s="20" t="str">
        <f t="shared" si="1"/>
        <v>2889@eurocabos.es</v>
      </c>
      <c r="F3848" s="21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</row>
    <row r="3849" ht="15.75" customHeight="1">
      <c r="A3849" s="18" t="str">
        <f>Descargas!A3849</f>
        <v>2890@edu.xunta.es</v>
      </c>
      <c r="B3849" s="19" t="str">
        <f>IFERROR(__xludf.DUMMYFUNCTION("IF(OR(regexmatch(A3849,"".*@simon.es$""),REGEXMATCH(A3849,"".*@simon.pt$""),REGEXMATCH(A3849,"".*@simonelectrica.com$""),REGEXMATCH(A3849,"".*@hiberus.com$""),REGEXMATCH(A3849,"".*@simonbrico.es$""),regexmatch(A3849,"".*@simonelectric.com$"")),""null"",A3"&amp;"849)"),"2890@edu.xunta.es")</f>
        <v>2890@edu.xunta.es</v>
      </c>
      <c r="C3849" s="5">
        <f>IF(B3849="null","null",Descargas!B3849)</f>
        <v>43852</v>
      </c>
      <c r="D3849" s="6" t="str">
        <f>Descargas!E3849</f>
        <v>https://resources.simonelectric.com/simon-ebook-vehiculo-electrico</v>
      </c>
      <c r="E3849" s="20" t="str">
        <f t="shared" si="1"/>
        <v>2890@edu.xunta.es</v>
      </c>
      <c r="F3849" s="21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</row>
    <row r="3850" ht="15.75" customHeight="1">
      <c r="A3850" s="18" t="str">
        <f>Descargas!A3850</f>
        <v>2891@ingenibo.com</v>
      </c>
      <c r="B3850" s="19" t="str">
        <f>IFERROR(__xludf.DUMMYFUNCTION("IF(OR(regexmatch(A3850,"".*@simon.es$""),REGEXMATCH(A3850,"".*@simon.pt$""),REGEXMATCH(A3850,"".*@simonelectrica.com$""),REGEXMATCH(A3850,"".*@hiberus.com$""),REGEXMATCH(A3850,"".*@simonbrico.es$""),regexmatch(A3850,"".*@simonelectric.com$"")),""null"",A3"&amp;"850)"),"2891@ingenibo.com")</f>
        <v>2891@ingenibo.com</v>
      </c>
      <c r="C3850" s="5">
        <f>IF(B3850="null","null",Descargas!B3850)</f>
        <v>43852</v>
      </c>
      <c r="D3850" s="6" t="str">
        <f>Descargas!E3850</f>
        <v>https://resources.simonelectric.com/simon-catalogo-vehiculo-electrico</v>
      </c>
      <c r="E3850" s="20" t="str">
        <f t="shared" si="1"/>
        <v>2891@ingenibo.com</v>
      </c>
      <c r="F3850" s="21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</row>
    <row r="3851" ht="15.75" customHeight="1">
      <c r="A3851" s="18" t="str">
        <f>Descargas!A3851</f>
        <v>2891@ingenibo.com</v>
      </c>
      <c r="B3851" s="19" t="str">
        <f>IFERROR(__xludf.DUMMYFUNCTION("IF(OR(regexmatch(A3851,"".*@simon.es$""),REGEXMATCH(A3851,"".*@simon.pt$""),REGEXMATCH(A3851,"".*@simonelectrica.com$""),REGEXMATCH(A3851,"".*@hiberus.com$""),REGEXMATCH(A3851,"".*@simonbrico.es$""),regexmatch(A3851,"".*@simonelectric.com$"")),""null"",A3"&amp;"851)"),"2891@ingenibo.com")</f>
        <v>2891@ingenibo.com</v>
      </c>
      <c r="C3851" s="5">
        <f>IF(B3851="null","null",Descargas!B3851)</f>
        <v>43852</v>
      </c>
      <c r="D3851" s="6" t="str">
        <f>Descargas!E3851</f>
        <v>https://resources.simonelectric.com/simon-ebook-vehiculo-electrico</v>
      </c>
      <c r="E3851" s="20" t="str">
        <f t="shared" si="1"/>
        <v>2891@ingenibo.com</v>
      </c>
      <c r="F3851" s="21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</row>
    <row r="3852" ht="15.75" customHeight="1">
      <c r="A3852" s="18" t="str">
        <f>Descargas!A3852</f>
        <v>2892@gmail.com</v>
      </c>
      <c r="B3852" s="19" t="str">
        <f>IFERROR(__xludf.DUMMYFUNCTION("IF(OR(regexmatch(A3852,"".*@simon.es$""),REGEXMATCH(A3852,"".*@simon.pt$""),REGEXMATCH(A3852,"".*@simonelectrica.com$""),REGEXMATCH(A3852,"".*@hiberus.com$""),REGEXMATCH(A3852,"".*@simonbrico.es$""),regexmatch(A3852,"".*@simonelectric.com$"")),""null"",A3"&amp;"852)"),"2892@gmail.com")</f>
        <v>2892@gmail.com</v>
      </c>
      <c r="C3852" s="5">
        <f>IF(B3852="null","null",Descargas!B3852)</f>
        <v>43852</v>
      </c>
      <c r="D3852" s="6" t="str">
        <f>Descargas!E3852</f>
        <v>https://resources.simonelectric.com/simon-ebook-vehiculo-electrico</v>
      </c>
      <c r="E3852" s="20" t="str">
        <f t="shared" si="1"/>
        <v>2892@gmail.com</v>
      </c>
      <c r="F3852" s="21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</row>
    <row r="3853" ht="15.75" customHeight="1">
      <c r="A3853" s="18" t="str">
        <f>Descargas!A3853</f>
        <v>2893@yahoo.com</v>
      </c>
      <c r="B3853" s="19" t="str">
        <f>IFERROR(__xludf.DUMMYFUNCTION("IF(OR(regexmatch(A3853,"".*@simon.es$""),REGEXMATCH(A3853,"".*@simon.pt$""),REGEXMATCH(A3853,"".*@simonelectrica.com$""),REGEXMATCH(A3853,"".*@hiberus.com$""),REGEXMATCH(A3853,"".*@simonbrico.es$""),regexmatch(A3853,"".*@simonelectric.com$"")),""null"",A3"&amp;"853)"),"2893@yahoo.com")</f>
        <v>2893@yahoo.com</v>
      </c>
      <c r="C3853" s="5">
        <f>IF(B3853="null","null",Descargas!B3853)</f>
        <v>43851</v>
      </c>
      <c r="D3853" s="6" t="str">
        <f>Descargas!E3853</f>
        <v>https://resources.simonelectric.com/simon-ebook-vehiculo-electrico</v>
      </c>
      <c r="E3853" s="20" t="str">
        <f t="shared" si="1"/>
        <v>2893@yahoo.com</v>
      </c>
      <c r="F3853" s="21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</row>
    <row r="3854" ht="15.75" customHeight="1">
      <c r="A3854" s="18" t="str">
        <f>Descargas!A3854</f>
        <v>2894@me.com</v>
      </c>
      <c r="B3854" s="19" t="str">
        <f>IFERROR(__xludf.DUMMYFUNCTION("IF(OR(regexmatch(A3854,"".*@simon.es$""),REGEXMATCH(A3854,"".*@simon.pt$""),REGEXMATCH(A3854,"".*@simonelectrica.com$""),REGEXMATCH(A3854,"".*@hiberus.com$""),REGEXMATCH(A3854,"".*@simonbrico.es$""),regexmatch(A3854,"".*@simonelectric.com$"")),""null"",A3"&amp;"854)"),"2894@me.com")</f>
        <v>2894@me.com</v>
      </c>
      <c r="C3854" s="5">
        <f>IF(B3854="null","null",Descargas!B3854)</f>
        <v>43851</v>
      </c>
      <c r="D3854" s="6" t="str">
        <f>Descargas!E3854</f>
        <v>https://resources.simonelectric.com/simon-ebook-vehiculo-electrico</v>
      </c>
      <c r="E3854" s="20" t="str">
        <f t="shared" si="1"/>
        <v>2894@me.com</v>
      </c>
      <c r="F3854" s="21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</row>
    <row r="3855" ht="15.75" customHeight="1">
      <c r="A3855" s="18" t="str">
        <f>Descargas!A3855</f>
        <v>1628@solbesingenieros.com</v>
      </c>
      <c r="B3855" s="19" t="str">
        <f>IFERROR(__xludf.DUMMYFUNCTION("IF(OR(regexmatch(A3855,"".*@simon.es$""),REGEXMATCH(A3855,"".*@simon.pt$""),REGEXMATCH(A3855,"".*@simonelectrica.com$""),REGEXMATCH(A3855,"".*@hiberus.com$""),REGEXMATCH(A3855,"".*@simonbrico.es$""),regexmatch(A3855,"".*@simonelectric.com$"")),""null"",A3"&amp;"855)"),"1628@solbesingenieros.com")</f>
        <v>1628@solbesingenieros.com</v>
      </c>
      <c r="C3855" s="5">
        <f>IF(B3855="null","null",Descargas!B3855)</f>
        <v>43851</v>
      </c>
      <c r="D3855" s="6" t="str">
        <f>Descargas!E3855</f>
        <v>https://resources.simonelectric.com/simon-ebook-vehiculo-electrico</v>
      </c>
      <c r="E3855" s="20" t="str">
        <f t="shared" si="1"/>
        <v>1628@solbesingenieros.com</v>
      </c>
      <c r="F3855" s="21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</row>
    <row r="3856" ht="15.75" customHeight="1">
      <c r="A3856" s="18" t="str">
        <f>Descargas!A3856</f>
        <v>1628@solbesingenieros.com</v>
      </c>
      <c r="B3856" s="19" t="str">
        <f>IFERROR(__xludf.DUMMYFUNCTION("IF(OR(regexmatch(A3856,"".*@simon.es$""),REGEXMATCH(A3856,"".*@simon.pt$""),REGEXMATCH(A3856,"".*@simonelectrica.com$""),REGEXMATCH(A3856,"".*@hiberus.com$""),REGEXMATCH(A3856,"".*@simonbrico.es$""),regexmatch(A3856,"".*@simonelectric.com$"")),""null"",A3"&amp;"856)"),"1628@solbesingenieros.com")</f>
        <v>1628@solbesingenieros.com</v>
      </c>
      <c r="C3856" s="5">
        <f>IF(B3856="null","null",Descargas!B3856)</f>
        <v>43851</v>
      </c>
      <c r="D3856" s="6" t="str">
        <f>Descargas!E3856</f>
        <v>https://resources.simonelectric.com/simon-catalogo-vehiculo-electrico</v>
      </c>
      <c r="E3856" s="20" t="str">
        <f t="shared" si="1"/>
        <v>1628@solbesingenieros.com</v>
      </c>
      <c r="F3856" s="21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</row>
    <row r="3857" ht="15.75" customHeight="1">
      <c r="A3857" s="18" t="str">
        <f>Descargas!A3857</f>
        <v>2895@mundoled.net</v>
      </c>
      <c r="B3857" s="19" t="str">
        <f>IFERROR(__xludf.DUMMYFUNCTION("IF(OR(regexmatch(A3857,"".*@simon.es$""),REGEXMATCH(A3857,"".*@simon.pt$""),REGEXMATCH(A3857,"".*@simonelectrica.com$""),REGEXMATCH(A3857,"".*@hiberus.com$""),REGEXMATCH(A3857,"".*@simonbrico.es$""),regexmatch(A3857,"".*@simonelectric.com$"")),""null"",A3"&amp;"857)"),"2895@mundoled.net")</f>
        <v>2895@mundoled.net</v>
      </c>
      <c r="C3857" s="5">
        <f>IF(B3857="null","null",Descargas!B3857)</f>
        <v>43851</v>
      </c>
      <c r="D3857" s="6" t="str">
        <f>Descargas!E3857</f>
        <v>https://resources.simonelectric.com/simon-ebook-vehiculo-electrico</v>
      </c>
      <c r="E3857" s="20" t="str">
        <f t="shared" si="1"/>
        <v>2895@mundoled.net</v>
      </c>
      <c r="F3857" s="21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</row>
    <row r="3858" ht="15.75" customHeight="1">
      <c r="A3858" s="18" t="str">
        <f>Descargas!A3858</f>
        <v>2896@energia.eiffage.es</v>
      </c>
      <c r="B3858" s="19" t="str">
        <f>IFERROR(__xludf.DUMMYFUNCTION("IF(OR(regexmatch(A3858,"".*@simon.es$""),REGEXMATCH(A3858,"".*@simon.pt$""),REGEXMATCH(A3858,"".*@simonelectrica.com$""),REGEXMATCH(A3858,"".*@hiberus.com$""),REGEXMATCH(A3858,"".*@simonbrico.es$""),regexmatch(A3858,"".*@simonelectric.com$"")),""null"",A3"&amp;"858)"),"2896@energia.eiffage.es")</f>
        <v>2896@energia.eiffage.es</v>
      </c>
      <c r="C3858" s="5">
        <f>IF(B3858="null","null",Descargas!B3858)</f>
        <v>43851</v>
      </c>
      <c r="D3858" s="6" t="str">
        <f>Descargas!E3858</f>
        <v>https://resources.simonelectric.com/simon-ebook-vehiculo-electrico</v>
      </c>
      <c r="E3858" s="20" t="str">
        <f t="shared" si="1"/>
        <v>2896@energia.eiffage.es</v>
      </c>
      <c r="F3858" s="21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</row>
    <row r="3859" ht="15.75" customHeight="1">
      <c r="A3859" s="18" t="str">
        <f>Descargas!A3859</f>
        <v>2897@radytel.com</v>
      </c>
      <c r="B3859" s="19" t="str">
        <f>IFERROR(__xludf.DUMMYFUNCTION("IF(OR(regexmatch(A3859,"".*@simon.es$""),REGEXMATCH(A3859,"".*@simon.pt$""),REGEXMATCH(A3859,"".*@simonelectrica.com$""),REGEXMATCH(A3859,"".*@hiberus.com$""),REGEXMATCH(A3859,"".*@simonbrico.es$""),regexmatch(A3859,"".*@simonelectric.com$"")),""null"",A3"&amp;"859)"),"2897@radytel.com")</f>
        <v>2897@radytel.com</v>
      </c>
      <c r="C3859" s="5">
        <f>IF(B3859="null","null",Descargas!B3859)</f>
        <v>43851</v>
      </c>
      <c r="D3859" s="6" t="str">
        <f>Descargas!E3859</f>
        <v>https://resources.simonelectric.com/simon-ebook-vehiculo-electrico</v>
      </c>
      <c r="E3859" s="20" t="str">
        <f t="shared" si="1"/>
        <v>2897@radytel.com</v>
      </c>
      <c r="F3859" s="21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</row>
    <row r="3860" ht="15.75" customHeight="1">
      <c r="A3860" s="18" t="str">
        <f>Descargas!A3860</f>
        <v>2898@simon.es</v>
      </c>
      <c r="B3860" s="19" t="str">
        <f>IFERROR(__xludf.DUMMYFUNCTION("IF(OR(regexmatch(A3860,"".*@simon.es$""),REGEXMATCH(A3860,"".*@simon.pt$""),REGEXMATCH(A3860,"".*@simonelectrica.com$""),REGEXMATCH(A3860,"".*@hiberus.com$""),REGEXMATCH(A3860,"".*@simonbrico.es$""),regexmatch(A3860,"".*@simonelectric.com$"")),""null"",A3"&amp;"860)"),"null")</f>
        <v>null</v>
      </c>
      <c r="C3860" s="5" t="str">
        <f>IF(B3860="null","null",Descargas!B3860)</f>
        <v>null</v>
      </c>
      <c r="D3860" s="6" t="str">
        <f>Descargas!E3860</f>
        <v>https://resources.simonelectric.com/simon-catalogo-vehiculo-electrico</v>
      </c>
      <c r="E3860" s="24" t="str">
        <f t="shared" si="1"/>
        <v/>
      </c>
      <c r="F3860" s="21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</row>
    <row r="3861" ht="15.75" customHeight="1">
      <c r="A3861" s="18" t="str">
        <f>Descargas!A3861</f>
        <v>2898@simon.es</v>
      </c>
      <c r="B3861" s="19" t="str">
        <f>IFERROR(__xludf.DUMMYFUNCTION("IF(OR(regexmatch(A3861,"".*@simon.es$""),REGEXMATCH(A3861,"".*@simon.pt$""),REGEXMATCH(A3861,"".*@simonelectrica.com$""),REGEXMATCH(A3861,"".*@hiberus.com$""),REGEXMATCH(A3861,"".*@simonbrico.es$""),regexmatch(A3861,"".*@simonelectric.com$"")),""null"",A3"&amp;"861)"),"null")</f>
        <v>null</v>
      </c>
      <c r="C3861" s="5" t="str">
        <f>IF(B3861="null","null",Descargas!B3861)</f>
        <v>null</v>
      </c>
      <c r="D3861" s="6" t="str">
        <f>Descargas!E3861</f>
        <v>https://resources.simonelectric.com/simon-ebook-vehiculo-electrico</v>
      </c>
      <c r="E3861" s="24" t="str">
        <f t="shared" si="1"/>
        <v/>
      </c>
      <c r="F3861" s="21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</row>
    <row r="3862" ht="15.75" customHeight="1">
      <c r="A3862" s="18" t="str">
        <f>Descargas!A3862</f>
        <v>2899@gmail.com</v>
      </c>
      <c r="B3862" s="19" t="str">
        <f>IFERROR(__xludf.DUMMYFUNCTION("IF(OR(regexmatch(A3862,"".*@simon.es$""),REGEXMATCH(A3862,"".*@simon.pt$""),REGEXMATCH(A3862,"".*@simonelectrica.com$""),REGEXMATCH(A3862,"".*@hiberus.com$""),REGEXMATCH(A3862,"".*@simonbrico.es$""),regexmatch(A3862,"".*@simonelectric.com$"")),""null"",A3"&amp;"862)"),"2899@gmail.com")</f>
        <v>2899@gmail.com</v>
      </c>
      <c r="C3862" s="5">
        <f>IF(B3862="null","null",Descargas!B3862)</f>
        <v>43850</v>
      </c>
      <c r="D3862" s="6" t="str">
        <f>Descargas!E3862</f>
        <v>https://resources.simonelectric.com/simon-ebook-vehiculo-electrico</v>
      </c>
      <c r="E3862" s="20" t="str">
        <f t="shared" si="1"/>
        <v>2899@gmail.com</v>
      </c>
      <c r="F3862" s="21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</row>
    <row r="3863" ht="15.75" customHeight="1">
      <c r="A3863" s="18" t="str">
        <f>Descargas!A3863</f>
        <v>2900@hotmail.com</v>
      </c>
      <c r="B3863" s="19" t="str">
        <f>IFERROR(__xludf.DUMMYFUNCTION("IF(OR(regexmatch(A3863,"".*@simon.es$""),REGEXMATCH(A3863,"".*@simon.pt$""),REGEXMATCH(A3863,"".*@simonelectrica.com$""),REGEXMATCH(A3863,"".*@hiberus.com$""),REGEXMATCH(A3863,"".*@simonbrico.es$""),regexmatch(A3863,"".*@simonelectric.com$"")),""null"",A3"&amp;"863)"),"2900@hotmail.com")</f>
        <v>2900@hotmail.com</v>
      </c>
      <c r="C3863" s="5">
        <f>IF(B3863="null","null",Descargas!B3863)</f>
        <v>43850</v>
      </c>
      <c r="D3863" s="6" t="str">
        <f>Descargas!E3863</f>
        <v>https://resources.simonelectric.com/simon-ebook-vehiculo-electrico</v>
      </c>
      <c r="E3863" s="20" t="str">
        <f t="shared" si="1"/>
        <v>2900@hotmail.com</v>
      </c>
      <c r="F3863" s="21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</row>
    <row r="3864" ht="15.75" customHeight="1">
      <c r="A3864" s="18" t="str">
        <f>Descargas!A3864</f>
        <v>2901@eneroptim.es</v>
      </c>
      <c r="B3864" s="19" t="str">
        <f>IFERROR(__xludf.DUMMYFUNCTION("IF(OR(regexmatch(A3864,"".*@simon.es$""),REGEXMATCH(A3864,"".*@simon.pt$""),REGEXMATCH(A3864,"".*@simonelectrica.com$""),REGEXMATCH(A3864,"".*@hiberus.com$""),REGEXMATCH(A3864,"".*@simonbrico.es$""),regexmatch(A3864,"".*@simonelectric.com$"")),""null"",A3"&amp;"864)"),"2901@eneroptim.es")</f>
        <v>2901@eneroptim.es</v>
      </c>
      <c r="C3864" s="5">
        <f>IF(B3864="null","null",Descargas!B3864)</f>
        <v>43850</v>
      </c>
      <c r="D3864" s="6" t="str">
        <f>Descargas!E3864</f>
        <v>https://resources.simonelectric.com/simon-ebook-vehiculo-electrico</v>
      </c>
      <c r="E3864" s="20" t="str">
        <f t="shared" si="1"/>
        <v>2901@eneroptim.es</v>
      </c>
      <c r="F3864" s="21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</row>
    <row r="3865" ht="15.75" customHeight="1">
      <c r="A3865" s="18" t="str">
        <f>Descargas!A3865</f>
        <v>1344@gmail.com</v>
      </c>
      <c r="B3865" s="19" t="str">
        <f>IFERROR(__xludf.DUMMYFUNCTION("IF(OR(regexmatch(A3865,"".*@simon.es$""),REGEXMATCH(A3865,"".*@simon.pt$""),REGEXMATCH(A3865,"".*@simonelectrica.com$""),REGEXMATCH(A3865,"".*@hiberus.com$""),REGEXMATCH(A3865,"".*@simonbrico.es$""),regexmatch(A3865,"".*@simonelectric.com$"")),""null"",A3"&amp;"865)"),"1344@gmail.com")</f>
        <v>1344@gmail.com</v>
      </c>
      <c r="C3865" s="5">
        <f>IF(B3865="null","null",Descargas!B3865)</f>
        <v>43850</v>
      </c>
      <c r="D3865" s="6" t="str">
        <f>Descargas!E3865</f>
        <v>https://resources.simonelectric.com/simon-ebook-vehiculo-electrico</v>
      </c>
      <c r="E3865" s="20" t="str">
        <f t="shared" si="1"/>
        <v>1344@gmail.com</v>
      </c>
      <c r="F3865" s="21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</row>
    <row r="3866" ht="15.75" customHeight="1">
      <c r="A3866" s="18" t="str">
        <f>Descargas!A3866</f>
        <v>2902@gmail.com</v>
      </c>
      <c r="B3866" s="19" t="str">
        <f>IFERROR(__xludf.DUMMYFUNCTION("IF(OR(regexmatch(A3866,"".*@simon.es$""),REGEXMATCH(A3866,"".*@simon.pt$""),REGEXMATCH(A3866,"".*@simonelectrica.com$""),REGEXMATCH(A3866,"".*@hiberus.com$""),REGEXMATCH(A3866,"".*@simonbrico.es$""),regexmatch(A3866,"".*@simonelectric.com$"")),""null"",A3"&amp;"866)"),"2902@gmail.com")</f>
        <v>2902@gmail.com</v>
      </c>
      <c r="C3866" s="5">
        <f>IF(B3866="null","null",Descargas!B3866)</f>
        <v>43850</v>
      </c>
      <c r="D3866" s="6" t="str">
        <f>Descargas!E3866</f>
        <v>https://resources.simonelectric.com/simon-ebook-vehiculo-electrico</v>
      </c>
      <c r="E3866" s="20" t="str">
        <f t="shared" si="1"/>
        <v>2902@gmail.com</v>
      </c>
      <c r="F3866" s="21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</row>
    <row r="3867" ht="15.75" customHeight="1">
      <c r="A3867" s="18" t="str">
        <f>Descargas!A3867</f>
        <v>631@engie.com</v>
      </c>
      <c r="B3867" s="19" t="str">
        <f>IFERROR(__xludf.DUMMYFUNCTION("IF(OR(regexmatch(A3867,"".*@simon.es$""),REGEXMATCH(A3867,"".*@simon.pt$""),REGEXMATCH(A3867,"".*@simonelectrica.com$""),REGEXMATCH(A3867,"".*@hiberus.com$""),REGEXMATCH(A3867,"".*@simonbrico.es$""),regexmatch(A3867,"".*@simonelectric.com$"")),""null"",A3"&amp;"867)"),"631@engie.com")</f>
        <v>631@engie.com</v>
      </c>
      <c r="C3867" s="5">
        <f>IF(B3867="null","null",Descargas!B3867)</f>
        <v>43850</v>
      </c>
      <c r="D3867" s="6" t="str">
        <f>Descargas!E3867</f>
        <v>https://resources.simonelectric.com/simon-ebook-vehiculo-electrico</v>
      </c>
      <c r="E3867" s="20" t="str">
        <f t="shared" si="1"/>
        <v>631@engie.com</v>
      </c>
      <c r="F3867" s="21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</row>
    <row r="3868" ht="15.75" customHeight="1">
      <c r="A3868" s="18" t="str">
        <f>Descargas!A3868</f>
        <v>2886@construroura.es</v>
      </c>
      <c r="B3868" s="19" t="str">
        <f>IFERROR(__xludf.DUMMYFUNCTION("IF(OR(regexmatch(A3868,"".*@simon.es$""),REGEXMATCH(A3868,"".*@simon.pt$""),REGEXMATCH(A3868,"".*@simonelectrica.com$""),REGEXMATCH(A3868,"".*@hiberus.com$""),REGEXMATCH(A3868,"".*@simonbrico.es$""),regexmatch(A3868,"".*@simonelectric.com$"")),""null"",A3"&amp;"868)"),"2886@construroura.es")</f>
        <v>2886@construroura.es</v>
      </c>
      <c r="C3868" s="5">
        <f>IF(B3868="null","null",Descargas!B3868)</f>
        <v>43850</v>
      </c>
      <c r="D3868" s="6" t="str">
        <f>Descargas!E3868</f>
        <v>https://resources.simonelectric.com/simon-ebook-vehiculo-electrico</v>
      </c>
      <c r="E3868" s="20" t="str">
        <f t="shared" si="1"/>
        <v>2886@construroura.es</v>
      </c>
      <c r="F3868" s="21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</row>
    <row r="3869" ht="15.75" customHeight="1">
      <c r="A3869" s="18" t="str">
        <f>Descargas!A3869</f>
        <v>2902@gmail.com</v>
      </c>
      <c r="B3869" s="19" t="str">
        <f>IFERROR(__xludf.DUMMYFUNCTION("IF(OR(regexmatch(A3869,"".*@simon.es$""),REGEXMATCH(A3869,"".*@simon.pt$""),REGEXMATCH(A3869,"".*@simonelectrica.com$""),REGEXMATCH(A3869,"".*@hiberus.com$""),REGEXMATCH(A3869,"".*@simonbrico.es$""),regexmatch(A3869,"".*@simonelectric.com$"")),""null"",A3"&amp;"869)"),"2902@gmail.com")</f>
        <v>2902@gmail.com</v>
      </c>
      <c r="C3869" s="5">
        <f>IF(B3869="null","null",Descargas!B3869)</f>
        <v>43850</v>
      </c>
      <c r="D3869" s="6" t="str">
        <f>Descargas!E3869</f>
        <v>https://resources.simonelectric.com/simon-catalogo-vehiculo-electrico</v>
      </c>
      <c r="E3869" s="20" t="str">
        <f t="shared" si="1"/>
        <v>2902@gmail.com</v>
      </c>
      <c r="F3869" s="21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</row>
    <row r="3870" ht="15.75" customHeight="1">
      <c r="A3870" s="18" t="str">
        <f>Descargas!A3870</f>
        <v>1068@dominion.es</v>
      </c>
      <c r="B3870" s="19" t="str">
        <f>IFERROR(__xludf.DUMMYFUNCTION("IF(OR(regexmatch(A3870,"".*@simon.es$""),REGEXMATCH(A3870,"".*@simon.pt$""),REGEXMATCH(A3870,"".*@simonelectrica.com$""),REGEXMATCH(A3870,"".*@hiberus.com$""),REGEXMATCH(A3870,"".*@simonbrico.es$""),regexmatch(A3870,"".*@simonelectric.com$"")),""null"",A3"&amp;"870)"),"1068@dominion.es")</f>
        <v>1068@dominion.es</v>
      </c>
      <c r="C3870" s="5">
        <f>IF(B3870="null","null",Descargas!B3870)</f>
        <v>43850</v>
      </c>
      <c r="D3870" s="6" t="str">
        <f>Descargas!E3870</f>
        <v>https://resources.simonelectric.com/simon-ebook-vehiculo-electrico</v>
      </c>
      <c r="E3870" s="20" t="str">
        <f t="shared" si="1"/>
        <v>1068@dominion.es</v>
      </c>
      <c r="F3870" s="21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</row>
    <row r="3871" ht="15.75" customHeight="1">
      <c r="A3871" s="18" t="str">
        <f>Descargas!A3871</f>
        <v>2903@estudioelan.com</v>
      </c>
      <c r="B3871" s="19" t="str">
        <f>IFERROR(__xludf.DUMMYFUNCTION("IF(OR(regexmatch(A3871,"".*@simon.es$""),REGEXMATCH(A3871,"".*@simon.pt$""),REGEXMATCH(A3871,"".*@simonelectrica.com$""),REGEXMATCH(A3871,"".*@hiberus.com$""),REGEXMATCH(A3871,"".*@simonbrico.es$""),regexmatch(A3871,"".*@simonelectric.com$"")),""null"",A3"&amp;"871)"),"2903@estudioelan.com")</f>
        <v>2903@estudioelan.com</v>
      </c>
      <c r="C3871" s="5">
        <f>IF(B3871="null","null",Descargas!B3871)</f>
        <v>43849</v>
      </c>
      <c r="D3871" s="6" t="str">
        <f>Descargas!E3871</f>
        <v>https://resources.simonelectric.com/simon-ebook-vehiculo-electrico</v>
      </c>
      <c r="E3871" s="20" t="str">
        <f t="shared" si="1"/>
        <v>2903@estudioelan.com</v>
      </c>
      <c r="F3871" s="21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</row>
    <row r="3872" ht="15.75" customHeight="1">
      <c r="A3872" s="18" t="str">
        <f>Descargas!A3872</f>
        <v>2511@gmail.com</v>
      </c>
      <c r="B3872" s="19" t="str">
        <f>IFERROR(__xludf.DUMMYFUNCTION("IF(OR(regexmatch(A3872,"".*@simon.es$""),REGEXMATCH(A3872,"".*@simon.pt$""),REGEXMATCH(A3872,"".*@simonelectrica.com$""),REGEXMATCH(A3872,"".*@hiberus.com$""),REGEXMATCH(A3872,"".*@simonbrico.es$""),regexmatch(A3872,"".*@simonelectric.com$"")),""null"",A3"&amp;"872)"),"2511@gmail.com")</f>
        <v>2511@gmail.com</v>
      </c>
      <c r="C3872" s="5">
        <f>IF(B3872="null","null",Descargas!B3872)</f>
        <v>43849</v>
      </c>
      <c r="D3872" s="6" t="str">
        <f>Descargas!E3872</f>
        <v>https://resources.simonelectric.com/simon-ebook-vehiculo-electrico</v>
      </c>
      <c r="E3872" s="20" t="str">
        <f t="shared" si="1"/>
        <v>2511@gmail.com</v>
      </c>
      <c r="F3872" s="21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</row>
    <row r="3873" ht="15.75" customHeight="1">
      <c r="A3873" s="18" t="str">
        <f>Descargas!A3873</f>
        <v>2511@gmail.com</v>
      </c>
      <c r="B3873" s="19" t="str">
        <f>IFERROR(__xludf.DUMMYFUNCTION("IF(OR(regexmatch(A3873,"".*@simon.es$""),REGEXMATCH(A3873,"".*@simon.pt$""),REGEXMATCH(A3873,"".*@simonelectrica.com$""),REGEXMATCH(A3873,"".*@hiberus.com$""),REGEXMATCH(A3873,"".*@simonbrico.es$""),regexmatch(A3873,"".*@simonelectric.com$"")),""null"",A3"&amp;"873)"),"2511@gmail.com")</f>
        <v>2511@gmail.com</v>
      </c>
      <c r="C3873" s="5">
        <f>IF(B3873="null","null",Descargas!B3873)</f>
        <v>43849</v>
      </c>
      <c r="D3873" s="6" t="str">
        <f>Descargas!E3873</f>
        <v>https://resources.simonelectric.com/simon-ebook-vehiculo-electrico</v>
      </c>
      <c r="E3873" s="20" t="str">
        <f t="shared" si="1"/>
        <v>2511@gmail.com</v>
      </c>
      <c r="F3873" s="21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</row>
    <row r="3874" ht="15.75" customHeight="1">
      <c r="A3874" s="18" t="str">
        <f>Descargas!A3874</f>
        <v>2904@gmail.com</v>
      </c>
      <c r="B3874" s="19" t="str">
        <f>IFERROR(__xludf.DUMMYFUNCTION("IF(OR(regexmatch(A3874,"".*@simon.es$""),REGEXMATCH(A3874,"".*@simon.pt$""),REGEXMATCH(A3874,"".*@simonelectrica.com$""),REGEXMATCH(A3874,"".*@hiberus.com$""),REGEXMATCH(A3874,"".*@simonbrico.es$""),regexmatch(A3874,"".*@simonelectric.com$"")),""null"",A3"&amp;"874)"),"2904@gmail.com")</f>
        <v>2904@gmail.com</v>
      </c>
      <c r="C3874" s="5">
        <f>IF(B3874="null","null",Descargas!B3874)</f>
        <v>43849</v>
      </c>
      <c r="D3874" s="6" t="str">
        <f>Descargas!E3874</f>
        <v>https://resources.simonelectric.com/simon-ebook-vehiculo-electrico</v>
      </c>
      <c r="E3874" s="20" t="str">
        <f t="shared" si="1"/>
        <v>2904@gmail.com</v>
      </c>
      <c r="F3874" s="21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</row>
    <row r="3875" ht="15.75" customHeight="1">
      <c r="A3875" s="18" t="str">
        <f>Descargas!A3875</f>
        <v>2905@atoms.cat</v>
      </c>
      <c r="B3875" s="19" t="str">
        <f>IFERROR(__xludf.DUMMYFUNCTION("IF(OR(regexmatch(A3875,"".*@simon.es$""),REGEXMATCH(A3875,"".*@simon.pt$""),REGEXMATCH(A3875,"".*@simonelectrica.com$""),REGEXMATCH(A3875,"".*@hiberus.com$""),REGEXMATCH(A3875,"".*@simonbrico.es$""),regexmatch(A3875,"".*@simonelectric.com$"")),""null"",A3"&amp;"875)"),"2905@atoms.cat")</f>
        <v>2905@atoms.cat</v>
      </c>
      <c r="C3875" s="5">
        <f>IF(B3875="null","null",Descargas!B3875)</f>
        <v>43849</v>
      </c>
      <c r="D3875" s="6" t="str">
        <f>Descargas!E3875</f>
        <v>https://resources.simonelectric.com/simon-ebook-vehiculo-electrico</v>
      </c>
      <c r="E3875" s="20" t="str">
        <f t="shared" si="1"/>
        <v>2905@atoms.cat</v>
      </c>
      <c r="F3875" s="21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</row>
    <row r="3876" ht="15.75" customHeight="1">
      <c r="A3876" s="18" t="str">
        <f>Descargas!A3876</f>
        <v>2904@gmail.com</v>
      </c>
      <c r="B3876" s="19" t="str">
        <f>IFERROR(__xludf.DUMMYFUNCTION("IF(OR(regexmatch(A3876,"".*@simon.es$""),REGEXMATCH(A3876,"".*@simon.pt$""),REGEXMATCH(A3876,"".*@simonelectrica.com$""),REGEXMATCH(A3876,"".*@hiberus.com$""),REGEXMATCH(A3876,"".*@simonbrico.es$""),regexmatch(A3876,"".*@simonelectric.com$"")),""null"",A3"&amp;"876)"),"2904@gmail.com")</f>
        <v>2904@gmail.com</v>
      </c>
      <c r="C3876" s="5">
        <f>IF(B3876="null","null",Descargas!B3876)</f>
        <v>43849</v>
      </c>
      <c r="D3876" s="6" t="str">
        <f>Descargas!E3876</f>
        <v>https://resources.simonelectric.com/simon-ebook-vehiculo-electrico</v>
      </c>
      <c r="E3876" s="20" t="str">
        <f t="shared" si="1"/>
        <v>2904@gmail.com</v>
      </c>
      <c r="F3876" s="21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</row>
    <row r="3877" ht="15.75" customHeight="1">
      <c r="A3877" s="18" t="str">
        <f>Descargas!A3877</f>
        <v>2868@cipfplacostera.com</v>
      </c>
      <c r="B3877" s="19" t="str">
        <f>IFERROR(__xludf.DUMMYFUNCTION("IF(OR(regexmatch(A3877,"".*@simon.es$""),REGEXMATCH(A3877,"".*@simon.pt$""),REGEXMATCH(A3877,"".*@simonelectrica.com$""),REGEXMATCH(A3877,"".*@hiberus.com$""),REGEXMATCH(A3877,"".*@simonbrico.es$""),regexmatch(A3877,"".*@simonelectric.com$"")),""null"",A3"&amp;"877)"),"2868@cipfplacostera.com")</f>
        <v>2868@cipfplacostera.com</v>
      </c>
      <c r="C3877" s="5">
        <f>IF(B3877="null","null",Descargas!B3877)</f>
        <v>43848</v>
      </c>
      <c r="D3877" s="6" t="str">
        <f>Descargas!E3877</f>
        <v>https://resources.simonelectric.com/simon-ebook-vehiculo-electrico</v>
      </c>
      <c r="E3877" s="20" t="str">
        <f t="shared" si="1"/>
        <v>2868@cipfplacostera.com</v>
      </c>
      <c r="F3877" s="21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</row>
    <row r="3878" ht="15.75" customHeight="1">
      <c r="A3878" s="18" t="str">
        <f>Descargas!A3878</f>
        <v>2906@comb.cat</v>
      </c>
      <c r="B3878" s="19" t="str">
        <f>IFERROR(__xludf.DUMMYFUNCTION("IF(OR(regexmatch(A3878,"".*@simon.es$""),REGEXMATCH(A3878,"".*@simon.pt$""),REGEXMATCH(A3878,"".*@simonelectrica.com$""),REGEXMATCH(A3878,"".*@hiberus.com$""),REGEXMATCH(A3878,"".*@simonbrico.es$""),regexmatch(A3878,"".*@simonelectric.com$"")),""null"",A3"&amp;"878)"),"2906@comb.cat")</f>
        <v>2906@comb.cat</v>
      </c>
      <c r="C3878" s="5">
        <f>IF(B3878="null","null",Descargas!B3878)</f>
        <v>43847</v>
      </c>
      <c r="D3878" s="6" t="str">
        <f>Descargas!E3878</f>
        <v>https://resources.simonelectric.com/simon-ebook-vehiculo-electrico</v>
      </c>
      <c r="E3878" s="20" t="str">
        <f t="shared" si="1"/>
        <v>2906@comb.cat</v>
      </c>
      <c r="F3878" s="21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</row>
    <row r="3879" ht="15.75" customHeight="1">
      <c r="A3879" s="18" t="str">
        <f>Descargas!A3879</f>
        <v>2227@gmail.com</v>
      </c>
      <c r="B3879" s="19" t="str">
        <f>IFERROR(__xludf.DUMMYFUNCTION("IF(OR(regexmatch(A3879,"".*@simon.es$""),REGEXMATCH(A3879,"".*@simon.pt$""),REGEXMATCH(A3879,"".*@simonelectrica.com$""),REGEXMATCH(A3879,"".*@hiberus.com$""),REGEXMATCH(A3879,"".*@simonbrico.es$""),regexmatch(A3879,"".*@simonelectric.com$"")),""null"",A3"&amp;"879)"),"2227@gmail.com")</f>
        <v>2227@gmail.com</v>
      </c>
      <c r="C3879" s="5">
        <f>IF(B3879="null","null",Descargas!B3879)</f>
        <v>43847</v>
      </c>
      <c r="D3879" s="6" t="str">
        <f>Descargas!E3879</f>
        <v>https://resources.simonelectric.com/simon-ebook-vehiculo-electrico</v>
      </c>
      <c r="E3879" s="20" t="str">
        <f t="shared" si="1"/>
        <v>2227@gmail.com</v>
      </c>
      <c r="F3879" s="21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</row>
    <row r="3880" ht="15.75" customHeight="1">
      <c r="A3880" s="18" t="str">
        <f>Descargas!A3880</f>
        <v>1413@gmail.com</v>
      </c>
      <c r="B3880" s="19" t="str">
        <f>IFERROR(__xludf.DUMMYFUNCTION("IF(OR(regexmatch(A3880,"".*@simon.es$""),REGEXMATCH(A3880,"".*@simon.pt$""),REGEXMATCH(A3880,"".*@simonelectrica.com$""),REGEXMATCH(A3880,"".*@hiberus.com$""),REGEXMATCH(A3880,"".*@simonbrico.es$""),regexmatch(A3880,"".*@simonelectric.com$"")),""null"",A3"&amp;"880)"),"1413@gmail.com")</f>
        <v>1413@gmail.com</v>
      </c>
      <c r="C3880" s="5">
        <f>IF(B3880="null","null",Descargas!B3880)</f>
        <v>43847</v>
      </c>
      <c r="D3880" s="6" t="str">
        <f>Descargas!E3880</f>
        <v>https://resources.simonelectric.com/simon-ebook-vehiculo-electrico</v>
      </c>
      <c r="E3880" s="20" t="str">
        <f t="shared" si="1"/>
        <v>1413@gmail.com</v>
      </c>
      <c r="F3880" s="21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</row>
    <row r="3881" ht="15.75" customHeight="1">
      <c r="A3881" s="18" t="str">
        <f>Descargas!A3881</f>
        <v>2907@generaeficiencia.com</v>
      </c>
      <c r="B3881" s="19" t="str">
        <f>IFERROR(__xludf.DUMMYFUNCTION("IF(OR(regexmatch(A3881,"".*@simon.es$""),REGEXMATCH(A3881,"".*@simon.pt$""),REGEXMATCH(A3881,"".*@simonelectrica.com$""),REGEXMATCH(A3881,"".*@hiberus.com$""),REGEXMATCH(A3881,"".*@simonbrico.es$""),regexmatch(A3881,"".*@simonelectric.com$"")),""null"",A3"&amp;"881)"),"2907@generaeficiencia.com")</f>
        <v>2907@generaeficiencia.com</v>
      </c>
      <c r="C3881" s="5">
        <f>IF(B3881="null","null",Descargas!B3881)</f>
        <v>43847</v>
      </c>
      <c r="D3881" s="6" t="str">
        <f>Descargas!E3881</f>
        <v>https://resources.simonelectric.com/simon-catalogo-vehiculo-electrico</v>
      </c>
      <c r="E3881" s="20" t="str">
        <f t="shared" si="1"/>
        <v>2907@generaeficiencia.com</v>
      </c>
      <c r="F3881" s="21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</row>
    <row r="3882" ht="15.75" customHeight="1">
      <c r="A3882" s="18" t="str">
        <f>Descargas!A3882</f>
        <v>2908@esplugues.cat</v>
      </c>
      <c r="B3882" s="19" t="str">
        <f>IFERROR(__xludf.DUMMYFUNCTION("IF(OR(regexmatch(A3882,"".*@simon.es$""),REGEXMATCH(A3882,"".*@simon.pt$""),REGEXMATCH(A3882,"".*@simonelectrica.com$""),REGEXMATCH(A3882,"".*@hiberus.com$""),REGEXMATCH(A3882,"".*@simonbrico.es$""),regexmatch(A3882,"".*@simonelectric.com$"")),""null"",A3"&amp;"882)"),"2908@esplugues.cat")</f>
        <v>2908@esplugues.cat</v>
      </c>
      <c r="C3882" s="5">
        <f>IF(B3882="null","null",Descargas!B3882)</f>
        <v>43847</v>
      </c>
      <c r="D3882" s="6" t="str">
        <f>Descargas!E3882</f>
        <v>https://resources.simonelectric.com/simon-catalogo-vehiculo-electrico</v>
      </c>
      <c r="E3882" s="20" t="str">
        <f t="shared" si="1"/>
        <v>2908@esplugues.cat</v>
      </c>
      <c r="F3882" s="21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</row>
    <row r="3883" ht="15.75" customHeight="1">
      <c r="A3883" s="18" t="str">
        <f>Descargas!A3883</f>
        <v>2909@ekoleds.com</v>
      </c>
      <c r="B3883" s="19" t="str">
        <f>IFERROR(__xludf.DUMMYFUNCTION("IF(OR(regexmatch(A3883,"".*@simon.es$""),REGEXMATCH(A3883,"".*@simon.pt$""),REGEXMATCH(A3883,"".*@simonelectrica.com$""),REGEXMATCH(A3883,"".*@hiberus.com$""),REGEXMATCH(A3883,"".*@simonbrico.es$""),regexmatch(A3883,"".*@simonelectric.com$"")),""null"",A3"&amp;"883)"),"2909@ekoleds.com")</f>
        <v>2909@ekoleds.com</v>
      </c>
      <c r="C3883" s="5">
        <f>IF(B3883="null","null",Descargas!B3883)</f>
        <v>43846</v>
      </c>
      <c r="D3883" s="6" t="str">
        <f>Descargas!E3883</f>
        <v>https://resources.simonelectric.com/simon-ebook-vehiculo-electrico</v>
      </c>
      <c r="E3883" s="20" t="str">
        <f t="shared" si="1"/>
        <v>2909@ekoleds.com</v>
      </c>
      <c r="F3883" s="21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</row>
    <row r="3884" ht="15.75" customHeight="1">
      <c r="A3884" s="18" t="str">
        <f>Descargas!A3884</f>
        <v>2910@syocsa-inarsa.es</v>
      </c>
      <c r="B3884" s="19" t="str">
        <f>IFERROR(__xludf.DUMMYFUNCTION("IF(OR(regexmatch(A3884,"".*@simon.es$""),REGEXMATCH(A3884,"".*@simon.pt$""),REGEXMATCH(A3884,"".*@simonelectrica.com$""),REGEXMATCH(A3884,"".*@hiberus.com$""),REGEXMATCH(A3884,"".*@simonbrico.es$""),regexmatch(A3884,"".*@simonelectric.com$"")),""null"",A3"&amp;"884)"),"2910@syocsa-inarsa.es")</f>
        <v>2910@syocsa-inarsa.es</v>
      </c>
      <c r="C3884" s="5">
        <f>IF(B3884="null","null",Descargas!B3884)</f>
        <v>43846</v>
      </c>
      <c r="D3884" s="6" t="str">
        <f>Descargas!E3884</f>
        <v>https://resources.simonelectric.com/simon-catalogo-vehiculo-electrico</v>
      </c>
      <c r="E3884" s="20" t="str">
        <f t="shared" si="1"/>
        <v>2910@syocsa-inarsa.es</v>
      </c>
      <c r="F3884" s="21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</row>
    <row r="3885" ht="15.75" customHeight="1">
      <c r="A3885" s="18" t="str">
        <f>Descargas!A3885</f>
        <v>1344@gmail.com</v>
      </c>
      <c r="B3885" s="19" t="str">
        <f>IFERROR(__xludf.DUMMYFUNCTION("IF(OR(regexmatch(A3885,"".*@simon.es$""),REGEXMATCH(A3885,"".*@simon.pt$""),REGEXMATCH(A3885,"".*@simonelectrica.com$""),REGEXMATCH(A3885,"".*@hiberus.com$""),REGEXMATCH(A3885,"".*@simonbrico.es$""),regexmatch(A3885,"".*@simonelectric.com$"")),""null"",A3"&amp;"885)"),"1344@gmail.com")</f>
        <v>1344@gmail.com</v>
      </c>
      <c r="C3885" s="5">
        <f>IF(B3885="null","null",Descargas!B3885)</f>
        <v>43846</v>
      </c>
      <c r="D3885" s="6" t="str">
        <f>Descargas!E3885</f>
        <v>https://resources.simonelectric.com/simon-ebook-vehiculo-electrico</v>
      </c>
      <c r="E3885" s="20" t="str">
        <f t="shared" si="1"/>
        <v>1344@gmail.com</v>
      </c>
      <c r="F3885" s="21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</row>
    <row r="3886" ht="15.75" customHeight="1">
      <c r="A3886" s="18" t="str">
        <f>Descargas!A3886</f>
        <v>2911@grupocobra.com</v>
      </c>
      <c r="B3886" s="19" t="str">
        <f>IFERROR(__xludf.DUMMYFUNCTION("IF(OR(regexmatch(A3886,"".*@simon.es$""),REGEXMATCH(A3886,"".*@simon.pt$""),REGEXMATCH(A3886,"".*@simonelectrica.com$""),REGEXMATCH(A3886,"".*@hiberus.com$""),REGEXMATCH(A3886,"".*@simonbrico.es$""),regexmatch(A3886,"".*@simonelectric.com$"")),""null"",A3"&amp;"886)"),"2911@grupocobra.com")</f>
        <v>2911@grupocobra.com</v>
      </c>
      <c r="C3886" s="5">
        <f>IF(B3886="null","null",Descargas!B3886)</f>
        <v>43846</v>
      </c>
      <c r="D3886" s="6" t="str">
        <f>Descargas!E3886</f>
        <v>https://resources.simonelectric.com/simon-catalogo-vehiculo-electrico</v>
      </c>
      <c r="E3886" s="20" t="str">
        <f t="shared" si="1"/>
        <v>2911@grupocobra.com</v>
      </c>
      <c r="F3886" s="21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</row>
    <row r="3887" ht="15.75" customHeight="1">
      <c r="A3887" s="18" t="str">
        <f>Descargas!A3887</f>
        <v>2911@grupocobra.com</v>
      </c>
      <c r="B3887" s="19" t="str">
        <f>IFERROR(__xludf.DUMMYFUNCTION("IF(OR(regexmatch(A3887,"".*@simon.es$""),REGEXMATCH(A3887,"".*@simon.pt$""),REGEXMATCH(A3887,"".*@simonelectrica.com$""),REGEXMATCH(A3887,"".*@hiberus.com$""),REGEXMATCH(A3887,"".*@simonbrico.es$""),regexmatch(A3887,"".*@simonelectric.com$"")),""null"",A3"&amp;"887)"),"2911@grupocobra.com")</f>
        <v>2911@grupocobra.com</v>
      </c>
      <c r="C3887" s="5">
        <f>IF(B3887="null","null",Descargas!B3887)</f>
        <v>43846</v>
      </c>
      <c r="D3887" s="6" t="str">
        <f>Descargas!E3887</f>
        <v>https://resources.simonelectric.com/simon-ebook-vehiculo-electrico</v>
      </c>
      <c r="E3887" s="20" t="str">
        <f t="shared" si="1"/>
        <v>2911@grupocobra.com</v>
      </c>
      <c r="F3887" s="21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</row>
    <row r="3888" ht="15.75" customHeight="1">
      <c r="A3888" s="18" t="str">
        <f>Descargas!A3888</f>
        <v>2516@isega.es</v>
      </c>
      <c r="B3888" s="19" t="str">
        <f>IFERROR(__xludf.DUMMYFUNCTION("IF(OR(regexmatch(A3888,"".*@simon.es$""),REGEXMATCH(A3888,"".*@simon.pt$""),REGEXMATCH(A3888,"".*@simonelectrica.com$""),REGEXMATCH(A3888,"".*@hiberus.com$""),REGEXMATCH(A3888,"".*@simonbrico.es$""),regexmatch(A3888,"".*@simonelectric.com$"")),""null"",A3"&amp;"888)"),"2516@isega.es")</f>
        <v>2516@isega.es</v>
      </c>
      <c r="C3888" s="5">
        <f>IF(B3888="null","null",Descargas!B3888)</f>
        <v>43846</v>
      </c>
      <c r="D3888" s="6" t="str">
        <f>Descargas!E3888</f>
        <v>https://resources.simonelectric.com/simon-ebook-vehiculo-electrico</v>
      </c>
      <c r="E3888" s="20" t="str">
        <f t="shared" si="1"/>
        <v>2516@isega.es</v>
      </c>
      <c r="F3888" s="21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</row>
    <row r="3889" ht="15.75" customHeight="1">
      <c r="A3889" s="18" t="str">
        <f>Descargas!A3889</f>
        <v>2912@essatel.es</v>
      </c>
      <c r="B3889" s="19" t="str">
        <f>IFERROR(__xludf.DUMMYFUNCTION("IF(OR(regexmatch(A3889,"".*@simon.es$""),REGEXMATCH(A3889,"".*@simon.pt$""),REGEXMATCH(A3889,"".*@simonelectrica.com$""),REGEXMATCH(A3889,"".*@hiberus.com$""),REGEXMATCH(A3889,"".*@simonbrico.es$""),regexmatch(A3889,"".*@simonelectric.com$"")),""null"",A3"&amp;"889)"),"2912@essatel.es")</f>
        <v>2912@essatel.es</v>
      </c>
      <c r="C3889" s="5">
        <f>IF(B3889="null","null",Descargas!B3889)</f>
        <v>43846</v>
      </c>
      <c r="D3889" s="6" t="str">
        <f>Descargas!E3889</f>
        <v>https://resources.simonelectric.com/simon-ebook-vehiculo-electrico</v>
      </c>
      <c r="E3889" s="20" t="str">
        <f t="shared" si="1"/>
        <v>2912@essatel.es</v>
      </c>
      <c r="F3889" s="21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</row>
    <row r="3890" ht="15.75" customHeight="1">
      <c r="A3890" s="18" t="str">
        <f>Descargas!A3890</f>
        <v>2913@gmail.com</v>
      </c>
      <c r="B3890" s="19" t="str">
        <f>IFERROR(__xludf.DUMMYFUNCTION("IF(OR(regexmatch(A3890,"".*@simon.es$""),REGEXMATCH(A3890,"".*@simon.pt$""),REGEXMATCH(A3890,"".*@simonelectrica.com$""),REGEXMATCH(A3890,"".*@hiberus.com$""),REGEXMATCH(A3890,"".*@simonbrico.es$""),regexmatch(A3890,"".*@simonelectric.com$"")),""null"",A3"&amp;"890)"),"2913@gmail.com")</f>
        <v>2913@gmail.com</v>
      </c>
      <c r="C3890" s="5">
        <f>IF(B3890="null","null",Descargas!B3890)</f>
        <v>43846</v>
      </c>
      <c r="D3890" s="6" t="str">
        <f>Descargas!E3890</f>
        <v>https://resources.simonelectric.com/simon-catalogo-vehiculo-electrico</v>
      </c>
      <c r="E3890" s="20" t="str">
        <f t="shared" si="1"/>
        <v>2913@gmail.com</v>
      </c>
      <c r="F3890" s="21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</row>
    <row r="3891" ht="15.75" customHeight="1">
      <c r="A3891" s="18" t="str">
        <f>Descargas!A3891</f>
        <v>2914@aldaproyectos.es</v>
      </c>
      <c r="B3891" s="19" t="str">
        <f>IFERROR(__xludf.DUMMYFUNCTION("IF(OR(regexmatch(A3891,"".*@simon.es$""),REGEXMATCH(A3891,"".*@simon.pt$""),REGEXMATCH(A3891,"".*@simonelectrica.com$""),REGEXMATCH(A3891,"".*@hiberus.com$""),REGEXMATCH(A3891,"".*@simonbrico.es$""),regexmatch(A3891,"".*@simonelectric.com$"")),""null"",A3"&amp;"891)"),"2914@aldaproyectos.es")</f>
        <v>2914@aldaproyectos.es</v>
      </c>
      <c r="C3891" s="5">
        <f>IF(B3891="null","null",Descargas!B3891)</f>
        <v>43846</v>
      </c>
      <c r="D3891" s="6" t="str">
        <f>Descargas!E3891</f>
        <v>https://resources.simonelectric.com/simon-ebook-vehiculo-electrico</v>
      </c>
      <c r="E3891" s="20" t="str">
        <f t="shared" si="1"/>
        <v>2914@aldaproyectos.es</v>
      </c>
      <c r="F3891" s="21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</row>
    <row r="3892" ht="15.75" customHeight="1">
      <c r="A3892" s="18" t="str">
        <f>Descargas!A3892</f>
        <v>2915@crescencioperez.com</v>
      </c>
      <c r="B3892" s="19" t="str">
        <f>IFERROR(__xludf.DUMMYFUNCTION("IF(OR(regexmatch(A3892,"".*@simon.es$""),REGEXMATCH(A3892,"".*@simon.pt$""),REGEXMATCH(A3892,"".*@simonelectrica.com$""),REGEXMATCH(A3892,"".*@hiberus.com$""),REGEXMATCH(A3892,"".*@simonbrico.es$""),regexmatch(A3892,"".*@simonelectric.com$"")),""null"",A3"&amp;"892)"),"2915@crescencioperez.com")</f>
        <v>2915@crescencioperez.com</v>
      </c>
      <c r="C3892" s="5">
        <f>IF(B3892="null","null",Descargas!B3892)</f>
        <v>43845</v>
      </c>
      <c r="D3892" s="6" t="str">
        <f>Descargas!E3892</f>
        <v>https://resources.simonelectric.com/simon-material-formativo-vehiculo-electrico</v>
      </c>
      <c r="E3892" s="20" t="str">
        <f t="shared" si="1"/>
        <v>2915@crescencioperez.com</v>
      </c>
      <c r="F3892" s="21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</row>
    <row r="3893" ht="15.75" customHeight="1">
      <c r="A3893" s="18" t="str">
        <f>Descargas!A3893</f>
        <v>2916@diazrojo.com</v>
      </c>
      <c r="B3893" s="19" t="str">
        <f>IFERROR(__xludf.DUMMYFUNCTION("IF(OR(regexmatch(A3893,"".*@simon.es$""),REGEXMATCH(A3893,"".*@simon.pt$""),REGEXMATCH(A3893,"".*@simonelectrica.com$""),REGEXMATCH(A3893,"".*@hiberus.com$""),REGEXMATCH(A3893,"".*@simonbrico.es$""),regexmatch(A3893,"".*@simonelectric.com$"")),""null"",A3"&amp;"893)"),"2916@diazrojo.com")</f>
        <v>2916@diazrojo.com</v>
      </c>
      <c r="C3893" s="5">
        <f>IF(B3893="null","null",Descargas!B3893)</f>
        <v>43845</v>
      </c>
      <c r="D3893" s="6" t="str">
        <f>Descargas!E3893</f>
        <v>https://resources.simonelectric.com/simon-ebook-vehiculo-electrico</v>
      </c>
      <c r="E3893" s="20" t="str">
        <f t="shared" si="1"/>
        <v>2916@diazrojo.com</v>
      </c>
      <c r="F3893" s="21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</row>
    <row r="3894" ht="15.75" customHeight="1">
      <c r="A3894" s="18" t="str">
        <f>Descargas!A3894</f>
        <v>2877@gammasg.com</v>
      </c>
      <c r="B3894" s="19" t="str">
        <f>IFERROR(__xludf.DUMMYFUNCTION("IF(OR(regexmatch(A3894,"".*@simon.es$""),REGEXMATCH(A3894,"".*@simon.pt$""),REGEXMATCH(A3894,"".*@simonelectrica.com$""),REGEXMATCH(A3894,"".*@hiberus.com$""),REGEXMATCH(A3894,"".*@simonbrico.es$""),regexmatch(A3894,"".*@simonelectric.com$"")),""null"",A3"&amp;"894)"),"2877@gammasg.com")</f>
        <v>2877@gammasg.com</v>
      </c>
      <c r="C3894" s="5">
        <f>IF(B3894="null","null",Descargas!B3894)</f>
        <v>43845</v>
      </c>
      <c r="D3894" s="6" t="str">
        <f>Descargas!E3894</f>
        <v>https://resources.simonelectric.com/simon-ebook-vehiculo-electrico</v>
      </c>
      <c r="E3894" s="20" t="str">
        <f t="shared" si="1"/>
        <v>2877@gammasg.com</v>
      </c>
      <c r="F3894" s="21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</row>
    <row r="3895" ht="15.75" customHeight="1">
      <c r="A3895" s="18" t="str">
        <f>Descargas!A3895</f>
        <v>2830@mequintana.com</v>
      </c>
      <c r="B3895" s="19" t="str">
        <f>IFERROR(__xludf.DUMMYFUNCTION("IF(OR(regexmatch(A3895,"".*@simon.es$""),REGEXMATCH(A3895,"".*@simon.pt$""),REGEXMATCH(A3895,"".*@simonelectrica.com$""),REGEXMATCH(A3895,"".*@hiberus.com$""),REGEXMATCH(A3895,"".*@simonbrico.es$""),regexmatch(A3895,"".*@simonelectric.com$"")),""null"",A3"&amp;"895)"),"2830@mequintana.com")</f>
        <v>2830@mequintana.com</v>
      </c>
      <c r="C3895" s="5">
        <f>IF(B3895="null","null",Descargas!B3895)</f>
        <v>43845</v>
      </c>
      <c r="D3895" s="6" t="str">
        <f>Descargas!E3895</f>
        <v>https://resources.simonelectric.com/simon-ebook-vehiculo-electrico</v>
      </c>
      <c r="E3895" s="20" t="str">
        <f t="shared" si="1"/>
        <v>2830@mequintana.com</v>
      </c>
      <c r="F3895" s="21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</row>
    <row r="3896" ht="15.75" customHeight="1">
      <c r="A3896" s="18" t="str">
        <f>Descargas!A3896</f>
        <v>2917@mastercentella.com</v>
      </c>
      <c r="B3896" s="19" t="str">
        <f>IFERROR(__xludf.DUMMYFUNCTION("IF(OR(regexmatch(A3896,"".*@simon.es$""),REGEXMATCH(A3896,"".*@simon.pt$""),REGEXMATCH(A3896,"".*@simonelectrica.com$""),REGEXMATCH(A3896,"".*@hiberus.com$""),REGEXMATCH(A3896,"".*@simonbrico.es$""),regexmatch(A3896,"".*@simonelectric.com$"")),""null"",A3"&amp;"896)"),"2917@mastercentella.com")</f>
        <v>2917@mastercentella.com</v>
      </c>
      <c r="C3896" s="5">
        <f>IF(B3896="null","null",Descargas!B3896)</f>
        <v>43845</v>
      </c>
      <c r="D3896" s="6" t="str">
        <f>Descargas!E3896</f>
        <v>https://resources.simonelectric.com/simon-catalogo-vehiculo-electrico</v>
      </c>
      <c r="E3896" s="20" t="str">
        <f t="shared" si="1"/>
        <v>2917@mastercentella.com</v>
      </c>
      <c r="F3896" s="21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</row>
    <row r="3897" ht="15.75" customHeight="1">
      <c r="A3897" s="18" t="str">
        <f>Descargas!A3897</f>
        <v>2917@mastercentella.com</v>
      </c>
      <c r="B3897" s="19" t="str">
        <f>IFERROR(__xludf.DUMMYFUNCTION("IF(OR(regexmatch(A3897,"".*@simon.es$""),REGEXMATCH(A3897,"".*@simon.pt$""),REGEXMATCH(A3897,"".*@simonelectrica.com$""),REGEXMATCH(A3897,"".*@hiberus.com$""),REGEXMATCH(A3897,"".*@simonbrico.es$""),regexmatch(A3897,"".*@simonelectric.com$"")),""null"",A3"&amp;"897)"),"2917@mastercentella.com")</f>
        <v>2917@mastercentella.com</v>
      </c>
      <c r="C3897" s="5">
        <f>IF(B3897="null","null",Descargas!B3897)</f>
        <v>43845</v>
      </c>
      <c r="D3897" s="6" t="str">
        <f>Descargas!E3897</f>
        <v>https://resources.simonelectric.com/simon-ebook-vehiculo-electrico</v>
      </c>
      <c r="E3897" s="20" t="str">
        <f t="shared" si="1"/>
        <v>2917@mastercentella.com</v>
      </c>
      <c r="F3897" s="21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</row>
    <row r="3898" ht="15.75" customHeight="1">
      <c r="A3898" s="18" t="str">
        <f>Descargas!A3898</f>
        <v>2918@gmail.com</v>
      </c>
      <c r="B3898" s="19" t="str">
        <f>IFERROR(__xludf.DUMMYFUNCTION("IF(OR(regexmatch(A3898,"".*@simon.es$""),REGEXMATCH(A3898,"".*@simon.pt$""),REGEXMATCH(A3898,"".*@simonelectrica.com$""),REGEXMATCH(A3898,"".*@hiberus.com$""),REGEXMATCH(A3898,"".*@simonbrico.es$""),regexmatch(A3898,"".*@simonelectric.com$"")),""null"",A3"&amp;"898)"),"2918@gmail.com")</f>
        <v>2918@gmail.com</v>
      </c>
      <c r="C3898" s="5">
        <f>IF(B3898="null","null",Descargas!B3898)</f>
        <v>43845</v>
      </c>
      <c r="D3898" s="6" t="str">
        <f>Descargas!E3898</f>
        <v>https://resources.simonelectric.com/simon-catalogo-vehiculo-electrico</v>
      </c>
      <c r="E3898" s="20" t="str">
        <f t="shared" si="1"/>
        <v>2918@gmail.com</v>
      </c>
      <c r="F3898" s="21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</row>
    <row r="3899" ht="15.75" customHeight="1">
      <c r="A3899" s="18" t="str">
        <f>Descargas!A3899</f>
        <v>2918@gmail.com</v>
      </c>
      <c r="B3899" s="19" t="str">
        <f>IFERROR(__xludf.DUMMYFUNCTION("IF(OR(regexmatch(A3899,"".*@simon.es$""),REGEXMATCH(A3899,"".*@simon.pt$""),REGEXMATCH(A3899,"".*@simonelectrica.com$""),REGEXMATCH(A3899,"".*@hiberus.com$""),REGEXMATCH(A3899,"".*@simonbrico.es$""),regexmatch(A3899,"".*@simonelectric.com$"")),""null"",A3"&amp;"899)"),"2918@gmail.com")</f>
        <v>2918@gmail.com</v>
      </c>
      <c r="C3899" s="5">
        <f>IF(B3899="null","null",Descargas!B3899)</f>
        <v>43845</v>
      </c>
      <c r="D3899" s="6" t="str">
        <f>Descargas!E3899</f>
        <v>https://resources.simonelectric.com/simon-ebook-vehiculo-electrico</v>
      </c>
      <c r="E3899" s="20" t="str">
        <f t="shared" si="1"/>
        <v>2918@gmail.com</v>
      </c>
      <c r="F3899" s="21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</row>
    <row r="3900" ht="15.75" customHeight="1">
      <c r="A3900" s="18" t="str">
        <f>Descargas!A3900</f>
        <v>2834@idom.com</v>
      </c>
      <c r="B3900" s="19" t="str">
        <f>IFERROR(__xludf.DUMMYFUNCTION("IF(OR(regexmatch(A3900,"".*@simon.es$""),REGEXMATCH(A3900,"".*@simon.pt$""),REGEXMATCH(A3900,"".*@simonelectrica.com$""),REGEXMATCH(A3900,"".*@hiberus.com$""),REGEXMATCH(A3900,"".*@simonbrico.es$""),regexmatch(A3900,"".*@simonelectric.com$"")),""null"",A3"&amp;"900)"),"2834@idom.com")</f>
        <v>2834@idom.com</v>
      </c>
      <c r="C3900" s="5">
        <f>IF(B3900="null","null",Descargas!B3900)</f>
        <v>43844</v>
      </c>
      <c r="D3900" s="6" t="str">
        <f>Descargas!E3900</f>
        <v>https://resources.simonelectric.com/simon-ebook-vehiculo-electrico</v>
      </c>
      <c r="E3900" s="20" t="str">
        <f t="shared" si="1"/>
        <v>2834@idom.com</v>
      </c>
      <c r="F3900" s="21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</row>
    <row r="3901" ht="15.75" customHeight="1">
      <c r="A3901" s="18" t="str">
        <f>Descargas!A3901</f>
        <v>2875@ulper.es</v>
      </c>
      <c r="B3901" s="19" t="str">
        <f>IFERROR(__xludf.DUMMYFUNCTION("IF(OR(regexmatch(A3901,"".*@simon.es$""),REGEXMATCH(A3901,"".*@simon.pt$""),REGEXMATCH(A3901,"".*@simonelectrica.com$""),REGEXMATCH(A3901,"".*@hiberus.com$""),REGEXMATCH(A3901,"".*@simonbrico.es$""),regexmatch(A3901,"".*@simonelectric.com$"")),""null"",A3"&amp;"901)"),"2875@ulper.es")</f>
        <v>2875@ulper.es</v>
      </c>
      <c r="C3901" s="5">
        <f>IF(B3901="null","null",Descargas!B3901)</f>
        <v>43844</v>
      </c>
      <c r="D3901" s="6" t="str">
        <f>Descargas!E3901</f>
        <v>https://resources.simonelectric.com/simon-ebook-vehiculo-electrico</v>
      </c>
      <c r="E3901" s="20" t="str">
        <f t="shared" si="1"/>
        <v>2875@ulper.es</v>
      </c>
      <c r="F3901" s="21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</row>
    <row r="3902" ht="15.75" customHeight="1">
      <c r="A3902" s="18" t="str">
        <f>Descargas!A3902</f>
        <v>2919@gmail.com</v>
      </c>
      <c r="B3902" s="19" t="str">
        <f>IFERROR(__xludf.DUMMYFUNCTION("IF(OR(regexmatch(A3902,"".*@simon.es$""),REGEXMATCH(A3902,"".*@simon.pt$""),REGEXMATCH(A3902,"".*@simonelectrica.com$""),REGEXMATCH(A3902,"".*@hiberus.com$""),REGEXMATCH(A3902,"".*@simonbrico.es$""),regexmatch(A3902,"".*@simonelectric.com$"")),""null"",A3"&amp;"902)"),"2919@gmail.com")</f>
        <v>2919@gmail.com</v>
      </c>
      <c r="C3902" s="5">
        <f>IF(B3902="null","null",Descargas!B3902)</f>
        <v>43844</v>
      </c>
      <c r="D3902" s="6" t="str">
        <f>Descargas!E3902</f>
        <v>https://resources.simonelectric.com/simon-ebook-vehiculo-electrico</v>
      </c>
      <c r="E3902" s="20" t="str">
        <f t="shared" si="1"/>
        <v>2919@gmail.com</v>
      </c>
      <c r="F3902" s="21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</row>
    <row r="3903" ht="15.75" customHeight="1">
      <c r="A3903" s="18" t="str">
        <f>Descargas!A3903</f>
        <v>2920@prodelectric.es</v>
      </c>
      <c r="B3903" s="19" t="str">
        <f>IFERROR(__xludf.DUMMYFUNCTION("IF(OR(regexmatch(A3903,"".*@simon.es$""),REGEXMATCH(A3903,"".*@simon.pt$""),REGEXMATCH(A3903,"".*@simonelectrica.com$""),REGEXMATCH(A3903,"".*@hiberus.com$""),REGEXMATCH(A3903,"".*@simonbrico.es$""),regexmatch(A3903,"".*@simonelectric.com$"")),""null"",A3"&amp;"903)"),"2920@prodelectric.es")</f>
        <v>2920@prodelectric.es</v>
      </c>
      <c r="C3903" s="5">
        <f>IF(B3903="null","null",Descargas!B3903)</f>
        <v>43844</v>
      </c>
      <c r="D3903" s="6" t="str">
        <f>Descargas!E3903</f>
        <v>https://resources.simonelectric.com/simon-ebook-vehiculo-electrico</v>
      </c>
      <c r="E3903" s="20" t="str">
        <f t="shared" si="1"/>
        <v>2920@prodelectric.es</v>
      </c>
      <c r="F3903" s="21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</row>
    <row r="3904" ht="15.75" customHeight="1">
      <c r="A3904" s="18" t="str">
        <f>Descargas!A3904</f>
        <v>2921@hotmail.com</v>
      </c>
      <c r="B3904" s="19" t="str">
        <f>IFERROR(__xludf.DUMMYFUNCTION("IF(OR(regexmatch(A3904,"".*@simon.es$""),REGEXMATCH(A3904,"".*@simon.pt$""),REGEXMATCH(A3904,"".*@simonelectrica.com$""),REGEXMATCH(A3904,"".*@hiberus.com$""),REGEXMATCH(A3904,"".*@simonbrico.es$""),regexmatch(A3904,"".*@simonelectric.com$"")),""null"",A3"&amp;"904)"),"2921@hotmail.com")</f>
        <v>2921@hotmail.com</v>
      </c>
      <c r="C3904" s="5">
        <f>IF(B3904="null","null",Descargas!B3904)</f>
        <v>43844</v>
      </c>
      <c r="D3904" s="6" t="str">
        <f>Descargas!E3904</f>
        <v>https://resources.simonelectric.com/simon-catalogo-vehiculo-electrico</v>
      </c>
      <c r="E3904" s="20" t="str">
        <f t="shared" si="1"/>
        <v>2921@hotmail.com</v>
      </c>
      <c r="F3904" s="21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</row>
    <row r="3905" ht="15.75" customHeight="1">
      <c r="A3905" s="18" t="str">
        <f>Descargas!A3905</f>
        <v>2921@hotmail.com</v>
      </c>
      <c r="B3905" s="19" t="str">
        <f>IFERROR(__xludf.DUMMYFUNCTION("IF(OR(regexmatch(A3905,"".*@simon.es$""),REGEXMATCH(A3905,"".*@simon.pt$""),REGEXMATCH(A3905,"".*@simonelectrica.com$""),REGEXMATCH(A3905,"".*@hiberus.com$""),REGEXMATCH(A3905,"".*@simonbrico.es$""),regexmatch(A3905,"".*@simonelectric.com$"")),""null"",A3"&amp;"905)"),"2921@hotmail.com")</f>
        <v>2921@hotmail.com</v>
      </c>
      <c r="C3905" s="5">
        <f>IF(B3905="null","null",Descargas!B3905)</f>
        <v>43844</v>
      </c>
      <c r="D3905" s="6" t="str">
        <f>Descargas!E3905</f>
        <v>https://resources.simonelectric.com/simon-ebook-vehiculo-electrico</v>
      </c>
      <c r="E3905" s="20" t="str">
        <f t="shared" si="1"/>
        <v>2921@hotmail.com</v>
      </c>
      <c r="F3905" s="21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</row>
    <row r="3906" ht="15.75" customHeight="1">
      <c r="A3906" s="18" t="str">
        <f>Descargas!A3906</f>
        <v>631@engie.com</v>
      </c>
      <c r="B3906" s="19" t="str">
        <f>IFERROR(__xludf.DUMMYFUNCTION("IF(OR(regexmatch(A3906,"".*@simon.es$""),REGEXMATCH(A3906,"".*@simon.pt$""),REGEXMATCH(A3906,"".*@simonelectrica.com$""),REGEXMATCH(A3906,"".*@hiberus.com$""),REGEXMATCH(A3906,"".*@simonbrico.es$""),regexmatch(A3906,"".*@simonelectric.com$"")),""null"",A3"&amp;"906)"),"631@engie.com")</f>
        <v>631@engie.com</v>
      </c>
      <c r="C3906" s="5">
        <f>IF(B3906="null","null",Descargas!B3906)</f>
        <v>43844</v>
      </c>
      <c r="D3906" s="6" t="str">
        <f>Descargas!E3906</f>
        <v>https://resources.simonelectric.com/simon-ebook-vehiculo-electrico</v>
      </c>
      <c r="E3906" s="20" t="str">
        <f t="shared" si="1"/>
        <v>631@engie.com</v>
      </c>
      <c r="F3906" s="21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</row>
    <row r="3907" ht="15.75" customHeight="1">
      <c r="A3907" s="18" t="str">
        <f>Descargas!A3907</f>
        <v>1413@gmail.com</v>
      </c>
      <c r="B3907" s="19" t="str">
        <f>IFERROR(__xludf.DUMMYFUNCTION("IF(OR(regexmatch(A3907,"".*@simon.es$""),REGEXMATCH(A3907,"".*@simon.pt$""),REGEXMATCH(A3907,"".*@simonelectrica.com$""),REGEXMATCH(A3907,"".*@hiberus.com$""),REGEXMATCH(A3907,"".*@simonbrico.es$""),regexmatch(A3907,"".*@simonelectric.com$"")),""null"",A3"&amp;"907)"),"1413@gmail.com")</f>
        <v>1413@gmail.com</v>
      </c>
      <c r="C3907" s="5">
        <f>IF(B3907="null","null",Descargas!B3907)</f>
        <v>43844</v>
      </c>
      <c r="D3907" s="6" t="str">
        <f>Descargas!E3907</f>
        <v>https://resources.simonelectric.com/simon-ebook-vehiculo-electrico</v>
      </c>
      <c r="E3907" s="20" t="str">
        <f t="shared" si="1"/>
        <v>1413@gmail.com</v>
      </c>
      <c r="F3907" s="21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</row>
    <row r="3908" ht="15.75" customHeight="1">
      <c r="A3908" s="18" t="str">
        <f>Descargas!A3908</f>
        <v>1413@gmail.com</v>
      </c>
      <c r="B3908" s="19" t="str">
        <f>IFERROR(__xludf.DUMMYFUNCTION("IF(OR(regexmatch(A3908,"".*@simon.es$""),REGEXMATCH(A3908,"".*@simon.pt$""),REGEXMATCH(A3908,"".*@simonelectrica.com$""),REGEXMATCH(A3908,"".*@hiberus.com$""),REGEXMATCH(A3908,"".*@simonbrico.es$""),regexmatch(A3908,"".*@simonelectric.com$"")),""null"",A3"&amp;"908)"),"1413@gmail.com")</f>
        <v>1413@gmail.com</v>
      </c>
      <c r="C3908" s="5">
        <f>IF(B3908="null","null",Descargas!B3908)</f>
        <v>43844</v>
      </c>
      <c r="D3908" s="6" t="str">
        <f>Descargas!E3908</f>
        <v>https://resources.simonelectric.com/simon-catalogo-vehiculo-electrico</v>
      </c>
      <c r="E3908" s="20" t="str">
        <f t="shared" si="1"/>
        <v>1413@gmail.com</v>
      </c>
      <c r="F3908" s="21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</row>
    <row r="3909" ht="15.75" customHeight="1">
      <c r="A3909" s="18" t="str">
        <f>Descargas!A3909</f>
        <v>2922@tecnicanorte.com</v>
      </c>
      <c r="B3909" s="19" t="str">
        <f>IFERROR(__xludf.DUMMYFUNCTION("IF(OR(regexmatch(A3909,"".*@simon.es$""),REGEXMATCH(A3909,"".*@simon.pt$""),REGEXMATCH(A3909,"".*@simonelectrica.com$""),REGEXMATCH(A3909,"".*@hiberus.com$""),REGEXMATCH(A3909,"".*@simonbrico.es$""),regexmatch(A3909,"".*@simonelectric.com$"")),""null"",A3"&amp;"909)"),"2922@tecnicanorte.com")</f>
        <v>2922@tecnicanorte.com</v>
      </c>
      <c r="C3909" s="5">
        <f>IF(B3909="null","null",Descargas!B3909)</f>
        <v>43844</v>
      </c>
      <c r="D3909" s="6" t="str">
        <f>Descargas!E3909</f>
        <v>https://resources.simonelectric.com/simon-ebook-vehiculo-electrico</v>
      </c>
      <c r="E3909" s="20" t="str">
        <f t="shared" si="1"/>
        <v>2922@tecnicanorte.com</v>
      </c>
      <c r="F3909" s="21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</row>
    <row r="3910" ht="15.75" customHeight="1">
      <c r="A3910" s="18" t="str">
        <f>Descargas!A3910</f>
        <v>2851@yahoo.es</v>
      </c>
      <c r="B3910" s="19" t="str">
        <f>IFERROR(__xludf.DUMMYFUNCTION("IF(OR(regexmatch(A3910,"".*@simon.es$""),REGEXMATCH(A3910,"".*@simon.pt$""),REGEXMATCH(A3910,"".*@simonelectrica.com$""),REGEXMATCH(A3910,"".*@hiberus.com$""),REGEXMATCH(A3910,"".*@simonbrico.es$""),regexmatch(A3910,"".*@simonelectric.com$"")),""null"",A3"&amp;"910)"),"2851@yahoo.es")</f>
        <v>2851@yahoo.es</v>
      </c>
      <c r="C3910" s="5">
        <f>IF(B3910="null","null",Descargas!B3910)</f>
        <v>43844</v>
      </c>
      <c r="D3910" s="6" t="str">
        <f>Descargas!E3910</f>
        <v>https://resources.simonelectric.com/simon-catalogo-vehiculo-electrico</v>
      </c>
      <c r="E3910" s="20" t="str">
        <f t="shared" si="1"/>
        <v>2851@yahoo.es</v>
      </c>
      <c r="F3910" s="21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</row>
    <row r="3911" ht="15.75" customHeight="1">
      <c r="A3911" s="18" t="str">
        <f>Descargas!A3911</f>
        <v>2923@gmail.com</v>
      </c>
      <c r="B3911" s="19" t="str">
        <f>IFERROR(__xludf.DUMMYFUNCTION("IF(OR(regexmatch(A3911,"".*@simon.es$""),REGEXMATCH(A3911,"".*@simon.pt$""),REGEXMATCH(A3911,"".*@simonelectrica.com$""),REGEXMATCH(A3911,"".*@hiberus.com$""),REGEXMATCH(A3911,"".*@simonbrico.es$""),regexmatch(A3911,"".*@simonelectric.com$"")),""null"",A3"&amp;"911)"),"2923@gmail.com")</f>
        <v>2923@gmail.com</v>
      </c>
      <c r="C3911" s="5">
        <f>IF(B3911="null","null",Descargas!B3911)</f>
        <v>43843</v>
      </c>
      <c r="D3911" s="6" t="str">
        <f>Descargas!E3911</f>
        <v>https://resources.simonelectric.com/simon-ebook-vehiculo-electrico</v>
      </c>
      <c r="E3911" s="20" t="str">
        <f t="shared" si="1"/>
        <v>2923@gmail.com</v>
      </c>
      <c r="F3911" s="21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</row>
    <row r="3912" ht="15.75" customHeight="1">
      <c r="A3912" s="18" t="str">
        <f>Descargas!A3912</f>
        <v>1817@eurocabos.es</v>
      </c>
      <c r="B3912" s="19" t="str">
        <f>IFERROR(__xludf.DUMMYFUNCTION("IF(OR(regexmatch(A3912,"".*@simon.es$""),REGEXMATCH(A3912,"".*@simon.pt$""),REGEXMATCH(A3912,"".*@simonelectrica.com$""),REGEXMATCH(A3912,"".*@hiberus.com$""),REGEXMATCH(A3912,"".*@simonbrico.es$""),regexmatch(A3912,"".*@simonelectric.com$"")),""null"",A3"&amp;"912)"),"1817@eurocabos.es")</f>
        <v>1817@eurocabos.es</v>
      </c>
      <c r="C3912" s="5">
        <f>IF(B3912="null","null",Descargas!B3912)</f>
        <v>43843</v>
      </c>
      <c r="D3912" s="6" t="str">
        <f>Descargas!E3912</f>
        <v>https://resources.simonelectric.com/simon-ebook-vehiculo-electrico</v>
      </c>
      <c r="E3912" s="20" t="str">
        <f t="shared" si="1"/>
        <v>1817@eurocabos.es</v>
      </c>
      <c r="F3912" s="21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</row>
    <row r="3913" ht="15.75" customHeight="1">
      <c r="A3913" s="18" t="str">
        <f>Descargas!A3913</f>
        <v>2924@gmail.com</v>
      </c>
      <c r="B3913" s="19" t="str">
        <f>IFERROR(__xludf.DUMMYFUNCTION("IF(OR(regexmatch(A3913,"".*@simon.es$""),REGEXMATCH(A3913,"".*@simon.pt$""),REGEXMATCH(A3913,"".*@simonelectrica.com$""),REGEXMATCH(A3913,"".*@hiberus.com$""),REGEXMATCH(A3913,"".*@simonbrico.es$""),regexmatch(A3913,"".*@simonelectric.com$"")),""null"",A3"&amp;"913)"),"2924@gmail.com")</f>
        <v>2924@gmail.com</v>
      </c>
      <c r="C3913" s="5">
        <f>IF(B3913="null","null",Descargas!B3913)</f>
        <v>43843</v>
      </c>
      <c r="D3913" s="6" t="str">
        <f>Descargas!E3913</f>
        <v>https://resources.simonelectric.com/simon-ebook-vehiculo-electrico</v>
      </c>
      <c r="E3913" s="20" t="str">
        <f t="shared" si="1"/>
        <v>2924@gmail.com</v>
      </c>
      <c r="F3913" s="21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</row>
    <row r="3914" ht="15.75" customHeight="1">
      <c r="A3914" s="18" t="str">
        <f>Descargas!A3914</f>
        <v>2925@gmail.com</v>
      </c>
      <c r="B3914" s="19" t="str">
        <f>IFERROR(__xludf.DUMMYFUNCTION("IF(OR(regexmatch(A3914,"".*@simon.es$""),REGEXMATCH(A3914,"".*@simon.pt$""),REGEXMATCH(A3914,"".*@simonelectrica.com$""),REGEXMATCH(A3914,"".*@hiberus.com$""),REGEXMATCH(A3914,"".*@simonbrico.es$""),regexmatch(A3914,"".*@simonelectric.com$"")),""null"",A3"&amp;"914)"),"2925@gmail.com")</f>
        <v>2925@gmail.com</v>
      </c>
      <c r="C3914" s="5">
        <f>IF(B3914="null","null",Descargas!B3914)</f>
        <v>43843</v>
      </c>
      <c r="D3914" s="6" t="str">
        <f>Descargas!E3914</f>
        <v>https://resources.simonelectric.com/simon-catalogo-vehiculo-electrico</v>
      </c>
      <c r="E3914" s="20" t="str">
        <f t="shared" si="1"/>
        <v>2925@gmail.com</v>
      </c>
      <c r="F3914" s="21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</row>
    <row r="3915" ht="15.75" customHeight="1">
      <c r="A3915" s="18" t="str">
        <f>Descargas!A3915</f>
        <v>2926@elherco.com</v>
      </c>
      <c r="B3915" s="19" t="str">
        <f>IFERROR(__xludf.DUMMYFUNCTION("IF(OR(regexmatch(A3915,"".*@simon.es$""),REGEXMATCH(A3915,"".*@simon.pt$""),REGEXMATCH(A3915,"".*@simonelectrica.com$""),REGEXMATCH(A3915,"".*@hiberus.com$""),REGEXMATCH(A3915,"".*@simonbrico.es$""),regexmatch(A3915,"".*@simonelectric.com$"")),""null"",A3"&amp;"915)"),"2926@elherco.com")</f>
        <v>2926@elherco.com</v>
      </c>
      <c r="C3915" s="5">
        <f>IF(B3915="null","null",Descargas!B3915)</f>
        <v>43843</v>
      </c>
      <c r="D3915" s="6" t="str">
        <f>Descargas!E3915</f>
        <v>https://resources.simonelectric.com/simon-ebook-vehiculo-electrico</v>
      </c>
      <c r="E3915" s="20" t="str">
        <f t="shared" si="1"/>
        <v>2926@elherco.com</v>
      </c>
      <c r="F3915" s="21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</row>
    <row r="3916" ht="15.75" customHeight="1">
      <c r="A3916" s="18" t="str">
        <f>Descargas!A3916</f>
        <v>1607@talesingenieria.es</v>
      </c>
      <c r="B3916" s="19" t="str">
        <f>IFERROR(__xludf.DUMMYFUNCTION("IF(OR(regexmatch(A3916,"".*@simon.es$""),REGEXMATCH(A3916,"".*@simon.pt$""),REGEXMATCH(A3916,"".*@simonelectrica.com$""),REGEXMATCH(A3916,"".*@hiberus.com$""),REGEXMATCH(A3916,"".*@simonbrico.es$""),regexmatch(A3916,"".*@simonelectric.com$"")),""null"",A3"&amp;"916)"),"1607@talesingenieria.es")</f>
        <v>1607@talesingenieria.es</v>
      </c>
      <c r="C3916" s="5">
        <f>IF(B3916="null","null",Descargas!B3916)</f>
        <v>43843</v>
      </c>
      <c r="D3916" s="6" t="str">
        <f>Descargas!E3916</f>
        <v>https://resources.simonelectric.com/simon-ebook-vehiculo-electrico</v>
      </c>
      <c r="E3916" s="20" t="str">
        <f t="shared" si="1"/>
        <v>1607@talesingenieria.es</v>
      </c>
      <c r="F3916" s="21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</row>
    <row r="3917" ht="15.75" customHeight="1">
      <c r="A3917" s="18" t="str">
        <f>Descargas!A3917</f>
        <v>870@gmail.com</v>
      </c>
      <c r="B3917" s="19" t="str">
        <f>IFERROR(__xludf.DUMMYFUNCTION("IF(OR(regexmatch(A3917,"".*@simon.es$""),REGEXMATCH(A3917,"".*@simon.pt$""),REGEXMATCH(A3917,"".*@simonelectrica.com$""),REGEXMATCH(A3917,"".*@hiberus.com$""),REGEXMATCH(A3917,"".*@simonbrico.es$""),regexmatch(A3917,"".*@simonelectric.com$"")),""null"",A3"&amp;"917)"),"870@gmail.com")</f>
        <v>870@gmail.com</v>
      </c>
      <c r="C3917" s="5">
        <f>IF(B3917="null","null",Descargas!B3917)</f>
        <v>43843</v>
      </c>
      <c r="D3917" s="6" t="str">
        <f>Descargas!E3917</f>
        <v>https://resources.simonelectric.com/simon-ebook-vehiculo-electrico</v>
      </c>
      <c r="E3917" s="20" t="str">
        <f t="shared" si="1"/>
        <v>870@gmail.com</v>
      </c>
      <c r="F3917" s="21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</row>
    <row r="3918" ht="15.75" customHeight="1">
      <c r="A3918" s="18" t="str">
        <f>Descargas!A3918</f>
        <v>870@gmail.com</v>
      </c>
      <c r="B3918" s="19" t="str">
        <f>IFERROR(__xludf.DUMMYFUNCTION("IF(OR(regexmatch(A3918,"".*@simon.es$""),REGEXMATCH(A3918,"".*@simon.pt$""),REGEXMATCH(A3918,"".*@simonelectrica.com$""),REGEXMATCH(A3918,"".*@hiberus.com$""),REGEXMATCH(A3918,"".*@simonbrico.es$""),regexmatch(A3918,"".*@simonelectric.com$"")),""null"",A3"&amp;"918)"),"870@gmail.com")</f>
        <v>870@gmail.com</v>
      </c>
      <c r="C3918" s="5">
        <f>IF(B3918="null","null",Descargas!B3918)</f>
        <v>43843</v>
      </c>
      <c r="D3918" s="6" t="str">
        <f>Descargas!E3918</f>
        <v>https://resources.simonelectric.com/simon-catalogo-vehiculo-electrico</v>
      </c>
      <c r="E3918" s="20" t="str">
        <f t="shared" si="1"/>
        <v>870@gmail.com</v>
      </c>
      <c r="F3918" s="21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</row>
    <row r="3919" ht="15.75" customHeight="1">
      <c r="A3919" s="18" t="str">
        <f>Descargas!A3919</f>
        <v>2902@gmail.com</v>
      </c>
      <c r="B3919" s="19" t="str">
        <f>IFERROR(__xludf.DUMMYFUNCTION("IF(OR(regexmatch(A3919,"".*@simon.es$""),REGEXMATCH(A3919,"".*@simon.pt$""),REGEXMATCH(A3919,"".*@simonelectrica.com$""),REGEXMATCH(A3919,"".*@hiberus.com$""),REGEXMATCH(A3919,"".*@simonbrico.es$""),regexmatch(A3919,"".*@simonelectric.com$"")),""null"",A3"&amp;"919)"),"2902@gmail.com")</f>
        <v>2902@gmail.com</v>
      </c>
      <c r="C3919" s="5">
        <f>IF(B3919="null","null",Descargas!B3919)</f>
        <v>43843</v>
      </c>
      <c r="D3919" s="6" t="str">
        <f>Descargas!E3919</f>
        <v>https://resources.simonelectric.com/simon-ebook-vehiculo-electrico</v>
      </c>
      <c r="E3919" s="20" t="str">
        <f t="shared" si="1"/>
        <v>2902@gmail.com</v>
      </c>
      <c r="F3919" s="21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</row>
    <row r="3920" ht="15.75" customHeight="1">
      <c r="A3920" s="18" t="str">
        <f>Descargas!A3920</f>
        <v>632@gmail.com</v>
      </c>
      <c r="B3920" s="19" t="str">
        <f>IFERROR(__xludf.DUMMYFUNCTION("IF(OR(regexmatch(A3920,"".*@simon.es$""),REGEXMATCH(A3920,"".*@simon.pt$""),REGEXMATCH(A3920,"".*@simonelectrica.com$""),REGEXMATCH(A3920,"".*@hiberus.com$""),REGEXMATCH(A3920,"".*@simonbrico.es$""),regexmatch(A3920,"".*@simonelectric.com$"")),""null"",A3"&amp;"920)"),"632@gmail.com")</f>
        <v>632@gmail.com</v>
      </c>
      <c r="C3920" s="5">
        <f>IF(B3920="null","null",Descargas!B3920)</f>
        <v>43843</v>
      </c>
      <c r="D3920" s="6" t="str">
        <f>Descargas!E3920</f>
        <v>https://resources.simonelectric.com/simon-catalogo-vehiculo-electrico</v>
      </c>
      <c r="E3920" s="20" t="str">
        <f t="shared" si="1"/>
        <v>632@gmail.com</v>
      </c>
      <c r="F3920" s="21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</row>
    <row r="3921" ht="15.75" customHeight="1">
      <c r="A3921" s="18" t="str">
        <f>Descargas!A3921</f>
        <v>2927@interflex.es</v>
      </c>
      <c r="B3921" s="19" t="str">
        <f>IFERROR(__xludf.DUMMYFUNCTION("IF(OR(regexmatch(A3921,"".*@simon.es$""),REGEXMATCH(A3921,"".*@simon.pt$""),REGEXMATCH(A3921,"".*@simonelectrica.com$""),REGEXMATCH(A3921,"".*@hiberus.com$""),REGEXMATCH(A3921,"".*@simonbrico.es$""),regexmatch(A3921,"".*@simonelectric.com$"")),""null"",A3"&amp;"921)"),"2927@interflex.es")</f>
        <v>2927@interflex.es</v>
      </c>
      <c r="C3921" s="5">
        <f>IF(B3921="null","null",Descargas!B3921)</f>
        <v>43843</v>
      </c>
      <c r="D3921" s="6" t="str">
        <f>Descargas!E3921</f>
        <v>https://resources.simonelectric.com/simon-ebook-vehiculo-electrico</v>
      </c>
      <c r="E3921" s="20" t="str">
        <f t="shared" si="1"/>
        <v>2927@interflex.es</v>
      </c>
      <c r="F3921" s="21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</row>
    <row r="3922" ht="15.75" customHeight="1">
      <c r="A3922" s="18" t="str">
        <f>Descargas!A3922</f>
        <v>2928@simon.es</v>
      </c>
      <c r="B3922" s="19" t="str">
        <f>IFERROR(__xludf.DUMMYFUNCTION("IF(OR(regexmatch(A3922,"".*@simon.es$""),REGEXMATCH(A3922,"".*@simon.pt$""),REGEXMATCH(A3922,"".*@simonelectrica.com$""),REGEXMATCH(A3922,"".*@hiberus.com$""),REGEXMATCH(A3922,"".*@simonbrico.es$""),regexmatch(A3922,"".*@simonelectric.com$"")),""null"",A3"&amp;"922)"),"null")</f>
        <v>null</v>
      </c>
      <c r="C3922" s="5" t="str">
        <f>IF(B3922="null","null",Descargas!B3922)</f>
        <v>null</v>
      </c>
      <c r="D3922" s="6" t="str">
        <f>Descargas!E3922</f>
        <v>https://resources.simonelectric.com/simon-ebook-vehiculo-electrico</v>
      </c>
      <c r="E3922" s="24" t="str">
        <f t="shared" si="1"/>
        <v/>
      </c>
      <c r="F3922" s="21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</row>
    <row r="3923" ht="15.75" customHeight="1">
      <c r="A3923" s="18" t="str">
        <f>Descargas!A3923</f>
        <v>929@acciona.com</v>
      </c>
      <c r="B3923" s="19" t="str">
        <f>IFERROR(__xludf.DUMMYFUNCTION("IF(OR(regexmatch(A3923,"".*@simon.es$""),REGEXMATCH(A3923,"".*@simon.pt$""),REGEXMATCH(A3923,"".*@simonelectrica.com$""),REGEXMATCH(A3923,"".*@hiberus.com$""),REGEXMATCH(A3923,"".*@simonbrico.es$""),regexmatch(A3923,"".*@simonelectric.com$"")),""null"",A3"&amp;"923)"),"929@acciona.com")</f>
        <v>929@acciona.com</v>
      </c>
      <c r="C3923" s="5">
        <f>IF(B3923="null","null",Descargas!B3923)</f>
        <v>43843</v>
      </c>
      <c r="D3923" s="6" t="str">
        <f>Descargas!E3923</f>
        <v>https://resources.simonelectric.com/simon-ebook-vehiculo-electrico</v>
      </c>
      <c r="E3923" s="20" t="str">
        <f t="shared" si="1"/>
        <v>929@acciona.com</v>
      </c>
      <c r="F3923" s="21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</row>
    <row r="3924" ht="15.75" customHeight="1">
      <c r="A3924" s="18" t="str">
        <f>Descargas!A3924</f>
        <v>72@grupoelectrostocks.com</v>
      </c>
      <c r="B3924" s="19" t="str">
        <f>IFERROR(__xludf.DUMMYFUNCTION("IF(OR(regexmatch(A3924,"".*@simon.es$""),REGEXMATCH(A3924,"".*@simon.pt$""),REGEXMATCH(A3924,"".*@simonelectrica.com$""),REGEXMATCH(A3924,"".*@hiberus.com$""),REGEXMATCH(A3924,"".*@simonbrico.es$""),regexmatch(A3924,"".*@simonelectric.com$"")),""null"",A3"&amp;"924)"),"72@grupoelectrostocks.com")</f>
        <v>72@grupoelectrostocks.com</v>
      </c>
      <c r="C3924" s="5">
        <f>IF(B3924="null","null",Descargas!B3924)</f>
        <v>43843</v>
      </c>
      <c r="D3924" s="6" t="str">
        <f>Descargas!E3924</f>
        <v>https://resources.simonelectric.com/simon-ebook-vehiculo-electrico</v>
      </c>
      <c r="E3924" s="20" t="str">
        <f t="shared" si="1"/>
        <v>72@grupoelectrostocks.com</v>
      </c>
      <c r="F3924" s="21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</row>
    <row r="3925" ht="15.75" customHeight="1">
      <c r="A3925" s="18" t="str">
        <f>Descargas!A3925</f>
        <v>2475@berdin.com</v>
      </c>
      <c r="B3925" s="19" t="str">
        <f>IFERROR(__xludf.DUMMYFUNCTION("IF(OR(regexmatch(A3925,"".*@simon.es$""),REGEXMATCH(A3925,"".*@simon.pt$""),REGEXMATCH(A3925,"".*@simonelectrica.com$""),REGEXMATCH(A3925,"".*@hiberus.com$""),REGEXMATCH(A3925,"".*@simonbrico.es$""),regexmatch(A3925,"".*@simonelectric.com$"")),""null"",A3"&amp;"925)"),"2475@berdin.com")</f>
        <v>2475@berdin.com</v>
      </c>
      <c r="C3925" s="5">
        <f>IF(B3925="null","null",Descargas!B3925)</f>
        <v>43843</v>
      </c>
      <c r="D3925" s="6" t="str">
        <f>Descargas!E3925</f>
        <v>https://resources.simonelectric.com/simon-ebook-vehiculo-electrico</v>
      </c>
      <c r="E3925" s="20" t="str">
        <f t="shared" si="1"/>
        <v>2475@berdin.com</v>
      </c>
      <c r="F3925" s="21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</row>
    <row r="3926" ht="15.75" customHeight="1">
      <c r="A3926" s="18" t="str">
        <f>Descargas!A3926</f>
        <v>2929@baurenginyers.cat</v>
      </c>
      <c r="B3926" s="19" t="str">
        <f>IFERROR(__xludf.DUMMYFUNCTION("IF(OR(regexmatch(A3926,"".*@simon.es$""),REGEXMATCH(A3926,"".*@simon.pt$""),REGEXMATCH(A3926,"".*@simonelectrica.com$""),REGEXMATCH(A3926,"".*@hiberus.com$""),REGEXMATCH(A3926,"".*@simonbrico.es$""),regexmatch(A3926,"".*@simonelectric.com$"")),""null"",A3"&amp;"926)"),"2929@baurenginyers.cat")</f>
        <v>2929@baurenginyers.cat</v>
      </c>
      <c r="C3926" s="5">
        <f>IF(B3926="null","null",Descargas!B3926)</f>
        <v>43843</v>
      </c>
      <c r="D3926" s="6" t="str">
        <f>Descargas!E3926</f>
        <v>https://resources.simonelectric.com/simon-ebook-vehiculo-electrico</v>
      </c>
      <c r="E3926" s="20" t="str">
        <f t="shared" si="1"/>
        <v>2929@baurenginyers.cat</v>
      </c>
      <c r="F3926" s="21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</row>
    <row r="3927" ht="15.75" customHeight="1">
      <c r="A3927" s="18" t="str">
        <f>Descargas!A3927</f>
        <v>1595@gmail.com</v>
      </c>
      <c r="B3927" s="19" t="str">
        <f>IFERROR(__xludf.DUMMYFUNCTION("IF(OR(regexmatch(A3927,"".*@simon.es$""),REGEXMATCH(A3927,"".*@simon.pt$""),REGEXMATCH(A3927,"".*@simonelectrica.com$""),REGEXMATCH(A3927,"".*@hiberus.com$""),REGEXMATCH(A3927,"".*@simonbrico.es$""),regexmatch(A3927,"".*@simonelectric.com$"")),""null"",A3"&amp;"927)"),"1595@gmail.com")</f>
        <v>1595@gmail.com</v>
      </c>
      <c r="C3927" s="5">
        <f>IF(B3927="null","null",Descargas!B3927)</f>
        <v>43842</v>
      </c>
      <c r="D3927" s="6" t="str">
        <f>Descargas!E3927</f>
        <v>https://resources.simonelectric.com/simon-ebook-vehiculo-electrico</v>
      </c>
      <c r="E3927" s="20" t="str">
        <f t="shared" si="1"/>
        <v>1595@gmail.com</v>
      </c>
      <c r="F3927" s="21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</row>
    <row r="3928" ht="15.75" customHeight="1">
      <c r="A3928" s="18" t="str">
        <f>Descargas!A3928</f>
        <v>1097@santaeulalia.cat</v>
      </c>
      <c r="B3928" s="19" t="str">
        <f>IFERROR(__xludf.DUMMYFUNCTION("IF(OR(regexmatch(A3928,"".*@simon.es$""),REGEXMATCH(A3928,"".*@simon.pt$""),REGEXMATCH(A3928,"".*@simonelectrica.com$""),REGEXMATCH(A3928,"".*@hiberus.com$""),REGEXMATCH(A3928,"".*@simonbrico.es$""),regexmatch(A3928,"".*@simonelectric.com$"")),""null"",A3"&amp;"928)"),"1097@santaeulalia.cat")</f>
        <v>1097@santaeulalia.cat</v>
      </c>
      <c r="C3928" s="5">
        <f>IF(B3928="null","null",Descargas!B3928)</f>
        <v>43842</v>
      </c>
      <c r="D3928" s="6" t="str">
        <f>Descargas!E3928</f>
        <v>https://resources.simonelectric.com/simon-ebook-vehiculo-electrico</v>
      </c>
      <c r="E3928" s="20" t="str">
        <f t="shared" si="1"/>
        <v>1097@santaeulalia.cat</v>
      </c>
      <c r="F3928" s="21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</row>
    <row r="3929" ht="15.75" customHeight="1">
      <c r="A3929" s="18" t="str">
        <f>Descargas!A3929</f>
        <v>3292@movistar.es</v>
      </c>
      <c r="B3929" s="19" t="str">
        <f>IFERROR(__xludf.DUMMYFUNCTION("IF(OR(regexmatch(A3929,"".*@simon.es$""),REGEXMATCH(A3929,"".*@simon.pt$""),REGEXMATCH(A3929,"".*@simonelectrica.com$""),REGEXMATCH(A3929,"".*@hiberus.com$""),REGEXMATCH(A3929,"".*@simonbrico.es$""),regexmatch(A3929,"".*@simonelectric.com$"")),""null"",A3"&amp;"929)"),"3292@movistar.es")</f>
        <v>3292@movistar.es</v>
      </c>
      <c r="C3929" s="5">
        <f>IF(B3929="null","null",Descargas!B3929)</f>
        <v>43841</v>
      </c>
      <c r="D3929" s="6" t="str">
        <f>Descargas!E3929</f>
        <v>https://resources.simonelectric.com/simon-ebook-vehiculo-electrico</v>
      </c>
      <c r="E3929" s="20" t="str">
        <f t="shared" si="1"/>
        <v>3292@movistar.es</v>
      </c>
      <c r="F3929" s="21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</row>
    <row r="3930" ht="15.75" customHeight="1">
      <c r="A3930" s="18" t="str">
        <f>Descargas!A3930</f>
        <v>3297@hotmail.com</v>
      </c>
      <c r="B3930" s="19" t="str">
        <f>IFERROR(__xludf.DUMMYFUNCTION("IF(OR(regexmatch(A3930,"".*@simon.es$""),REGEXMATCH(A3930,"".*@simon.pt$""),REGEXMATCH(A3930,"".*@simonelectrica.com$""),REGEXMATCH(A3930,"".*@hiberus.com$""),REGEXMATCH(A3930,"".*@simonbrico.es$""),regexmatch(A3930,"".*@simonelectric.com$"")),""null"",A3"&amp;"930)"),"3297@hotmail.com")</f>
        <v>3297@hotmail.com</v>
      </c>
      <c r="C3930" s="5">
        <f>IF(B3930="null","null",Descargas!B3930)</f>
        <v>43840</v>
      </c>
      <c r="D3930" s="6" t="str">
        <f>Descargas!E3930</f>
        <v>https://resources.simonelectric.com/simon-ebook-vehiculo-electrico</v>
      </c>
      <c r="E3930" s="20" t="str">
        <f t="shared" si="1"/>
        <v>3297@hotmail.com</v>
      </c>
      <c r="F3930" s="21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</row>
    <row r="3931" ht="15.75" customHeight="1">
      <c r="A3931" s="18" t="str">
        <f>Descargas!A3931</f>
        <v>2930@hotmail.com</v>
      </c>
      <c r="B3931" s="19" t="str">
        <f>IFERROR(__xludf.DUMMYFUNCTION("IF(OR(regexmatch(A3931,"".*@simon.es$""),REGEXMATCH(A3931,"".*@simon.pt$""),REGEXMATCH(A3931,"".*@simonelectrica.com$""),REGEXMATCH(A3931,"".*@hiberus.com$""),REGEXMATCH(A3931,"".*@simonbrico.es$""),regexmatch(A3931,"".*@simonelectric.com$"")),""null"",A3"&amp;"931)"),"2930@hotmail.com")</f>
        <v>2930@hotmail.com</v>
      </c>
      <c r="C3931" s="5">
        <f>IF(B3931="null","null",Descargas!B3931)</f>
        <v>43840</v>
      </c>
      <c r="D3931" s="6" t="str">
        <f>Descargas!E3931</f>
        <v>https://resources.simonelectric.com/simon-ebook-vehiculo-electrico</v>
      </c>
      <c r="E3931" s="20" t="str">
        <f t="shared" si="1"/>
        <v>2930@hotmail.com</v>
      </c>
      <c r="F3931" s="21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</row>
    <row r="3932" ht="15.75" customHeight="1">
      <c r="A3932" s="18" t="str">
        <f>Descargas!A3932</f>
        <v>1819@simon.es</v>
      </c>
      <c r="B3932" s="19" t="str">
        <f>IFERROR(__xludf.DUMMYFUNCTION("IF(OR(regexmatch(A3932,"".*@simon.es$""),REGEXMATCH(A3932,"".*@simon.pt$""),REGEXMATCH(A3932,"".*@simonelectrica.com$""),REGEXMATCH(A3932,"".*@hiberus.com$""),REGEXMATCH(A3932,"".*@simonbrico.es$""),regexmatch(A3932,"".*@simonelectric.com$"")),""null"",A3"&amp;"932)"),"null")</f>
        <v>null</v>
      </c>
      <c r="C3932" s="5" t="str">
        <f>IF(B3932="null","null",Descargas!B3932)</f>
        <v>null</v>
      </c>
      <c r="D3932" s="6" t="str">
        <f>Descargas!E3932</f>
        <v>https://resources.simonelectric.com/simon-ebook-vehiculo-electrico</v>
      </c>
      <c r="E3932" s="24" t="str">
        <f t="shared" si="1"/>
        <v/>
      </c>
      <c r="F3932" s="21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</row>
    <row r="3933" ht="15.75" customHeight="1">
      <c r="A3933" s="18" t="str">
        <f>Descargas!A3933</f>
        <v>2931@telefonica.net</v>
      </c>
      <c r="B3933" s="19" t="str">
        <f>IFERROR(__xludf.DUMMYFUNCTION("IF(OR(regexmatch(A3933,"".*@simon.es$""),REGEXMATCH(A3933,"".*@simon.pt$""),REGEXMATCH(A3933,"".*@simonelectrica.com$""),REGEXMATCH(A3933,"".*@hiberus.com$""),REGEXMATCH(A3933,"".*@simonbrico.es$""),regexmatch(A3933,"".*@simonelectric.com$"")),""null"",A3"&amp;"933)"),"2931@telefonica.net")</f>
        <v>2931@telefonica.net</v>
      </c>
      <c r="C3933" s="5">
        <f>IF(B3933="null","null",Descargas!B3933)</f>
        <v>43840</v>
      </c>
      <c r="D3933" s="6" t="str">
        <f>Descargas!E3933</f>
        <v>https://resources.simonelectric.com/simon-ebook-vehiculo-electrico</v>
      </c>
      <c r="E3933" s="20" t="str">
        <f t="shared" si="1"/>
        <v>2931@telefonica.net</v>
      </c>
      <c r="F3933" s="21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</row>
    <row r="3934" ht="15.75" customHeight="1">
      <c r="A3934" s="18" t="str">
        <f>Descargas!A3934</f>
        <v>2931@telefonica.net</v>
      </c>
      <c r="B3934" s="19" t="str">
        <f>IFERROR(__xludf.DUMMYFUNCTION("IF(OR(regexmatch(A3934,"".*@simon.es$""),REGEXMATCH(A3934,"".*@simon.pt$""),REGEXMATCH(A3934,"".*@simonelectrica.com$""),REGEXMATCH(A3934,"".*@hiberus.com$""),REGEXMATCH(A3934,"".*@simonbrico.es$""),regexmatch(A3934,"".*@simonelectric.com$"")),""null"",A3"&amp;"934)"),"2931@telefonica.net")</f>
        <v>2931@telefonica.net</v>
      </c>
      <c r="C3934" s="5">
        <f>IF(B3934="null","null",Descargas!B3934)</f>
        <v>43840</v>
      </c>
      <c r="D3934" s="6" t="str">
        <f>Descargas!E3934</f>
        <v>https://resources.simonelectric.com/simon-ebook-vehiculo-electrico</v>
      </c>
      <c r="E3934" s="20" t="str">
        <f t="shared" si="1"/>
        <v>2931@telefonica.net</v>
      </c>
      <c r="F3934" s="21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</row>
    <row r="3935" ht="15.75" customHeight="1">
      <c r="A3935" s="18" t="str">
        <f>Descargas!A3935</f>
        <v>2931@telefonica.net</v>
      </c>
      <c r="B3935" s="19" t="str">
        <f>IFERROR(__xludf.DUMMYFUNCTION("IF(OR(regexmatch(A3935,"".*@simon.es$""),REGEXMATCH(A3935,"".*@simon.pt$""),REGEXMATCH(A3935,"".*@simonelectrica.com$""),REGEXMATCH(A3935,"".*@hiberus.com$""),REGEXMATCH(A3935,"".*@simonbrico.es$""),regexmatch(A3935,"".*@simonelectric.com$"")),""null"",A3"&amp;"935)"),"2931@telefonica.net")</f>
        <v>2931@telefonica.net</v>
      </c>
      <c r="C3935" s="5">
        <f>IF(B3935="null","null",Descargas!B3935)</f>
        <v>43840</v>
      </c>
      <c r="D3935" s="6" t="str">
        <f>Descargas!E3935</f>
        <v>https://resources.simonelectric.com/simon-ebook-vehiculo-electrico</v>
      </c>
      <c r="E3935" s="20" t="str">
        <f t="shared" si="1"/>
        <v>2931@telefonica.net</v>
      </c>
      <c r="F3935" s="21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</row>
    <row r="3936" ht="15.75" customHeight="1">
      <c r="A3936" s="18" t="str">
        <f>Descargas!A3936</f>
        <v>2922@tecnicanorte.com</v>
      </c>
      <c r="B3936" s="19" t="str">
        <f>IFERROR(__xludf.DUMMYFUNCTION("IF(OR(regexmatch(A3936,"".*@simon.es$""),REGEXMATCH(A3936,"".*@simon.pt$""),REGEXMATCH(A3936,"".*@simonelectrica.com$""),REGEXMATCH(A3936,"".*@hiberus.com$""),REGEXMATCH(A3936,"".*@simonbrico.es$""),regexmatch(A3936,"".*@simonelectric.com$"")),""null"",A3"&amp;"936)"),"2922@tecnicanorte.com")</f>
        <v>2922@tecnicanorte.com</v>
      </c>
      <c r="C3936" s="5">
        <f>IF(B3936="null","null",Descargas!B3936)</f>
        <v>43840</v>
      </c>
      <c r="D3936" s="6" t="str">
        <f>Descargas!E3936</f>
        <v>https://resources.simonelectric.com/simon-ebook-vehiculo-electrico</v>
      </c>
      <c r="E3936" s="20" t="str">
        <f t="shared" si="1"/>
        <v>2922@tecnicanorte.com</v>
      </c>
      <c r="F3936" s="21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</row>
    <row r="3937" ht="15.75" customHeight="1">
      <c r="A3937" s="18" t="str">
        <f>Descargas!A3937</f>
        <v>2932@soldeser.com</v>
      </c>
      <c r="B3937" s="19" t="str">
        <f>IFERROR(__xludf.DUMMYFUNCTION("IF(OR(regexmatch(A3937,"".*@simon.es$""),REGEXMATCH(A3937,"".*@simon.pt$""),REGEXMATCH(A3937,"".*@simonelectrica.com$""),REGEXMATCH(A3937,"".*@hiberus.com$""),REGEXMATCH(A3937,"".*@simonbrico.es$""),regexmatch(A3937,"".*@simonelectric.com$"")),""null"",A3"&amp;"937)"),"2932@soldeser.com")</f>
        <v>2932@soldeser.com</v>
      </c>
      <c r="C3937" s="5">
        <f>IF(B3937="null","null",Descargas!B3937)</f>
        <v>43840</v>
      </c>
      <c r="D3937" s="6" t="str">
        <f>Descargas!E3937</f>
        <v>https://resources.simonelectric.com/simon-ebook-vehiculo-electrico</v>
      </c>
      <c r="E3937" s="20" t="str">
        <f t="shared" si="1"/>
        <v>2932@soldeser.com</v>
      </c>
      <c r="F3937" s="21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</row>
    <row r="3938" ht="15.75" customHeight="1">
      <c r="A3938" s="18" t="str">
        <f>Descargas!A3938</f>
        <v>2933@agenex.org</v>
      </c>
      <c r="B3938" s="19" t="str">
        <f>IFERROR(__xludf.DUMMYFUNCTION("IF(OR(regexmatch(A3938,"".*@simon.es$""),REGEXMATCH(A3938,"".*@simon.pt$""),REGEXMATCH(A3938,"".*@simonelectrica.com$""),REGEXMATCH(A3938,"".*@hiberus.com$""),REGEXMATCH(A3938,"".*@simonbrico.es$""),regexmatch(A3938,"".*@simonelectric.com$"")),""null"",A3"&amp;"938)"),"2933@agenex.org")</f>
        <v>2933@agenex.org</v>
      </c>
      <c r="C3938" s="5">
        <f>IF(B3938="null","null",Descargas!B3938)</f>
        <v>43840</v>
      </c>
      <c r="D3938" s="6" t="str">
        <f>Descargas!E3938</f>
        <v>https://resources.simonelectric.com/simon-ebook-vehiculo-electrico</v>
      </c>
      <c r="E3938" s="20" t="str">
        <f t="shared" si="1"/>
        <v>2933@agenex.org</v>
      </c>
      <c r="F3938" s="21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</row>
    <row r="3939" ht="15.75" customHeight="1">
      <c r="A3939" s="18" t="str">
        <f>Descargas!A3939</f>
        <v>2934@gruponovelec.com</v>
      </c>
      <c r="B3939" s="19" t="str">
        <f>IFERROR(__xludf.DUMMYFUNCTION("IF(OR(regexmatch(A3939,"".*@simon.es$""),REGEXMATCH(A3939,"".*@simon.pt$""),REGEXMATCH(A3939,"".*@simonelectrica.com$""),REGEXMATCH(A3939,"".*@hiberus.com$""),REGEXMATCH(A3939,"".*@simonbrico.es$""),regexmatch(A3939,"".*@simonelectric.com$"")),""null"",A3"&amp;"939)"),"2934@gruponovelec.com")</f>
        <v>2934@gruponovelec.com</v>
      </c>
      <c r="C3939" s="5">
        <f>IF(B3939="null","null",Descargas!B3939)</f>
        <v>43839</v>
      </c>
      <c r="D3939" s="6" t="str">
        <f>Descargas!E3939</f>
        <v>https://resources.simonelectric.com/simon-ebook-vehiculo-electrico</v>
      </c>
      <c r="E3939" s="20" t="str">
        <f t="shared" si="1"/>
        <v>2934@gruponovelec.com</v>
      </c>
      <c r="F3939" s="21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</row>
    <row r="3940" ht="15.75" customHeight="1">
      <c r="A3940" s="18" t="str">
        <f>Descargas!A3940</f>
        <v>376@gmail.com</v>
      </c>
      <c r="B3940" s="19" t="str">
        <f>IFERROR(__xludf.DUMMYFUNCTION("IF(OR(regexmatch(A3940,"".*@simon.es$""),REGEXMATCH(A3940,"".*@simon.pt$""),REGEXMATCH(A3940,"".*@simonelectrica.com$""),REGEXMATCH(A3940,"".*@hiberus.com$""),REGEXMATCH(A3940,"".*@simonbrico.es$""),regexmatch(A3940,"".*@simonelectric.com$"")),""null"",A3"&amp;"940)"),"376@gmail.com")</f>
        <v>376@gmail.com</v>
      </c>
      <c r="C3940" s="5">
        <f>IF(B3940="null","null",Descargas!B3940)</f>
        <v>43839</v>
      </c>
      <c r="D3940" s="6" t="str">
        <f>Descargas!E3940</f>
        <v>https://resources.simonelectric.com/simon-ebook-vehiculo-electrico</v>
      </c>
      <c r="E3940" s="20" t="str">
        <f t="shared" si="1"/>
        <v>376@gmail.com</v>
      </c>
      <c r="F3940" s="21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</row>
    <row r="3941" ht="15.75" customHeight="1">
      <c r="A3941" s="18" t="str">
        <f>Descargas!A3941</f>
        <v>2935@hotellosllanos.es</v>
      </c>
      <c r="B3941" s="19" t="str">
        <f>IFERROR(__xludf.DUMMYFUNCTION("IF(OR(regexmatch(A3941,"".*@simon.es$""),REGEXMATCH(A3941,"".*@simon.pt$""),REGEXMATCH(A3941,"".*@simonelectrica.com$""),REGEXMATCH(A3941,"".*@hiberus.com$""),REGEXMATCH(A3941,"".*@simonbrico.es$""),regexmatch(A3941,"".*@simonelectric.com$"")),""null"",A3"&amp;"941)"),"2935@hotellosllanos.es")</f>
        <v>2935@hotellosllanos.es</v>
      </c>
      <c r="C3941" s="5">
        <f>IF(B3941="null","null",Descargas!B3941)</f>
        <v>43839</v>
      </c>
      <c r="D3941" s="6" t="str">
        <f>Descargas!E3941</f>
        <v>https://resources.simonelectric.com/simon-ebook-vehiculo-electrico</v>
      </c>
      <c r="E3941" s="20" t="str">
        <f t="shared" si="1"/>
        <v>2935@hotellosllanos.es</v>
      </c>
      <c r="F3941" s="21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</row>
    <row r="3942" ht="15.75" customHeight="1">
      <c r="A3942" s="18" t="str">
        <f>Descargas!A3942</f>
        <v>2936@gmail.com</v>
      </c>
      <c r="B3942" s="19" t="str">
        <f>IFERROR(__xludf.DUMMYFUNCTION("IF(OR(regexmatch(A3942,"".*@simon.es$""),REGEXMATCH(A3942,"".*@simon.pt$""),REGEXMATCH(A3942,"".*@simonelectrica.com$""),REGEXMATCH(A3942,"".*@hiberus.com$""),REGEXMATCH(A3942,"".*@simonbrico.es$""),regexmatch(A3942,"".*@simonelectric.com$"")),""null"",A3"&amp;"942)"),"2936@gmail.com")</f>
        <v>2936@gmail.com</v>
      </c>
      <c r="C3942" s="5">
        <f>IF(B3942="null","null",Descargas!B3942)</f>
        <v>43839</v>
      </c>
      <c r="D3942" s="6" t="str">
        <f>Descargas!E3942</f>
        <v>https://resources.simonelectric.com/simon-ebook-vehiculo-electrico</v>
      </c>
      <c r="E3942" s="20" t="str">
        <f t="shared" si="1"/>
        <v>2936@gmail.com</v>
      </c>
      <c r="F3942" s="21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</row>
    <row r="3943" ht="15.75" customHeight="1">
      <c r="A3943" s="18" t="str">
        <f>Descargas!A3943</f>
        <v>2937@gmail.com</v>
      </c>
      <c r="B3943" s="19" t="str">
        <f>IFERROR(__xludf.DUMMYFUNCTION("IF(OR(regexmatch(A3943,"".*@simon.es$""),REGEXMATCH(A3943,"".*@simon.pt$""),REGEXMATCH(A3943,"".*@simonelectrica.com$""),REGEXMATCH(A3943,"".*@hiberus.com$""),REGEXMATCH(A3943,"".*@simonbrico.es$""),regexmatch(A3943,"".*@simonelectric.com$"")),""null"",A3"&amp;"943)"),"2937@gmail.com")</f>
        <v>2937@gmail.com</v>
      </c>
      <c r="C3943" s="5">
        <f>IF(B3943="null","null",Descargas!B3943)</f>
        <v>43839</v>
      </c>
      <c r="D3943" s="6" t="str">
        <f>Descargas!E3943</f>
        <v>https://resources.simonelectric.com/simon-ebook-vehiculo-electrico</v>
      </c>
      <c r="E3943" s="20" t="str">
        <f t="shared" si="1"/>
        <v>2937@gmail.com</v>
      </c>
      <c r="F3943" s="21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</row>
    <row r="3944" ht="15.75" customHeight="1">
      <c r="A3944" s="18" t="str">
        <f>Descargas!A3944</f>
        <v>593@sorigue.com</v>
      </c>
      <c r="B3944" s="19" t="str">
        <f>IFERROR(__xludf.DUMMYFUNCTION("IF(OR(regexmatch(A3944,"".*@simon.es$""),REGEXMATCH(A3944,"".*@simon.pt$""),REGEXMATCH(A3944,"".*@simonelectrica.com$""),REGEXMATCH(A3944,"".*@hiberus.com$""),REGEXMATCH(A3944,"".*@simonbrico.es$""),regexmatch(A3944,"".*@simonelectric.com$"")),""null"",A3"&amp;"944)"),"593@sorigue.com")</f>
        <v>593@sorigue.com</v>
      </c>
      <c r="C3944" s="5">
        <f>IF(B3944="null","null",Descargas!B3944)</f>
        <v>43839</v>
      </c>
      <c r="D3944" s="6" t="str">
        <f>Descargas!E3944</f>
        <v>https://resources.simonelectric.com/simon-ebook-vehiculo-electrico</v>
      </c>
      <c r="E3944" s="20" t="str">
        <f t="shared" si="1"/>
        <v>593@sorigue.com</v>
      </c>
      <c r="F3944" s="21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</row>
    <row r="3945" ht="15.75" customHeight="1">
      <c r="A3945" s="18" t="str">
        <f>Descargas!A3945</f>
        <v>2938@inemesa.com</v>
      </c>
      <c r="B3945" s="19" t="str">
        <f>IFERROR(__xludf.DUMMYFUNCTION("IF(OR(regexmatch(A3945,"".*@simon.es$""),REGEXMATCH(A3945,"".*@simon.pt$""),REGEXMATCH(A3945,"".*@simonelectrica.com$""),REGEXMATCH(A3945,"".*@hiberus.com$""),REGEXMATCH(A3945,"".*@simonbrico.es$""),regexmatch(A3945,"".*@simonelectric.com$"")),""null"",A3"&amp;"945)"),"2938@inemesa.com")</f>
        <v>2938@inemesa.com</v>
      </c>
      <c r="C3945" s="5">
        <f>IF(B3945="null","null",Descargas!B3945)</f>
        <v>43839</v>
      </c>
      <c r="D3945" s="6" t="str">
        <f>Descargas!E3945</f>
        <v>https://resources.simonelectric.com/simon-ebook-vehiculo-electrico</v>
      </c>
      <c r="E3945" s="20" t="str">
        <f t="shared" si="1"/>
        <v>2938@inemesa.com</v>
      </c>
      <c r="F3945" s="21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</row>
    <row r="3946" ht="15.75" customHeight="1">
      <c r="A3946" s="18" t="str">
        <f>Descargas!A3946</f>
        <v>2939@oscarcaselles.com</v>
      </c>
      <c r="B3946" s="19" t="str">
        <f>IFERROR(__xludf.DUMMYFUNCTION("IF(OR(regexmatch(A3946,"".*@simon.es$""),REGEXMATCH(A3946,"".*@simon.pt$""),REGEXMATCH(A3946,"".*@simonelectrica.com$""),REGEXMATCH(A3946,"".*@hiberus.com$""),REGEXMATCH(A3946,"".*@simonbrico.es$""),regexmatch(A3946,"".*@simonelectric.com$"")),""null"",A3"&amp;"946)"),"2939@oscarcaselles.com")</f>
        <v>2939@oscarcaselles.com</v>
      </c>
      <c r="C3946" s="5">
        <f>IF(B3946="null","null",Descargas!B3946)</f>
        <v>43839</v>
      </c>
      <c r="D3946" s="6" t="str">
        <f>Descargas!E3946</f>
        <v>https://resources.simonelectric.com/simon-ebook-vehiculo-electrico</v>
      </c>
      <c r="E3946" s="20" t="str">
        <f t="shared" si="1"/>
        <v>2939@oscarcaselles.com</v>
      </c>
      <c r="F3946" s="21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</row>
    <row r="3947" ht="15.75" customHeight="1">
      <c r="A3947" s="18" t="str">
        <f>Descargas!A3947</f>
        <v>929@acciona.com</v>
      </c>
      <c r="B3947" s="19" t="str">
        <f>IFERROR(__xludf.DUMMYFUNCTION("IF(OR(regexmatch(A3947,"".*@simon.es$""),REGEXMATCH(A3947,"".*@simon.pt$""),REGEXMATCH(A3947,"".*@simonelectrica.com$""),REGEXMATCH(A3947,"".*@hiberus.com$""),REGEXMATCH(A3947,"".*@simonbrico.es$""),regexmatch(A3947,"".*@simonelectric.com$"")),""null"",A3"&amp;"947)"),"929@acciona.com")</f>
        <v>929@acciona.com</v>
      </c>
      <c r="C3947" s="5">
        <f>IF(B3947="null","null",Descargas!B3947)</f>
        <v>43839</v>
      </c>
      <c r="D3947" s="6" t="str">
        <f>Descargas!E3947</f>
        <v>https://resources.simonelectric.com/simon-catalogo-vehiculo-electrico</v>
      </c>
      <c r="E3947" s="20" t="str">
        <f t="shared" si="1"/>
        <v>929@acciona.com</v>
      </c>
      <c r="F3947" s="21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</row>
    <row r="3948" ht="15.75" customHeight="1">
      <c r="A3948" s="18" t="str">
        <f>Descargas!A3948</f>
        <v>2940@xtec.cat</v>
      </c>
      <c r="B3948" s="19" t="str">
        <f>IFERROR(__xludf.DUMMYFUNCTION("IF(OR(regexmatch(A3948,"".*@simon.es$""),REGEXMATCH(A3948,"".*@simon.pt$""),REGEXMATCH(A3948,"".*@simonelectrica.com$""),REGEXMATCH(A3948,"".*@hiberus.com$""),REGEXMATCH(A3948,"".*@simonbrico.es$""),regexmatch(A3948,"".*@simonelectric.com$"")),""null"",A3"&amp;"948)"),"2940@xtec.cat")</f>
        <v>2940@xtec.cat</v>
      </c>
      <c r="C3948" s="5">
        <f>IF(B3948="null","null",Descargas!B3948)</f>
        <v>43838</v>
      </c>
      <c r="D3948" s="6" t="str">
        <f>Descargas!E3948</f>
        <v>https://resources.simonelectric.com/simon-catalogo-vehiculo-electrico</v>
      </c>
      <c r="E3948" s="20" t="str">
        <f t="shared" si="1"/>
        <v>2940@xtec.cat</v>
      </c>
      <c r="F3948" s="21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</row>
    <row r="3949" ht="15.75" customHeight="1">
      <c r="A3949" s="18" t="str">
        <f>Descargas!A3949</f>
        <v>2940@xtec.cat</v>
      </c>
      <c r="B3949" s="19" t="str">
        <f>IFERROR(__xludf.DUMMYFUNCTION("IF(OR(regexmatch(A3949,"".*@simon.es$""),REGEXMATCH(A3949,"".*@simon.pt$""),REGEXMATCH(A3949,"".*@simonelectrica.com$""),REGEXMATCH(A3949,"".*@hiberus.com$""),REGEXMATCH(A3949,"".*@simonbrico.es$""),regexmatch(A3949,"".*@simonelectric.com$"")),""null"",A3"&amp;"949)"),"2940@xtec.cat")</f>
        <v>2940@xtec.cat</v>
      </c>
      <c r="C3949" s="5">
        <f>IF(B3949="null","null",Descargas!B3949)</f>
        <v>43838</v>
      </c>
      <c r="D3949" s="6" t="str">
        <f>Descargas!E3949</f>
        <v>https://resources.simonelectric.com/simon-ebook-vehiculo-electrico</v>
      </c>
      <c r="E3949" s="20" t="str">
        <f t="shared" si="1"/>
        <v>2940@xtec.cat</v>
      </c>
      <c r="F3949" s="21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</row>
    <row r="3950" ht="15.75" customHeight="1">
      <c r="A3950" s="18" t="str">
        <f>Descargas!A3950</f>
        <v>2941@gmail.com</v>
      </c>
      <c r="B3950" s="19" t="str">
        <f>IFERROR(__xludf.DUMMYFUNCTION("IF(OR(regexmatch(A3950,"".*@simon.es$""),REGEXMATCH(A3950,"".*@simon.pt$""),REGEXMATCH(A3950,"".*@simonelectrica.com$""),REGEXMATCH(A3950,"".*@hiberus.com$""),REGEXMATCH(A3950,"".*@simonbrico.es$""),regexmatch(A3950,"".*@simonelectric.com$"")),""null"",A3"&amp;"950)"),"2941@gmail.com")</f>
        <v>2941@gmail.com</v>
      </c>
      <c r="C3950" s="5">
        <f>IF(B3950="null","null",Descargas!B3950)</f>
        <v>43838</v>
      </c>
      <c r="D3950" s="6" t="str">
        <f>Descargas!E3950</f>
        <v>https://resources.simonelectric.com/simon-ebook-vehiculo-electrico</v>
      </c>
      <c r="E3950" s="20" t="str">
        <f t="shared" si="1"/>
        <v>2941@gmail.com</v>
      </c>
      <c r="F3950" s="21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</row>
    <row r="3951" ht="15.75" customHeight="1">
      <c r="A3951" s="18" t="str">
        <f>Descargas!A3951</f>
        <v>2942@ragaluz.com</v>
      </c>
      <c r="B3951" s="19" t="str">
        <f>IFERROR(__xludf.DUMMYFUNCTION("IF(OR(regexmatch(A3951,"".*@simon.es$""),REGEXMATCH(A3951,"".*@simon.pt$""),REGEXMATCH(A3951,"".*@simonelectrica.com$""),REGEXMATCH(A3951,"".*@hiberus.com$""),REGEXMATCH(A3951,"".*@simonbrico.es$""),regexmatch(A3951,"".*@simonelectric.com$"")),""null"",A3"&amp;"951)"),"2942@ragaluz.com")</f>
        <v>2942@ragaluz.com</v>
      </c>
      <c r="C3951" s="5">
        <f>IF(B3951="null","null",Descargas!B3951)</f>
        <v>43838</v>
      </c>
      <c r="D3951" s="6" t="str">
        <f>Descargas!E3951</f>
        <v>https://resources.simonelectric.com/simon-ebook-vehiculo-electrico</v>
      </c>
      <c r="E3951" s="20" t="str">
        <f t="shared" si="1"/>
        <v>2942@ragaluz.com</v>
      </c>
      <c r="F3951" s="21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</row>
    <row r="3952" ht="15.75" customHeight="1">
      <c r="A3952" s="18" t="str">
        <f>Descargas!A3952</f>
        <v>2943@agaeng.es</v>
      </c>
      <c r="B3952" s="19" t="str">
        <f>IFERROR(__xludf.DUMMYFUNCTION("IF(OR(regexmatch(A3952,"".*@simon.es$""),REGEXMATCH(A3952,"".*@simon.pt$""),REGEXMATCH(A3952,"".*@simonelectrica.com$""),REGEXMATCH(A3952,"".*@hiberus.com$""),REGEXMATCH(A3952,"".*@simonbrico.es$""),regexmatch(A3952,"".*@simonelectric.com$"")),""null"",A3"&amp;"952)"),"2943@agaeng.es")</f>
        <v>2943@agaeng.es</v>
      </c>
      <c r="C3952" s="5">
        <f>IF(B3952="null","null",Descargas!B3952)</f>
        <v>43838</v>
      </c>
      <c r="D3952" s="6" t="str">
        <f>Descargas!E3952</f>
        <v>https://resources.simonelectric.com/simon-ebook-vehiculo-electrico</v>
      </c>
      <c r="E3952" s="20" t="str">
        <f t="shared" si="1"/>
        <v>2943@agaeng.es</v>
      </c>
      <c r="F3952" s="21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</row>
    <row r="3953" ht="15.75" customHeight="1">
      <c r="A3953" s="18" t="str">
        <f>Descargas!A3953</f>
        <v>2944@prysmiangroup.com</v>
      </c>
      <c r="B3953" s="19" t="str">
        <f>IFERROR(__xludf.DUMMYFUNCTION("IF(OR(regexmatch(A3953,"".*@simon.es$""),REGEXMATCH(A3953,"".*@simon.pt$""),REGEXMATCH(A3953,"".*@simonelectrica.com$""),REGEXMATCH(A3953,"".*@hiberus.com$""),REGEXMATCH(A3953,"".*@simonbrico.es$""),regexmatch(A3953,"".*@simonelectric.com$"")),""null"",A3"&amp;"953)"),"2944@prysmiangroup.com")</f>
        <v>2944@prysmiangroup.com</v>
      </c>
      <c r="C3953" s="5">
        <f>IF(B3953="null","null",Descargas!B3953)</f>
        <v>43837</v>
      </c>
      <c r="D3953" s="6" t="str">
        <f>Descargas!E3953</f>
        <v>https://resources.simonelectric.com/simon-ebook-vehiculo-electrico</v>
      </c>
      <c r="E3953" s="20" t="str">
        <f t="shared" si="1"/>
        <v>2944@prysmiangroup.com</v>
      </c>
      <c r="F3953" s="21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</row>
    <row r="3954" ht="15.75" customHeight="1">
      <c r="A3954" s="18" t="str">
        <f>Descargas!A3954</f>
        <v>2945@gmail.com</v>
      </c>
      <c r="B3954" s="19" t="str">
        <f>IFERROR(__xludf.DUMMYFUNCTION("IF(OR(regexmatch(A3954,"".*@simon.es$""),REGEXMATCH(A3954,"".*@simon.pt$""),REGEXMATCH(A3954,"".*@simonelectrica.com$""),REGEXMATCH(A3954,"".*@hiberus.com$""),REGEXMATCH(A3954,"".*@simonbrico.es$""),regexmatch(A3954,"".*@simonelectric.com$"")),""null"",A3"&amp;"954)"),"2945@gmail.com")</f>
        <v>2945@gmail.com</v>
      </c>
      <c r="C3954" s="5">
        <f>IF(B3954="null","null",Descargas!B3954)</f>
        <v>43837</v>
      </c>
      <c r="D3954" s="6" t="str">
        <f>Descargas!E3954</f>
        <v>https://resources.simonelectric.com/simon-ebook-vehiculo-electrico</v>
      </c>
      <c r="E3954" s="20" t="str">
        <f t="shared" si="1"/>
        <v>2945@gmail.com</v>
      </c>
      <c r="F3954" s="21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</row>
    <row r="3955" ht="15.75" customHeight="1">
      <c r="A3955" s="18" t="str">
        <f>Descargas!A3955</f>
        <v>2946@gmail.com</v>
      </c>
      <c r="B3955" s="19" t="str">
        <f>IFERROR(__xludf.DUMMYFUNCTION("IF(OR(regexmatch(A3955,"".*@simon.es$""),REGEXMATCH(A3955,"".*@simon.pt$""),REGEXMATCH(A3955,"".*@simonelectrica.com$""),REGEXMATCH(A3955,"".*@hiberus.com$""),REGEXMATCH(A3955,"".*@simonbrico.es$""),regexmatch(A3955,"".*@simonelectric.com$"")),""null"",A3"&amp;"955)"),"2946@gmail.com")</f>
        <v>2946@gmail.com</v>
      </c>
      <c r="C3955" s="5">
        <f>IF(B3955="null","null",Descargas!B3955)</f>
        <v>43837</v>
      </c>
      <c r="D3955" s="6" t="str">
        <f>Descargas!E3955</f>
        <v>https://resources.simonelectric.com/simon-ebook-vehiculo-electrico</v>
      </c>
      <c r="E3955" s="20" t="str">
        <f t="shared" si="1"/>
        <v>2946@gmail.com</v>
      </c>
      <c r="F3955" s="21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</row>
    <row r="3956" ht="15.75" customHeight="1">
      <c r="A3956" s="18" t="str">
        <f>Descargas!A3956</f>
        <v>1416@edifesa.com</v>
      </c>
      <c r="B3956" s="19" t="str">
        <f>IFERROR(__xludf.DUMMYFUNCTION("IF(OR(regexmatch(A3956,"".*@simon.es$""),REGEXMATCH(A3956,"".*@simon.pt$""),REGEXMATCH(A3956,"".*@simonelectrica.com$""),REGEXMATCH(A3956,"".*@hiberus.com$""),REGEXMATCH(A3956,"".*@simonbrico.es$""),regexmatch(A3956,"".*@simonelectric.com$"")),""null"",A3"&amp;"956)"),"1416@edifesa.com")</f>
        <v>1416@edifesa.com</v>
      </c>
      <c r="C3956" s="5">
        <f>IF(B3956="null","null",Descargas!B3956)</f>
        <v>43837</v>
      </c>
      <c r="D3956" s="6" t="str">
        <f>Descargas!E3956</f>
        <v>https://resources.simonelectric.com/simon-ebook-vehiculo-electrico</v>
      </c>
      <c r="E3956" s="20" t="str">
        <f t="shared" si="1"/>
        <v>1416@edifesa.com</v>
      </c>
      <c r="F3956" s="21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</row>
    <row r="3957" ht="15.75" customHeight="1">
      <c r="A3957" s="18" t="str">
        <f>Descargas!A3957</f>
        <v>2947@gmail.com</v>
      </c>
      <c r="B3957" s="19" t="str">
        <f>IFERROR(__xludf.DUMMYFUNCTION("IF(OR(regexmatch(A3957,"".*@simon.es$""),REGEXMATCH(A3957,"".*@simon.pt$""),REGEXMATCH(A3957,"".*@simonelectrica.com$""),REGEXMATCH(A3957,"".*@hiberus.com$""),REGEXMATCH(A3957,"".*@simonbrico.es$""),regexmatch(A3957,"".*@simonelectric.com$"")),""null"",A3"&amp;"957)"),"2947@gmail.com")</f>
        <v>2947@gmail.com</v>
      </c>
      <c r="C3957" s="5">
        <f>IF(B3957="null","null",Descargas!B3957)</f>
        <v>43837</v>
      </c>
      <c r="D3957" s="6" t="str">
        <f>Descargas!E3957</f>
        <v>https://resources.simonelectric.com/simon-ebook-vehiculo-electrico</v>
      </c>
      <c r="E3957" s="20" t="str">
        <f t="shared" si="1"/>
        <v>2947@gmail.com</v>
      </c>
      <c r="F3957" s="21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</row>
    <row r="3958" ht="15.75" customHeight="1">
      <c r="A3958" s="18" t="str">
        <f>Descargas!A3958</f>
        <v>2559@simon.es</v>
      </c>
      <c r="B3958" s="19" t="str">
        <f>IFERROR(__xludf.DUMMYFUNCTION("IF(OR(regexmatch(A3958,"".*@simon.es$""),REGEXMATCH(A3958,"".*@simon.pt$""),REGEXMATCH(A3958,"".*@simonelectrica.com$""),REGEXMATCH(A3958,"".*@hiberus.com$""),REGEXMATCH(A3958,"".*@simonbrico.es$""),regexmatch(A3958,"".*@simonelectric.com$"")),""null"",A3"&amp;"958)"),"null")</f>
        <v>null</v>
      </c>
      <c r="C3958" s="5" t="str">
        <f>IF(B3958="null","null",Descargas!B3958)</f>
        <v>null</v>
      </c>
      <c r="D3958" s="6" t="str">
        <f>Descargas!E3958</f>
        <v>https://resources.simonelectric.com/simon-catalogo-vehiculo-electrico</v>
      </c>
      <c r="E3958" s="24" t="str">
        <f t="shared" si="1"/>
        <v/>
      </c>
      <c r="F3958" s="21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</row>
    <row r="3959" ht="15.75" customHeight="1">
      <c r="A3959" s="18" t="str">
        <f>Descargas!A3959</f>
        <v>2948@gmail.com</v>
      </c>
      <c r="B3959" s="19" t="str">
        <f>IFERROR(__xludf.DUMMYFUNCTION("IF(OR(regexmatch(A3959,"".*@simon.es$""),REGEXMATCH(A3959,"".*@simon.pt$""),REGEXMATCH(A3959,"".*@simonelectrica.com$""),REGEXMATCH(A3959,"".*@hiberus.com$""),REGEXMATCH(A3959,"".*@simonbrico.es$""),regexmatch(A3959,"".*@simonelectric.com$"")),""null"",A3"&amp;"959)"),"2948@gmail.com")</f>
        <v>2948@gmail.com</v>
      </c>
      <c r="C3959" s="5">
        <f>IF(B3959="null","null",Descargas!B3959)</f>
        <v>43837</v>
      </c>
      <c r="D3959" s="6" t="str">
        <f>Descargas!E3959</f>
        <v>https://resources.simonelectric.com/simon-ebook-vehiculo-electrico</v>
      </c>
      <c r="E3959" s="20" t="str">
        <f t="shared" si="1"/>
        <v>2948@gmail.com</v>
      </c>
      <c r="F3959" s="21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</row>
    <row r="3960" ht="15.75" customHeight="1">
      <c r="A3960" s="18" t="str">
        <f>Descargas!A3960</f>
        <v>2902@gmail.com</v>
      </c>
      <c r="B3960" s="19" t="str">
        <f>IFERROR(__xludf.DUMMYFUNCTION("IF(OR(regexmatch(A3960,"".*@simon.es$""),REGEXMATCH(A3960,"".*@simon.pt$""),REGEXMATCH(A3960,"".*@simonelectrica.com$""),REGEXMATCH(A3960,"".*@hiberus.com$""),REGEXMATCH(A3960,"".*@simonbrico.es$""),regexmatch(A3960,"".*@simonelectric.com$"")),""null"",A3"&amp;"960)"),"2902@gmail.com")</f>
        <v>2902@gmail.com</v>
      </c>
      <c r="C3960" s="5">
        <f>IF(B3960="null","null",Descargas!B3960)</f>
        <v>43837</v>
      </c>
      <c r="D3960" s="6" t="str">
        <f>Descargas!E3960</f>
        <v>https://resources.simonelectric.com/simon-ebook-vehiculo-electrico</v>
      </c>
      <c r="E3960" s="20" t="str">
        <f t="shared" si="1"/>
        <v>2902@gmail.com</v>
      </c>
      <c r="F3960" s="21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</row>
    <row r="3961" ht="15.75" customHeight="1">
      <c r="A3961" s="18" t="str">
        <f>Descargas!A3961</f>
        <v>2949@ignasiconillas.com</v>
      </c>
      <c r="B3961" s="19" t="str">
        <f>IFERROR(__xludf.DUMMYFUNCTION("IF(OR(regexmatch(A3961,"".*@simon.es$""),REGEXMATCH(A3961,"".*@simon.pt$""),REGEXMATCH(A3961,"".*@simonelectrica.com$""),REGEXMATCH(A3961,"".*@hiberus.com$""),REGEXMATCH(A3961,"".*@simonbrico.es$""),regexmatch(A3961,"".*@simonelectric.com$"")),""null"",A3"&amp;"961)"),"2949@ignasiconillas.com")</f>
        <v>2949@ignasiconillas.com</v>
      </c>
      <c r="C3961" s="5">
        <f>IF(B3961="null","null",Descargas!B3961)</f>
        <v>43837</v>
      </c>
      <c r="D3961" s="6" t="str">
        <f>Descargas!E3961</f>
        <v>https://resources.simonelectric.com/simon-ebook-vehiculo-electrico</v>
      </c>
      <c r="E3961" s="20" t="str">
        <f t="shared" si="1"/>
        <v>2949@ignasiconillas.com</v>
      </c>
      <c r="F3961" s="21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</row>
    <row r="3962" ht="15.75" customHeight="1">
      <c r="A3962" s="18" t="str">
        <f>Descargas!A3962</f>
        <v>2950@telematel.com</v>
      </c>
      <c r="B3962" s="19" t="str">
        <f>IFERROR(__xludf.DUMMYFUNCTION("IF(OR(regexmatch(A3962,"".*@simon.es$""),REGEXMATCH(A3962,"".*@simon.pt$""),REGEXMATCH(A3962,"".*@simonelectrica.com$""),REGEXMATCH(A3962,"".*@hiberus.com$""),REGEXMATCH(A3962,"".*@simonbrico.es$""),regexmatch(A3962,"".*@simonelectric.com$"")),""null"",A3"&amp;"962)"),"2950@telematel.com")</f>
        <v>2950@telematel.com</v>
      </c>
      <c r="C3962" s="5">
        <f>IF(B3962="null","null",Descargas!B3962)</f>
        <v>43837</v>
      </c>
      <c r="D3962" s="6" t="str">
        <f>Descargas!E3962</f>
        <v>https://resources.simonelectric.com/simon-ebook-vehiculo-electrico</v>
      </c>
      <c r="E3962" s="20" t="str">
        <f t="shared" si="1"/>
        <v>2950@telematel.com</v>
      </c>
      <c r="F3962" s="21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</row>
    <row r="3963" ht="15.75" customHeight="1">
      <c r="A3963" s="18" t="str">
        <f>Descargas!A3963</f>
        <v>2902@gmail.com</v>
      </c>
      <c r="B3963" s="19" t="str">
        <f>IFERROR(__xludf.DUMMYFUNCTION("IF(OR(regexmatch(A3963,"".*@simon.es$""),REGEXMATCH(A3963,"".*@simon.pt$""),REGEXMATCH(A3963,"".*@simonelectrica.com$""),REGEXMATCH(A3963,"".*@hiberus.com$""),REGEXMATCH(A3963,"".*@simonbrico.es$""),regexmatch(A3963,"".*@simonelectric.com$"")),""null"",A3"&amp;"963)"),"2902@gmail.com")</f>
        <v>2902@gmail.com</v>
      </c>
      <c r="C3963" s="5">
        <f>IF(B3963="null","null",Descargas!B3963)</f>
        <v>43837</v>
      </c>
      <c r="D3963" s="6" t="str">
        <f>Descargas!E3963</f>
        <v>https://resources.simonelectric.com/simon-ebook-vehiculo-electrico</v>
      </c>
      <c r="E3963" s="20" t="str">
        <f t="shared" si="1"/>
        <v>2902@gmail.com</v>
      </c>
      <c r="F3963" s="21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</row>
    <row r="3964" ht="15.75" customHeight="1">
      <c r="A3964" s="18" t="str">
        <f>Descargas!A3964</f>
        <v>1556@electricidadguerra.com</v>
      </c>
      <c r="B3964" s="19" t="str">
        <f>IFERROR(__xludf.DUMMYFUNCTION("IF(OR(regexmatch(A3964,"".*@simon.es$""),REGEXMATCH(A3964,"".*@simon.pt$""),REGEXMATCH(A3964,"".*@simonelectrica.com$""),REGEXMATCH(A3964,"".*@hiberus.com$""),REGEXMATCH(A3964,"".*@simonbrico.es$""),regexmatch(A3964,"".*@simonelectric.com$"")),""null"",A3"&amp;"964)"),"1556@electricidadguerra.com")</f>
        <v>1556@electricidadguerra.com</v>
      </c>
      <c r="C3964" s="5">
        <f>IF(B3964="null","null",Descargas!B3964)</f>
        <v>43837</v>
      </c>
      <c r="D3964" s="6" t="str">
        <f>Descargas!E3964</f>
        <v>https://resources.simonelectric.com/simon-ebook-vehiculo-electrico</v>
      </c>
      <c r="E3964" s="20" t="str">
        <f t="shared" si="1"/>
        <v>1556@electricidadguerra.com</v>
      </c>
      <c r="F3964" s="21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</row>
    <row r="3965" ht="15.75" customHeight="1">
      <c r="A3965" s="18" t="str">
        <f>Descargas!A3965</f>
        <v>2908@esplugues.cat</v>
      </c>
      <c r="B3965" s="19" t="str">
        <f>IFERROR(__xludf.DUMMYFUNCTION("IF(OR(regexmatch(A3965,"".*@simon.es$""),REGEXMATCH(A3965,"".*@simon.pt$""),REGEXMATCH(A3965,"".*@simonelectrica.com$""),REGEXMATCH(A3965,"".*@hiberus.com$""),REGEXMATCH(A3965,"".*@simonbrico.es$""),regexmatch(A3965,"".*@simonelectric.com$"")),""null"",A3"&amp;"965)"),"2908@esplugues.cat")</f>
        <v>2908@esplugues.cat</v>
      </c>
      <c r="C3965" s="5">
        <f>IF(B3965="null","null",Descargas!B3965)</f>
        <v>43837</v>
      </c>
      <c r="D3965" s="6" t="str">
        <f>Descargas!E3965</f>
        <v>https://resources.simonelectric.com/simon-ebook-vehiculo-electrico</v>
      </c>
      <c r="E3965" s="20" t="str">
        <f t="shared" si="1"/>
        <v>2908@esplugues.cat</v>
      </c>
      <c r="F3965" s="21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</row>
    <row r="3966" ht="15.75" customHeight="1">
      <c r="A3966" s="18" t="str">
        <f>Descargas!A3966</f>
        <v>2951@telman.es</v>
      </c>
      <c r="B3966" s="19" t="str">
        <f>IFERROR(__xludf.DUMMYFUNCTION("IF(OR(regexmatch(A3966,"".*@simon.es$""),REGEXMATCH(A3966,"".*@simon.pt$""),REGEXMATCH(A3966,"".*@simonelectrica.com$""),REGEXMATCH(A3966,"".*@hiberus.com$""),REGEXMATCH(A3966,"".*@simonbrico.es$""),regexmatch(A3966,"".*@simonelectric.com$"")),""null"",A3"&amp;"966)"),"2951@telman.es")</f>
        <v>2951@telman.es</v>
      </c>
      <c r="C3966" s="5">
        <f>IF(B3966="null","null",Descargas!B3966)</f>
        <v>43837</v>
      </c>
      <c r="D3966" s="6" t="str">
        <f>Descargas!E3966</f>
        <v>https://resources.simonelectric.com/simon-ebook-vehiculo-electrico</v>
      </c>
      <c r="E3966" s="20" t="str">
        <f t="shared" si="1"/>
        <v>2951@telman.es</v>
      </c>
      <c r="F3966" s="21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</row>
    <row r="3967" ht="15.75" customHeight="1">
      <c r="A3967" s="18" t="str">
        <f>Descargas!A3967</f>
        <v>1726@quadrifoli.com</v>
      </c>
      <c r="B3967" s="19" t="str">
        <f>IFERROR(__xludf.DUMMYFUNCTION("IF(OR(regexmatch(A3967,"".*@simon.es$""),REGEXMATCH(A3967,"".*@simon.pt$""),REGEXMATCH(A3967,"".*@simonelectrica.com$""),REGEXMATCH(A3967,"".*@hiberus.com$""),REGEXMATCH(A3967,"".*@simonbrico.es$""),regexmatch(A3967,"".*@simonelectric.com$"")),""null"",A3"&amp;"967)"),"1726@quadrifoli.com")</f>
        <v>1726@quadrifoli.com</v>
      </c>
      <c r="C3967" s="5">
        <f>IF(B3967="null","null",Descargas!B3967)</f>
        <v>43837</v>
      </c>
      <c r="D3967" s="6" t="str">
        <f>Descargas!E3967</f>
        <v>https://resources.simonelectric.com/simon-ebook-vehiculo-electrico</v>
      </c>
      <c r="E3967" s="20" t="str">
        <f t="shared" si="1"/>
        <v>1726@quadrifoli.com</v>
      </c>
      <c r="F3967" s="21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</row>
    <row r="3968" ht="15.75" customHeight="1">
      <c r="A3968" s="18" t="str">
        <f>Descargas!A3968</f>
        <v>593@sorigue.com</v>
      </c>
      <c r="B3968" s="19" t="str">
        <f>IFERROR(__xludf.DUMMYFUNCTION("IF(OR(regexmatch(A3968,"".*@simon.es$""),REGEXMATCH(A3968,"".*@simon.pt$""),REGEXMATCH(A3968,"".*@simonelectrica.com$""),REGEXMATCH(A3968,"".*@hiberus.com$""),REGEXMATCH(A3968,"".*@simonbrico.es$""),regexmatch(A3968,"".*@simonelectric.com$"")),""null"",A3"&amp;"968)"),"593@sorigue.com")</f>
        <v>593@sorigue.com</v>
      </c>
      <c r="C3968" s="5">
        <f>IF(B3968="null","null",Descargas!B3968)</f>
        <v>43837</v>
      </c>
      <c r="D3968" s="6" t="str">
        <f>Descargas!E3968</f>
        <v>https://resources.simonelectric.com/simon-ebook-vehiculo-electrico</v>
      </c>
      <c r="E3968" s="20" t="str">
        <f t="shared" si="1"/>
        <v>593@sorigue.com</v>
      </c>
      <c r="F3968" s="21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</row>
    <row r="3969" ht="15.75" customHeight="1">
      <c r="A3969" s="18" t="str">
        <f>Descargas!A3969</f>
        <v>2952@catrisse.net</v>
      </c>
      <c r="B3969" s="19" t="str">
        <f>IFERROR(__xludf.DUMMYFUNCTION("IF(OR(regexmatch(A3969,"".*@simon.es$""),REGEXMATCH(A3969,"".*@simon.pt$""),REGEXMATCH(A3969,"".*@simonelectrica.com$""),REGEXMATCH(A3969,"".*@hiberus.com$""),REGEXMATCH(A3969,"".*@simonbrico.es$""),regexmatch(A3969,"".*@simonelectric.com$"")),""null"",A3"&amp;"969)"),"2952@catrisse.net")</f>
        <v>2952@catrisse.net</v>
      </c>
      <c r="C3969" s="5">
        <f>IF(B3969="null","null",Descargas!B3969)</f>
        <v>43837</v>
      </c>
      <c r="D3969" s="6" t="str">
        <f>Descargas!E3969</f>
        <v>https://resources.simonelectric.com/simon-ebook-vehiculo-electrico</v>
      </c>
      <c r="E3969" s="20" t="str">
        <f t="shared" si="1"/>
        <v>2952@catrisse.net</v>
      </c>
      <c r="F3969" s="21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</row>
    <row r="3970" ht="15.75" customHeight="1">
      <c r="A3970" s="18" t="str">
        <f>Descargas!A3970</f>
        <v>2953@sinophosgroup.com</v>
      </c>
      <c r="B3970" s="19" t="str">
        <f>IFERROR(__xludf.DUMMYFUNCTION("IF(OR(regexmatch(A3970,"".*@simon.es$""),REGEXMATCH(A3970,"".*@simon.pt$""),REGEXMATCH(A3970,"".*@simonelectrica.com$""),REGEXMATCH(A3970,"".*@hiberus.com$""),REGEXMATCH(A3970,"".*@simonbrico.es$""),regexmatch(A3970,"".*@simonelectric.com$"")),""null"",A3"&amp;"970)"),"2953@sinophosgroup.com")</f>
        <v>2953@sinophosgroup.com</v>
      </c>
      <c r="C3970" s="5">
        <f>IF(B3970="null","null",Descargas!B3970)</f>
        <v>43837</v>
      </c>
      <c r="D3970" s="6" t="str">
        <f>Descargas!E3970</f>
        <v>https://resources.simonelectric.com/simon-ebook-vehiculo-electrico</v>
      </c>
      <c r="E3970" s="20" t="str">
        <f t="shared" si="1"/>
        <v>2953@sinophosgroup.com</v>
      </c>
      <c r="F3970" s="21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</row>
    <row r="3971" ht="15.75" customHeight="1">
      <c r="A3971" s="18" t="str">
        <f>Descargas!A3971</f>
        <v>2954@gmail.com</v>
      </c>
      <c r="B3971" s="19" t="str">
        <f>IFERROR(__xludf.DUMMYFUNCTION("IF(OR(regexmatch(A3971,"".*@simon.es$""),REGEXMATCH(A3971,"".*@simon.pt$""),REGEXMATCH(A3971,"".*@simonelectrica.com$""),REGEXMATCH(A3971,"".*@hiberus.com$""),REGEXMATCH(A3971,"".*@simonbrico.es$""),regexmatch(A3971,"".*@simonelectric.com$"")),""null"",A3"&amp;"971)"),"2954@gmail.com")</f>
        <v>2954@gmail.com</v>
      </c>
      <c r="C3971" s="5">
        <f>IF(B3971="null","null",Descargas!B3971)</f>
        <v>43837</v>
      </c>
      <c r="D3971" s="6" t="str">
        <f>Descargas!E3971</f>
        <v>https://resources.simonelectric.com/simon-ebook-vehiculo-electrico</v>
      </c>
      <c r="E3971" s="20" t="str">
        <f t="shared" si="1"/>
        <v>2954@gmail.com</v>
      </c>
      <c r="F3971" s="21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</row>
    <row r="3972" ht="15.75" customHeight="1">
      <c r="A3972" s="18" t="str">
        <f>Descargas!A3972</f>
        <v>2955@imamagnets.com</v>
      </c>
      <c r="B3972" s="19" t="str">
        <f>IFERROR(__xludf.DUMMYFUNCTION("IF(OR(regexmatch(A3972,"".*@simon.es$""),REGEXMATCH(A3972,"".*@simon.pt$""),REGEXMATCH(A3972,"".*@simonelectrica.com$""),REGEXMATCH(A3972,"".*@hiberus.com$""),REGEXMATCH(A3972,"".*@simonbrico.es$""),regexmatch(A3972,"".*@simonelectric.com$"")),""null"",A3"&amp;"972)"),"2955@imamagnets.com")</f>
        <v>2955@imamagnets.com</v>
      </c>
      <c r="C3972" s="5">
        <f>IF(B3972="null","null",Descargas!B3972)</f>
        <v>43836</v>
      </c>
      <c r="D3972" s="6" t="str">
        <f>Descargas!E3972</f>
        <v>https://resources.simonelectric.com/simon-ebook-vehiculo-electrico</v>
      </c>
      <c r="E3972" s="20" t="str">
        <f t="shared" si="1"/>
        <v>2955@imamagnets.com</v>
      </c>
      <c r="F3972" s="21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</row>
    <row r="3973" ht="15.75" customHeight="1">
      <c r="A3973" s="18" t="str">
        <f>Descargas!A3973</f>
        <v>2956@engie.com</v>
      </c>
      <c r="B3973" s="19" t="str">
        <f>IFERROR(__xludf.DUMMYFUNCTION("IF(OR(regexmatch(A3973,"".*@simon.es$""),REGEXMATCH(A3973,"".*@simon.pt$""),REGEXMATCH(A3973,"".*@simonelectrica.com$""),REGEXMATCH(A3973,"".*@hiberus.com$""),REGEXMATCH(A3973,"".*@simonbrico.es$""),regexmatch(A3973,"".*@simonelectric.com$"")),""null"",A3"&amp;"973)"),"2956@engie.com")</f>
        <v>2956@engie.com</v>
      </c>
      <c r="C3973" s="5">
        <f>IF(B3973="null","null",Descargas!B3973)</f>
        <v>43836</v>
      </c>
      <c r="D3973" s="6" t="str">
        <f>Descargas!E3973</f>
        <v>https://resources.simonelectric.com/simon-ebook-vehiculo-electrico</v>
      </c>
      <c r="E3973" s="20" t="str">
        <f t="shared" si="1"/>
        <v>2956@engie.com</v>
      </c>
      <c r="F3973" s="21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</row>
    <row r="3974" ht="15.75" customHeight="1">
      <c r="A3974" s="18" t="str">
        <f>Descargas!A3974</f>
        <v>2957@doladoingenieria.es</v>
      </c>
      <c r="B3974" s="19" t="str">
        <f>IFERROR(__xludf.DUMMYFUNCTION("IF(OR(regexmatch(A3974,"".*@simon.es$""),REGEXMATCH(A3974,"".*@simon.pt$""),REGEXMATCH(A3974,"".*@simonelectrica.com$""),REGEXMATCH(A3974,"".*@hiberus.com$""),REGEXMATCH(A3974,"".*@simonbrico.es$""),regexmatch(A3974,"".*@simonelectric.com$"")),""null"",A3"&amp;"974)"),"2957@doladoingenieria.es")</f>
        <v>2957@doladoingenieria.es</v>
      </c>
      <c r="C3974" s="5">
        <f>IF(B3974="null","null",Descargas!B3974)</f>
        <v>43836</v>
      </c>
      <c r="D3974" s="6" t="str">
        <f>Descargas!E3974</f>
        <v>https://resources.simonelectric.com/simon-ebook-vehiculo-electrico</v>
      </c>
      <c r="E3974" s="20" t="str">
        <f t="shared" si="1"/>
        <v>2957@doladoingenieria.es</v>
      </c>
      <c r="F3974" s="21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</row>
    <row r="3975" ht="15.75" customHeight="1">
      <c r="A3975" s="18" t="str">
        <f>Descargas!A3975</f>
        <v>1708@gmail.com</v>
      </c>
      <c r="B3975" s="19" t="str">
        <f>IFERROR(__xludf.DUMMYFUNCTION("IF(OR(regexmatch(A3975,"".*@simon.es$""),REGEXMATCH(A3975,"".*@simon.pt$""),REGEXMATCH(A3975,"".*@simonelectrica.com$""),REGEXMATCH(A3975,"".*@hiberus.com$""),REGEXMATCH(A3975,"".*@simonbrico.es$""),regexmatch(A3975,"".*@simonelectric.com$"")),""null"",A3"&amp;"975)"),"1708@gmail.com")</f>
        <v>1708@gmail.com</v>
      </c>
      <c r="C3975" s="5">
        <f>IF(B3975="null","null",Descargas!B3975)</f>
        <v>43836</v>
      </c>
      <c r="D3975" s="6" t="str">
        <f>Descargas!E3975</f>
        <v>https://resources.simonelectric.com/simon-ebook-vehiculo-electrico</v>
      </c>
      <c r="E3975" s="20" t="str">
        <f t="shared" si="1"/>
        <v>1708@gmail.com</v>
      </c>
      <c r="F3975" s="21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</row>
    <row r="3976" ht="15.75" customHeight="1">
      <c r="A3976" s="18" t="str">
        <f>Descargas!A3976</f>
        <v>2923@gmail.com</v>
      </c>
      <c r="B3976" s="19" t="str">
        <f>IFERROR(__xludf.DUMMYFUNCTION("IF(OR(regexmatch(A3976,"".*@simon.es$""),REGEXMATCH(A3976,"".*@simon.pt$""),REGEXMATCH(A3976,"".*@simonelectrica.com$""),REGEXMATCH(A3976,"".*@hiberus.com$""),REGEXMATCH(A3976,"".*@simonbrico.es$""),regexmatch(A3976,"".*@simonelectric.com$"")),""null"",A3"&amp;"976)"),"2923@gmail.com")</f>
        <v>2923@gmail.com</v>
      </c>
      <c r="C3976" s="5">
        <f>IF(B3976="null","null",Descargas!B3976)</f>
        <v>43836</v>
      </c>
      <c r="D3976" s="6" t="str">
        <f>Descargas!E3976</f>
        <v>https://resources.simonelectric.com/simon-ebook-vehiculo-electrico</v>
      </c>
      <c r="E3976" s="20" t="str">
        <f t="shared" si="1"/>
        <v>2923@gmail.com</v>
      </c>
      <c r="F3976" s="21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</row>
    <row r="3977" ht="15.75" customHeight="1">
      <c r="A3977" s="18" t="str">
        <f>Descargas!A3977</f>
        <v>2958@gmail.com</v>
      </c>
      <c r="B3977" s="19" t="str">
        <f>IFERROR(__xludf.DUMMYFUNCTION("IF(OR(regexmatch(A3977,"".*@simon.es$""),REGEXMATCH(A3977,"".*@simon.pt$""),REGEXMATCH(A3977,"".*@simonelectrica.com$""),REGEXMATCH(A3977,"".*@hiberus.com$""),REGEXMATCH(A3977,"".*@simonbrico.es$""),regexmatch(A3977,"".*@simonelectric.com$"")),""null"",A3"&amp;"977)"),"2958@gmail.com")</f>
        <v>2958@gmail.com</v>
      </c>
      <c r="C3977" s="5">
        <f>IF(B3977="null","null",Descargas!B3977)</f>
        <v>43835</v>
      </c>
      <c r="D3977" s="6" t="str">
        <f>Descargas!E3977</f>
        <v>https://resources.simonelectric.com/simon-ebook-vehiculo-electrico</v>
      </c>
      <c r="E3977" s="20" t="str">
        <f t="shared" si="1"/>
        <v>2958@gmail.com</v>
      </c>
      <c r="F3977" s="21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</row>
    <row r="3978" ht="15.75" customHeight="1">
      <c r="A3978" s="18" t="str">
        <f>Descargas!A3978</f>
        <v>2360@viplaro.com</v>
      </c>
      <c r="B3978" s="19" t="str">
        <f>IFERROR(__xludf.DUMMYFUNCTION("IF(OR(regexmatch(A3978,"".*@simon.es$""),REGEXMATCH(A3978,"".*@simon.pt$""),REGEXMATCH(A3978,"".*@simonelectrica.com$""),REGEXMATCH(A3978,"".*@hiberus.com$""),REGEXMATCH(A3978,"".*@simonbrico.es$""),regexmatch(A3978,"".*@simonelectric.com$"")),""null"",A3"&amp;"978)"),"2360@viplaro.com")</f>
        <v>2360@viplaro.com</v>
      </c>
      <c r="C3978" s="5">
        <f>IF(B3978="null","null",Descargas!B3978)</f>
        <v>43834</v>
      </c>
      <c r="D3978" s="6" t="str">
        <f>Descargas!E3978</f>
        <v>https://resources.simonelectric.com/simon-ebook-vehiculo-electrico</v>
      </c>
      <c r="E3978" s="20" t="str">
        <f t="shared" si="1"/>
        <v>2360@viplaro.com</v>
      </c>
      <c r="F3978" s="21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</row>
    <row r="3979" ht="15.75" customHeight="1">
      <c r="A3979" s="18" t="str">
        <f>Descargas!A3979</f>
        <v>2360@viplaro.com</v>
      </c>
      <c r="B3979" s="19" t="str">
        <f>IFERROR(__xludf.DUMMYFUNCTION("IF(OR(regexmatch(A3979,"".*@simon.es$""),REGEXMATCH(A3979,"".*@simon.pt$""),REGEXMATCH(A3979,"".*@simonelectrica.com$""),REGEXMATCH(A3979,"".*@hiberus.com$""),REGEXMATCH(A3979,"".*@simonbrico.es$""),regexmatch(A3979,"".*@simonelectric.com$"")),""null"",A3"&amp;"979)"),"2360@viplaro.com")</f>
        <v>2360@viplaro.com</v>
      </c>
      <c r="C3979" s="5">
        <f>IF(B3979="null","null",Descargas!B3979)</f>
        <v>43834</v>
      </c>
      <c r="D3979" s="6" t="str">
        <f>Descargas!E3979</f>
        <v>https://resources.simonelectric.com/simon-ebook-vehiculo-electrico</v>
      </c>
      <c r="E3979" s="20" t="str">
        <f t="shared" si="1"/>
        <v>2360@viplaro.com</v>
      </c>
      <c r="F3979" s="21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</row>
    <row r="3980" ht="15.75" customHeight="1">
      <c r="A3980" s="18" t="str">
        <f>Descargas!A3980</f>
        <v>2959@instalacionesfb.com</v>
      </c>
      <c r="B3980" s="19" t="str">
        <f>IFERROR(__xludf.DUMMYFUNCTION("IF(OR(regexmatch(A3980,"".*@simon.es$""),REGEXMATCH(A3980,"".*@simon.pt$""),REGEXMATCH(A3980,"".*@simonelectrica.com$""),REGEXMATCH(A3980,"".*@hiberus.com$""),REGEXMATCH(A3980,"".*@simonbrico.es$""),regexmatch(A3980,"".*@simonelectric.com$"")),""null"",A3"&amp;"980)"),"2959@instalacionesfb.com")</f>
        <v>2959@instalacionesfb.com</v>
      </c>
      <c r="C3980" s="5">
        <f>IF(B3980="null","null",Descargas!B3980)</f>
        <v>43834</v>
      </c>
      <c r="D3980" s="6" t="str">
        <f>Descargas!E3980</f>
        <v>https://resources.simonelectric.com/simon-ebook-vehiculo-electrico</v>
      </c>
      <c r="E3980" s="20" t="str">
        <f t="shared" si="1"/>
        <v>2959@instalacionesfb.com</v>
      </c>
      <c r="F3980" s="21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</row>
    <row r="3981" ht="15.75" customHeight="1">
      <c r="A3981" s="18" t="str">
        <f>Descargas!A3981</f>
        <v>2960@gmail.com</v>
      </c>
      <c r="B3981" s="19" t="str">
        <f>IFERROR(__xludf.DUMMYFUNCTION("IF(OR(regexmatch(A3981,"".*@simon.es$""),REGEXMATCH(A3981,"".*@simon.pt$""),REGEXMATCH(A3981,"".*@simonelectrica.com$""),REGEXMATCH(A3981,"".*@hiberus.com$""),REGEXMATCH(A3981,"".*@simonbrico.es$""),regexmatch(A3981,"".*@simonelectric.com$"")),""null"",A3"&amp;"981)"),"2960@gmail.com")</f>
        <v>2960@gmail.com</v>
      </c>
      <c r="C3981" s="5">
        <f>IF(B3981="null","null",Descargas!B3981)</f>
        <v>43834</v>
      </c>
      <c r="D3981" s="6" t="str">
        <f>Descargas!E3981</f>
        <v>https://resources.simonelectric.com/simon-ebook-vehiculo-electrico</v>
      </c>
      <c r="E3981" s="20" t="str">
        <f t="shared" si="1"/>
        <v>2960@gmail.com</v>
      </c>
      <c r="F3981" s="21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</row>
    <row r="3982" ht="15.75" customHeight="1">
      <c r="A3982" s="18" t="str">
        <f>Descargas!A3982</f>
        <v>2945@gmail.com</v>
      </c>
      <c r="B3982" s="19" t="str">
        <f>IFERROR(__xludf.DUMMYFUNCTION("IF(OR(regexmatch(A3982,"".*@simon.es$""),REGEXMATCH(A3982,"".*@simon.pt$""),REGEXMATCH(A3982,"".*@simonelectrica.com$""),REGEXMATCH(A3982,"".*@hiberus.com$""),REGEXMATCH(A3982,"".*@simonbrico.es$""),regexmatch(A3982,"".*@simonelectric.com$"")),""null"",A3"&amp;"982)"),"2945@gmail.com")</f>
        <v>2945@gmail.com</v>
      </c>
      <c r="C3982" s="5">
        <f>IF(B3982="null","null",Descargas!B3982)</f>
        <v>43834</v>
      </c>
      <c r="D3982" s="6" t="str">
        <f>Descargas!E3982</f>
        <v>https://resources.simonelectric.com/simon-ebook-vehiculo-electrico</v>
      </c>
      <c r="E3982" s="20" t="str">
        <f t="shared" si="1"/>
        <v>2945@gmail.com</v>
      </c>
      <c r="F3982" s="21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</row>
    <row r="3983" ht="15.75" customHeight="1">
      <c r="A3983" s="18" t="str">
        <f>Descargas!A3983</f>
        <v>2961@mqrenovables.com</v>
      </c>
      <c r="B3983" s="19" t="str">
        <f>IFERROR(__xludf.DUMMYFUNCTION("IF(OR(regexmatch(A3983,"".*@simon.es$""),REGEXMATCH(A3983,"".*@simon.pt$""),REGEXMATCH(A3983,"".*@simonelectrica.com$""),REGEXMATCH(A3983,"".*@hiberus.com$""),REGEXMATCH(A3983,"".*@simonbrico.es$""),regexmatch(A3983,"".*@simonelectric.com$"")),""null"",A3"&amp;"983)"),"2961@mqrenovables.com")</f>
        <v>2961@mqrenovables.com</v>
      </c>
      <c r="C3983" s="5">
        <f>IF(B3983="null","null",Descargas!B3983)</f>
        <v>43834</v>
      </c>
      <c r="D3983" s="6" t="str">
        <f>Descargas!E3983</f>
        <v>https://resources.simonelectric.com/simon-ebook-vehiculo-electrico</v>
      </c>
      <c r="E3983" s="20" t="str">
        <f t="shared" si="1"/>
        <v>2961@mqrenovables.com</v>
      </c>
      <c r="F3983" s="21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</row>
    <row r="3984" ht="15.75" customHeight="1">
      <c r="A3984" s="18" t="str">
        <f>Descargas!A3984</f>
        <v>2962@gmail.com</v>
      </c>
      <c r="B3984" s="19" t="str">
        <f>IFERROR(__xludf.DUMMYFUNCTION("IF(OR(regexmatch(A3984,"".*@simon.es$""),REGEXMATCH(A3984,"".*@simon.pt$""),REGEXMATCH(A3984,"".*@simonelectrica.com$""),REGEXMATCH(A3984,"".*@hiberus.com$""),REGEXMATCH(A3984,"".*@simonbrico.es$""),regexmatch(A3984,"".*@simonelectric.com$"")),""null"",A3"&amp;"984)"),"2962@gmail.com")</f>
        <v>2962@gmail.com</v>
      </c>
      <c r="C3984" s="5">
        <f>IF(B3984="null","null",Descargas!B3984)</f>
        <v>43834</v>
      </c>
      <c r="D3984" s="6" t="str">
        <f>Descargas!E3984</f>
        <v>https://resources.simonelectric.com/simon-ebook-vehiculo-electrico</v>
      </c>
      <c r="E3984" s="20" t="str">
        <f t="shared" si="1"/>
        <v>2962@gmail.com</v>
      </c>
      <c r="F3984" s="21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</row>
    <row r="3985" ht="15.75" customHeight="1">
      <c r="A3985" s="18" t="str">
        <f>Descargas!A3985</f>
        <v>1338@gmail.com</v>
      </c>
      <c r="B3985" s="19" t="str">
        <f>IFERROR(__xludf.DUMMYFUNCTION("IF(OR(regexmatch(A3985,"".*@simon.es$""),REGEXMATCH(A3985,"".*@simon.pt$""),REGEXMATCH(A3985,"".*@simonelectrica.com$""),REGEXMATCH(A3985,"".*@hiberus.com$""),REGEXMATCH(A3985,"".*@simonbrico.es$""),regexmatch(A3985,"".*@simonelectric.com$"")),""null"",A3"&amp;"985)"),"1338@gmail.com")</f>
        <v>1338@gmail.com</v>
      </c>
      <c r="C3985" s="5">
        <f>IF(B3985="null","null",Descargas!B3985)</f>
        <v>43834</v>
      </c>
      <c r="D3985" s="6" t="str">
        <f>Descargas!E3985</f>
        <v>https://resources.simonelectric.com/simon-ebook-vehiculo-electrico</v>
      </c>
      <c r="E3985" s="20" t="str">
        <f t="shared" si="1"/>
        <v>1338@gmail.com</v>
      </c>
      <c r="F3985" s="21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</row>
    <row r="3986" ht="15.75" customHeight="1">
      <c r="A3986" s="18" t="str">
        <f>Descargas!A3986</f>
        <v>2963@gmail.com</v>
      </c>
      <c r="B3986" s="19" t="str">
        <f>IFERROR(__xludf.DUMMYFUNCTION("IF(OR(regexmatch(A3986,"".*@simon.es$""),REGEXMATCH(A3986,"".*@simon.pt$""),REGEXMATCH(A3986,"".*@simonelectrica.com$""),REGEXMATCH(A3986,"".*@hiberus.com$""),REGEXMATCH(A3986,"".*@simonbrico.es$""),regexmatch(A3986,"".*@simonelectric.com$"")),""null"",A3"&amp;"986)"),"2963@gmail.com")</f>
        <v>2963@gmail.com</v>
      </c>
      <c r="C3986" s="5">
        <f>IF(B3986="null","null",Descargas!B3986)</f>
        <v>43833</v>
      </c>
      <c r="D3986" s="6" t="str">
        <f>Descargas!E3986</f>
        <v>https://resources.simonelectric.com/simon-ebook-vehiculo-electrico</v>
      </c>
      <c r="E3986" s="20" t="str">
        <f t="shared" si="1"/>
        <v>2963@gmail.com</v>
      </c>
      <c r="F3986" s="21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</row>
    <row r="3987" ht="15.75" customHeight="1">
      <c r="A3987" s="18" t="str">
        <f>Descargas!A3987</f>
        <v>2964@duoarquitectura.es</v>
      </c>
      <c r="B3987" s="19" t="str">
        <f>IFERROR(__xludf.DUMMYFUNCTION("IF(OR(regexmatch(A3987,"".*@simon.es$""),REGEXMATCH(A3987,"".*@simon.pt$""),REGEXMATCH(A3987,"".*@simonelectrica.com$""),REGEXMATCH(A3987,"".*@hiberus.com$""),REGEXMATCH(A3987,"".*@simonbrico.es$""),regexmatch(A3987,"".*@simonelectric.com$"")),""null"",A3"&amp;"987)"),"2964@duoarquitectura.es")</f>
        <v>2964@duoarquitectura.es</v>
      </c>
      <c r="C3987" s="5">
        <f>IF(B3987="null","null",Descargas!B3987)</f>
        <v>43833</v>
      </c>
      <c r="D3987" s="6" t="str">
        <f>Descargas!E3987</f>
        <v>https://resources.simonelectric.com/simon-ebook-vehiculo-electrico</v>
      </c>
      <c r="E3987" s="20" t="str">
        <f t="shared" si="1"/>
        <v>2964@duoarquitectura.es</v>
      </c>
      <c r="F3987" s="21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</row>
    <row r="3988" ht="15.75" customHeight="1">
      <c r="A3988" s="18" t="str">
        <f>Descargas!A3988</f>
        <v>2965@hotmail.com</v>
      </c>
      <c r="B3988" s="19" t="str">
        <f>IFERROR(__xludf.DUMMYFUNCTION("IF(OR(regexmatch(A3988,"".*@simon.es$""),REGEXMATCH(A3988,"".*@simon.pt$""),REGEXMATCH(A3988,"".*@simonelectrica.com$""),REGEXMATCH(A3988,"".*@hiberus.com$""),REGEXMATCH(A3988,"".*@simonbrico.es$""),regexmatch(A3988,"".*@simonelectric.com$"")),""null"",A3"&amp;"988)"),"2965@hotmail.com")</f>
        <v>2965@hotmail.com</v>
      </c>
      <c r="C3988" s="5">
        <f>IF(B3988="null","null",Descargas!B3988)</f>
        <v>43833</v>
      </c>
      <c r="D3988" s="6" t="str">
        <f>Descargas!E3988</f>
        <v>https://resources.simonelectric.com/simon-ebook-vehiculo-electrico</v>
      </c>
      <c r="E3988" s="20" t="str">
        <f t="shared" si="1"/>
        <v>2965@hotmail.com</v>
      </c>
      <c r="F3988" s="21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</row>
    <row r="3989" ht="15.75" customHeight="1">
      <c r="A3989" s="18" t="str">
        <f>Descargas!A3989</f>
        <v>1149@fillsdelluissureda.cat</v>
      </c>
      <c r="B3989" s="19" t="str">
        <f>IFERROR(__xludf.DUMMYFUNCTION("IF(OR(regexmatch(A3989,"".*@simon.es$""),REGEXMATCH(A3989,"".*@simon.pt$""),REGEXMATCH(A3989,"".*@simonelectrica.com$""),REGEXMATCH(A3989,"".*@hiberus.com$""),REGEXMATCH(A3989,"".*@simonbrico.es$""),regexmatch(A3989,"".*@simonelectric.com$"")),""null"",A3"&amp;"989)"),"1149@fillsdelluissureda.cat")</f>
        <v>1149@fillsdelluissureda.cat</v>
      </c>
      <c r="C3989" s="5">
        <f>IF(B3989="null","null",Descargas!B3989)</f>
        <v>43833</v>
      </c>
      <c r="D3989" s="6" t="str">
        <f>Descargas!E3989</f>
        <v>https://resources.simonelectric.com/simon-ebook-vehiculo-electrico</v>
      </c>
      <c r="E3989" s="20" t="str">
        <f t="shared" si="1"/>
        <v>1149@fillsdelluissureda.cat</v>
      </c>
      <c r="F3989" s="21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</row>
    <row r="3990" ht="15.75" customHeight="1">
      <c r="A3990" s="18" t="str">
        <f>Descargas!A3990</f>
        <v>2966@gmail.com</v>
      </c>
      <c r="B3990" s="19" t="str">
        <f>IFERROR(__xludf.DUMMYFUNCTION("IF(OR(regexmatch(A3990,"".*@simon.es$""),REGEXMATCH(A3990,"".*@simon.pt$""),REGEXMATCH(A3990,"".*@simonelectrica.com$""),REGEXMATCH(A3990,"".*@hiberus.com$""),REGEXMATCH(A3990,"".*@simonbrico.es$""),regexmatch(A3990,"".*@simonelectric.com$"")),""null"",A3"&amp;"990)"),"2966@gmail.com")</f>
        <v>2966@gmail.com</v>
      </c>
      <c r="C3990" s="5">
        <f>IF(B3990="null","null",Descargas!B3990)</f>
        <v>43833</v>
      </c>
      <c r="D3990" s="6" t="str">
        <f>Descargas!E3990</f>
        <v>https://resources.simonelectric.com/simon-ebook-vehiculo-electrico</v>
      </c>
      <c r="E3990" s="20" t="str">
        <f t="shared" si="1"/>
        <v>2966@gmail.com</v>
      </c>
      <c r="F3990" s="21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</row>
    <row r="3991" ht="15.75" customHeight="1">
      <c r="A3991" s="18" t="str">
        <f>Descargas!A3991</f>
        <v>2967@gmail.com</v>
      </c>
      <c r="B3991" s="19" t="str">
        <f>IFERROR(__xludf.DUMMYFUNCTION("IF(OR(regexmatch(A3991,"".*@simon.es$""),REGEXMATCH(A3991,"".*@simon.pt$""),REGEXMATCH(A3991,"".*@simonelectrica.com$""),REGEXMATCH(A3991,"".*@hiberus.com$""),REGEXMATCH(A3991,"".*@simonbrico.es$""),regexmatch(A3991,"".*@simonelectric.com$"")),""null"",A3"&amp;"991)"),"2967@gmail.com")</f>
        <v>2967@gmail.com</v>
      </c>
      <c r="C3991" s="5">
        <f>IF(B3991="null","null",Descargas!B3991)</f>
        <v>43833</v>
      </c>
      <c r="D3991" s="6" t="str">
        <f>Descargas!E3991</f>
        <v>https://resources.simonelectric.com/simon-ebook-vehiculo-electrico</v>
      </c>
      <c r="E3991" s="20" t="str">
        <f t="shared" si="1"/>
        <v>2967@gmail.com</v>
      </c>
      <c r="F3991" s="21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</row>
    <row r="3992" ht="15.75" customHeight="1">
      <c r="A3992" s="18" t="str">
        <f>Descargas!A3992</f>
        <v>632@gmail.com</v>
      </c>
      <c r="B3992" s="19" t="str">
        <f>IFERROR(__xludf.DUMMYFUNCTION("IF(OR(regexmatch(A3992,"".*@simon.es$""),REGEXMATCH(A3992,"".*@simon.pt$""),REGEXMATCH(A3992,"".*@simonelectrica.com$""),REGEXMATCH(A3992,"".*@hiberus.com$""),REGEXMATCH(A3992,"".*@simonbrico.es$""),regexmatch(A3992,"".*@simonelectric.com$"")),""null"",A3"&amp;"992)"),"632@gmail.com")</f>
        <v>632@gmail.com</v>
      </c>
      <c r="C3992" s="5">
        <f>IF(B3992="null","null",Descargas!B3992)</f>
        <v>43833</v>
      </c>
      <c r="D3992" s="6" t="str">
        <f>Descargas!E3992</f>
        <v>https://resources.simonelectric.com/simon-ebook-vehiculo-electrico</v>
      </c>
      <c r="E3992" s="20" t="str">
        <f t="shared" si="1"/>
        <v>632@gmail.com</v>
      </c>
      <c r="F3992" s="21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</row>
    <row r="3993" ht="15.75" customHeight="1">
      <c r="A3993" s="18" t="str">
        <f>Descargas!A3993</f>
        <v>2968@sueprat.es</v>
      </c>
      <c r="B3993" s="19" t="str">
        <f>IFERROR(__xludf.DUMMYFUNCTION("IF(OR(regexmatch(A3993,"".*@simon.es$""),REGEXMATCH(A3993,"".*@simon.pt$""),REGEXMATCH(A3993,"".*@simonelectrica.com$""),REGEXMATCH(A3993,"".*@hiberus.com$""),REGEXMATCH(A3993,"".*@simonbrico.es$""),regexmatch(A3993,"".*@simonelectric.com$"")),""null"",A3"&amp;"993)"),"2968@sueprat.es")</f>
        <v>2968@sueprat.es</v>
      </c>
      <c r="C3993" s="5">
        <f>IF(B3993="null","null",Descargas!B3993)</f>
        <v>43833</v>
      </c>
      <c r="D3993" s="6" t="str">
        <f>Descargas!E3993</f>
        <v>https://resources.simonelectric.com/simon-ebook-vehiculo-electrico</v>
      </c>
      <c r="E3993" s="20" t="str">
        <f t="shared" si="1"/>
        <v>2968@sueprat.es</v>
      </c>
      <c r="F3993" s="21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</row>
    <row r="3994" ht="15.75" customHeight="1">
      <c r="A3994" s="18" t="str">
        <f>Descargas!A3994</f>
        <v>2968@sueprat.es</v>
      </c>
      <c r="B3994" s="19" t="str">
        <f>IFERROR(__xludf.DUMMYFUNCTION("IF(OR(regexmatch(A3994,"".*@simon.es$""),REGEXMATCH(A3994,"".*@simon.pt$""),REGEXMATCH(A3994,"".*@simonelectrica.com$""),REGEXMATCH(A3994,"".*@hiberus.com$""),REGEXMATCH(A3994,"".*@simonbrico.es$""),regexmatch(A3994,"".*@simonelectric.com$"")),""null"",A3"&amp;"994)"),"2968@sueprat.es")</f>
        <v>2968@sueprat.es</v>
      </c>
      <c r="C3994" s="5">
        <f>IF(B3994="null","null",Descargas!B3994)</f>
        <v>43833</v>
      </c>
      <c r="D3994" s="6" t="str">
        <f>Descargas!E3994</f>
        <v>https://resources.simonelectric.com/simon-catalogo-vehiculo-electrico</v>
      </c>
      <c r="E3994" s="20" t="str">
        <f t="shared" si="1"/>
        <v>2968@sueprat.es</v>
      </c>
      <c r="F3994" s="21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</row>
    <row r="3995" ht="15.75" customHeight="1">
      <c r="A3995" s="18" t="str">
        <f>Descargas!A3995</f>
        <v>2969@gmail.com</v>
      </c>
      <c r="B3995" s="19" t="str">
        <f>IFERROR(__xludf.DUMMYFUNCTION("IF(OR(regexmatch(A3995,"".*@simon.es$""),REGEXMATCH(A3995,"".*@simon.pt$""),REGEXMATCH(A3995,"".*@simonelectrica.com$""),REGEXMATCH(A3995,"".*@hiberus.com$""),REGEXMATCH(A3995,"".*@simonbrico.es$""),regexmatch(A3995,"".*@simonelectric.com$"")),""null"",A3"&amp;"995)"),"2969@gmail.com")</f>
        <v>2969@gmail.com</v>
      </c>
      <c r="C3995" s="5">
        <f>IF(B3995="null","null",Descargas!B3995)</f>
        <v>43833</v>
      </c>
      <c r="D3995" s="6" t="str">
        <f>Descargas!E3995</f>
        <v>https://resources.simonelectric.com/simon-ebook-vehiculo-electrico</v>
      </c>
      <c r="E3995" s="20" t="str">
        <f t="shared" si="1"/>
        <v>2969@gmail.com</v>
      </c>
      <c r="F3995" s="21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</row>
    <row r="3996" ht="15.75" customHeight="1">
      <c r="A3996" s="18" t="str">
        <f>Descargas!A3996</f>
        <v>2970@sonepar.es</v>
      </c>
      <c r="B3996" s="19" t="str">
        <f>IFERROR(__xludf.DUMMYFUNCTION("IF(OR(regexmatch(A3996,"".*@simon.es$""),REGEXMATCH(A3996,"".*@simon.pt$""),REGEXMATCH(A3996,"".*@simonelectrica.com$""),REGEXMATCH(A3996,"".*@hiberus.com$""),REGEXMATCH(A3996,"".*@simonbrico.es$""),regexmatch(A3996,"".*@simonelectric.com$"")),""null"",A3"&amp;"996)"),"2970@sonepar.es")</f>
        <v>2970@sonepar.es</v>
      </c>
      <c r="C3996" s="5">
        <f>IF(B3996="null","null",Descargas!B3996)</f>
        <v>43833</v>
      </c>
      <c r="D3996" s="6" t="str">
        <f>Descargas!E3996</f>
        <v>https://resources.simonelectric.com/simon-ebook-vehiculo-electrico</v>
      </c>
      <c r="E3996" s="20" t="str">
        <f t="shared" si="1"/>
        <v>2970@sonepar.es</v>
      </c>
      <c r="F3996" s="21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</row>
    <row r="3997" ht="15.75" customHeight="1">
      <c r="A3997" s="18" t="str">
        <f>Descargas!A3997</f>
        <v>2971@gmail.com</v>
      </c>
      <c r="B3997" s="19" t="str">
        <f>IFERROR(__xludf.DUMMYFUNCTION("IF(OR(regexmatch(A3997,"".*@simon.es$""),REGEXMATCH(A3997,"".*@simon.pt$""),REGEXMATCH(A3997,"".*@simonelectrica.com$""),REGEXMATCH(A3997,"".*@hiberus.com$""),REGEXMATCH(A3997,"".*@simonbrico.es$""),regexmatch(A3997,"".*@simonelectric.com$"")),""null"",A3"&amp;"997)"),"2971@gmail.com")</f>
        <v>2971@gmail.com</v>
      </c>
      <c r="C3997" s="5">
        <f>IF(B3997="null","null",Descargas!B3997)</f>
        <v>43833</v>
      </c>
      <c r="D3997" s="6" t="str">
        <f>Descargas!E3997</f>
        <v>https://resources.simonelectric.com/simon-ebook-vehiculo-electrico</v>
      </c>
      <c r="E3997" s="20" t="str">
        <f t="shared" si="1"/>
        <v>2971@gmail.com</v>
      </c>
      <c r="F3997" s="21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</row>
    <row r="3998" ht="15.75" customHeight="1">
      <c r="A3998" s="18" t="str">
        <f>Descargas!A3998</f>
        <v>474@tectram.com</v>
      </c>
      <c r="B3998" s="19" t="str">
        <f>IFERROR(__xludf.DUMMYFUNCTION("IF(OR(regexmatch(A3998,"".*@simon.es$""),REGEXMATCH(A3998,"".*@simon.pt$""),REGEXMATCH(A3998,"".*@simonelectrica.com$""),REGEXMATCH(A3998,"".*@hiberus.com$""),REGEXMATCH(A3998,"".*@simonbrico.es$""),regexmatch(A3998,"".*@simonelectric.com$"")),""null"",A3"&amp;"998)"),"474@tectram.com")</f>
        <v>474@tectram.com</v>
      </c>
      <c r="C3998" s="5">
        <f>IF(B3998="null","null",Descargas!B3998)</f>
        <v>43833</v>
      </c>
      <c r="D3998" s="6" t="str">
        <f>Descargas!E3998</f>
        <v>https://resources.simonelectric.com/simon-ebook-vehiculo-electrico</v>
      </c>
      <c r="E3998" s="20" t="str">
        <f t="shared" si="1"/>
        <v>474@tectram.com</v>
      </c>
      <c r="F3998" s="21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</row>
    <row r="3999" ht="15.75" customHeight="1">
      <c r="A3999" s="18" t="str">
        <f>Descargas!A3999</f>
        <v>1515@expertline.es</v>
      </c>
      <c r="B3999" s="19" t="str">
        <f>IFERROR(__xludf.DUMMYFUNCTION("IF(OR(regexmatch(A3999,"".*@simon.es$""),REGEXMATCH(A3999,"".*@simon.pt$""),REGEXMATCH(A3999,"".*@simonelectrica.com$""),REGEXMATCH(A3999,"".*@hiberus.com$""),REGEXMATCH(A3999,"".*@simonbrico.es$""),regexmatch(A3999,"".*@simonelectric.com$"")),""null"",A3"&amp;"999)"),"1515@expertline.es")</f>
        <v>1515@expertline.es</v>
      </c>
      <c r="C3999" s="5">
        <f>IF(B3999="null","null",Descargas!B3999)</f>
        <v>43833</v>
      </c>
      <c r="D3999" s="6" t="str">
        <f>Descargas!E3999</f>
        <v>https://resources.simonelectric.com/simon-ebook-vehiculo-electrico</v>
      </c>
      <c r="E3999" s="20" t="str">
        <f t="shared" si="1"/>
        <v>1515@expertline.es</v>
      </c>
      <c r="F3999" s="21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</row>
    <row r="4000" ht="15.75" customHeight="1">
      <c r="A4000" s="18" t="str">
        <f>Descargas!A4000</f>
        <v>2972@us.es</v>
      </c>
      <c r="B4000" s="19" t="str">
        <f>IFERROR(__xludf.DUMMYFUNCTION("IF(OR(regexmatch(A4000,"".*@simon.es$""),REGEXMATCH(A4000,"".*@simon.pt$""),REGEXMATCH(A4000,"".*@simonelectrica.com$""),REGEXMATCH(A4000,"".*@hiberus.com$""),REGEXMATCH(A4000,"".*@simonbrico.es$""),regexmatch(A4000,"".*@simonelectric.com$"")),""null"",A4"&amp;"000)"),"2972@us.es")</f>
        <v>2972@us.es</v>
      </c>
      <c r="C4000" s="5">
        <f>IF(B4000="null","null",Descargas!B4000)</f>
        <v>43833</v>
      </c>
      <c r="D4000" s="6" t="str">
        <f>Descargas!E4000</f>
        <v>https://resources.simonelectric.com/simon-ebook-vehiculo-electrico</v>
      </c>
      <c r="E4000" s="20" t="str">
        <f t="shared" si="1"/>
        <v>2972@us.es</v>
      </c>
      <c r="F4000" s="21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</row>
    <row r="4001" ht="15.75" customHeight="1">
      <c r="A4001" s="18" t="str">
        <f>Descargas!A4001</f>
        <v>2972@us.es</v>
      </c>
      <c r="B4001" s="19" t="str">
        <f>IFERROR(__xludf.DUMMYFUNCTION("IF(OR(regexmatch(A4001,"".*@simon.es$""),REGEXMATCH(A4001,"".*@simon.pt$""),REGEXMATCH(A4001,"".*@simonelectrica.com$""),REGEXMATCH(A4001,"".*@hiberus.com$""),REGEXMATCH(A4001,"".*@simonbrico.es$""),regexmatch(A4001,"".*@simonelectric.com$"")),""null"",A4"&amp;"001)"),"2972@us.es")</f>
        <v>2972@us.es</v>
      </c>
      <c r="C4001" s="5">
        <f>IF(B4001="null","null",Descargas!B4001)</f>
        <v>43833</v>
      </c>
      <c r="D4001" s="6" t="str">
        <f>Descargas!E4001</f>
        <v>https://resources.simonelectric.com/simon-ebook-vehiculo-electrico</v>
      </c>
      <c r="E4001" s="20" t="str">
        <f t="shared" si="1"/>
        <v>2972@us.es</v>
      </c>
      <c r="F4001" s="21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</row>
    <row r="4002" ht="15.75" customHeight="1">
      <c r="A4002" s="18" t="str">
        <f>Descargas!A4002</f>
        <v>2973@rt105.es</v>
      </c>
      <c r="B4002" s="19" t="str">
        <f>IFERROR(__xludf.DUMMYFUNCTION("IF(OR(regexmatch(A4002,"".*@simon.es$""),REGEXMATCH(A4002,"".*@simon.pt$""),REGEXMATCH(A4002,"".*@simonelectrica.com$""),REGEXMATCH(A4002,"".*@hiberus.com$""),REGEXMATCH(A4002,"".*@simonbrico.es$""),regexmatch(A4002,"".*@simonelectric.com$"")),""null"",A4"&amp;"002)"),"2973@rt105.es")</f>
        <v>2973@rt105.es</v>
      </c>
      <c r="C4002" s="5">
        <f>IF(B4002="null","null",Descargas!B4002)</f>
        <v>43833</v>
      </c>
      <c r="D4002" s="6" t="str">
        <f>Descargas!E4002</f>
        <v>https://resources.simonelectric.com/simon-catalogo-vehiculo-electrico</v>
      </c>
      <c r="E4002" s="20" t="str">
        <f t="shared" si="1"/>
        <v>2973@rt105.es</v>
      </c>
      <c r="F4002" s="21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</row>
    <row r="4003" ht="15.75" customHeight="1">
      <c r="A4003" s="18" t="str">
        <f>Descargas!A4003</f>
        <v>2974@outlook.com</v>
      </c>
      <c r="B4003" s="19" t="str">
        <f>IFERROR(__xludf.DUMMYFUNCTION("IF(OR(regexmatch(A4003,"".*@simon.es$""),REGEXMATCH(A4003,"".*@simon.pt$""),REGEXMATCH(A4003,"".*@simonelectrica.com$""),REGEXMATCH(A4003,"".*@hiberus.com$""),REGEXMATCH(A4003,"".*@simonbrico.es$""),regexmatch(A4003,"".*@simonelectric.com$"")),""null"",A4"&amp;"003)"),"2974@outlook.com")</f>
        <v>2974@outlook.com</v>
      </c>
      <c r="C4003" s="5">
        <f>IF(B4003="null","null",Descargas!B4003)</f>
        <v>43833</v>
      </c>
      <c r="D4003" s="6" t="str">
        <f>Descargas!E4003</f>
        <v>https://resources.simonelectric.com/simon-catalogo-vehiculo-electrico</v>
      </c>
      <c r="E4003" s="20" t="str">
        <f t="shared" si="1"/>
        <v>2974@outlook.com</v>
      </c>
      <c r="F4003" s="21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</row>
    <row r="4004" ht="15.75" customHeight="1">
      <c r="A4004" s="18" t="str">
        <f>Descargas!A4004</f>
        <v>2975@gmail.com</v>
      </c>
      <c r="B4004" s="19" t="str">
        <f>IFERROR(__xludf.DUMMYFUNCTION("IF(OR(regexmatch(A4004,"".*@simon.es$""),REGEXMATCH(A4004,"".*@simon.pt$""),REGEXMATCH(A4004,"".*@simonelectrica.com$""),REGEXMATCH(A4004,"".*@hiberus.com$""),REGEXMATCH(A4004,"".*@simonbrico.es$""),regexmatch(A4004,"".*@simonelectric.com$"")),""null"",A4"&amp;"004)"),"2975@gmail.com")</f>
        <v>2975@gmail.com</v>
      </c>
      <c r="C4004" s="5">
        <f>IF(B4004="null","null",Descargas!B4004)</f>
        <v>43833</v>
      </c>
      <c r="D4004" s="6" t="str">
        <f>Descargas!E4004</f>
        <v>https://resources.simonelectric.com/simon-ebook-vehiculo-electrico</v>
      </c>
      <c r="E4004" s="20" t="str">
        <f t="shared" si="1"/>
        <v>2975@gmail.com</v>
      </c>
      <c r="F4004" s="21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</row>
    <row r="4005" ht="15.75" customHeight="1">
      <c r="A4005" s="18" t="str">
        <f>Descargas!A4005</f>
        <v>2976@gmail.com</v>
      </c>
      <c r="B4005" s="19" t="str">
        <f>IFERROR(__xludf.DUMMYFUNCTION("IF(OR(regexmatch(A4005,"".*@simon.es$""),REGEXMATCH(A4005,"".*@simon.pt$""),REGEXMATCH(A4005,"".*@simonelectrica.com$""),REGEXMATCH(A4005,"".*@hiberus.com$""),REGEXMATCH(A4005,"".*@simonbrico.es$""),regexmatch(A4005,"".*@simonelectric.com$"")),""null"",A4"&amp;"005)"),"2976@gmail.com")</f>
        <v>2976@gmail.com</v>
      </c>
      <c r="C4005" s="5">
        <f>IF(B4005="null","null",Descargas!B4005)</f>
        <v>43833</v>
      </c>
      <c r="D4005" s="6" t="str">
        <f>Descargas!E4005</f>
        <v>https://resources.simonelectric.com/simon-ebook-vehiculo-electrico</v>
      </c>
      <c r="E4005" s="20" t="str">
        <f t="shared" si="1"/>
        <v>2976@gmail.com</v>
      </c>
      <c r="F4005" s="21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</row>
    <row r="4006" ht="15.75" customHeight="1">
      <c r="A4006" s="18" t="str">
        <f>Descargas!A4006</f>
        <v>391@gmail.com</v>
      </c>
      <c r="B4006" s="19" t="str">
        <f>IFERROR(__xludf.DUMMYFUNCTION("IF(OR(regexmatch(A4006,"".*@simon.es$""),REGEXMATCH(A4006,"".*@simon.pt$""),REGEXMATCH(A4006,"".*@simonelectrica.com$""),REGEXMATCH(A4006,"".*@hiberus.com$""),REGEXMATCH(A4006,"".*@simonbrico.es$""),regexmatch(A4006,"".*@simonelectric.com$"")),""null"",A4"&amp;"006)"),"391@gmail.com")</f>
        <v>391@gmail.com</v>
      </c>
      <c r="C4006" s="5">
        <f>IF(B4006="null","null",Descargas!B4006)</f>
        <v>43833</v>
      </c>
      <c r="D4006" s="6" t="str">
        <f>Descargas!E4006</f>
        <v>https://resources.simonelectric.com/simon-ebook-vehiculo-electrico</v>
      </c>
      <c r="E4006" s="20" t="str">
        <f t="shared" si="1"/>
        <v>391@gmail.com</v>
      </c>
      <c r="F4006" s="21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</row>
    <row r="4007" ht="15.75" customHeight="1">
      <c r="A4007" s="18" t="str">
        <f>Descargas!A4007</f>
        <v>2977@gmail.com</v>
      </c>
      <c r="B4007" s="19" t="str">
        <f>IFERROR(__xludf.DUMMYFUNCTION("IF(OR(regexmatch(A4007,"".*@simon.es$""),REGEXMATCH(A4007,"".*@simon.pt$""),REGEXMATCH(A4007,"".*@simonelectrica.com$""),REGEXMATCH(A4007,"".*@hiberus.com$""),REGEXMATCH(A4007,"".*@simonbrico.es$""),regexmatch(A4007,"".*@simonelectric.com$"")),""null"",A4"&amp;"007)"),"2977@gmail.com")</f>
        <v>2977@gmail.com</v>
      </c>
      <c r="C4007" s="5">
        <f>IF(B4007="null","null",Descargas!B4007)</f>
        <v>43832</v>
      </c>
      <c r="D4007" s="6" t="str">
        <f>Descargas!E4007</f>
        <v>https://resources.simonelectric.com/simon-ebook-vehiculo-electrico</v>
      </c>
      <c r="E4007" s="20" t="str">
        <f t="shared" si="1"/>
        <v>2977@gmail.com</v>
      </c>
      <c r="F4007" s="21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</row>
    <row r="4008" ht="15.75" customHeight="1">
      <c r="A4008" s="18" t="str">
        <f>Descargas!A4008</f>
        <v>2978@electroredes.com</v>
      </c>
      <c r="B4008" s="19" t="str">
        <f>IFERROR(__xludf.DUMMYFUNCTION("IF(OR(regexmatch(A4008,"".*@simon.es$""),REGEXMATCH(A4008,"".*@simon.pt$""),REGEXMATCH(A4008,"".*@simonelectrica.com$""),REGEXMATCH(A4008,"".*@hiberus.com$""),REGEXMATCH(A4008,"".*@simonbrico.es$""),regexmatch(A4008,"".*@simonelectric.com$"")),""null"",A4"&amp;"008)"),"2978@electroredes.com")</f>
        <v>2978@electroredes.com</v>
      </c>
      <c r="C4008" s="5">
        <f>IF(B4008="null","null",Descargas!B4008)</f>
        <v>43832</v>
      </c>
      <c r="D4008" s="6" t="str">
        <f>Descargas!E4008</f>
        <v>https://resources.simonelectric.com/simon-ebook-vehiculo-electrico</v>
      </c>
      <c r="E4008" s="20" t="str">
        <f t="shared" si="1"/>
        <v>2978@electroredes.com</v>
      </c>
      <c r="F4008" s="21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</row>
    <row r="4009" ht="15.75" customHeight="1">
      <c r="A4009" s="18" t="str">
        <f>Descargas!A4009</f>
        <v>1570@yahoo.es</v>
      </c>
      <c r="B4009" s="19" t="str">
        <f>IFERROR(__xludf.DUMMYFUNCTION("IF(OR(regexmatch(A4009,"".*@simon.es$""),REGEXMATCH(A4009,"".*@simon.pt$""),REGEXMATCH(A4009,"".*@simonelectrica.com$""),REGEXMATCH(A4009,"".*@hiberus.com$""),REGEXMATCH(A4009,"".*@simonbrico.es$""),regexmatch(A4009,"".*@simonelectric.com$"")),""null"",A4"&amp;"009)"),"1570@yahoo.es")</f>
        <v>1570@yahoo.es</v>
      </c>
      <c r="C4009" s="5">
        <f>IF(B4009="null","null",Descargas!B4009)</f>
        <v>43832</v>
      </c>
      <c r="D4009" s="6" t="str">
        <f>Descargas!E4009</f>
        <v>https://resources.simonelectric.com/simon-ebook-vehiculo-electrico</v>
      </c>
      <c r="E4009" s="20" t="str">
        <f t="shared" si="1"/>
        <v>1570@yahoo.es</v>
      </c>
      <c r="F4009" s="21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</row>
    <row r="4010" ht="15.75" customHeight="1">
      <c r="A4010" s="18" t="str">
        <f>Descargas!A4010</f>
        <v>2979@gmail.com</v>
      </c>
      <c r="B4010" s="19" t="str">
        <f>IFERROR(__xludf.DUMMYFUNCTION("IF(OR(regexmatch(A4010,"".*@simon.es$""),REGEXMATCH(A4010,"".*@simon.pt$""),REGEXMATCH(A4010,"".*@simonelectrica.com$""),REGEXMATCH(A4010,"".*@hiberus.com$""),REGEXMATCH(A4010,"".*@simonbrico.es$""),regexmatch(A4010,"".*@simonelectric.com$"")),""null"",A4"&amp;"010)"),"2979@gmail.com")</f>
        <v>2979@gmail.com</v>
      </c>
      <c r="C4010" s="5">
        <f>IF(B4010="null","null",Descargas!B4010)</f>
        <v>43832</v>
      </c>
      <c r="D4010" s="6" t="str">
        <f>Descargas!E4010</f>
        <v>https://resources.simonelectric.com/simon-ebook-vehiculo-electrico</v>
      </c>
      <c r="E4010" s="20" t="str">
        <f t="shared" si="1"/>
        <v>2979@gmail.com</v>
      </c>
      <c r="F4010" s="21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</row>
    <row r="4011" ht="15.75" customHeight="1">
      <c r="A4011" s="18" t="str">
        <f>Descargas!A4011</f>
        <v>1104@gmail.com</v>
      </c>
      <c r="B4011" s="19" t="str">
        <f>IFERROR(__xludf.DUMMYFUNCTION("IF(OR(regexmatch(A4011,"".*@simon.es$""),REGEXMATCH(A4011,"".*@simon.pt$""),REGEXMATCH(A4011,"".*@simonelectrica.com$""),REGEXMATCH(A4011,"".*@hiberus.com$""),REGEXMATCH(A4011,"".*@simonbrico.es$""),regexmatch(A4011,"".*@simonelectric.com$"")),""null"",A4"&amp;"011)"),"1104@gmail.com")</f>
        <v>1104@gmail.com</v>
      </c>
      <c r="C4011" s="5">
        <f>IF(B4011="null","null",Descargas!B4011)</f>
        <v>43832</v>
      </c>
      <c r="D4011" s="6" t="str">
        <f>Descargas!E4011</f>
        <v>https://resources.simonelectric.com/simon-ebook-vehiculo-electrico</v>
      </c>
      <c r="E4011" s="20" t="str">
        <f t="shared" si="1"/>
        <v>1104@gmail.com</v>
      </c>
      <c r="F4011" s="21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</row>
    <row r="4012" ht="15.75" customHeight="1">
      <c r="A4012" s="18" t="str">
        <f>Descargas!A4012</f>
        <v>2980@live.com</v>
      </c>
      <c r="B4012" s="19" t="str">
        <f>IFERROR(__xludf.DUMMYFUNCTION("IF(OR(regexmatch(A4012,"".*@simon.es$""),REGEXMATCH(A4012,"".*@simon.pt$""),REGEXMATCH(A4012,"".*@simonelectrica.com$""),REGEXMATCH(A4012,"".*@hiberus.com$""),REGEXMATCH(A4012,"".*@simonbrico.es$""),regexmatch(A4012,"".*@simonelectric.com$"")),""null"",A4"&amp;"012)"),"2980@live.com")</f>
        <v>2980@live.com</v>
      </c>
      <c r="C4012" s="5">
        <f>IF(B4012="null","null",Descargas!B4012)</f>
        <v>43832</v>
      </c>
      <c r="D4012" s="6" t="str">
        <f>Descargas!E4012</f>
        <v>https://resources.simonelectric.com/simon-catalogo-vehiculo-electrico</v>
      </c>
      <c r="E4012" s="20" t="str">
        <f t="shared" si="1"/>
        <v>2980@live.com</v>
      </c>
      <c r="F4012" s="21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</row>
    <row r="4013" ht="15.75" customHeight="1">
      <c r="A4013" s="18" t="str">
        <f>Descargas!A4013</f>
        <v>2981@gmail.com</v>
      </c>
      <c r="B4013" s="19" t="str">
        <f>IFERROR(__xludf.DUMMYFUNCTION("IF(OR(regexmatch(A4013,"".*@simon.es$""),REGEXMATCH(A4013,"".*@simon.pt$""),REGEXMATCH(A4013,"".*@simonelectrica.com$""),REGEXMATCH(A4013,"".*@hiberus.com$""),REGEXMATCH(A4013,"".*@simonbrico.es$""),regexmatch(A4013,"".*@simonelectric.com$"")),""null"",A4"&amp;"013)"),"2981@gmail.com")</f>
        <v>2981@gmail.com</v>
      </c>
      <c r="C4013" s="5">
        <f>IF(B4013="null","null",Descargas!B4013)</f>
        <v>43832</v>
      </c>
      <c r="D4013" s="6" t="str">
        <f>Descargas!E4013</f>
        <v>https://resources.simonelectric.com/simon-ebook-vehiculo-electrico</v>
      </c>
      <c r="E4013" s="20" t="str">
        <f t="shared" si="1"/>
        <v>2981@gmail.com</v>
      </c>
      <c r="F4013" s="21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</row>
    <row r="4014" ht="15.75" customHeight="1">
      <c r="A4014" s="18" t="str">
        <f>Descargas!A4014</f>
        <v>2982@hotmail.es</v>
      </c>
      <c r="B4014" s="19" t="str">
        <f>IFERROR(__xludf.DUMMYFUNCTION("IF(OR(regexmatch(A4014,"".*@simon.es$""),REGEXMATCH(A4014,"".*@simon.pt$""),REGEXMATCH(A4014,"".*@simonelectrica.com$""),REGEXMATCH(A4014,"".*@hiberus.com$""),REGEXMATCH(A4014,"".*@simonbrico.es$""),regexmatch(A4014,"".*@simonelectric.com$"")),""null"",A4"&amp;"014)"),"2982@hotmail.es")</f>
        <v>2982@hotmail.es</v>
      </c>
      <c r="C4014" s="5">
        <f>IF(B4014="null","null",Descargas!B4014)</f>
        <v>43832</v>
      </c>
      <c r="D4014" s="6" t="str">
        <f>Descargas!E4014</f>
        <v>https://resources.simonelectric.com/simon-ebook-vehiculo-electrico</v>
      </c>
      <c r="E4014" s="20" t="str">
        <f t="shared" si="1"/>
        <v>2982@hotmail.es</v>
      </c>
      <c r="F4014" s="21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</row>
    <row r="4015" ht="15.75" customHeight="1">
      <c r="A4015" s="18" t="str">
        <f>Descargas!A4015</f>
        <v>2851@yahoo.es</v>
      </c>
      <c r="B4015" s="19" t="str">
        <f>IFERROR(__xludf.DUMMYFUNCTION("IF(OR(regexmatch(A4015,"".*@simon.es$""),REGEXMATCH(A4015,"".*@simon.pt$""),REGEXMATCH(A4015,"".*@simonelectrica.com$""),REGEXMATCH(A4015,"".*@hiberus.com$""),REGEXMATCH(A4015,"".*@simonbrico.es$""),regexmatch(A4015,"".*@simonelectric.com$"")),""null"",A4"&amp;"015)"),"2851@yahoo.es")</f>
        <v>2851@yahoo.es</v>
      </c>
      <c r="C4015" s="5">
        <f>IF(B4015="null","null",Descargas!B4015)</f>
        <v>43832</v>
      </c>
      <c r="D4015" s="6" t="str">
        <f>Descargas!E4015</f>
        <v>https://resources.simonelectric.com/simon-ebook-vehiculo-electrico</v>
      </c>
      <c r="E4015" s="20" t="str">
        <f t="shared" si="1"/>
        <v>2851@yahoo.es</v>
      </c>
      <c r="F4015" s="21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</row>
    <row r="4016" ht="15.75" customHeight="1">
      <c r="A4016" s="18" t="str">
        <f>Descargas!A4016</f>
        <v>2851@yahoo.es</v>
      </c>
      <c r="B4016" s="19" t="str">
        <f>IFERROR(__xludf.DUMMYFUNCTION("IF(OR(regexmatch(A4016,"".*@simon.es$""),REGEXMATCH(A4016,"".*@simon.pt$""),REGEXMATCH(A4016,"".*@simonelectrica.com$""),REGEXMATCH(A4016,"".*@hiberus.com$""),REGEXMATCH(A4016,"".*@simonbrico.es$""),regexmatch(A4016,"".*@simonelectric.com$"")),""null"",A4"&amp;"016)"),"2851@yahoo.es")</f>
        <v>2851@yahoo.es</v>
      </c>
      <c r="C4016" s="5">
        <f>IF(B4016="null","null",Descargas!B4016)</f>
        <v>43832</v>
      </c>
      <c r="D4016" s="6" t="str">
        <f>Descargas!E4016</f>
        <v>https://resources.simonelectric.com/simon-ebook-vehiculo-electrico</v>
      </c>
      <c r="E4016" s="20" t="str">
        <f t="shared" si="1"/>
        <v>2851@yahoo.es</v>
      </c>
      <c r="F4016" s="21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</row>
    <row r="4017" ht="15.75" customHeight="1">
      <c r="A4017" s="18" t="str">
        <f>Descargas!A4017</f>
        <v>2983@hotmail.com</v>
      </c>
      <c r="B4017" s="19" t="str">
        <f>IFERROR(__xludf.DUMMYFUNCTION("IF(OR(regexmatch(A4017,"".*@simon.es$""),REGEXMATCH(A4017,"".*@simon.pt$""),REGEXMATCH(A4017,"".*@simonelectrica.com$""),REGEXMATCH(A4017,"".*@hiberus.com$""),REGEXMATCH(A4017,"".*@simonbrico.es$""),regexmatch(A4017,"".*@simonelectric.com$"")),""null"",A4"&amp;"017)"),"2983@hotmail.com")</f>
        <v>2983@hotmail.com</v>
      </c>
      <c r="C4017" s="5">
        <f>IF(B4017="null","null",Descargas!B4017)</f>
        <v>43832</v>
      </c>
      <c r="D4017" s="6" t="str">
        <f>Descargas!E4017</f>
        <v>https://resources.simonelectric.com/simon-ebook-vehiculo-electrico</v>
      </c>
      <c r="E4017" s="20" t="str">
        <f t="shared" si="1"/>
        <v>2983@hotmail.com</v>
      </c>
      <c r="F4017" s="21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</row>
    <row r="4018" ht="15.75" customHeight="1">
      <c r="A4018" s="18" t="str">
        <f>Descargas!A4018</f>
        <v>870@gmail.com</v>
      </c>
      <c r="B4018" s="19" t="str">
        <f>IFERROR(__xludf.DUMMYFUNCTION("IF(OR(regexmatch(A4018,"".*@simon.es$""),REGEXMATCH(A4018,"".*@simon.pt$""),REGEXMATCH(A4018,"".*@simonelectrica.com$""),REGEXMATCH(A4018,"".*@hiberus.com$""),REGEXMATCH(A4018,"".*@simonbrico.es$""),regexmatch(A4018,"".*@simonelectric.com$"")),""null"",A4"&amp;"018)"),"870@gmail.com")</f>
        <v>870@gmail.com</v>
      </c>
      <c r="C4018" s="5">
        <f>IF(B4018="null","null",Descargas!B4018)</f>
        <v>43832</v>
      </c>
      <c r="D4018" s="6" t="str">
        <f>Descargas!E4018</f>
        <v>https://resources.simonelectric.com/simon-ebook-vehiculo-electrico</v>
      </c>
      <c r="E4018" s="20" t="str">
        <f t="shared" si="1"/>
        <v>870@gmail.com</v>
      </c>
      <c r="F4018" s="21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</row>
    <row r="4019" ht="15.75" customHeight="1">
      <c r="A4019" s="18" t="str">
        <f>Descargas!A4019</f>
        <v>2984@hotmail.com</v>
      </c>
      <c r="B4019" s="19" t="str">
        <f>IFERROR(__xludf.DUMMYFUNCTION("IF(OR(regexmatch(A4019,"".*@simon.es$""),REGEXMATCH(A4019,"".*@simon.pt$""),REGEXMATCH(A4019,"".*@simonelectrica.com$""),REGEXMATCH(A4019,"".*@hiberus.com$""),REGEXMATCH(A4019,"".*@simonbrico.es$""),regexmatch(A4019,"".*@simonelectric.com$"")),""null"",A4"&amp;"019)"),"2984@hotmail.com")</f>
        <v>2984@hotmail.com</v>
      </c>
      <c r="C4019" s="5">
        <f>IF(B4019="null","null",Descargas!B4019)</f>
        <v>43832</v>
      </c>
      <c r="D4019" s="6" t="str">
        <f>Descargas!E4019</f>
        <v>https://resources.simonelectric.com/simon-ebook-vehiculo-electrico</v>
      </c>
      <c r="E4019" s="20" t="str">
        <f t="shared" si="1"/>
        <v>2984@hotmail.com</v>
      </c>
      <c r="F4019" s="21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</row>
    <row r="4020" ht="15.75" customHeight="1">
      <c r="A4020" s="18" t="str">
        <f>Descargas!A4020</f>
        <v>1309@gmail.com</v>
      </c>
      <c r="B4020" s="19" t="str">
        <f>IFERROR(__xludf.DUMMYFUNCTION("IF(OR(regexmatch(A4020,"".*@simon.es$""),REGEXMATCH(A4020,"".*@simon.pt$""),REGEXMATCH(A4020,"".*@simonelectrica.com$""),REGEXMATCH(A4020,"".*@hiberus.com$""),REGEXMATCH(A4020,"".*@simonbrico.es$""),regexmatch(A4020,"".*@simonelectric.com$"")),""null"",A4"&amp;"020)"),"1309@gmail.com")</f>
        <v>1309@gmail.com</v>
      </c>
      <c r="C4020" s="5">
        <f>IF(B4020="null","null",Descargas!B4020)</f>
        <v>43832</v>
      </c>
      <c r="D4020" s="6" t="str">
        <f>Descargas!E4020</f>
        <v>https://resources.simonelectric.com/simon-ebook-vehiculo-electrico</v>
      </c>
      <c r="E4020" s="20" t="str">
        <f t="shared" si="1"/>
        <v>1309@gmail.com</v>
      </c>
      <c r="F4020" s="21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</row>
    <row r="4021" ht="15.75" customHeight="1">
      <c r="A4021" s="18" t="str">
        <f>Descargas!A4021</f>
        <v>2985@gmail.com</v>
      </c>
      <c r="B4021" s="19" t="str">
        <f>IFERROR(__xludf.DUMMYFUNCTION("IF(OR(regexmatch(A4021,"".*@simon.es$""),REGEXMATCH(A4021,"".*@simon.pt$""),REGEXMATCH(A4021,"".*@simonelectrica.com$""),REGEXMATCH(A4021,"".*@hiberus.com$""),REGEXMATCH(A4021,"".*@simonbrico.es$""),regexmatch(A4021,"".*@simonelectric.com$"")),""null"",A4"&amp;"021)"),"2985@gmail.com")</f>
        <v>2985@gmail.com</v>
      </c>
      <c r="C4021" s="5">
        <f>IF(B4021="null","null",Descargas!B4021)</f>
        <v>43832</v>
      </c>
      <c r="D4021" s="6" t="str">
        <f>Descargas!E4021</f>
        <v>https://resources.simonelectric.com/simon-ebook-vehiculo-electrico</v>
      </c>
      <c r="E4021" s="20" t="str">
        <f t="shared" si="1"/>
        <v>2985@gmail.com</v>
      </c>
      <c r="F4021" s="21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</row>
    <row r="4022" ht="15.75" customHeight="1">
      <c r="A4022" s="18" t="str">
        <f>Descargas!A4022</f>
        <v>1754@gabyl.com</v>
      </c>
      <c r="B4022" s="19" t="str">
        <f>IFERROR(__xludf.DUMMYFUNCTION("IF(OR(regexmatch(A4022,"".*@simon.es$""),REGEXMATCH(A4022,"".*@simon.pt$""),REGEXMATCH(A4022,"".*@simonelectrica.com$""),REGEXMATCH(A4022,"".*@hiberus.com$""),REGEXMATCH(A4022,"".*@simonbrico.es$""),regexmatch(A4022,"".*@simonelectric.com$"")),""null"",A4"&amp;"022)"),"1754@gabyl.com")</f>
        <v>1754@gabyl.com</v>
      </c>
      <c r="C4022" s="5">
        <f>IF(B4022="null","null",Descargas!B4022)</f>
        <v>43832</v>
      </c>
      <c r="D4022" s="6" t="str">
        <f>Descargas!E4022</f>
        <v>https://resources.simonelectric.com/simon-ebook-vehiculo-electrico</v>
      </c>
      <c r="E4022" s="20" t="str">
        <f t="shared" si="1"/>
        <v>1754@gabyl.com</v>
      </c>
      <c r="F4022" s="21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</row>
    <row r="4023" ht="15.75" customHeight="1">
      <c r="A4023" s="18" t="str">
        <f>Descargas!A4023</f>
        <v>726@gmail.com</v>
      </c>
      <c r="B4023" s="19" t="str">
        <f>IFERROR(__xludf.DUMMYFUNCTION("IF(OR(regexmatch(A4023,"".*@simon.es$""),REGEXMATCH(A4023,"".*@simon.pt$""),REGEXMATCH(A4023,"".*@simonelectrica.com$""),REGEXMATCH(A4023,"".*@hiberus.com$""),REGEXMATCH(A4023,"".*@simonbrico.es$""),regexmatch(A4023,"".*@simonelectric.com$"")),""null"",A4"&amp;"023)"),"726@gmail.com")</f>
        <v>726@gmail.com</v>
      </c>
      <c r="C4023" s="5">
        <f>IF(B4023="null","null",Descargas!B4023)</f>
        <v>43832</v>
      </c>
      <c r="D4023" s="6" t="str">
        <f>Descargas!E4023</f>
        <v>https://resources.simonelectric.com/simon-ebook-vehiculo-electrico</v>
      </c>
      <c r="E4023" s="20" t="str">
        <f t="shared" si="1"/>
        <v>726@gmail.com</v>
      </c>
      <c r="F4023" s="21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</row>
    <row r="4024" ht="15.75" customHeight="1">
      <c r="A4024" s="18" t="str">
        <f>Descargas!A4024</f>
        <v>2925@gmail.com</v>
      </c>
      <c r="B4024" s="19" t="str">
        <f>IFERROR(__xludf.DUMMYFUNCTION("IF(OR(regexmatch(A4024,"".*@simon.es$""),REGEXMATCH(A4024,"".*@simon.pt$""),REGEXMATCH(A4024,"".*@simonelectrica.com$""),REGEXMATCH(A4024,"".*@hiberus.com$""),REGEXMATCH(A4024,"".*@simonbrico.es$""),regexmatch(A4024,"".*@simonelectric.com$"")),""null"",A4"&amp;"024)"),"2925@gmail.com")</f>
        <v>2925@gmail.com</v>
      </c>
      <c r="C4024" s="5">
        <f>IF(B4024="null","null",Descargas!B4024)</f>
        <v>43832</v>
      </c>
      <c r="D4024" s="6" t="str">
        <f>Descargas!E4024</f>
        <v>https://resources.simonelectric.com/simon-ebook-vehiculo-electrico</v>
      </c>
      <c r="E4024" s="20" t="str">
        <f t="shared" si="1"/>
        <v>2925@gmail.com</v>
      </c>
      <c r="F4024" s="21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</row>
    <row r="4025" ht="15.75" customHeight="1">
      <c r="A4025" s="18" t="str">
        <f>Descargas!A4025</f>
        <v>1283@gmail.com</v>
      </c>
      <c r="B4025" s="19" t="str">
        <f>IFERROR(__xludf.DUMMYFUNCTION("IF(OR(regexmatch(A4025,"".*@simon.es$""),REGEXMATCH(A4025,"".*@simon.pt$""),REGEXMATCH(A4025,"".*@simonelectrica.com$""),REGEXMATCH(A4025,"".*@hiberus.com$""),REGEXMATCH(A4025,"".*@simonbrico.es$""),regexmatch(A4025,"".*@simonelectric.com$"")),""null"",A4"&amp;"025)"),"1283@gmail.com")</f>
        <v>1283@gmail.com</v>
      </c>
      <c r="C4025" s="5">
        <f>IF(B4025="null","null",Descargas!B4025)</f>
        <v>43832</v>
      </c>
      <c r="D4025" s="6" t="str">
        <f>Descargas!E4025</f>
        <v>https://resources.simonelectric.com/simon-ebook-vehiculo-electrico</v>
      </c>
      <c r="E4025" s="20" t="str">
        <f t="shared" si="1"/>
        <v>1283@gmail.com</v>
      </c>
      <c r="F4025" s="21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</row>
    <row r="4026" ht="15.75" customHeight="1">
      <c r="A4026" s="18" t="str">
        <f>Descargas!A4026</f>
        <v>2957@doladoingenieria.es</v>
      </c>
      <c r="B4026" s="19" t="str">
        <f>IFERROR(__xludf.DUMMYFUNCTION("IF(OR(regexmatch(A4026,"".*@simon.es$""),REGEXMATCH(A4026,"".*@simon.pt$""),REGEXMATCH(A4026,"".*@simonelectrica.com$""),REGEXMATCH(A4026,"".*@hiberus.com$""),REGEXMATCH(A4026,"".*@simonbrico.es$""),regexmatch(A4026,"".*@simonelectric.com$"")),""null"",A4"&amp;"026)"),"2957@doladoingenieria.es")</f>
        <v>2957@doladoingenieria.es</v>
      </c>
      <c r="C4026" s="5">
        <f>IF(B4026="null","null",Descargas!B4026)</f>
        <v>43832</v>
      </c>
      <c r="D4026" s="6" t="str">
        <f>Descargas!E4026</f>
        <v>https://resources.simonelectric.com/simon-ebook-vehiculo-electrico</v>
      </c>
      <c r="E4026" s="20" t="str">
        <f t="shared" si="1"/>
        <v>2957@doladoingenieria.es</v>
      </c>
      <c r="F4026" s="21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</row>
    <row r="4027" ht="15.75" customHeight="1">
      <c r="A4027" s="18" t="str">
        <f>Descargas!A4027</f>
        <v>593@sorigue.com</v>
      </c>
      <c r="B4027" s="19" t="str">
        <f>IFERROR(__xludf.DUMMYFUNCTION("IF(OR(regexmatch(A4027,"".*@simon.es$""),REGEXMATCH(A4027,"".*@simon.pt$""),REGEXMATCH(A4027,"".*@simonelectrica.com$""),REGEXMATCH(A4027,"".*@hiberus.com$""),REGEXMATCH(A4027,"".*@simonbrico.es$""),regexmatch(A4027,"".*@simonelectric.com$"")),""null"",A4"&amp;"027)"),"593@sorigue.com")</f>
        <v>593@sorigue.com</v>
      </c>
      <c r="C4027" s="5">
        <f>IF(B4027="null","null",Descargas!B4027)</f>
        <v>43832</v>
      </c>
      <c r="D4027" s="6" t="str">
        <f>Descargas!E4027</f>
        <v>https://resources.simonelectric.com/simon-ebook-vehiculo-electrico</v>
      </c>
      <c r="E4027" s="20" t="str">
        <f t="shared" si="1"/>
        <v>593@sorigue.com</v>
      </c>
      <c r="F4027" s="21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</row>
    <row r="4028" ht="15.75" customHeight="1">
      <c r="A4028" s="18" t="str">
        <f>Descargas!A4028</f>
        <v>1423@telefonica.net</v>
      </c>
      <c r="B4028" s="19" t="str">
        <f>IFERROR(__xludf.DUMMYFUNCTION("IF(OR(regexmatch(A4028,"".*@simon.es$""),REGEXMATCH(A4028,"".*@simon.pt$""),REGEXMATCH(A4028,"".*@simonelectrica.com$""),REGEXMATCH(A4028,"".*@hiberus.com$""),REGEXMATCH(A4028,"".*@simonbrico.es$""),regexmatch(A4028,"".*@simonelectric.com$"")),""null"",A4"&amp;"028)"),"1423@telefonica.net")</f>
        <v>1423@telefonica.net</v>
      </c>
      <c r="C4028" s="5">
        <f>IF(B4028="null","null",Descargas!B4028)</f>
        <v>43832</v>
      </c>
      <c r="D4028" s="6" t="str">
        <f>Descargas!E4028</f>
        <v>https://resources.simonelectric.com/simon-ebook-vehiculo-electrico</v>
      </c>
      <c r="E4028" s="20" t="str">
        <f t="shared" si="1"/>
        <v>1423@telefonica.net</v>
      </c>
      <c r="F4028" s="21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</row>
    <row r="4029" ht="15.75" customHeight="1">
      <c r="A4029" s="18" t="str">
        <f>Descargas!A4029</f>
        <v>2986@signum.cat</v>
      </c>
      <c r="B4029" s="19" t="str">
        <f>IFERROR(__xludf.DUMMYFUNCTION("IF(OR(regexmatch(A4029,"".*@simon.es$""),REGEXMATCH(A4029,"".*@simon.pt$""),REGEXMATCH(A4029,"".*@simonelectrica.com$""),REGEXMATCH(A4029,"".*@hiberus.com$""),REGEXMATCH(A4029,"".*@simonbrico.es$""),regexmatch(A4029,"".*@simonelectric.com$"")),""null"",A4"&amp;"029)"),"2986@signum.cat")</f>
        <v>2986@signum.cat</v>
      </c>
      <c r="C4029" s="5">
        <f>IF(B4029="null","null",Descargas!B4029)</f>
        <v>43832</v>
      </c>
      <c r="D4029" s="6" t="str">
        <f>Descargas!E4029</f>
        <v>https://resources.simonelectric.com/simon-ebook-vehiculo-electrico</v>
      </c>
      <c r="E4029" s="20" t="str">
        <f t="shared" si="1"/>
        <v>2986@signum.cat</v>
      </c>
      <c r="F4029" s="21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</row>
    <row r="4030" ht="15.75" customHeight="1">
      <c r="A4030" s="18" t="str">
        <f>Descargas!A4030</f>
        <v>1331@gmail.com</v>
      </c>
      <c r="B4030" s="19" t="str">
        <f>IFERROR(__xludf.DUMMYFUNCTION("IF(OR(regexmatch(A4030,"".*@simon.es$""),REGEXMATCH(A4030,"".*@simon.pt$""),REGEXMATCH(A4030,"".*@simonelectrica.com$""),REGEXMATCH(A4030,"".*@hiberus.com$""),REGEXMATCH(A4030,"".*@simonbrico.es$""),regexmatch(A4030,"".*@simonelectric.com$"")),""null"",A4"&amp;"030)"),"1331@gmail.com")</f>
        <v>1331@gmail.com</v>
      </c>
      <c r="C4030" s="5">
        <f>IF(B4030="null","null",Descargas!B4030)</f>
        <v>43832</v>
      </c>
      <c r="D4030" s="6" t="str">
        <f>Descargas!E4030</f>
        <v>https://resources.simonelectric.com/simon-ebook-vehiculo-electrico</v>
      </c>
      <c r="E4030" s="20" t="str">
        <f t="shared" si="1"/>
        <v>1331@gmail.com</v>
      </c>
      <c r="F4030" s="21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</row>
    <row r="4031" ht="15.75" customHeight="1">
      <c r="A4031" s="18" t="str">
        <f>Descargas!A4031</f>
        <v>1790@electricarius.com</v>
      </c>
      <c r="B4031" s="19" t="str">
        <f>IFERROR(__xludf.DUMMYFUNCTION("IF(OR(regexmatch(A4031,"".*@simon.es$""),REGEXMATCH(A4031,"".*@simon.pt$""),REGEXMATCH(A4031,"".*@simonelectrica.com$""),REGEXMATCH(A4031,"".*@hiberus.com$""),REGEXMATCH(A4031,"".*@simonbrico.es$""),regexmatch(A4031,"".*@simonelectric.com$"")),""null"",A4"&amp;"031)"),"1790@electricarius.com")</f>
        <v>1790@electricarius.com</v>
      </c>
      <c r="C4031" s="5">
        <f>IF(B4031="null","null",Descargas!B4031)</f>
        <v>43832</v>
      </c>
      <c r="D4031" s="6" t="str">
        <f>Descargas!E4031</f>
        <v>https://resources.simonelectric.com/simon-ebook-vehiculo-electrico</v>
      </c>
      <c r="E4031" s="20" t="str">
        <f t="shared" si="1"/>
        <v>1790@electricarius.com</v>
      </c>
      <c r="F4031" s="21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</row>
    <row r="4032" ht="15.75" customHeight="1">
      <c r="A4032" s="18" t="str">
        <f>Descargas!A4032</f>
        <v>425@telefonica.net</v>
      </c>
      <c r="B4032" s="19" t="str">
        <f>IFERROR(__xludf.DUMMYFUNCTION("IF(OR(regexmatch(A4032,"".*@simon.es$""),REGEXMATCH(A4032,"".*@simon.pt$""),REGEXMATCH(A4032,"".*@simonelectrica.com$""),REGEXMATCH(A4032,"".*@hiberus.com$""),REGEXMATCH(A4032,"".*@simonbrico.es$""),regexmatch(A4032,"".*@simonelectric.com$"")),""null"",A4"&amp;"032)"),"425@telefonica.net")</f>
        <v>425@telefonica.net</v>
      </c>
      <c r="C4032" s="5">
        <f>IF(B4032="null","null",Descargas!B4032)</f>
        <v>43832</v>
      </c>
      <c r="D4032" s="6" t="str">
        <f>Descargas!E4032</f>
        <v>https://resources.simonelectric.com/simon-ebook-vehiculo-electrico</v>
      </c>
      <c r="E4032" s="20" t="str">
        <f t="shared" si="1"/>
        <v>425@telefonica.net</v>
      </c>
      <c r="F4032" s="21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</row>
    <row r="4033" ht="15.75" customHeight="1">
      <c r="A4033" s="18" t="str">
        <f>Descargas!A4033</f>
        <v>2674@coar.es</v>
      </c>
      <c r="B4033" s="19" t="str">
        <f>IFERROR(__xludf.DUMMYFUNCTION("IF(OR(regexmatch(A4033,"".*@simon.es$""),REGEXMATCH(A4033,"".*@simon.pt$""),REGEXMATCH(A4033,"".*@simonelectrica.com$""),REGEXMATCH(A4033,"".*@hiberus.com$""),REGEXMATCH(A4033,"".*@simonbrico.es$""),regexmatch(A4033,"".*@simonelectric.com$"")),""null"",A4"&amp;"033)"),"2674@coar.es")</f>
        <v>2674@coar.es</v>
      </c>
      <c r="C4033" s="5">
        <f>IF(B4033="null","null",Descargas!B4033)</f>
        <v>43832</v>
      </c>
      <c r="D4033" s="6" t="str">
        <f>Descargas!E4033</f>
        <v>https://resources.simonelectric.com/simon-ebook-vehiculo-electrico</v>
      </c>
      <c r="E4033" s="20" t="str">
        <f t="shared" si="1"/>
        <v>2674@coar.es</v>
      </c>
      <c r="F4033" s="21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</row>
    <row r="4034" ht="15.75" customHeight="1">
      <c r="A4034" s="18" t="str">
        <f>Descargas!A4034</f>
        <v>2987@comercialsis.com</v>
      </c>
      <c r="B4034" s="19" t="str">
        <f>IFERROR(__xludf.DUMMYFUNCTION("IF(OR(regexmatch(A4034,"".*@simon.es$""),REGEXMATCH(A4034,"".*@simon.pt$""),REGEXMATCH(A4034,"".*@simonelectrica.com$""),REGEXMATCH(A4034,"".*@hiberus.com$""),REGEXMATCH(A4034,"".*@simonbrico.es$""),regexmatch(A4034,"".*@simonelectric.com$"")),""null"",A4"&amp;"034)"),"2987@comercialsis.com")</f>
        <v>2987@comercialsis.com</v>
      </c>
      <c r="C4034" s="5">
        <f>IF(B4034="null","null",Descargas!B4034)</f>
        <v>43832</v>
      </c>
      <c r="D4034" s="6" t="str">
        <f>Descargas!E4034</f>
        <v>https://resources.simonelectric.com/simon-ebook-vehiculo-electrico</v>
      </c>
      <c r="E4034" s="20" t="str">
        <f t="shared" si="1"/>
        <v>2987@comercialsis.com</v>
      </c>
      <c r="F4034" s="21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</row>
    <row r="4035" ht="15.75" customHeight="1">
      <c r="A4035" s="18" t="str">
        <f>Descargas!A4035</f>
        <v>2988@lopezona.com</v>
      </c>
      <c r="B4035" s="19" t="str">
        <f>IFERROR(__xludf.DUMMYFUNCTION("IF(OR(regexmatch(A4035,"".*@simon.es$""),REGEXMATCH(A4035,"".*@simon.pt$""),REGEXMATCH(A4035,"".*@simonelectrica.com$""),REGEXMATCH(A4035,"".*@hiberus.com$""),REGEXMATCH(A4035,"".*@simonbrico.es$""),regexmatch(A4035,"".*@simonelectric.com$"")),""null"",A4"&amp;"035)"),"2988@lopezona.com")</f>
        <v>2988@lopezona.com</v>
      </c>
      <c r="C4035" s="5">
        <f>IF(B4035="null","null",Descargas!B4035)</f>
        <v>43832</v>
      </c>
      <c r="D4035" s="6" t="str">
        <f>Descargas!E4035</f>
        <v>https://resources.simonelectric.com/simon-ebook-vehiculo-electrico</v>
      </c>
      <c r="E4035" s="20" t="str">
        <f t="shared" si="1"/>
        <v>2988@lopezona.com</v>
      </c>
      <c r="F4035" s="21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</row>
    <row r="4036" ht="15.75" customHeight="1">
      <c r="A4036" s="18" t="str">
        <f>Descargas!A4036</f>
        <v>2989@9chip.com</v>
      </c>
      <c r="B4036" s="19" t="str">
        <f>IFERROR(__xludf.DUMMYFUNCTION("IF(OR(regexmatch(A4036,"".*@simon.es$""),REGEXMATCH(A4036,"".*@simon.pt$""),REGEXMATCH(A4036,"".*@simonelectrica.com$""),REGEXMATCH(A4036,"".*@hiberus.com$""),REGEXMATCH(A4036,"".*@simonbrico.es$""),regexmatch(A4036,"".*@simonelectric.com$"")),""null"",A4"&amp;"036)"),"2989@9chip.com")</f>
        <v>2989@9chip.com</v>
      </c>
      <c r="C4036" s="5">
        <f>IF(B4036="null","null",Descargas!B4036)</f>
        <v>43832</v>
      </c>
      <c r="D4036" s="6" t="str">
        <f>Descargas!E4036</f>
        <v>https://resources.simonelectric.com/simon-ebook-vehiculo-electrico</v>
      </c>
      <c r="E4036" s="20" t="str">
        <f t="shared" si="1"/>
        <v>2989@9chip.com</v>
      </c>
      <c r="F4036" s="21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</row>
    <row r="4037" ht="15.75" customHeight="1">
      <c r="A4037" s="18" t="str">
        <f>Descargas!A4037</f>
        <v>2990@gilten.es</v>
      </c>
      <c r="B4037" s="19" t="str">
        <f>IFERROR(__xludf.DUMMYFUNCTION("IF(OR(regexmatch(A4037,"".*@simon.es$""),REGEXMATCH(A4037,"".*@simon.pt$""),REGEXMATCH(A4037,"".*@simonelectrica.com$""),REGEXMATCH(A4037,"".*@hiberus.com$""),REGEXMATCH(A4037,"".*@simonbrico.es$""),regexmatch(A4037,"".*@simonelectric.com$"")),""null"",A4"&amp;"037)"),"2990@gilten.es")</f>
        <v>2990@gilten.es</v>
      </c>
      <c r="C4037" s="5">
        <f>IF(B4037="null","null",Descargas!B4037)</f>
        <v>43832</v>
      </c>
      <c r="D4037" s="6" t="str">
        <f>Descargas!E4037</f>
        <v>https://resources.simonelectric.com/simon-ebook-vehiculo-electrico</v>
      </c>
      <c r="E4037" s="20" t="str">
        <f t="shared" si="1"/>
        <v>2990@gilten.es</v>
      </c>
      <c r="F4037" s="21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</row>
    <row r="4038" ht="15.75" customHeight="1">
      <c r="A4038" s="18" t="str">
        <f>Descargas!A4038</f>
        <v>2991@yahoo.es</v>
      </c>
      <c r="B4038" s="19" t="str">
        <f>IFERROR(__xludf.DUMMYFUNCTION("IF(OR(regexmatch(A4038,"".*@simon.es$""),REGEXMATCH(A4038,"".*@simon.pt$""),REGEXMATCH(A4038,"".*@simonelectrica.com$""),REGEXMATCH(A4038,"".*@hiberus.com$""),REGEXMATCH(A4038,"".*@simonbrico.es$""),regexmatch(A4038,"".*@simonelectric.com$"")),""null"",A4"&amp;"038)"),"2991@yahoo.es")</f>
        <v>2991@yahoo.es</v>
      </c>
      <c r="C4038" s="5">
        <f>IF(B4038="null","null",Descargas!B4038)</f>
        <v>43832</v>
      </c>
      <c r="D4038" s="6" t="str">
        <f>Descargas!E4038</f>
        <v>https://resources.simonelectric.com/simon-ebook-vehiculo-electrico</v>
      </c>
      <c r="E4038" s="20" t="str">
        <f t="shared" si="1"/>
        <v>2991@yahoo.es</v>
      </c>
      <c r="F4038" s="21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</row>
    <row r="4039" ht="15.75" customHeight="1">
      <c r="A4039" s="18" t="str">
        <f>Descargas!A4039</f>
        <v>1537@prysmiangroup.com</v>
      </c>
      <c r="B4039" s="19" t="str">
        <f>IFERROR(__xludf.DUMMYFUNCTION("IF(OR(regexmatch(A4039,"".*@simon.es$""),REGEXMATCH(A4039,"".*@simon.pt$""),REGEXMATCH(A4039,"".*@simonelectrica.com$""),REGEXMATCH(A4039,"".*@hiberus.com$""),REGEXMATCH(A4039,"".*@simonbrico.es$""),regexmatch(A4039,"".*@simonelectric.com$"")),""null"",A4"&amp;"039)"),"1537@prysmiangroup.com")</f>
        <v>1537@prysmiangroup.com</v>
      </c>
      <c r="C4039" s="5">
        <f>IF(B4039="null","null",Descargas!B4039)</f>
        <v>43832</v>
      </c>
      <c r="D4039" s="6" t="str">
        <f>Descargas!E4039</f>
        <v>https://resources.simonelectric.com/simon-ebook-vehiculo-electrico</v>
      </c>
      <c r="E4039" s="20" t="str">
        <f t="shared" si="1"/>
        <v>1537@prysmiangroup.com</v>
      </c>
      <c r="F4039" s="21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</row>
    <row r="4040" ht="15.75" customHeight="1">
      <c r="A4040" s="18" t="str">
        <f>Descargas!A4040</f>
        <v>2992@socidesel.es</v>
      </c>
      <c r="B4040" s="19" t="str">
        <f>IFERROR(__xludf.DUMMYFUNCTION("IF(OR(regexmatch(A4040,"".*@simon.es$""),REGEXMATCH(A4040,"".*@simon.pt$""),REGEXMATCH(A4040,"".*@simonelectrica.com$""),REGEXMATCH(A4040,"".*@hiberus.com$""),REGEXMATCH(A4040,"".*@simonbrico.es$""),regexmatch(A4040,"".*@simonelectric.com$"")),""null"",A4"&amp;"040)"),"2992@socidesel.es")</f>
        <v>2992@socidesel.es</v>
      </c>
      <c r="C4040" s="5">
        <f>IF(B4040="null","null",Descargas!B4040)</f>
        <v>43832</v>
      </c>
      <c r="D4040" s="6" t="str">
        <f>Descargas!E4040</f>
        <v>https://resources.simonelectric.com/simon-ebook-vehiculo-electrico</v>
      </c>
      <c r="E4040" s="20" t="str">
        <f t="shared" si="1"/>
        <v>2992@socidesel.es</v>
      </c>
      <c r="F4040" s="21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</row>
    <row r="4041" ht="15.75" customHeight="1">
      <c r="A4041" s="18" t="str">
        <f>Descargas!A4041</f>
        <v>1237@gmail.com</v>
      </c>
      <c r="B4041" s="19" t="str">
        <f>IFERROR(__xludf.DUMMYFUNCTION("IF(OR(regexmatch(A4041,"".*@simon.es$""),REGEXMATCH(A4041,"".*@simon.pt$""),REGEXMATCH(A4041,"".*@simonelectrica.com$""),REGEXMATCH(A4041,"".*@hiberus.com$""),REGEXMATCH(A4041,"".*@simonbrico.es$""),regexmatch(A4041,"".*@simonelectric.com$"")),""null"",A4"&amp;"041)"),"1237@gmail.com")</f>
        <v>1237@gmail.com</v>
      </c>
      <c r="C4041" s="5">
        <f>IF(B4041="null","null",Descargas!B4041)</f>
        <v>43832</v>
      </c>
      <c r="D4041" s="6" t="str">
        <f>Descargas!E4041</f>
        <v>https://resources.simonelectric.com/simon-ebook-vehiculo-electrico</v>
      </c>
      <c r="E4041" s="20" t="str">
        <f t="shared" si="1"/>
        <v>1237@gmail.com</v>
      </c>
      <c r="F4041" s="21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</row>
    <row r="4042" ht="15.75" customHeight="1">
      <c r="A4042" s="18" t="str">
        <f>Descargas!A4042</f>
        <v>186@msn.com</v>
      </c>
      <c r="B4042" s="19" t="str">
        <f>IFERROR(__xludf.DUMMYFUNCTION("IF(OR(regexmatch(A4042,"".*@simon.es$""),REGEXMATCH(A4042,"".*@simon.pt$""),REGEXMATCH(A4042,"".*@simonelectrica.com$""),REGEXMATCH(A4042,"".*@hiberus.com$""),REGEXMATCH(A4042,"".*@simonbrico.es$""),regexmatch(A4042,"".*@simonelectric.com$"")),""null"",A4"&amp;"042)"),"186@msn.com")</f>
        <v>186@msn.com</v>
      </c>
      <c r="C4042" s="5">
        <f>IF(B4042="null","null",Descargas!B4042)</f>
        <v>43832</v>
      </c>
      <c r="D4042" s="6" t="str">
        <f>Descargas!E4042</f>
        <v>https://resources.simonelectric.com/simon-ebook-vehiculo-electrico</v>
      </c>
      <c r="E4042" s="20" t="str">
        <f t="shared" si="1"/>
        <v>186@msn.com</v>
      </c>
      <c r="F4042" s="21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</row>
    <row r="4043" ht="15.75" customHeight="1">
      <c r="A4043" s="18" t="str">
        <f>Descargas!A4043</f>
        <v>2993@gmail.com</v>
      </c>
      <c r="B4043" s="19" t="str">
        <f>IFERROR(__xludf.DUMMYFUNCTION("IF(OR(regexmatch(A4043,"".*@simon.es$""),REGEXMATCH(A4043,"".*@simon.pt$""),REGEXMATCH(A4043,"".*@simonelectrica.com$""),REGEXMATCH(A4043,"".*@hiberus.com$""),REGEXMATCH(A4043,"".*@simonbrico.es$""),regexmatch(A4043,"".*@simonelectric.com$"")),""null"",A4"&amp;"043)"),"2993@gmail.com")</f>
        <v>2993@gmail.com</v>
      </c>
      <c r="C4043" s="5">
        <f>IF(B4043="null","null",Descargas!B4043)</f>
        <v>43832</v>
      </c>
      <c r="D4043" s="6" t="str">
        <f>Descargas!E4043</f>
        <v>https://resources.simonelectric.com/simon-ebook-vehiculo-electrico</v>
      </c>
      <c r="E4043" s="20" t="str">
        <f t="shared" si="1"/>
        <v>2993@gmail.com</v>
      </c>
      <c r="F4043" s="21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</row>
    <row r="4044" ht="15.75" customHeight="1">
      <c r="A4044" s="18" t="str">
        <f>Descargas!A4044</f>
        <v>1465@guielec.es</v>
      </c>
      <c r="B4044" s="19" t="str">
        <f>IFERROR(__xludf.DUMMYFUNCTION("IF(OR(regexmatch(A4044,"".*@simon.es$""),REGEXMATCH(A4044,"".*@simon.pt$""),REGEXMATCH(A4044,"".*@simonelectrica.com$""),REGEXMATCH(A4044,"".*@hiberus.com$""),REGEXMATCH(A4044,"".*@simonbrico.es$""),regexmatch(A4044,"".*@simonelectric.com$"")),""null"",A4"&amp;"044)"),"1465@guielec.es")</f>
        <v>1465@guielec.es</v>
      </c>
      <c r="C4044" s="5">
        <f>IF(B4044="null","null",Descargas!B4044)</f>
        <v>43832</v>
      </c>
      <c r="D4044" s="6" t="str">
        <f>Descargas!E4044</f>
        <v>https://resources.simonelectric.com/simon-ebook-vehiculo-electrico</v>
      </c>
      <c r="E4044" s="20" t="str">
        <f t="shared" si="1"/>
        <v>1465@guielec.es</v>
      </c>
      <c r="F4044" s="21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</row>
    <row r="4045" ht="15.75" customHeight="1">
      <c r="A4045" s="18" t="str">
        <f>Descargas!A4045</f>
        <v>2994@hotmail.com</v>
      </c>
      <c r="B4045" s="19" t="str">
        <f>IFERROR(__xludf.DUMMYFUNCTION("IF(OR(regexmatch(A4045,"".*@simon.es$""),REGEXMATCH(A4045,"".*@simon.pt$""),REGEXMATCH(A4045,"".*@simonelectrica.com$""),REGEXMATCH(A4045,"".*@hiberus.com$""),REGEXMATCH(A4045,"".*@simonbrico.es$""),regexmatch(A4045,"".*@simonelectric.com$"")),""null"",A4"&amp;"045)"),"2994@hotmail.com")</f>
        <v>2994@hotmail.com</v>
      </c>
      <c r="C4045" s="5">
        <f>IF(B4045="null","null",Descargas!B4045)</f>
        <v>43832</v>
      </c>
      <c r="D4045" s="6" t="str">
        <f>Descargas!E4045</f>
        <v>https://resources.simonelectric.com/simon-ebook-vehiculo-electrico</v>
      </c>
      <c r="E4045" s="20" t="str">
        <f t="shared" si="1"/>
        <v>2994@hotmail.com</v>
      </c>
      <c r="F4045" s="21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</row>
    <row r="4046" ht="15.75" customHeight="1">
      <c r="A4046" s="18" t="str">
        <f>Descargas!A4046</f>
        <v>63@semael.com</v>
      </c>
      <c r="B4046" s="19" t="str">
        <f>IFERROR(__xludf.DUMMYFUNCTION("IF(OR(regexmatch(A4046,"".*@simon.es$""),REGEXMATCH(A4046,"".*@simon.pt$""),REGEXMATCH(A4046,"".*@simonelectrica.com$""),REGEXMATCH(A4046,"".*@hiberus.com$""),REGEXMATCH(A4046,"".*@simonbrico.es$""),regexmatch(A4046,"".*@simonelectric.com$"")),""null"",A4"&amp;"046)"),"63@semael.com")</f>
        <v>63@semael.com</v>
      </c>
      <c r="C4046" s="5">
        <f>IF(B4046="null","null",Descargas!B4046)</f>
        <v>43832</v>
      </c>
      <c r="D4046" s="6" t="str">
        <f>Descargas!E4046</f>
        <v>https://resources.simonelectric.com/simon-ebook-vehiculo-electrico</v>
      </c>
      <c r="E4046" s="20" t="str">
        <f t="shared" si="1"/>
        <v>63@semael.com</v>
      </c>
      <c r="F4046" s="21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</row>
    <row r="4047" ht="15.75" customHeight="1">
      <c r="A4047" s="18" t="str">
        <f>Descargas!A4047</f>
        <v>2995@suris.es</v>
      </c>
      <c r="B4047" s="19" t="str">
        <f>IFERROR(__xludf.DUMMYFUNCTION("IF(OR(regexmatch(A4047,"".*@simon.es$""),REGEXMATCH(A4047,"".*@simon.pt$""),REGEXMATCH(A4047,"".*@simonelectrica.com$""),REGEXMATCH(A4047,"".*@hiberus.com$""),REGEXMATCH(A4047,"".*@simonbrico.es$""),regexmatch(A4047,"".*@simonelectric.com$"")),""null"",A4"&amp;"047)"),"2995@suris.es")</f>
        <v>2995@suris.es</v>
      </c>
      <c r="C4047" s="5">
        <f>IF(B4047="null","null",Descargas!B4047)</f>
        <v>43832</v>
      </c>
      <c r="D4047" s="6" t="str">
        <f>Descargas!E4047</f>
        <v>https://resources.simonelectric.com/simon-ebook-vehiculo-electrico</v>
      </c>
      <c r="E4047" s="20" t="str">
        <f t="shared" si="1"/>
        <v>2995@suris.es</v>
      </c>
      <c r="F4047" s="21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</row>
    <row r="4048" ht="15.75" customHeight="1">
      <c r="A4048" s="18" t="str">
        <f>Descargas!A4048</f>
        <v>1572@flotatsyasociados.com</v>
      </c>
      <c r="B4048" s="19" t="str">
        <f>IFERROR(__xludf.DUMMYFUNCTION("IF(OR(regexmatch(A4048,"".*@simon.es$""),REGEXMATCH(A4048,"".*@simon.pt$""),REGEXMATCH(A4048,"".*@simonelectrica.com$""),REGEXMATCH(A4048,"".*@hiberus.com$""),REGEXMATCH(A4048,"".*@simonbrico.es$""),regexmatch(A4048,"".*@simonelectric.com$"")),""null"",A4"&amp;"048)"),"1572@flotatsyasociados.com")</f>
        <v>1572@flotatsyasociados.com</v>
      </c>
      <c r="C4048" s="5">
        <f>IF(B4048="null","null",Descargas!B4048)</f>
        <v>43832</v>
      </c>
      <c r="D4048" s="6" t="str">
        <f>Descargas!E4048</f>
        <v>https://resources.simonelectric.com/simon-ebook-vehiculo-electrico</v>
      </c>
      <c r="E4048" s="20" t="str">
        <f t="shared" si="1"/>
        <v>1572@flotatsyasociados.com</v>
      </c>
      <c r="F4048" s="21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</row>
    <row r="4049" ht="15.75" customHeight="1">
      <c r="A4049" s="18" t="str">
        <f>Descargas!A4049</f>
        <v>1572@flotatsyasociados.com</v>
      </c>
      <c r="B4049" s="19" t="str">
        <f>IFERROR(__xludf.DUMMYFUNCTION("IF(OR(regexmatch(A4049,"".*@simon.es$""),REGEXMATCH(A4049,"".*@simon.pt$""),REGEXMATCH(A4049,"".*@simonelectrica.com$""),REGEXMATCH(A4049,"".*@hiberus.com$""),REGEXMATCH(A4049,"".*@simonbrico.es$""),regexmatch(A4049,"".*@simonelectric.com$"")),""null"",A4"&amp;"049)"),"1572@flotatsyasociados.com")</f>
        <v>1572@flotatsyasociados.com</v>
      </c>
      <c r="C4049" s="5">
        <f>IF(B4049="null","null",Descargas!B4049)</f>
        <v>43832</v>
      </c>
      <c r="D4049" s="6" t="str">
        <f>Descargas!E4049</f>
        <v>https://resources.simonelectric.com/simon-ebook-vehiculo-electrico</v>
      </c>
      <c r="E4049" s="20" t="str">
        <f t="shared" si="1"/>
        <v>1572@flotatsyasociados.com</v>
      </c>
      <c r="F4049" s="21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</row>
    <row r="4050" ht="15.75" customHeight="1">
      <c r="A4050" s="18" t="str">
        <f>Descargas!A4050</f>
        <v>2996@hotmail.com</v>
      </c>
      <c r="B4050" s="19" t="str">
        <f>IFERROR(__xludf.DUMMYFUNCTION("IF(OR(regexmatch(A4050,"".*@simon.es$""),REGEXMATCH(A4050,"".*@simon.pt$""),REGEXMATCH(A4050,"".*@simonelectrica.com$""),REGEXMATCH(A4050,"".*@hiberus.com$""),REGEXMATCH(A4050,"".*@simonbrico.es$""),regexmatch(A4050,"".*@simonelectric.com$"")),""null"",A4"&amp;"050)"),"2996@hotmail.com")</f>
        <v>2996@hotmail.com</v>
      </c>
      <c r="C4050" s="5">
        <f>IF(B4050="null","null",Descargas!B4050)</f>
        <v>43832</v>
      </c>
      <c r="D4050" s="6" t="str">
        <f>Descargas!E4050</f>
        <v>https://resources.simonelectric.com/simon-ebook-vehiculo-electrico</v>
      </c>
      <c r="E4050" s="20" t="str">
        <f t="shared" si="1"/>
        <v>2996@hotmail.com</v>
      </c>
      <c r="F4050" s="21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</row>
    <row r="4051" ht="15.75" customHeight="1">
      <c r="A4051" s="18" t="str">
        <f>Descargas!A4051</f>
        <v>2997@bgm.pt</v>
      </c>
      <c r="B4051" s="19" t="str">
        <f>IFERROR(__xludf.DUMMYFUNCTION("IF(OR(regexmatch(A4051,"".*@simon.es$""),REGEXMATCH(A4051,"".*@simon.pt$""),REGEXMATCH(A4051,"".*@simonelectrica.com$""),REGEXMATCH(A4051,"".*@hiberus.com$""),REGEXMATCH(A4051,"".*@simonbrico.es$""),regexmatch(A4051,"".*@simonelectric.com$"")),""null"",A4"&amp;"051)"),"2997@bgm.pt")</f>
        <v>2997@bgm.pt</v>
      </c>
      <c r="C4051" s="5">
        <f>IF(B4051="null","null",Descargas!B4051)</f>
        <v>43832</v>
      </c>
      <c r="D4051" s="6" t="str">
        <f>Descargas!E4051</f>
        <v>https://resources.simonelectric.com/simon-ebook-vehiculo-electrico</v>
      </c>
      <c r="E4051" s="20" t="str">
        <f t="shared" si="1"/>
        <v>2997@bgm.pt</v>
      </c>
      <c r="F4051" s="21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</row>
    <row r="4052" ht="15.75" customHeight="1">
      <c r="A4052" s="18" t="str">
        <f>Descargas!A4052</f>
        <v>2998@dosreisinstalaciones.es</v>
      </c>
      <c r="B4052" s="19" t="str">
        <f>IFERROR(__xludf.DUMMYFUNCTION("IF(OR(regexmatch(A4052,"".*@simon.es$""),REGEXMATCH(A4052,"".*@simon.pt$""),REGEXMATCH(A4052,"".*@simonelectrica.com$""),REGEXMATCH(A4052,"".*@hiberus.com$""),REGEXMATCH(A4052,"".*@simonbrico.es$""),regexmatch(A4052,"".*@simonelectric.com$"")),""null"",A4"&amp;"052)"),"2998@dosreisinstalaciones.es")</f>
        <v>2998@dosreisinstalaciones.es</v>
      </c>
      <c r="C4052" s="5">
        <f>IF(B4052="null","null",Descargas!B4052)</f>
        <v>43832</v>
      </c>
      <c r="D4052" s="6" t="str">
        <f>Descargas!E4052</f>
        <v>https://resources.simonelectric.com/simon-ebook-vehiculo-electrico</v>
      </c>
      <c r="E4052" s="20" t="str">
        <f t="shared" si="1"/>
        <v>2998@dosreisinstalaciones.es</v>
      </c>
      <c r="F4052" s="21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</row>
    <row r="4053" ht="15.75" customHeight="1">
      <c r="A4053" s="18" t="str">
        <f>Descargas!A4053</f>
        <v>2999@gmail.com</v>
      </c>
      <c r="B4053" s="19" t="str">
        <f>IFERROR(__xludf.DUMMYFUNCTION("IF(OR(regexmatch(A4053,"".*@simon.es$""),REGEXMATCH(A4053,"".*@simon.pt$""),REGEXMATCH(A4053,"".*@simonelectrica.com$""),REGEXMATCH(A4053,"".*@hiberus.com$""),REGEXMATCH(A4053,"".*@simonbrico.es$""),regexmatch(A4053,"".*@simonelectric.com$"")),""null"",A4"&amp;"053)"),"2999@gmail.com")</f>
        <v>2999@gmail.com</v>
      </c>
      <c r="C4053" s="5">
        <f>IF(B4053="null","null",Descargas!B4053)</f>
        <v>43832</v>
      </c>
      <c r="D4053" s="6" t="str">
        <f>Descargas!E4053</f>
        <v>https://resources.simonelectric.com/simon-ebook-vehiculo-electrico</v>
      </c>
      <c r="E4053" s="20" t="str">
        <f t="shared" si="1"/>
        <v>2999@gmail.com</v>
      </c>
      <c r="F4053" s="21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</row>
    <row r="4054" ht="15.75" customHeight="1">
      <c r="A4054" s="18" t="str">
        <f>Descargas!A4054</f>
        <v>3000@strongpoint.com</v>
      </c>
      <c r="B4054" s="19" t="str">
        <f>IFERROR(__xludf.DUMMYFUNCTION("IF(OR(regexmatch(A4054,"".*@simon.es$""),REGEXMATCH(A4054,"".*@simon.pt$""),REGEXMATCH(A4054,"".*@simonelectrica.com$""),REGEXMATCH(A4054,"".*@hiberus.com$""),REGEXMATCH(A4054,"".*@simonbrico.es$""),regexmatch(A4054,"".*@simonelectric.com$"")),""null"",A4"&amp;"054)"),"3000@strongpoint.com")</f>
        <v>3000@strongpoint.com</v>
      </c>
      <c r="C4054" s="5">
        <f>IF(B4054="null","null",Descargas!B4054)</f>
        <v>43832</v>
      </c>
      <c r="D4054" s="6" t="str">
        <f>Descargas!E4054</f>
        <v>https://resources.simonelectric.com/simon-ebook-vehiculo-electrico</v>
      </c>
      <c r="E4054" s="20" t="str">
        <f t="shared" si="1"/>
        <v>3000@strongpoint.com</v>
      </c>
      <c r="F4054" s="21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</row>
    <row r="4055" ht="15.75" customHeight="1">
      <c r="A4055" s="18" t="str">
        <f>Descargas!A4055</f>
        <v>1607@talesingenieria.es</v>
      </c>
      <c r="B4055" s="19" t="str">
        <f>IFERROR(__xludf.DUMMYFUNCTION("IF(OR(regexmatch(A4055,"".*@simon.es$""),REGEXMATCH(A4055,"".*@simon.pt$""),REGEXMATCH(A4055,"".*@simonelectrica.com$""),REGEXMATCH(A4055,"".*@hiberus.com$""),REGEXMATCH(A4055,"".*@simonbrico.es$""),regexmatch(A4055,"".*@simonelectric.com$"")),""null"",A4"&amp;"055)"),"1607@talesingenieria.es")</f>
        <v>1607@talesingenieria.es</v>
      </c>
      <c r="C4055" s="5">
        <f>IF(B4055="null","null",Descargas!B4055)</f>
        <v>43832</v>
      </c>
      <c r="D4055" s="6" t="str">
        <f>Descargas!E4055</f>
        <v>https://resources.simonelectric.com/simon-ebook-vehiculo-electrico</v>
      </c>
      <c r="E4055" s="20" t="str">
        <f t="shared" si="1"/>
        <v>1607@talesingenieria.es</v>
      </c>
      <c r="F4055" s="21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</row>
    <row r="4056" ht="15.75" customHeight="1">
      <c r="A4056" s="18" t="str">
        <f>Descargas!A4056</f>
        <v>3001@gmail.com</v>
      </c>
      <c r="B4056" s="19" t="str">
        <f>IFERROR(__xludf.DUMMYFUNCTION("IF(OR(regexmatch(A4056,"".*@simon.es$""),REGEXMATCH(A4056,"".*@simon.pt$""),REGEXMATCH(A4056,"".*@simonelectrica.com$""),REGEXMATCH(A4056,"".*@hiberus.com$""),REGEXMATCH(A4056,"".*@simonbrico.es$""),regexmatch(A4056,"".*@simonelectric.com$"")),""null"",A4"&amp;"056)"),"3001@gmail.com")</f>
        <v>3001@gmail.com</v>
      </c>
      <c r="C4056" s="5">
        <f>IF(B4056="null","null",Descargas!B4056)</f>
        <v>43832</v>
      </c>
      <c r="D4056" s="6" t="str">
        <f>Descargas!E4056</f>
        <v>https://resources.simonelectric.com/simon-ebook-vehiculo-electrico</v>
      </c>
      <c r="E4056" s="20" t="str">
        <f t="shared" si="1"/>
        <v>3001@gmail.com</v>
      </c>
      <c r="F4056" s="21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</row>
    <row r="4057" ht="15.75" customHeight="1">
      <c r="A4057" s="18" t="str">
        <f>Descargas!A4057</f>
        <v>3002@energiaactiva.es</v>
      </c>
      <c r="B4057" s="19" t="str">
        <f>IFERROR(__xludf.DUMMYFUNCTION("IF(OR(regexmatch(A4057,"".*@simon.es$""),REGEXMATCH(A4057,"".*@simon.pt$""),REGEXMATCH(A4057,"".*@simonelectrica.com$""),REGEXMATCH(A4057,"".*@hiberus.com$""),REGEXMATCH(A4057,"".*@simonbrico.es$""),regexmatch(A4057,"".*@simonelectric.com$"")),""null"",A4"&amp;"057)"),"3002@energiaactiva.es")</f>
        <v>3002@energiaactiva.es</v>
      </c>
      <c r="C4057" s="5">
        <f>IF(B4057="null","null",Descargas!B4057)</f>
        <v>43832</v>
      </c>
      <c r="D4057" s="6" t="str">
        <f>Descargas!E4057</f>
        <v>https://resources.simonelectric.com/simon-ebook-vehiculo-electrico</v>
      </c>
      <c r="E4057" s="20" t="str">
        <f t="shared" si="1"/>
        <v>3002@energiaactiva.es</v>
      </c>
      <c r="F4057" s="21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</row>
    <row r="4058" ht="15.75" customHeight="1">
      <c r="A4058" s="18" t="str">
        <f>Descargas!A4058</f>
        <v>1708@gmail.com</v>
      </c>
      <c r="B4058" s="19" t="str">
        <f>IFERROR(__xludf.DUMMYFUNCTION("IF(OR(regexmatch(A4058,"".*@simon.es$""),REGEXMATCH(A4058,"".*@simon.pt$""),REGEXMATCH(A4058,"".*@simonelectrica.com$""),REGEXMATCH(A4058,"".*@hiberus.com$""),REGEXMATCH(A4058,"".*@simonbrico.es$""),regexmatch(A4058,"".*@simonelectric.com$"")),""null"",A4"&amp;"058)"),"1708@gmail.com")</f>
        <v>1708@gmail.com</v>
      </c>
      <c r="C4058" s="5">
        <f>IF(B4058="null","null",Descargas!B4058)</f>
        <v>43832</v>
      </c>
      <c r="D4058" s="6" t="str">
        <f>Descargas!E4058</f>
        <v>https://resources.simonelectric.com/simon-ebook-vehiculo-electrico</v>
      </c>
      <c r="E4058" s="20" t="str">
        <f t="shared" si="1"/>
        <v>1708@gmail.com</v>
      </c>
      <c r="F4058" s="21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</row>
    <row r="4059" ht="15.75" customHeight="1">
      <c r="A4059" s="18" t="str">
        <f>Descargas!A4059</f>
        <v>3003@ingenieriabenimamet.com</v>
      </c>
      <c r="B4059" s="19" t="str">
        <f>IFERROR(__xludf.DUMMYFUNCTION("IF(OR(regexmatch(A4059,"".*@simon.es$""),REGEXMATCH(A4059,"".*@simon.pt$""),REGEXMATCH(A4059,"".*@simonelectrica.com$""),REGEXMATCH(A4059,"".*@hiberus.com$""),REGEXMATCH(A4059,"".*@simonbrico.es$""),regexmatch(A4059,"".*@simonelectric.com$"")),""null"",A4"&amp;"059)"),"3003@ingenieriabenimamet.com")</f>
        <v>3003@ingenieriabenimamet.com</v>
      </c>
      <c r="C4059" s="5">
        <f>IF(B4059="null","null",Descargas!B4059)</f>
        <v>43832</v>
      </c>
      <c r="D4059" s="6" t="str">
        <f>Descargas!E4059</f>
        <v>https://resources.simonelectric.com/simon-ebook-vehiculo-electrico</v>
      </c>
      <c r="E4059" s="20" t="str">
        <f t="shared" si="1"/>
        <v>3003@ingenieriabenimamet.com</v>
      </c>
      <c r="F4059" s="21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</row>
    <row r="4060" ht="15.75" customHeight="1">
      <c r="A4060" s="18" t="str">
        <f>Descargas!A4060</f>
        <v>3004@yahoo.es</v>
      </c>
      <c r="B4060" s="19" t="str">
        <f>IFERROR(__xludf.DUMMYFUNCTION("IF(OR(regexmatch(A4060,"".*@simon.es$""),REGEXMATCH(A4060,"".*@simon.pt$""),REGEXMATCH(A4060,"".*@simonelectrica.com$""),REGEXMATCH(A4060,"".*@hiberus.com$""),REGEXMATCH(A4060,"".*@simonbrico.es$""),regexmatch(A4060,"".*@simonelectric.com$"")),""null"",A4"&amp;"060)"),"3004@yahoo.es")</f>
        <v>3004@yahoo.es</v>
      </c>
      <c r="C4060" s="5">
        <f>IF(B4060="null","null",Descargas!B4060)</f>
        <v>43832</v>
      </c>
      <c r="D4060" s="6" t="str">
        <f>Descargas!E4060</f>
        <v>https://resources.simonelectric.com/simon-ebook-vehiculo-electrico</v>
      </c>
      <c r="E4060" s="20" t="str">
        <f t="shared" si="1"/>
        <v>3004@yahoo.es</v>
      </c>
      <c r="F4060" s="21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</row>
    <row r="4061" ht="15.75" customHeight="1">
      <c r="A4061" s="18" t="str">
        <f>Descargas!A4061</f>
        <v>3005@electroizas.es</v>
      </c>
      <c r="B4061" s="19" t="str">
        <f>IFERROR(__xludf.DUMMYFUNCTION("IF(OR(regexmatch(A4061,"".*@simon.es$""),REGEXMATCH(A4061,"".*@simon.pt$""),REGEXMATCH(A4061,"".*@simonelectrica.com$""),REGEXMATCH(A4061,"".*@hiberus.com$""),REGEXMATCH(A4061,"".*@simonbrico.es$""),regexmatch(A4061,"".*@simonelectric.com$"")),""null"",A4"&amp;"061)"),"3005@electroizas.es")</f>
        <v>3005@electroizas.es</v>
      </c>
      <c r="C4061" s="5">
        <f>IF(B4061="null","null",Descargas!B4061)</f>
        <v>43832</v>
      </c>
      <c r="D4061" s="6" t="str">
        <f>Descargas!E4061</f>
        <v>https://resources.simonelectric.com/simon-ebook-vehiculo-electrico</v>
      </c>
      <c r="E4061" s="20" t="str">
        <f t="shared" si="1"/>
        <v>3005@electroizas.es</v>
      </c>
      <c r="F4061" s="21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</row>
    <row r="4062" ht="15.75" customHeight="1">
      <c r="A4062" s="18" t="str">
        <f>Descargas!A4062</f>
        <v>3006@ingenieriajorpa.es</v>
      </c>
      <c r="B4062" s="19" t="str">
        <f>IFERROR(__xludf.DUMMYFUNCTION("IF(OR(regexmatch(A4062,"".*@simon.es$""),REGEXMATCH(A4062,"".*@simon.pt$""),REGEXMATCH(A4062,"".*@simonelectrica.com$""),REGEXMATCH(A4062,"".*@hiberus.com$""),REGEXMATCH(A4062,"".*@simonbrico.es$""),regexmatch(A4062,"".*@simonelectric.com$"")),""null"",A4"&amp;"062)"),"3006@ingenieriajorpa.es")</f>
        <v>3006@ingenieriajorpa.es</v>
      </c>
      <c r="C4062" s="5">
        <f>IF(B4062="null","null",Descargas!B4062)</f>
        <v>43832</v>
      </c>
      <c r="D4062" s="6" t="str">
        <f>Descargas!E4062</f>
        <v>https://resources.simonelectric.com/simon-ebook-vehiculo-electrico</v>
      </c>
      <c r="E4062" s="20" t="str">
        <f t="shared" si="1"/>
        <v>3006@ingenieriajorpa.es</v>
      </c>
      <c r="F4062" s="21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</row>
    <row r="4063" ht="15.75" customHeight="1">
      <c r="A4063" s="18" t="str">
        <f>Descargas!A4063</f>
        <v>1516@gmail.com</v>
      </c>
      <c r="B4063" s="19" t="str">
        <f>IFERROR(__xludf.DUMMYFUNCTION("IF(OR(regexmatch(A4063,"".*@simon.es$""),REGEXMATCH(A4063,"".*@simon.pt$""),REGEXMATCH(A4063,"".*@simonelectrica.com$""),REGEXMATCH(A4063,"".*@hiberus.com$""),REGEXMATCH(A4063,"".*@simonbrico.es$""),regexmatch(A4063,"".*@simonelectric.com$"")),""null"",A4"&amp;"063)"),"1516@gmail.com")</f>
        <v>1516@gmail.com</v>
      </c>
      <c r="C4063" s="5">
        <f>IF(B4063="null","null",Descargas!B4063)</f>
        <v>43832</v>
      </c>
      <c r="D4063" s="6" t="str">
        <f>Descargas!E4063</f>
        <v>https://resources.simonelectric.com/simon-ebook-vehiculo-electrico</v>
      </c>
      <c r="E4063" s="20" t="str">
        <f t="shared" si="1"/>
        <v>1516@gmail.com</v>
      </c>
      <c r="F4063" s="21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</row>
    <row r="4064" ht="15.75" customHeight="1">
      <c r="A4064" s="18" t="str">
        <f>Descargas!A4064</f>
        <v>3007@gmail.com</v>
      </c>
      <c r="B4064" s="19" t="str">
        <f>IFERROR(__xludf.DUMMYFUNCTION("IF(OR(regexmatch(A4064,"".*@simon.es$""),REGEXMATCH(A4064,"".*@simon.pt$""),REGEXMATCH(A4064,"".*@simonelectrica.com$""),REGEXMATCH(A4064,"".*@hiberus.com$""),REGEXMATCH(A4064,"".*@simonbrico.es$""),regexmatch(A4064,"".*@simonelectric.com$"")),""null"",A4"&amp;"064)"),"3007@gmail.com")</f>
        <v>3007@gmail.com</v>
      </c>
      <c r="C4064" s="5">
        <f>IF(B4064="null","null",Descargas!B4064)</f>
        <v>43832</v>
      </c>
      <c r="D4064" s="6" t="str">
        <f>Descargas!E4064</f>
        <v>https://resources.simonelectric.com/simon-ebook-vehiculo-electrico</v>
      </c>
      <c r="E4064" s="20" t="str">
        <f t="shared" si="1"/>
        <v>3007@gmail.com</v>
      </c>
      <c r="F4064" s="21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</row>
    <row r="4065" ht="15.75" customHeight="1">
      <c r="A4065" s="18" t="str">
        <f>Descargas!A4065</f>
        <v>3008@codime.es</v>
      </c>
      <c r="B4065" s="19" t="str">
        <f>IFERROR(__xludf.DUMMYFUNCTION("IF(OR(regexmatch(A4065,"".*@simon.es$""),REGEXMATCH(A4065,"".*@simon.pt$""),REGEXMATCH(A4065,"".*@simonelectrica.com$""),REGEXMATCH(A4065,"".*@hiberus.com$""),REGEXMATCH(A4065,"".*@simonbrico.es$""),regexmatch(A4065,"".*@simonelectric.com$"")),""null"",A4"&amp;"065)"),"3008@codime.es")</f>
        <v>3008@codime.es</v>
      </c>
      <c r="C4065" s="5">
        <f>IF(B4065="null","null",Descargas!B4065)</f>
        <v>43832</v>
      </c>
      <c r="D4065" s="6" t="str">
        <f>Descargas!E4065</f>
        <v>https://resources.simonelectric.com/simon-ebook-vehiculo-electrico</v>
      </c>
      <c r="E4065" s="20" t="str">
        <f t="shared" si="1"/>
        <v>3008@codime.es</v>
      </c>
      <c r="F4065" s="21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</row>
    <row r="4066" ht="15.75" customHeight="1">
      <c r="A4066" s="18" t="str">
        <f>Descargas!A4066</f>
        <v>3009@acciona.com</v>
      </c>
      <c r="B4066" s="19" t="str">
        <f>IFERROR(__xludf.DUMMYFUNCTION("IF(OR(regexmatch(A4066,"".*@simon.es$""),REGEXMATCH(A4066,"".*@simon.pt$""),REGEXMATCH(A4066,"".*@simonelectrica.com$""),REGEXMATCH(A4066,"".*@hiberus.com$""),REGEXMATCH(A4066,"".*@simonbrico.es$""),regexmatch(A4066,"".*@simonelectric.com$"")),""null"",A4"&amp;"066)"),"3009@acciona.com")</f>
        <v>3009@acciona.com</v>
      </c>
      <c r="C4066" s="5">
        <f>IF(B4066="null","null",Descargas!B4066)</f>
        <v>43832</v>
      </c>
      <c r="D4066" s="6" t="str">
        <f>Descargas!E4066</f>
        <v>https://resources.simonelectric.com/simon-ebook-vehiculo-electrico</v>
      </c>
      <c r="E4066" s="20" t="str">
        <f t="shared" si="1"/>
        <v>3009@acciona.com</v>
      </c>
      <c r="F4066" s="21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</row>
    <row r="4067" ht="15.75" customHeight="1">
      <c r="A4067" s="18" t="str">
        <f>Descargas!A4067</f>
        <v>2966@gmail.com</v>
      </c>
      <c r="B4067" s="19" t="str">
        <f>IFERROR(__xludf.DUMMYFUNCTION("IF(OR(regexmatch(A4067,"".*@simon.es$""),REGEXMATCH(A4067,"".*@simon.pt$""),REGEXMATCH(A4067,"".*@simonelectrica.com$""),REGEXMATCH(A4067,"".*@hiberus.com$""),REGEXMATCH(A4067,"".*@simonbrico.es$""),regexmatch(A4067,"".*@simonelectric.com$"")),""null"",A4"&amp;"067)"),"2966@gmail.com")</f>
        <v>2966@gmail.com</v>
      </c>
      <c r="C4067" s="5">
        <f>IF(B4067="null","null",Descargas!B4067)</f>
        <v>43832</v>
      </c>
      <c r="D4067" s="6" t="str">
        <f>Descargas!E4067</f>
        <v>https://resources.simonelectric.com/simon-ebook-vehiculo-electrico</v>
      </c>
      <c r="E4067" s="20" t="str">
        <f t="shared" si="1"/>
        <v>2966@gmail.com</v>
      </c>
      <c r="F4067" s="21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</row>
    <row r="4068" ht="15.75" customHeight="1">
      <c r="A4068" s="18" t="str">
        <f>Descargas!A4068</f>
        <v>3010@eleko.es</v>
      </c>
      <c r="B4068" s="19" t="str">
        <f>IFERROR(__xludf.DUMMYFUNCTION("IF(OR(regexmatch(A4068,"".*@simon.es$""),REGEXMATCH(A4068,"".*@simon.pt$""),REGEXMATCH(A4068,"".*@simonelectrica.com$""),REGEXMATCH(A4068,"".*@hiberus.com$""),REGEXMATCH(A4068,"".*@simonbrico.es$""),regexmatch(A4068,"".*@simonelectric.com$"")),""null"",A4"&amp;"068)"),"3010@eleko.es")</f>
        <v>3010@eleko.es</v>
      </c>
      <c r="C4068" s="5">
        <f>IF(B4068="null","null",Descargas!B4068)</f>
        <v>43832</v>
      </c>
      <c r="D4068" s="6" t="str">
        <f>Descargas!E4068</f>
        <v>https://resources.simonelectric.com/simon-ebook-vehiculo-electrico</v>
      </c>
      <c r="E4068" s="20" t="str">
        <f t="shared" si="1"/>
        <v>3010@eleko.es</v>
      </c>
      <c r="F4068" s="21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</row>
    <row r="4069" ht="15.75" customHeight="1">
      <c r="A4069" s="18" t="str">
        <f>Descargas!A4069</f>
        <v>3011@gmail.com</v>
      </c>
      <c r="B4069" s="19" t="str">
        <f>IFERROR(__xludf.DUMMYFUNCTION("IF(OR(regexmatch(A4069,"".*@simon.es$""),REGEXMATCH(A4069,"".*@simon.pt$""),REGEXMATCH(A4069,"".*@simonelectrica.com$""),REGEXMATCH(A4069,"".*@hiberus.com$""),REGEXMATCH(A4069,"".*@simonbrico.es$""),regexmatch(A4069,"".*@simonelectric.com$"")),""null"",A4"&amp;"069)"),"3011@gmail.com")</f>
        <v>3011@gmail.com</v>
      </c>
      <c r="C4069" s="5">
        <f>IF(B4069="null","null",Descargas!B4069)</f>
        <v>43831</v>
      </c>
      <c r="D4069" s="6" t="str">
        <f>Descargas!E4069</f>
        <v>https://resources.simonelectric.com/simon-ebook-vehiculo-electrico</v>
      </c>
      <c r="E4069" s="20" t="str">
        <f t="shared" si="1"/>
        <v>3011@gmail.com</v>
      </c>
      <c r="F4069" s="21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</row>
    <row r="4070" ht="15.75" customHeight="1">
      <c r="A4070" s="25"/>
      <c r="B4070" s="21"/>
      <c r="C4070" s="26"/>
      <c r="D4070" s="21"/>
      <c r="E4070" s="21"/>
      <c r="F4070" s="21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</row>
    <row r="4071" ht="15.75" customHeight="1">
      <c r="A4071" s="25"/>
      <c r="B4071" s="21"/>
      <c r="C4071" s="26"/>
      <c r="D4071" s="21"/>
      <c r="E4071" s="21"/>
      <c r="F4071" s="21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</row>
    <row r="4072" ht="15.75" customHeight="1">
      <c r="A4072" s="25"/>
      <c r="B4072" s="21"/>
      <c r="C4072" s="26"/>
      <c r="D4072" s="21"/>
      <c r="E4072" s="21"/>
      <c r="F4072" s="21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</row>
    <row r="4073" ht="15.75" customHeight="1">
      <c r="A4073" s="27"/>
      <c r="B4073" s="21"/>
      <c r="C4073" s="26"/>
      <c r="D4073" s="21"/>
      <c r="E4073" s="21"/>
      <c r="F4073" s="21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</row>
    <row r="4074" ht="15.75" customHeight="1">
      <c r="A4074" s="27"/>
      <c r="B4074" s="21"/>
      <c r="C4074" s="26"/>
      <c r="D4074" s="21"/>
      <c r="E4074" s="21"/>
      <c r="F4074" s="21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</row>
    <row r="4075" ht="15.75" customHeight="1">
      <c r="A4075" s="27"/>
      <c r="B4075" s="21"/>
      <c r="C4075" s="26"/>
      <c r="D4075" s="21"/>
      <c r="E4075" s="21"/>
      <c r="F4075" s="21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</row>
    <row r="4076" ht="15.75" customHeight="1">
      <c r="A4076" s="27"/>
      <c r="B4076" s="21"/>
      <c r="C4076" s="26"/>
      <c r="D4076" s="21"/>
      <c r="E4076" s="21"/>
      <c r="F4076" s="21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</row>
    <row r="4077" ht="15.75" customHeight="1">
      <c r="A4077" s="27"/>
      <c r="B4077" s="21"/>
      <c r="C4077" s="26"/>
      <c r="D4077" s="21"/>
      <c r="E4077" s="21"/>
      <c r="F4077" s="21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</row>
    <row r="4078" ht="15.75" customHeight="1">
      <c r="A4078" s="27"/>
      <c r="B4078" s="21"/>
      <c r="C4078" s="26"/>
      <c r="D4078" s="21"/>
      <c r="E4078" s="21"/>
      <c r="F4078" s="21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</row>
    <row r="4079" ht="15.75" customHeight="1">
      <c r="A4079" s="27"/>
      <c r="B4079" s="21"/>
      <c r="C4079" s="26"/>
      <c r="D4079" s="21"/>
      <c r="E4079" s="21"/>
      <c r="F4079" s="21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</row>
    <row r="4080" ht="15.75" customHeight="1">
      <c r="A4080" s="27"/>
      <c r="B4080" s="21"/>
      <c r="C4080" s="26"/>
      <c r="D4080" s="21"/>
      <c r="E4080" s="21"/>
      <c r="F4080" s="21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</row>
    <row r="4081" ht="15.75" customHeight="1">
      <c r="A4081" s="27"/>
      <c r="B4081" s="21"/>
      <c r="C4081" s="26"/>
      <c r="D4081" s="21"/>
      <c r="E4081" s="21"/>
      <c r="F4081" s="21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</row>
    <row r="4082" ht="15.75" customHeight="1">
      <c r="A4082" s="27"/>
      <c r="B4082" s="21"/>
      <c r="C4082" s="26"/>
      <c r="D4082" s="21"/>
      <c r="E4082" s="21"/>
      <c r="F4082" s="21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</row>
    <row r="4083" ht="15.75" customHeight="1">
      <c r="A4083" s="27"/>
      <c r="B4083" s="21"/>
      <c r="C4083" s="26"/>
      <c r="D4083" s="21"/>
      <c r="E4083" s="21"/>
      <c r="F4083" s="21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</row>
    <row r="4084" ht="15.75" customHeight="1">
      <c r="A4084" s="27"/>
      <c r="B4084" s="21"/>
      <c r="C4084" s="26"/>
      <c r="D4084" s="21"/>
      <c r="E4084" s="21"/>
      <c r="F4084" s="21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</row>
    <row r="4085" ht="15.75" customHeight="1">
      <c r="A4085" s="27"/>
      <c r="B4085" s="21"/>
      <c r="C4085" s="26"/>
      <c r="D4085" s="21"/>
      <c r="E4085" s="21"/>
      <c r="F4085" s="21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</row>
    <row r="4086" ht="15.75" customHeight="1">
      <c r="A4086" s="27"/>
      <c r="B4086" s="21"/>
      <c r="C4086" s="26"/>
      <c r="D4086" s="21"/>
      <c r="E4086" s="21"/>
      <c r="F4086" s="21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</row>
    <row r="4087" ht="15.75" customHeight="1">
      <c r="A4087" s="27"/>
      <c r="B4087" s="21"/>
      <c r="C4087" s="26"/>
      <c r="D4087" s="21"/>
      <c r="E4087" s="21"/>
      <c r="F4087" s="21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</row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68.57"/>
    <col customWidth="1" min="2" max="2" width="10.29"/>
    <col customWidth="1" min="3" max="3" width="4.29"/>
    <col customWidth="1" min="4" max="4" width="4.71"/>
    <col customWidth="1" min="5" max="6" width="5.29"/>
    <col customWidth="1" min="7" max="7" width="4.29"/>
    <col customWidth="1" min="8" max="8" width="10.43"/>
    <col customWidth="1" min="9" max="9" width="10.0"/>
    <col customWidth="1" min="10" max="10" width="10.14"/>
    <col customWidth="1" min="13" max="13" width="5.71"/>
    <col customWidth="1" min="14" max="14" width="62.43"/>
    <col customWidth="1" min="15" max="15" width="18.86"/>
  </cols>
  <sheetData>
    <row r="1" ht="15.75" customHeight="1">
      <c r="K1" s="28"/>
      <c r="L1" s="29" t="s">
        <v>5414</v>
      </c>
      <c r="M1" s="30" t="s">
        <v>5415</v>
      </c>
      <c r="N1" s="30" t="s">
        <v>2</v>
      </c>
      <c r="O1" s="31" t="s">
        <v>5416</v>
      </c>
      <c r="P1" s="32" t="s">
        <v>5417</v>
      </c>
      <c r="Q1" s="32" t="s">
        <v>5418</v>
      </c>
      <c r="R1" s="33" t="s">
        <v>5419</v>
      </c>
      <c r="S1" s="28"/>
      <c r="T1" s="28"/>
      <c r="U1" s="28"/>
      <c r="V1" s="28"/>
      <c r="W1" s="28"/>
      <c r="X1" s="28"/>
    </row>
    <row r="2" ht="15.75" customHeight="1">
      <c r="K2" s="28"/>
      <c r="L2" s="34" t="s">
        <v>5420</v>
      </c>
      <c r="M2" s="35">
        <v>1.0</v>
      </c>
      <c r="N2" s="36" t="s">
        <v>10</v>
      </c>
      <c r="O2" s="37" t="s">
        <v>5421</v>
      </c>
      <c r="P2" s="38">
        <f t="shared" ref="P2:P4" si="1">IFNA(VLOOKUP(N2,$A$2:$G$9,M2+1,0),0)</f>
        <v>34</v>
      </c>
      <c r="Q2" s="38">
        <f t="shared" ref="Q2:Q37" si="2">VLOOKUP(N2,$A$14:$G$21,M2+1,0)</f>
        <v>34</v>
      </c>
      <c r="R2" s="39">
        <f t="shared" ref="R2:R37" si="3">IFERROR((Q2/P2),"")</f>
        <v>1</v>
      </c>
      <c r="S2" s="28"/>
      <c r="T2" s="28"/>
      <c r="U2" s="28"/>
      <c r="V2" s="28"/>
      <c r="W2" s="28"/>
      <c r="X2" s="28"/>
    </row>
    <row r="3" ht="15.75" customHeight="1">
      <c r="K3" s="28"/>
      <c r="L3" s="34" t="s">
        <v>5420</v>
      </c>
      <c r="M3" s="35">
        <v>1.0</v>
      </c>
      <c r="N3" s="36" t="s">
        <v>28</v>
      </c>
      <c r="O3" s="37" t="s">
        <v>5422</v>
      </c>
      <c r="P3" s="38">
        <f t="shared" si="1"/>
        <v>234</v>
      </c>
      <c r="Q3" s="38">
        <f t="shared" si="2"/>
        <v>206</v>
      </c>
      <c r="R3" s="39">
        <f t="shared" si="3"/>
        <v>0.8803418803</v>
      </c>
      <c r="S3" s="28"/>
      <c r="T3" s="28"/>
      <c r="U3" s="28"/>
      <c r="V3" s="28"/>
      <c r="W3" s="28"/>
      <c r="X3" s="28"/>
    </row>
    <row r="4" ht="15.75" customHeight="1">
      <c r="K4" s="28"/>
      <c r="L4" s="34" t="s">
        <v>5420</v>
      </c>
      <c r="M4" s="35">
        <v>1.0</v>
      </c>
      <c r="N4" s="36" t="s">
        <v>5423</v>
      </c>
      <c r="O4" s="37" t="s">
        <v>5424</v>
      </c>
      <c r="P4" s="38" t="str">
        <f t="shared" si="1"/>
        <v/>
      </c>
      <c r="Q4" s="38" t="str">
        <f t="shared" si="2"/>
        <v/>
      </c>
      <c r="R4" s="39" t="str">
        <f t="shared" si="3"/>
        <v/>
      </c>
      <c r="S4" s="41"/>
      <c r="T4" s="41"/>
      <c r="U4" s="41"/>
      <c r="V4" s="41"/>
      <c r="W4" s="41"/>
      <c r="X4" s="41"/>
    </row>
    <row r="5" ht="15.75" customHeight="1">
      <c r="K5" s="28"/>
      <c r="L5" s="34" t="s">
        <v>5420</v>
      </c>
      <c r="M5" s="35">
        <v>1.0</v>
      </c>
      <c r="N5" s="36" t="s">
        <v>1465</v>
      </c>
      <c r="O5" s="37" t="s">
        <v>5424</v>
      </c>
      <c r="P5" s="38" t="str">
        <f>VLOOKUP(N5,$A$2:$G$9,M5+1,0)</f>
        <v/>
      </c>
      <c r="Q5" s="38" t="str">
        <f t="shared" si="2"/>
        <v/>
      </c>
      <c r="R5" s="39" t="str">
        <f t="shared" si="3"/>
        <v/>
      </c>
      <c r="S5" s="41"/>
      <c r="T5" s="41"/>
      <c r="U5" s="41"/>
      <c r="V5" s="41"/>
      <c r="W5" s="41"/>
      <c r="X5" s="41"/>
    </row>
    <row r="6" ht="15.75" customHeight="1">
      <c r="K6" s="28"/>
      <c r="L6" s="34" t="s">
        <v>5420</v>
      </c>
      <c r="M6" s="35">
        <v>1.0</v>
      </c>
      <c r="N6" s="36" t="s">
        <v>4982</v>
      </c>
      <c r="O6" s="37" t="s">
        <v>5425</v>
      </c>
      <c r="P6" s="38" t="str">
        <f>IFNA(VLOOKUP(N6,$A$2:$G$9,M6+1,0),0)</f>
        <v/>
      </c>
      <c r="Q6" s="38" t="str">
        <f t="shared" si="2"/>
        <v/>
      </c>
      <c r="R6" s="39" t="str">
        <f t="shared" si="3"/>
        <v/>
      </c>
      <c r="S6" s="41"/>
      <c r="T6" s="41"/>
      <c r="U6" s="41"/>
      <c r="V6" s="41"/>
      <c r="W6" s="41"/>
      <c r="X6" s="41"/>
    </row>
    <row r="7" ht="15.75" customHeight="1">
      <c r="K7" s="28"/>
      <c r="L7" s="34" t="s">
        <v>5420</v>
      </c>
      <c r="M7" s="35">
        <v>1.0</v>
      </c>
      <c r="N7" s="36" t="s">
        <v>299</v>
      </c>
      <c r="O7" s="37" t="s">
        <v>5426</v>
      </c>
      <c r="P7" s="38">
        <f t="shared" ref="P7:P37" si="4">VLOOKUP(N7,$A$2:$G$9,M7+1,0)</f>
        <v>1</v>
      </c>
      <c r="Q7" s="38">
        <f t="shared" si="2"/>
        <v>1</v>
      </c>
      <c r="R7" s="39">
        <f t="shared" si="3"/>
        <v>1</v>
      </c>
      <c r="S7" s="41"/>
      <c r="T7" s="41"/>
      <c r="U7" s="41"/>
      <c r="V7" s="41"/>
      <c r="W7" s="41"/>
      <c r="X7" s="41"/>
    </row>
    <row r="8" ht="15.75" customHeight="1">
      <c r="K8" s="41"/>
      <c r="L8" s="34" t="s">
        <v>5427</v>
      </c>
      <c r="M8" s="35">
        <v>2.0</v>
      </c>
      <c r="N8" s="36" t="s">
        <v>10</v>
      </c>
      <c r="O8" s="37" t="s">
        <v>5421</v>
      </c>
      <c r="P8" s="38">
        <f t="shared" si="4"/>
        <v>37</v>
      </c>
      <c r="Q8" s="38">
        <f t="shared" si="2"/>
        <v>34</v>
      </c>
      <c r="R8" s="39">
        <f t="shared" si="3"/>
        <v>0.9189189189</v>
      </c>
      <c r="S8" s="41"/>
      <c r="T8" s="41"/>
      <c r="U8" s="41"/>
      <c r="V8" s="41"/>
      <c r="W8" s="41"/>
      <c r="X8" s="41"/>
    </row>
    <row r="9" ht="15.75" customHeight="1">
      <c r="K9" s="41"/>
      <c r="L9" s="34" t="s">
        <v>5427</v>
      </c>
      <c r="M9" s="35">
        <v>2.0</v>
      </c>
      <c r="N9" s="36" t="s">
        <v>28</v>
      </c>
      <c r="O9" s="37" t="s">
        <v>5422</v>
      </c>
      <c r="P9" s="38">
        <f t="shared" si="4"/>
        <v>156</v>
      </c>
      <c r="Q9" s="38">
        <f t="shared" si="2"/>
        <v>139</v>
      </c>
      <c r="R9" s="39">
        <f t="shared" si="3"/>
        <v>0.891025641</v>
      </c>
      <c r="S9" s="41"/>
      <c r="T9" s="41"/>
      <c r="U9" s="41"/>
      <c r="V9" s="41"/>
      <c r="W9" s="41"/>
      <c r="X9" s="41"/>
    </row>
    <row r="10" ht="15.75" customHeight="1">
      <c r="K10" s="41"/>
      <c r="L10" s="34" t="s">
        <v>5427</v>
      </c>
      <c r="M10" s="35">
        <v>2.0</v>
      </c>
      <c r="N10" s="36" t="s">
        <v>5423</v>
      </c>
      <c r="O10" s="37" t="s">
        <v>5424</v>
      </c>
      <c r="P10" s="38">
        <f t="shared" si="4"/>
        <v>7</v>
      </c>
      <c r="Q10" s="38">
        <f t="shared" si="2"/>
        <v>7</v>
      </c>
      <c r="R10" s="39">
        <f t="shared" si="3"/>
        <v>1</v>
      </c>
      <c r="S10" s="41"/>
      <c r="T10" s="41"/>
      <c r="U10" s="41"/>
      <c r="V10" s="41"/>
      <c r="W10" s="41"/>
      <c r="X10" s="41"/>
    </row>
    <row r="11" ht="15.75" customHeight="1">
      <c r="A11" s="42"/>
      <c r="B11" s="43"/>
      <c r="C11" s="43"/>
      <c r="D11" s="4"/>
      <c r="E11" s="44"/>
      <c r="F11" s="45"/>
      <c r="G11" s="43"/>
      <c r="H11" s="44"/>
      <c r="I11" s="41"/>
      <c r="J11" s="41"/>
      <c r="K11" s="41"/>
      <c r="L11" s="34" t="s">
        <v>5427</v>
      </c>
      <c r="M11" s="35">
        <v>2.0</v>
      </c>
      <c r="N11" s="36" t="s">
        <v>1465</v>
      </c>
      <c r="O11" s="37" t="s">
        <v>5424</v>
      </c>
      <c r="P11" s="38" t="str">
        <f t="shared" si="4"/>
        <v/>
      </c>
      <c r="Q11" s="38" t="str">
        <f t="shared" si="2"/>
        <v/>
      </c>
      <c r="R11" s="39" t="str">
        <f t="shared" si="3"/>
        <v/>
      </c>
      <c r="S11" s="41"/>
      <c r="T11" s="41"/>
      <c r="U11" s="41"/>
      <c r="V11" s="41"/>
      <c r="W11" s="41"/>
      <c r="X11" s="41"/>
    </row>
    <row r="12" ht="15.75" customHeight="1">
      <c r="A12" s="42"/>
      <c r="B12" s="43"/>
      <c r="C12" s="43"/>
      <c r="D12" s="43"/>
      <c r="E12" s="44"/>
      <c r="F12" s="45"/>
      <c r="G12" s="43"/>
      <c r="H12" s="44"/>
      <c r="I12" s="41"/>
      <c r="J12" s="41"/>
      <c r="K12" s="41"/>
      <c r="L12" s="34" t="s">
        <v>5427</v>
      </c>
      <c r="M12" s="35">
        <v>2.0</v>
      </c>
      <c r="N12" s="36" t="s">
        <v>4982</v>
      </c>
      <c r="O12" s="37" t="s">
        <v>5425</v>
      </c>
      <c r="P12" s="38">
        <f t="shared" si="4"/>
        <v>34</v>
      </c>
      <c r="Q12" s="38">
        <f t="shared" si="2"/>
        <v>33</v>
      </c>
      <c r="R12" s="39">
        <f t="shared" si="3"/>
        <v>0.9705882353</v>
      </c>
      <c r="S12" s="41"/>
      <c r="T12" s="41"/>
      <c r="U12" s="41"/>
      <c r="V12" s="41"/>
      <c r="W12" s="41"/>
      <c r="X12" s="41"/>
    </row>
    <row r="13" ht="15.75" customHeight="1">
      <c r="A13" s="17" t="s">
        <v>5405</v>
      </c>
      <c r="B13" s="4" t="s">
        <v>5404</v>
      </c>
      <c r="C13" s="4"/>
      <c r="D13" s="4"/>
      <c r="E13" s="44"/>
      <c r="F13" s="45"/>
      <c r="G13" s="43"/>
      <c r="H13" s="44"/>
      <c r="I13" s="41"/>
      <c r="J13" s="41"/>
      <c r="K13" s="41"/>
      <c r="L13" s="34" t="s">
        <v>5427</v>
      </c>
      <c r="M13" s="35">
        <v>2.0</v>
      </c>
      <c r="N13" s="36" t="s">
        <v>299</v>
      </c>
      <c r="O13" s="37" t="s">
        <v>5426</v>
      </c>
      <c r="P13" s="38">
        <f t="shared" si="4"/>
        <v>16</v>
      </c>
      <c r="Q13" s="38">
        <f t="shared" si="2"/>
        <v>15</v>
      </c>
      <c r="R13" s="39">
        <f t="shared" si="3"/>
        <v>0.9375</v>
      </c>
      <c r="S13" s="41"/>
      <c r="T13" s="41"/>
      <c r="U13" s="41"/>
      <c r="V13" s="41"/>
      <c r="W13" s="41"/>
      <c r="X13" s="41"/>
    </row>
    <row r="14" ht="15.75" customHeight="1">
      <c r="A14" s="42" t="s">
        <v>2</v>
      </c>
      <c r="B14" s="46" t="s">
        <v>5406</v>
      </c>
      <c r="C14" s="46" t="s">
        <v>5407</v>
      </c>
      <c r="D14" s="46" t="s">
        <v>5408</v>
      </c>
      <c r="E14" s="47" t="s">
        <v>5409</v>
      </c>
      <c r="F14" s="48" t="s">
        <v>5410</v>
      </c>
      <c r="G14" s="46" t="s">
        <v>5411</v>
      </c>
      <c r="H14" s="47"/>
      <c r="I14" s="49" t="s">
        <v>5412</v>
      </c>
      <c r="J14" s="41" t="s">
        <v>5413</v>
      </c>
      <c r="K14" s="41"/>
      <c r="L14" s="34" t="s">
        <v>5428</v>
      </c>
      <c r="M14" s="35">
        <v>3.0</v>
      </c>
      <c r="N14" s="36" t="s">
        <v>10</v>
      </c>
      <c r="O14" s="37" t="s">
        <v>5421</v>
      </c>
      <c r="P14" s="38">
        <f t="shared" si="4"/>
        <v>53</v>
      </c>
      <c r="Q14" s="38">
        <f t="shared" si="2"/>
        <v>51</v>
      </c>
      <c r="R14" s="39">
        <f t="shared" si="3"/>
        <v>0.9622641509</v>
      </c>
      <c r="S14" s="41"/>
      <c r="T14" s="41"/>
      <c r="U14" s="41"/>
      <c r="V14" s="41"/>
      <c r="W14" s="41"/>
      <c r="X14" s="41"/>
    </row>
    <row r="15" ht="15.75" customHeight="1">
      <c r="A15" s="42"/>
      <c r="B15" s="43"/>
      <c r="C15" s="43"/>
      <c r="D15" s="4"/>
      <c r="E15" s="44"/>
      <c r="F15" s="45"/>
      <c r="G15" s="43"/>
      <c r="H15" s="44">
        <v>0.0</v>
      </c>
      <c r="I15" s="41"/>
      <c r="J15" s="41">
        <v>0.0</v>
      </c>
      <c r="K15" s="41"/>
      <c r="L15" s="34" t="s">
        <v>5428</v>
      </c>
      <c r="M15" s="35">
        <v>3.0</v>
      </c>
      <c r="N15" s="36" t="s">
        <v>28</v>
      </c>
      <c r="O15" s="37" t="s">
        <v>5422</v>
      </c>
      <c r="P15" s="38">
        <f t="shared" si="4"/>
        <v>579</v>
      </c>
      <c r="Q15" s="38">
        <f t="shared" si="2"/>
        <v>528</v>
      </c>
      <c r="R15" s="39">
        <f t="shared" si="3"/>
        <v>0.9119170984</v>
      </c>
      <c r="S15" s="41"/>
      <c r="T15" s="41"/>
      <c r="U15" s="41"/>
      <c r="V15" s="41"/>
      <c r="W15" s="41"/>
      <c r="X15" s="41"/>
    </row>
    <row r="16" ht="15.75" customHeight="1">
      <c r="A16" s="50" t="s">
        <v>10</v>
      </c>
      <c r="B16" s="43">
        <v>34.0</v>
      </c>
      <c r="C16" s="43">
        <v>34.0</v>
      </c>
      <c r="D16" s="4">
        <v>51.0</v>
      </c>
      <c r="E16" s="44">
        <v>847.0</v>
      </c>
      <c r="F16" s="45">
        <v>237.0</v>
      </c>
      <c r="G16" s="43">
        <v>80.0</v>
      </c>
      <c r="H16" s="44"/>
      <c r="I16" s="41">
        <v>1.0</v>
      </c>
      <c r="J16" s="41">
        <v>1250.0</v>
      </c>
      <c r="K16" s="41"/>
      <c r="L16" s="34" t="s">
        <v>5428</v>
      </c>
      <c r="M16" s="35">
        <v>3.0</v>
      </c>
      <c r="N16" s="36" t="s">
        <v>5423</v>
      </c>
      <c r="O16" s="37" t="s">
        <v>5424</v>
      </c>
      <c r="P16" s="38">
        <f t="shared" si="4"/>
        <v>15</v>
      </c>
      <c r="Q16" s="38">
        <f t="shared" si="2"/>
        <v>15</v>
      </c>
      <c r="R16" s="39">
        <f t="shared" si="3"/>
        <v>1</v>
      </c>
      <c r="S16" s="41"/>
      <c r="T16" s="41"/>
      <c r="U16" s="41"/>
      <c r="V16" s="41"/>
      <c r="W16" s="41"/>
      <c r="X16" s="41"/>
    </row>
    <row r="17" ht="15.75" customHeight="1">
      <c r="A17" s="50" t="s">
        <v>28</v>
      </c>
      <c r="B17" s="43">
        <v>206.0</v>
      </c>
      <c r="C17" s="43">
        <v>139.0</v>
      </c>
      <c r="D17" s="4">
        <v>528.0</v>
      </c>
      <c r="E17" s="44">
        <v>199.0</v>
      </c>
      <c r="F17" s="45">
        <v>238.0</v>
      </c>
      <c r="G17" s="43">
        <v>268.0</v>
      </c>
      <c r="H17" s="44"/>
      <c r="I17" s="41">
        <v>1.0</v>
      </c>
      <c r="J17" s="41">
        <v>1522.0</v>
      </c>
      <c r="K17" s="41"/>
      <c r="L17" s="34" t="s">
        <v>5428</v>
      </c>
      <c r="M17" s="35">
        <v>3.0</v>
      </c>
      <c r="N17" s="36" t="s">
        <v>1465</v>
      </c>
      <c r="O17" s="37" t="s">
        <v>5424</v>
      </c>
      <c r="P17" s="38">
        <f t="shared" si="4"/>
        <v>9</v>
      </c>
      <c r="Q17" s="38">
        <f t="shared" si="2"/>
        <v>9</v>
      </c>
      <c r="R17" s="39">
        <f t="shared" si="3"/>
        <v>1</v>
      </c>
      <c r="S17" s="41"/>
      <c r="T17" s="41"/>
      <c r="U17" s="41"/>
      <c r="V17" s="41"/>
      <c r="W17" s="41"/>
      <c r="X17" s="41"/>
    </row>
    <row r="18" ht="15.75" customHeight="1">
      <c r="A18" s="50" t="s">
        <v>5423</v>
      </c>
      <c r="B18" s="43"/>
      <c r="C18" s="43">
        <v>7.0</v>
      </c>
      <c r="D18" s="43">
        <v>15.0</v>
      </c>
      <c r="E18" s="44">
        <v>31.0</v>
      </c>
      <c r="F18" s="45">
        <v>16.0</v>
      </c>
      <c r="G18" s="43">
        <v>12.0</v>
      </c>
      <c r="H18" s="44"/>
      <c r="I18" s="41"/>
      <c r="J18" s="41">
        <v>79.0</v>
      </c>
      <c r="K18" s="41"/>
      <c r="L18" s="34" t="s">
        <v>5428</v>
      </c>
      <c r="M18" s="35">
        <v>3.0</v>
      </c>
      <c r="N18" s="36" t="s">
        <v>4982</v>
      </c>
      <c r="O18" s="37" t="s">
        <v>5425</v>
      </c>
      <c r="P18" s="38">
        <f t="shared" si="4"/>
        <v>7</v>
      </c>
      <c r="Q18" s="38">
        <f t="shared" si="2"/>
        <v>5</v>
      </c>
      <c r="R18" s="39">
        <f t="shared" si="3"/>
        <v>0.7142857143</v>
      </c>
      <c r="S18" s="41"/>
      <c r="T18" s="41"/>
      <c r="U18" s="41"/>
      <c r="V18" s="41"/>
      <c r="W18" s="41"/>
      <c r="X18" s="41"/>
    </row>
    <row r="19" ht="15.75" customHeight="1">
      <c r="A19" s="50" t="s">
        <v>1465</v>
      </c>
      <c r="B19" s="4"/>
      <c r="C19" s="4"/>
      <c r="D19" s="4">
        <v>9.0</v>
      </c>
      <c r="E19" s="44">
        <v>133.0</v>
      </c>
      <c r="F19" s="45">
        <v>85.0</v>
      </c>
      <c r="G19" s="43">
        <v>37.0</v>
      </c>
      <c r="H19" s="44"/>
      <c r="I19" s="41"/>
      <c r="J19" s="41">
        <v>263.0</v>
      </c>
      <c r="K19" s="41"/>
      <c r="L19" s="34" t="s">
        <v>5428</v>
      </c>
      <c r="M19" s="35">
        <v>3.0</v>
      </c>
      <c r="N19" s="36" t="s">
        <v>299</v>
      </c>
      <c r="O19" s="37" t="s">
        <v>5426</v>
      </c>
      <c r="P19" s="38">
        <f t="shared" si="4"/>
        <v>1</v>
      </c>
      <c r="Q19" s="38">
        <f t="shared" si="2"/>
        <v>1</v>
      </c>
      <c r="R19" s="39">
        <f t="shared" si="3"/>
        <v>1</v>
      </c>
      <c r="S19" s="41"/>
      <c r="T19" s="41"/>
      <c r="U19" s="41"/>
      <c r="V19" s="41"/>
      <c r="W19" s="41"/>
      <c r="X19" s="41"/>
    </row>
    <row r="20" ht="15.75" customHeight="1">
      <c r="A20" s="50" t="s">
        <v>4982</v>
      </c>
      <c r="B20" s="43"/>
      <c r="C20" s="43">
        <v>33.0</v>
      </c>
      <c r="D20" s="43">
        <v>5.0</v>
      </c>
      <c r="E20" s="44"/>
      <c r="F20" s="45"/>
      <c r="G20" s="43"/>
      <c r="H20" s="44"/>
      <c r="I20" s="41"/>
      <c r="J20" s="41">
        <v>38.0</v>
      </c>
      <c r="K20" s="41"/>
      <c r="L20" s="51" t="s">
        <v>5429</v>
      </c>
      <c r="M20" s="35">
        <v>4.0</v>
      </c>
      <c r="N20" s="36" t="s">
        <v>10</v>
      </c>
      <c r="O20" s="37" t="s">
        <v>5421</v>
      </c>
      <c r="P20" s="38">
        <f t="shared" si="4"/>
        <v>871</v>
      </c>
      <c r="Q20" s="38">
        <f t="shared" si="2"/>
        <v>847</v>
      </c>
      <c r="R20" s="39">
        <f t="shared" si="3"/>
        <v>0.972445465</v>
      </c>
      <c r="S20" s="41"/>
      <c r="T20" s="41"/>
      <c r="U20" s="41"/>
      <c r="V20" s="41"/>
      <c r="W20" s="41"/>
      <c r="X20" s="41"/>
    </row>
    <row r="21" ht="15.75" customHeight="1">
      <c r="A21" s="50" t="s">
        <v>299</v>
      </c>
      <c r="B21" s="43">
        <v>1.0</v>
      </c>
      <c r="C21" s="43">
        <v>15.0</v>
      </c>
      <c r="D21" s="4">
        <v>1.0</v>
      </c>
      <c r="E21" s="44">
        <v>162.0</v>
      </c>
      <c r="F21" s="45">
        <v>167.0</v>
      </c>
      <c r="G21" s="43">
        <v>158.0</v>
      </c>
      <c r="H21" s="44"/>
      <c r="I21" s="41">
        <v>1.0</v>
      </c>
      <c r="J21" s="41">
        <v>489.0</v>
      </c>
      <c r="K21" s="41"/>
      <c r="L21" s="51" t="s">
        <v>5429</v>
      </c>
      <c r="M21" s="35">
        <v>4.0</v>
      </c>
      <c r="N21" s="36" t="s">
        <v>28</v>
      </c>
      <c r="O21" s="37" t="s">
        <v>5422</v>
      </c>
      <c r="P21" s="38">
        <f t="shared" si="4"/>
        <v>221</v>
      </c>
      <c r="Q21" s="38">
        <f t="shared" si="2"/>
        <v>199</v>
      </c>
      <c r="R21" s="39">
        <f t="shared" si="3"/>
        <v>0.9004524887</v>
      </c>
      <c r="S21" s="41"/>
      <c r="T21" s="41"/>
      <c r="U21" s="41"/>
      <c r="V21" s="41"/>
      <c r="W21" s="41"/>
      <c r="X21" s="41"/>
    </row>
    <row r="22" ht="15.75" customHeight="1">
      <c r="A22" s="42" t="s">
        <v>5413</v>
      </c>
      <c r="B22" s="43">
        <v>216.0</v>
      </c>
      <c r="C22" s="43">
        <v>207.0</v>
      </c>
      <c r="D22" s="4">
        <v>577.0</v>
      </c>
      <c r="E22" s="44">
        <v>1236.0</v>
      </c>
      <c r="F22" s="45">
        <v>635.0</v>
      </c>
      <c r="G22" s="43">
        <v>472.0</v>
      </c>
      <c r="H22" s="44">
        <v>0.0</v>
      </c>
      <c r="I22" s="41">
        <v>1.0</v>
      </c>
      <c r="J22" s="41">
        <v>2958.0</v>
      </c>
      <c r="K22" s="41"/>
      <c r="L22" s="51" t="s">
        <v>5429</v>
      </c>
      <c r="M22" s="35">
        <v>4.0</v>
      </c>
      <c r="N22" s="36" t="s">
        <v>5423</v>
      </c>
      <c r="O22" s="37" t="s">
        <v>5424</v>
      </c>
      <c r="P22" s="38">
        <f t="shared" si="4"/>
        <v>31</v>
      </c>
      <c r="Q22" s="38">
        <f t="shared" si="2"/>
        <v>31</v>
      </c>
      <c r="R22" s="39">
        <f t="shared" si="3"/>
        <v>1</v>
      </c>
      <c r="S22" s="41"/>
      <c r="T22" s="41"/>
      <c r="U22" s="41"/>
      <c r="V22" s="41"/>
      <c r="W22" s="41"/>
      <c r="X22" s="41"/>
    </row>
    <row r="23" ht="15.75" customHeight="1">
      <c r="A23" s="42"/>
      <c r="B23" s="43"/>
      <c r="C23" s="43"/>
      <c r="D23" s="4"/>
      <c r="E23" s="44"/>
      <c r="F23" s="45"/>
      <c r="G23" s="43"/>
      <c r="H23" s="44"/>
      <c r="I23" s="41"/>
      <c r="J23" s="41"/>
      <c r="K23" s="41"/>
      <c r="L23" s="51" t="s">
        <v>5429</v>
      </c>
      <c r="M23" s="35">
        <v>4.0</v>
      </c>
      <c r="N23" s="36" t="s">
        <v>1465</v>
      </c>
      <c r="O23" s="37" t="s">
        <v>5424</v>
      </c>
      <c r="P23" s="38">
        <f t="shared" si="4"/>
        <v>133</v>
      </c>
      <c r="Q23" s="38">
        <f t="shared" si="2"/>
        <v>133</v>
      </c>
      <c r="R23" s="39">
        <f t="shared" si="3"/>
        <v>1</v>
      </c>
      <c r="S23" s="41"/>
      <c r="T23" s="41"/>
      <c r="U23" s="41"/>
      <c r="V23" s="41"/>
      <c r="W23" s="41"/>
      <c r="X23" s="41"/>
    </row>
    <row r="24" ht="15.75" customHeight="1">
      <c r="A24" s="42"/>
      <c r="B24" s="43"/>
      <c r="C24" s="43"/>
      <c r="D24" s="43"/>
      <c r="E24" s="44"/>
      <c r="F24" s="45"/>
      <c r="G24" s="43"/>
      <c r="H24" s="44"/>
      <c r="I24" s="41"/>
      <c r="J24" s="41"/>
      <c r="K24" s="41"/>
      <c r="L24" s="51" t="s">
        <v>5429</v>
      </c>
      <c r="M24" s="35">
        <v>4.0</v>
      </c>
      <c r="N24" s="36" t="s">
        <v>4982</v>
      </c>
      <c r="O24" s="37" t="s">
        <v>5425</v>
      </c>
      <c r="P24" s="38" t="str">
        <f t="shared" si="4"/>
        <v/>
      </c>
      <c r="Q24" s="38" t="str">
        <f t="shared" si="2"/>
        <v/>
      </c>
      <c r="R24" s="39" t="str">
        <f t="shared" si="3"/>
        <v/>
      </c>
      <c r="S24" s="41"/>
      <c r="T24" s="41"/>
      <c r="U24" s="41"/>
      <c r="V24" s="41"/>
      <c r="W24" s="41"/>
      <c r="X24" s="41"/>
    </row>
    <row r="25" ht="15.75" customHeight="1">
      <c r="A25" s="42"/>
      <c r="B25" s="4"/>
      <c r="C25" s="4"/>
      <c r="D25" s="4"/>
      <c r="E25" s="44"/>
      <c r="F25" s="45"/>
      <c r="G25" s="43"/>
      <c r="H25" s="44"/>
      <c r="I25" s="41"/>
      <c r="J25" s="41"/>
      <c r="K25" s="41"/>
      <c r="L25" s="51" t="s">
        <v>5429</v>
      </c>
      <c r="M25" s="35">
        <v>4.0</v>
      </c>
      <c r="N25" s="36" t="s">
        <v>299</v>
      </c>
      <c r="O25" s="37" t="s">
        <v>5426</v>
      </c>
      <c r="P25" s="38">
        <f t="shared" si="4"/>
        <v>198</v>
      </c>
      <c r="Q25" s="38">
        <f t="shared" si="2"/>
        <v>162</v>
      </c>
      <c r="R25" s="39">
        <f t="shared" si="3"/>
        <v>0.8181818182</v>
      </c>
      <c r="S25" s="41"/>
      <c r="T25" s="41"/>
      <c r="U25" s="41"/>
      <c r="V25" s="41"/>
      <c r="W25" s="41"/>
      <c r="X25" s="41"/>
    </row>
    <row r="26" ht="15.75" customHeight="1">
      <c r="A26" s="42"/>
      <c r="B26" s="43"/>
      <c r="C26" s="43"/>
      <c r="D26" s="43"/>
      <c r="E26" s="44"/>
      <c r="F26" s="45"/>
      <c r="G26" s="43"/>
      <c r="H26" s="44"/>
      <c r="I26" s="41"/>
      <c r="J26" s="41"/>
      <c r="K26" s="41"/>
      <c r="L26" s="52" t="s">
        <v>5430</v>
      </c>
      <c r="M26" s="35">
        <v>5.0</v>
      </c>
      <c r="N26" s="36" t="s">
        <v>10</v>
      </c>
      <c r="O26" s="37" t="s">
        <v>5421</v>
      </c>
      <c r="P26" s="38">
        <f t="shared" si="4"/>
        <v>240</v>
      </c>
      <c r="Q26" s="38">
        <f t="shared" si="2"/>
        <v>237</v>
      </c>
      <c r="R26" s="39">
        <f t="shared" si="3"/>
        <v>0.9875</v>
      </c>
      <c r="S26" s="41"/>
      <c r="T26" s="41"/>
      <c r="U26" s="41"/>
      <c r="V26" s="41"/>
      <c r="W26" s="41"/>
      <c r="X26" s="41"/>
    </row>
    <row r="27" ht="15.75" customHeight="1">
      <c r="A27" s="42"/>
      <c r="B27" s="43"/>
      <c r="C27" s="43"/>
      <c r="D27" s="4"/>
      <c r="E27" s="44"/>
      <c r="F27" s="45"/>
      <c r="G27" s="53"/>
      <c r="H27" s="44"/>
      <c r="I27" s="41"/>
      <c r="J27" s="41"/>
      <c r="K27" s="41"/>
      <c r="L27" s="52" t="s">
        <v>5430</v>
      </c>
      <c r="M27" s="35">
        <v>5.0</v>
      </c>
      <c r="N27" s="36" t="s">
        <v>28</v>
      </c>
      <c r="O27" s="37" t="s">
        <v>5422</v>
      </c>
      <c r="P27" s="38">
        <f t="shared" si="4"/>
        <v>254</v>
      </c>
      <c r="Q27" s="38">
        <f t="shared" si="2"/>
        <v>238</v>
      </c>
      <c r="R27" s="39">
        <f t="shared" si="3"/>
        <v>0.937007874</v>
      </c>
      <c r="S27" s="41"/>
      <c r="T27" s="41"/>
      <c r="U27" s="41"/>
      <c r="V27" s="41"/>
      <c r="W27" s="41"/>
      <c r="X27" s="41"/>
    </row>
    <row r="28" ht="15.75" customHeight="1">
      <c r="A28" s="42"/>
      <c r="B28" s="43"/>
      <c r="C28" s="43"/>
      <c r="D28" s="4"/>
      <c r="E28" s="44"/>
      <c r="F28" s="45"/>
      <c r="G28" s="43"/>
      <c r="H28" s="44"/>
      <c r="I28" s="41"/>
      <c r="J28" s="41"/>
      <c r="K28" s="41"/>
      <c r="L28" s="52" t="s">
        <v>5430</v>
      </c>
      <c r="M28" s="35">
        <v>5.0</v>
      </c>
      <c r="N28" s="36" t="s">
        <v>5423</v>
      </c>
      <c r="O28" s="37" t="s">
        <v>5424</v>
      </c>
      <c r="P28" s="38">
        <f t="shared" si="4"/>
        <v>16</v>
      </c>
      <c r="Q28" s="38">
        <f t="shared" si="2"/>
        <v>16</v>
      </c>
      <c r="R28" s="39">
        <f t="shared" si="3"/>
        <v>1</v>
      </c>
      <c r="S28" s="41"/>
      <c r="T28" s="41"/>
      <c r="U28" s="41"/>
      <c r="V28" s="41"/>
      <c r="W28" s="41"/>
      <c r="X28" s="41"/>
    </row>
    <row r="29" ht="15.75" customHeight="1">
      <c r="A29" s="42"/>
      <c r="B29" s="43"/>
      <c r="C29" s="43"/>
      <c r="D29" s="4"/>
      <c r="E29" s="44"/>
      <c r="F29" s="45"/>
      <c r="G29" s="43"/>
      <c r="H29" s="44"/>
      <c r="I29" s="41"/>
      <c r="J29" s="41"/>
      <c r="K29" s="41"/>
      <c r="L29" s="52" t="s">
        <v>5430</v>
      </c>
      <c r="M29" s="35">
        <v>5.0</v>
      </c>
      <c r="N29" s="36" t="s">
        <v>1465</v>
      </c>
      <c r="O29" s="37" t="s">
        <v>5424</v>
      </c>
      <c r="P29" s="38">
        <f t="shared" si="4"/>
        <v>87</v>
      </c>
      <c r="Q29" s="38">
        <f t="shared" si="2"/>
        <v>85</v>
      </c>
      <c r="R29" s="39">
        <f t="shared" si="3"/>
        <v>0.9770114943</v>
      </c>
      <c r="S29" s="41"/>
      <c r="T29" s="41"/>
      <c r="U29" s="41"/>
      <c r="V29" s="41"/>
      <c r="W29" s="41"/>
      <c r="X29" s="41"/>
    </row>
    <row r="30" ht="15.75" customHeight="1">
      <c r="A30" s="42"/>
      <c r="B30" s="43"/>
      <c r="C30" s="43"/>
      <c r="D30" s="43"/>
      <c r="E30" s="44"/>
      <c r="F30" s="45"/>
      <c r="G30" s="43"/>
      <c r="H30" s="44"/>
      <c r="I30" s="41"/>
      <c r="J30" s="41"/>
      <c r="K30" s="41"/>
      <c r="L30" s="52" t="s">
        <v>5430</v>
      </c>
      <c r="M30" s="35">
        <v>5.0</v>
      </c>
      <c r="N30" s="36" t="s">
        <v>4982</v>
      </c>
      <c r="O30" s="37" t="s">
        <v>5425</v>
      </c>
      <c r="P30" s="38" t="str">
        <f t="shared" si="4"/>
        <v/>
      </c>
      <c r="Q30" s="38" t="str">
        <f t="shared" si="2"/>
        <v/>
      </c>
      <c r="R30" s="39" t="str">
        <f t="shared" si="3"/>
        <v/>
      </c>
      <c r="S30" s="41"/>
      <c r="T30" s="41"/>
      <c r="U30" s="41"/>
      <c r="V30" s="41"/>
      <c r="W30" s="41"/>
      <c r="X30" s="41"/>
    </row>
    <row r="31" ht="15.75" customHeight="1">
      <c r="A31" s="42"/>
      <c r="B31" s="4"/>
      <c r="C31" s="4"/>
      <c r="D31" s="4"/>
      <c r="E31" s="44"/>
      <c r="F31" s="45"/>
      <c r="G31" s="43"/>
      <c r="H31" s="44"/>
      <c r="I31" s="41"/>
      <c r="J31" s="41"/>
      <c r="K31" s="41"/>
      <c r="L31" s="52" t="s">
        <v>5430</v>
      </c>
      <c r="M31" s="35">
        <v>5.0</v>
      </c>
      <c r="N31" s="36" t="s">
        <v>299</v>
      </c>
      <c r="O31" s="37" t="s">
        <v>5426</v>
      </c>
      <c r="P31" s="38">
        <f t="shared" si="4"/>
        <v>171</v>
      </c>
      <c r="Q31" s="38">
        <f t="shared" si="2"/>
        <v>167</v>
      </c>
      <c r="R31" s="39">
        <f t="shared" si="3"/>
        <v>0.9766081871</v>
      </c>
      <c r="S31" s="41"/>
      <c r="T31" s="41"/>
      <c r="U31" s="41"/>
      <c r="V31" s="41"/>
      <c r="W31" s="41"/>
      <c r="X31" s="41"/>
    </row>
    <row r="32" ht="15.75" customHeight="1">
      <c r="A32" s="43"/>
      <c r="B32" s="43"/>
      <c r="C32" s="43"/>
      <c r="D32" s="43"/>
      <c r="E32" s="44"/>
      <c r="F32" s="45"/>
      <c r="G32" s="43"/>
      <c r="H32" s="44"/>
      <c r="I32" s="41"/>
      <c r="J32" s="41"/>
      <c r="K32" s="41"/>
      <c r="L32" s="34" t="s">
        <v>5431</v>
      </c>
      <c r="M32" s="35">
        <v>6.0</v>
      </c>
      <c r="N32" s="36" t="s">
        <v>10</v>
      </c>
      <c r="O32" s="37" t="s">
        <v>5421</v>
      </c>
      <c r="P32" s="38">
        <f t="shared" si="4"/>
        <v>82</v>
      </c>
      <c r="Q32" s="38">
        <f t="shared" si="2"/>
        <v>80</v>
      </c>
      <c r="R32" s="39">
        <f t="shared" si="3"/>
        <v>0.9756097561</v>
      </c>
      <c r="S32" s="41"/>
      <c r="T32" s="41"/>
      <c r="U32" s="41"/>
      <c r="V32" s="41"/>
      <c r="W32" s="41"/>
      <c r="X32" s="41"/>
    </row>
    <row r="33" ht="15.75" customHeight="1">
      <c r="A33" s="43"/>
      <c r="B33" s="43"/>
      <c r="C33" s="43"/>
      <c r="D33" s="4"/>
      <c r="E33" s="44"/>
      <c r="F33" s="45"/>
      <c r="G33" s="43"/>
      <c r="H33" s="44"/>
      <c r="I33" s="41"/>
      <c r="J33" s="41"/>
      <c r="K33" s="41"/>
      <c r="L33" s="34" t="s">
        <v>5431</v>
      </c>
      <c r="M33" s="35">
        <v>6.0</v>
      </c>
      <c r="N33" s="36" t="s">
        <v>28</v>
      </c>
      <c r="O33" s="37" t="s">
        <v>5422</v>
      </c>
      <c r="P33" s="38">
        <f t="shared" si="4"/>
        <v>282</v>
      </c>
      <c r="Q33" s="38">
        <f t="shared" si="2"/>
        <v>268</v>
      </c>
      <c r="R33" s="39">
        <f t="shared" si="3"/>
        <v>0.9503546099</v>
      </c>
      <c r="S33" s="41"/>
      <c r="T33" s="41"/>
      <c r="U33" s="41"/>
      <c r="V33" s="41"/>
      <c r="W33" s="41"/>
      <c r="X33" s="41"/>
    </row>
    <row r="34" ht="15.75" customHeight="1">
      <c r="A34" s="43"/>
      <c r="B34" s="43"/>
      <c r="C34" s="43"/>
      <c r="D34" s="4"/>
      <c r="E34" s="44"/>
      <c r="F34" s="45"/>
      <c r="G34" s="43"/>
      <c r="H34" s="44"/>
      <c r="I34" s="41"/>
      <c r="J34" s="41"/>
      <c r="K34" s="41"/>
      <c r="L34" s="34" t="s">
        <v>5431</v>
      </c>
      <c r="M34" s="35">
        <v>6.0</v>
      </c>
      <c r="N34" s="36" t="s">
        <v>5423</v>
      </c>
      <c r="O34" s="37" t="s">
        <v>5424</v>
      </c>
      <c r="P34" s="38">
        <f t="shared" si="4"/>
        <v>12</v>
      </c>
      <c r="Q34" s="38">
        <f t="shared" si="2"/>
        <v>12</v>
      </c>
      <c r="R34" s="39">
        <f t="shared" si="3"/>
        <v>1</v>
      </c>
      <c r="S34" s="41"/>
      <c r="T34" s="41"/>
      <c r="U34" s="41"/>
      <c r="V34" s="41"/>
      <c r="W34" s="41"/>
      <c r="X34" s="41"/>
    </row>
    <row r="35" ht="15.75" customHeight="1">
      <c r="A35" s="43"/>
      <c r="B35" s="43"/>
      <c r="C35" s="43"/>
      <c r="D35" s="4"/>
      <c r="E35" s="44"/>
      <c r="F35" s="45"/>
      <c r="G35" s="43"/>
      <c r="H35" s="44"/>
      <c r="I35" s="41"/>
      <c r="J35" s="41"/>
      <c r="K35" s="41"/>
      <c r="L35" s="34" t="s">
        <v>5431</v>
      </c>
      <c r="M35" s="35">
        <v>6.0</v>
      </c>
      <c r="N35" s="36" t="s">
        <v>1465</v>
      </c>
      <c r="O35" s="37" t="s">
        <v>5424</v>
      </c>
      <c r="P35" s="38">
        <f t="shared" si="4"/>
        <v>38</v>
      </c>
      <c r="Q35" s="38">
        <f t="shared" si="2"/>
        <v>37</v>
      </c>
      <c r="R35" s="39">
        <f t="shared" si="3"/>
        <v>0.9736842105</v>
      </c>
      <c r="S35" s="41"/>
      <c r="T35" s="41"/>
      <c r="U35" s="41"/>
      <c r="V35" s="41"/>
      <c r="W35" s="41"/>
      <c r="X35" s="41"/>
    </row>
    <row r="36" ht="15.75" customHeight="1">
      <c r="A36" s="43"/>
      <c r="B36" s="43"/>
      <c r="C36" s="43"/>
      <c r="D36" s="43"/>
      <c r="E36" s="44"/>
      <c r="F36" s="45"/>
      <c r="G36" s="43"/>
      <c r="H36" s="44"/>
      <c r="I36" s="41"/>
      <c r="J36" s="41"/>
      <c r="K36" s="41"/>
      <c r="L36" s="34" t="s">
        <v>5431</v>
      </c>
      <c r="M36" s="35">
        <v>6.0</v>
      </c>
      <c r="N36" s="36" t="s">
        <v>4982</v>
      </c>
      <c r="O36" s="37" t="s">
        <v>5425</v>
      </c>
      <c r="P36" s="38" t="str">
        <f t="shared" si="4"/>
        <v/>
      </c>
      <c r="Q36" s="38" t="str">
        <f t="shared" si="2"/>
        <v/>
      </c>
      <c r="R36" s="39" t="str">
        <f t="shared" si="3"/>
        <v/>
      </c>
      <c r="S36" s="41"/>
      <c r="T36" s="41"/>
      <c r="U36" s="41"/>
      <c r="V36" s="41"/>
      <c r="W36" s="41"/>
      <c r="X36" s="41"/>
    </row>
    <row r="37" ht="15.75" customHeight="1">
      <c r="A37" s="43"/>
      <c r="B37" s="4"/>
      <c r="C37" s="4"/>
      <c r="D37" s="4"/>
      <c r="E37" s="44"/>
      <c r="F37" s="45"/>
      <c r="G37" s="43"/>
      <c r="H37" s="44"/>
      <c r="I37" s="41"/>
      <c r="J37" s="41"/>
      <c r="K37" s="41"/>
      <c r="L37" s="54" t="s">
        <v>5431</v>
      </c>
      <c r="M37" s="35">
        <v>6.0</v>
      </c>
      <c r="N37" s="36" t="s">
        <v>299</v>
      </c>
      <c r="O37" s="37" t="s">
        <v>5426</v>
      </c>
      <c r="P37" s="38">
        <f t="shared" si="4"/>
        <v>162</v>
      </c>
      <c r="Q37" s="38">
        <f t="shared" si="2"/>
        <v>158</v>
      </c>
      <c r="R37" s="39">
        <f t="shared" si="3"/>
        <v>0.975308642</v>
      </c>
      <c r="S37" s="41"/>
      <c r="T37" s="41"/>
      <c r="U37" s="41"/>
      <c r="V37" s="41"/>
      <c r="W37" s="41"/>
      <c r="X37" s="41"/>
    </row>
    <row r="38" ht="15.75" customHeight="1">
      <c r="A38" s="55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56"/>
      <c r="M38" s="57"/>
      <c r="N38" s="41"/>
      <c r="O38" s="41"/>
      <c r="P38" s="41"/>
      <c r="Q38" s="41"/>
      <c r="R38" s="58"/>
      <c r="S38" s="41"/>
      <c r="T38" s="41"/>
      <c r="U38" s="41"/>
      <c r="V38" s="41"/>
      <c r="W38" s="41"/>
      <c r="X38" s="41"/>
    </row>
    <row r="39" ht="15.75" customHeight="1">
      <c r="A39" s="55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56"/>
      <c r="M39" s="41"/>
      <c r="N39" s="41"/>
      <c r="O39" s="41"/>
      <c r="P39" s="41"/>
      <c r="Q39" s="41"/>
      <c r="R39" s="58"/>
      <c r="S39" s="41"/>
      <c r="T39" s="41"/>
      <c r="U39" s="41"/>
      <c r="V39" s="41"/>
      <c r="W39" s="41"/>
      <c r="X39" s="41"/>
    </row>
    <row r="40" ht="15.75" customHeight="1">
      <c r="A40" s="55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56"/>
      <c r="M40" s="41"/>
      <c r="N40" s="41"/>
      <c r="O40" s="41"/>
      <c r="P40" s="41"/>
      <c r="Q40" s="41"/>
      <c r="R40" s="58"/>
      <c r="S40" s="41"/>
      <c r="T40" s="41"/>
      <c r="U40" s="41"/>
      <c r="V40" s="41"/>
      <c r="W40" s="41"/>
      <c r="X40" s="41"/>
    </row>
    <row r="41" ht="15.75" customHeight="1">
      <c r="A41" s="55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56"/>
      <c r="M41" s="41"/>
      <c r="N41" s="41"/>
      <c r="O41" s="41"/>
      <c r="P41" s="41"/>
      <c r="Q41" s="41"/>
      <c r="R41" s="58"/>
      <c r="S41" s="41"/>
      <c r="T41" s="41"/>
      <c r="U41" s="41"/>
      <c r="V41" s="41"/>
      <c r="W41" s="41"/>
      <c r="X41" s="41"/>
    </row>
    <row r="42" ht="15.75" customHeight="1">
      <c r="A42" s="55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56"/>
      <c r="M42" s="41"/>
      <c r="N42" s="41"/>
      <c r="O42" s="41"/>
      <c r="P42" s="41"/>
      <c r="Q42" s="41"/>
      <c r="R42" s="58"/>
      <c r="S42" s="41"/>
      <c r="T42" s="41"/>
      <c r="U42" s="41"/>
      <c r="V42" s="41"/>
      <c r="W42" s="41"/>
      <c r="X42" s="41"/>
    </row>
    <row r="43" ht="15.75" customHeight="1">
      <c r="A43" s="55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56"/>
      <c r="M43" s="41"/>
      <c r="N43" s="41"/>
      <c r="O43" s="41"/>
      <c r="P43" s="41"/>
      <c r="Q43" s="41"/>
      <c r="R43" s="58"/>
      <c r="S43" s="41"/>
      <c r="T43" s="41"/>
      <c r="U43" s="41"/>
      <c r="V43" s="41"/>
      <c r="W43" s="41"/>
      <c r="X43" s="41"/>
    </row>
    <row r="44" ht="15.75" customHeight="1">
      <c r="A44" s="55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56"/>
      <c r="M44" s="41"/>
      <c r="N44" s="41"/>
      <c r="O44" s="41"/>
      <c r="P44" s="41"/>
      <c r="Q44" s="41"/>
      <c r="R44" s="58"/>
      <c r="S44" s="41"/>
      <c r="T44" s="41"/>
      <c r="U44" s="41"/>
      <c r="V44" s="41"/>
      <c r="W44" s="41"/>
      <c r="X44" s="41"/>
    </row>
    <row r="45" ht="15.75" customHeight="1">
      <c r="A45" s="55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56"/>
      <c r="M45" s="41"/>
      <c r="N45" s="41"/>
      <c r="O45" s="41"/>
      <c r="P45" s="41"/>
      <c r="Q45" s="41"/>
      <c r="R45" s="58"/>
      <c r="S45" s="41"/>
      <c r="T45" s="41"/>
      <c r="U45" s="41"/>
      <c r="V45" s="41"/>
      <c r="W45" s="41"/>
      <c r="X45" s="41"/>
    </row>
    <row r="46" ht="15.75" customHeight="1">
      <c r="A46" s="55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56"/>
      <c r="M46" s="41"/>
      <c r="N46" s="41"/>
      <c r="O46" s="41"/>
      <c r="P46" s="41"/>
      <c r="Q46" s="41"/>
      <c r="R46" s="58"/>
      <c r="S46" s="41"/>
      <c r="T46" s="41"/>
      <c r="U46" s="41"/>
      <c r="V46" s="41"/>
      <c r="W46" s="41"/>
      <c r="X46" s="41"/>
    </row>
    <row r="47" ht="15.75" customHeight="1">
      <c r="A47" s="55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56"/>
      <c r="M47" s="41"/>
      <c r="N47" s="41"/>
      <c r="O47" s="41"/>
      <c r="P47" s="41"/>
      <c r="Q47" s="41"/>
      <c r="R47" s="58"/>
      <c r="S47" s="41"/>
      <c r="T47" s="41"/>
      <c r="U47" s="41"/>
      <c r="V47" s="41"/>
      <c r="W47" s="41"/>
      <c r="X47" s="41"/>
    </row>
    <row r="48" ht="15.75" customHeight="1">
      <c r="A48" s="55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56"/>
      <c r="M48" s="41"/>
      <c r="N48" s="41"/>
      <c r="O48" s="41"/>
      <c r="P48" s="41"/>
      <c r="Q48" s="41"/>
      <c r="R48" s="58"/>
      <c r="S48" s="41"/>
      <c r="T48" s="41"/>
      <c r="U48" s="41"/>
      <c r="V48" s="41"/>
      <c r="W48" s="41"/>
      <c r="X48" s="41"/>
    </row>
    <row r="49" ht="15.75" customHeight="1">
      <c r="A49" s="55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56"/>
      <c r="M49" s="41"/>
      <c r="N49" s="41"/>
      <c r="O49" s="41"/>
      <c r="P49" s="41"/>
      <c r="Q49" s="41"/>
      <c r="R49" s="58"/>
      <c r="S49" s="41"/>
      <c r="T49" s="41"/>
      <c r="U49" s="41"/>
      <c r="V49" s="41"/>
      <c r="W49" s="41"/>
      <c r="X49" s="41"/>
    </row>
    <row r="50" ht="15.75" customHeight="1">
      <c r="A50" s="55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56"/>
      <c r="M50" s="41"/>
      <c r="N50" s="41"/>
      <c r="O50" s="41"/>
      <c r="P50" s="41"/>
      <c r="Q50" s="41"/>
      <c r="R50" s="58"/>
      <c r="S50" s="41"/>
      <c r="T50" s="41"/>
      <c r="U50" s="41"/>
      <c r="V50" s="41"/>
      <c r="W50" s="41"/>
      <c r="X50" s="41"/>
    </row>
    <row r="51" ht="15.75" customHeight="1">
      <c r="A51" s="55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56"/>
      <c r="M51" s="41"/>
      <c r="N51" s="41"/>
      <c r="O51" s="41"/>
      <c r="P51" s="41"/>
      <c r="Q51" s="41"/>
      <c r="R51" s="58"/>
      <c r="S51" s="41"/>
      <c r="T51" s="41"/>
      <c r="U51" s="41"/>
      <c r="V51" s="41"/>
      <c r="W51" s="41"/>
      <c r="X51" s="41"/>
    </row>
    <row r="52" ht="15.75" customHeight="1">
      <c r="A52" s="55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56"/>
      <c r="M52" s="41"/>
      <c r="N52" s="41"/>
      <c r="O52" s="41"/>
      <c r="P52" s="41"/>
      <c r="Q52" s="41"/>
      <c r="R52" s="58"/>
      <c r="S52" s="41"/>
      <c r="T52" s="41"/>
      <c r="U52" s="41"/>
      <c r="V52" s="41"/>
      <c r="W52" s="41"/>
      <c r="X52" s="41"/>
    </row>
    <row r="53" ht="15.75" customHeight="1">
      <c r="A53" s="55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56"/>
      <c r="M53" s="41"/>
      <c r="N53" s="41"/>
      <c r="O53" s="41"/>
      <c r="P53" s="41"/>
      <c r="Q53" s="41"/>
      <c r="R53" s="58"/>
      <c r="S53" s="41"/>
      <c r="T53" s="41"/>
      <c r="U53" s="41"/>
      <c r="V53" s="41"/>
      <c r="W53" s="41"/>
      <c r="X53" s="41"/>
    </row>
    <row r="54" ht="15.75" customHeight="1">
      <c r="A54" s="55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56"/>
      <c r="M54" s="41"/>
      <c r="N54" s="41"/>
      <c r="O54" s="41"/>
      <c r="P54" s="41"/>
      <c r="Q54" s="41"/>
      <c r="R54" s="58"/>
      <c r="S54" s="41"/>
      <c r="T54" s="41"/>
      <c r="U54" s="41"/>
      <c r="V54" s="41"/>
      <c r="W54" s="41"/>
      <c r="X54" s="41"/>
    </row>
    <row r="55" ht="15.75" customHeight="1">
      <c r="A55" s="55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56"/>
      <c r="M55" s="41"/>
      <c r="N55" s="41"/>
      <c r="O55" s="41"/>
      <c r="P55" s="41"/>
      <c r="Q55" s="41"/>
      <c r="R55" s="58"/>
      <c r="S55" s="41"/>
      <c r="T55" s="41"/>
      <c r="U55" s="41"/>
      <c r="V55" s="41"/>
      <c r="W55" s="41"/>
      <c r="X55" s="41"/>
    </row>
    <row r="56" ht="15.75" customHeight="1">
      <c r="A56" s="55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56"/>
      <c r="M56" s="41"/>
      <c r="N56" s="41"/>
      <c r="O56" s="41"/>
      <c r="P56" s="41"/>
      <c r="Q56" s="41"/>
      <c r="R56" s="58"/>
      <c r="S56" s="41"/>
      <c r="T56" s="41"/>
      <c r="U56" s="41"/>
      <c r="V56" s="41"/>
      <c r="W56" s="41"/>
      <c r="X56" s="41"/>
    </row>
    <row r="57" ht="15.75" customHeight="1">
      <c r="A57" s="55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56"/>
      <c r="M57" s="41"/>
      <c r="N57" s="41"/>
      <c r="O57" s="41"/>
      <c r="P57" s="41"/>
      <c r="Q57" s="41"/>
      <c r="R57" s="58"/>
      <c r="S57" s="41"/>
      <c r="T57" s="41"/>
      <c r="U57" s="41"/>
      <c r="V57" s="41"/>
      <c r="W57" s="41"/>
      <c r="X57" s="41"/>
    </row>
    <row r="58" ht="15.75" customHeight="1">
      <c r="A58" s="55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56"/>
      <c r="M58" s="41"/>
      <c r="N58" s="41"/>
      <c r="O58" s="41"/>
      <c r="P58" s="41"/>
      <c r="Q58" s="41"/>
      <c r="R58" s="58"/>
      <c r="S58" s="41"/>
      <c r="T58" s="41"/>
      <c r="U58" s="41"/>
      <c r="V58" s="41"/>
      <c r="W58" s="41"/>
      <c r="X58" s="41"/>
    </row>
    <row r="59" ht="15.75" customHeight="1">
      <c r="A59" s="55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56"/>
      <c r="M59" s="41"/>
      <c r="N59" s="41"/>
      <c r="O59" s="41"/>
      <c r="P59" s="41"/>
      <c r="Q59" s="41"/>
      <c r="R59" s="58"/>
      <c r="S59" s="41"/>
      <c r="T59" s="41"/>
      <c r="U59" s="41"/>
      <c r="V59" s="41"/>
      <c r="W59" s="41"/>
      <c r="X59" s="41"/>
    </row>
    <row r="60" ht="15.75" customHeight="1">
      <c r="A60" s="55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56"/>
      <c r="M60" s="41"/>
      <c r="N60" s="41"/>
      <c r="O60" s="41"/>
      <c r="P60" s="41"/>
      <c r="Q60" s="41"/>
      <c r="R60" s="58"/>
      <c r="S60" s="41"/>
      <c r="T60" s="41"/>
      <c r="U60" s="41"/>
      <c r="V60" s="41"/>
      <c r="W60" s="41"/>
      <c r="X60" s="41"/>
    </row>
    <row r="61" ht="15.75" customHeight="1">
      <c r="A61" s="55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56"/>
      <c r="M61" s="41"/>
      <c r="N61" s="41"/>
      <c r="O61" s="41"/>
      <c r="P61" s="41"/>
      <c r="Q61" s="41"/>
      <c r="R61" s="58"/>
      <c r="S61" s="41"/>
      <c r="T61" s="41"/>
      <c r="U61" s="41"/>
      <c r="V61" s="41"/>
      <c r="W61" s="41"/>
      <c r="X61" s="41"/>
    </row>
    <row r="62" ht="15.75" customHeight="1">
      <c r="A62" s="55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56"/>
      <c r="M62" s="41"/>
      <c r="N62" s="41"/>
      <c r="O62" s="41"/>
      <c r="P62" s="41"/>
      <c r="Q62" s="41"/>
      <c r="R62" s="58"/>
      <c r="S62" s="41"/>
      <c r="T62" s="41"/>
      <c r="U62" s="41"/>
      <c r="V62" s="41"/>
      <c r="W62" s="41"/>
      <c r="X62" s="41"/>
    </row>
    <row r="63" ht="15.75" customHeight="1">
      <c r="A63" s="55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56"/>
      <c r="M63" s="41"/>
      <c r="N63" s="41"/>
      <c r="O63" s="41"/>
      <c r="P63" s="41"/>
      <c r="Q63" s="41"/>
      <c r="R63" s="58"/>
      <c r="S63" s="41"/>
      <c r="T63" s="41"/>
      <c r="U63" s="41"/>
      <c r="V63" s="41"/>
      <c r="W63" s="41"/>
      <c r="X63" s="41"/>
    </row>
    <row r="64" ht="15.75" customHeight="1">
      <c r="A64" s="55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56"/>
      <c r="M64" s="41"/>
      <c r="N64" s="41"/>
      <c r="O64" s="41"/>
      <c r="P64" s="41"/>
      <c r="Q64" s="41"/>
      <c r="R64" s="58"/>
      <c r="S64" s="41"/>
      <c r="T64" s="41"/>
      <c r="U64" s="41"/>
      <c r="V64" s="41"/>
      <c r="W64" s="41"/>
      <c r="X64" s="41"/>
    </row>
    <row r="65" ht="15.75" customHeight="1">
      <c r="A65" s="55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56"/>
      <c r="M65" s="41"/>
      <c r="N65" s="41"/>
      <c r="O65" s="41"/>
      <c r="P65" s="41"/>
      <c r="Q65" s="41"/>
      <c r="R65" s="58"/>
      <c r="S65" s="41"/>
      <c r="T65" s="41"/>
      <c r="U65" s="41"/>
      <c r="V65" s="41"/>
      <c r="W65" s="41"/>
      <c r="X65" s="41"/>
    </row>
    <row r="66" ht="15.75" customHeight="1">
      <c r="A66" s="55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56"/>
      <c r="M66" s="41"/>
      <c r="N66" s="41"/>
      <c r="O66" s="41"/>
      <c r="P66" s="41"/>
      <c r="Q66" s="41"/>
      <c r="R66" s="58"/>
      <c r="S66" s="41"/>
      <c r="T66" s="41"/>
      <c r="U66" s="41"/>
      <c r="V66" s="41"/>
      <c r="W66" s="41"/>
      <c r="X66" s="41"/>
    </row>
    <row r="67" ht="15.75" customHeight="1">
      <c r="A67" s="55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56"/>
      <c r="M67" s="41"/>
      <c r="N67" s="41"/>
      <c r="O67" s="41"/>
      <c r="P67" s="41"/>
      <c r="Q67" s="41"/>
      <c r="R67" s="58"/>
      <c r="S67" s="41"/>
      <c r="T67" s="41"/>
      <c r="U67" s="41"/>
      <c r="V67" s="41"/>
      <c r="W67" s="41"/>
      <c r="X67" s="41"/>
    </row>
    <row r="68" ht="15.75" customHeight="1">
      <c r="A68" s="55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56"/>
      <c r="M68" s="41"/>
      <c r="N68" s="41"/>
      <c r="O68" s="41"/>
      <c r="P68" s="41"/>
      <c r="Q68" s="41"/>
      <c r="R68" s="58"/>
      <c r="S68" s="41"/>
      <c r="T68" s="41"/>
      <c r="U68" s="41"/>
      <c r="V68" s="41"/>
      <c r="W68" s="41"/>
      <c r="X68" s="41"/>
    </row>
    <row r="69" ht="15.75" customHeight="1">
      <c r="A69" s="55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56"/>
      <c r="M69" s="41"/>
      <c r="N69" s="41"/>
      <c r="O69" s="41"/>
      <c r="P69" s="41"/>
      <c r="Q69" s="41"/>
      <c r="R69" s="58"/>
      <c r="S69" s="41"/>
      <c r="T69" s="41"/>
      <c r="U69" s="41"/>
      <c r="V69" s="41"/>
      <c r="W69" s="41"/>
      <c r="X69" s="41"/>
    </row>
    <row r="70" ht="15.75" customHeight="1">
      <c r="A70" s="55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56"/>
      <c r="M70" s="41"/>
      <c r="N70" s="41"/>
      <c r="O70" s="41"/>
      <c r="P70" s="41"/>
      <c r="Q70" s="41"/>
      <c r="R70" s="58"/>
      <c r="S70" s="41"/>
      <c r="T70" s="41"/>
      <c r="U70" s="41"/>
      <c r="V70" s="41"/>
      <c r="W70" s="41"/>
      <c r="X70" s="41"/>
    </row>
    <row r="71" ht="15.75" customHeight="1">
      <c r="A71" s="55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56"/>
      <c r="M71" s="41"/>
      <c r="N71" s="41"/>
      <c r="O71" s="41"/>
      <c r="P71" s="41"/>
      <c r="Q71" s="41"/>
      <c r="R71" s="58"/>
      <c r="S71" s="41"/>
      <c r="T71" s="41"/>
      <c r="U71" s="41"/>
      <c r="V71" s="41"/>
      <c r="W71" s="41"/>
      <c r="X71" s="41"/>
    </row>
    <row r="72" ht="15.75" customHeight="1">
      <c r="A72" s="55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56"/>
      <c r="M72" s="41"/>
      <c r="N72" s="41"/>
      <c r="O72" s="41"/>
      <c r="P72" s="41"/>
      <c r="Q72" s="41"/>
      <c r="R72" s="58"/>
      <c r="S72" s="41"/>
      <c r="T72" s="41"/>
      <c r="U72" s="41"/>
      <c r="V72" s="41"/>
      <c r="W72" s="41"/>
      <c r="X72" s="41"/>
    </row>
    <row r="73" ht="15.75" customHeight="1">
      <c r="A73" s="55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56"/>
      <c r="M73" s="41"/>
      <c r="N73" s="41"/>
      <c r="O73" s="41"/>
      <c r="P73" s="41"/>
      <c r="Q73" s="41"/>
      <c r="R73" s="58"/>
      <c r="S73" s="41"/>
      <c r="T73" s="41"/>
      <c r="U73" s="41"/>
      <c r="V73" s="41"/>
      <c r="W73" s="41"/>
      <c r="X73" s="41"/>
    </row>
    <row r="74" ht="15.75" customHeight="1">
      <c r="A74" s="55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56"/>
      <c r="M74" s="41"/>
      <c r="N74" s="41"/>
      <c r="O74" s="41"/>
      <c r="P74" s="41"/>
      <c r="Q74" s="41"/>
      <c r="R74" s="58"/>
      <c r="S74" s="41"/>
      <c r="T74" s="41"/>
      <c r="U74" s="41"/>
      <c r="V74" s="41"/>
      <c r="W74" s="41"/>
      <c r="X74" s="41"/>
    </row>
    <row r="75" ht="15.75" customHeight="1">
      <c r="A75" s="55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56"/>
      <c r="M75" s="41"/>
      <c r="N75" s="41"/>
      <c r="O75" s="41"/>
      <c r="P75" s="41"/>
      <c r="Q75" s="41"/>
      <c r="R75" s="58"/>
      <c r="S75" s="41"/>
      <c r="T75" s="41"/>
      <c r="U75" s="41"/>
      <c r="V75" s="41"/>
      <c r="W75" s="41"/>
      <c r="X75" s="41"/>
    </row>
    <row r="76" ht="15.75" customHeight="1">
      <c r="A76" s="55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56"/>
      <c r="M76" s="41"/>
      <c r="N76" s="41"/>
      <c r="O76" s="41"/>
      <c r="P76" s="41"/>
      <c r="Q76" s="41"/>
      <c r="R76" s="58"/>
      <c r="S76" s="41"/>
      <c r="T76" s="41"/>
      <c r="U76" s="41"/>
      <c r="V76" s="41"/>
      <c r="W76" s="41"/>
      <c r="X76" s="41"/>
    </row>
    <row r="77" ht="15.75" customHeight="1">
      <c r="A77" s="5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56"/>
      <c r="M77" s="41"/>
      <c r="N77" s="41"/>
      <c r="O77" s="41"/>
      <c r="P77" s="41"/>
      <c r="Q77" s="41"/>
      <c r="R77" s="58"/>
      <c r="S77" s="41"/>
      <c r="T77" s="41"/>
      <c r="U77" s="41"/>
      <c r="V77" s="41"/>
      <c r="W77" s="41"/>
      <c r="X77" s="41"/>
    </row>
    <row r="78" ht="15.75" customHeight="1">
      <c r="A78" s="55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56"/>
      <c r="M78" s="41"/>
      <c r="N78" s="41"/>
      <c r="O78" s="41"/>
      <c r="P78" s="41"/>
      <c r="Q78" s="41"/>
      <c r="R78" s="58"/>
      <c r="S78" s="41"/>
      <c r="T78" s="41"/>
      <c r="U78" s="41"/>
      <c r="V78" s="41"/>
      <c r="W78" s="41"/>
      <c r="X78" s="41"/>
    </row>
    <row r="79" ht="15.75" customHeight="1">
      <c r="A79" s="55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56"/>
      <c r="M79" s="41"/>
      <c r="N79" s="41"/>
      <c r="O79" s="41"/>
      <c r="P79" s="41"/>
      <c r="Q79" s="41"/>
      <c r="R79" s="58"/>
      <c r="S79" s="41"/>
      <c r="T79" s="41"/>
      <c r="U79" s="41"/>
      <c r="V79" s="41"/>
      <c r="W79" s="41"/>
      <c r="X79" s="41"/>
    </row>
    <row r="80" ht="15.75" customHeight="1">
      <c r="A80" s="55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56"/>
      <c r="M80" s="41"/>
      <c r="N80" s="41"/>
      <c r="O80" s="41"/>
      <c r="P80" s="41"/>
      <c r="Q80" s="41"/>
      <c r="R80" s="58"/>
      <c r="S80" s="41"/>
      <c r="T80" s="41"/>
      <c r="U80" s="41"/>
      <c r="V80" s="41"/>
      <c r="W80" s="41"/>
      <c r="X80" s="41"/>
    </row>
    <row r="81" ht="15.75" customHeight="1">
      <c r="A81" s="55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56"/>
      <c r="M81" s="41"/>
      <c r="N81" s="41"/>
      <c r="O81" s="41"/>
      <c r="P81" s="41"/>
      <c r="Q81" s="41"/>
      <c r="R81" s="58"/>
      <c r="S81" s="41"/>
      <c r="T81" s="41"/>
      <c r="U81" s="41"/>
      <c r="V81" s="41"/>
      <c r="W81" s="41"/>
      <c r="X81" s="41"/>
    </row>
    <row r="82" ht="15.75" customHeight="1">
      <c r="A82" s="55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56"/>
      <c r="M82" s="41"/>
      <c r="N82" s="41"/>
      <c r="O82" s="41"/>
      <c r="P82" s="41"/>
      <c r="Q82" s="41"/>
      <c r="R82" s="58"/>
      <c r="S82" s="41"/>
      <c r="T82" s="41"/>
      <c r="U82" s="41"/>
      <c r="V82" s="41"/>
      <c r="W82" s="41"/>
      <c r="X82" s="41"/>
    </row>
    <row r="83" ht="15.75" customHeight="1">
      <c r="A83" s="55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56"/>
      <c r="M83" s="41"/>
      <c r="N83" s="41"/>
      <c r="O83" s="41"/>
      <c r="P83" s="41"/>
      <c r="Q83" s="41"/>
      <c r="R83" s="58"/>
      <c r="S83" s="41"/>
      <c r="T83" s="41"/>
      <c r="U83" s="41"/>
      <c r="V83" s="41"/>
      <c r="W83" s="41"/>
      <c r="X83" s="41"/>
    </row>
    <row r="84" ht="15.75" customHeight="1">
      <c r="A84" s="55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56"/>
      <c r="M84" s="41"/>
      <c r="N84" s="41"/>
      <c r="O84" s="41"/>
      <c r="P84" s="41"/>
      <c r="Q84" s="41"/>
      <c r="R84" s="58"/>
      <c r="S84" s="41"/>
      <c r="T84" s="41"/>
      <c r="U84" s="41"/>
      <c r="V84" s="41"/>
      <c r="W84" s="41"/>
      <c r="X84" s="41"/>
    </row>
    <row r="85" ht="15.75" customHeight="1">
      <c r="A85" s="55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56"/>
      <c r="M85" s="41"/>
      <c r="N85" s="41"/>
      <c r="O85" s="41"/>
      <c r="P85" s="41"/>
      <c r="Q85" s="41"/>
      <c r="R85" s="58"/>
      <c r="S85" s="41"/>
      <c r="T85" s="41"/>
      <c r="U85" s="41"/>
      <c r="V85" s="41"/>
      <c r="W85" s="41"/>
      <c r="X85" s="41"/>
    </row>
    <row r="86" ht="15.75" customHeight="1">
      <c r="A86" s="55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56"/>
      <c r="M86" s="41"/>
      <c r="N86" s="41"/>
      <c r="O86" s="41"/>
      <c r="P86" s="41"/>
      <c r="Q86" s="41"/>
      <c r="R86" s="58"/>
      <c r="S86" s="41"/>
      <c r="T86" s="41"/>
      <c r="U86" s="41"/>
      <c r="V86" s="41"/>
      <c r="W86" s="41"/>
      <c r="X86" s="41"/>
    </row>
    <row r="87" ht="15.75" customHeight="1">
      <c r="A87" s="55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56"/>
      <c r="M87" s="41"/>
      <c r="N87" s="41"/>
      <c r="O87" s="41"/>
      <c r="P87" s="41"/>
      <c r="Q87" s="41"/>
      <c r="R87" s="58"/>
      <c r="S87" s="41"/>
      <c r="T87" s="41"/>
      <c r="U87" s="41"/>
      <c r="V87" s="41"/>
      <c r="W87" s="41"/>
      <c r="X87" s="41"/>
    </row>
    <row r="88" ht="15.75" customHeight="1">
      <c r="A88" s="55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56"/>
      <c r="M88" s="41"/>
      <c r="N88" s="41"/>
      <c r="O88" s="41"/>
      <c r="P88" s="41"/>
      <c r="Q88" s="41"/>
      <c r="R88" s="58"/>
      <c r="S88" s="41"/>
      <c r="T88" s="41"/>
      <c r="U88" s="41"/>
      <c r="V88" s="41"/>
      <c r="W88" s="41"/>
      <c r="X88" s="41"/>
    </row>
    <row r="89" ht="15.75" customHeight="1">
      <c r="A89" s="55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56"/>
      <c r="M89" s="41"/>
      <c r="N89" s="41"/>
      <c r="O89" s="41"/>
      <c r="P89" s="41"/>
      <c r="Q89" s="41"/>
      <c r="R89" s="58"/>
      <c r="S89" s="41"/>
      <c r="T89" s="41"/>
      <c r="U89" s="41"/>
      <c r="V89" s="41"/>
      <c r="W89" s="41"/>
      <c r="X89" s="41"/>
    </row>
    <row r="90" ht="15.75" customHeight="1">
      <c r="A90" s="55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56"/>
      <c r="M90" s="41"/>
      <c r="N90" s="41"/>
      <c r="O90" s="41"/>
      <c r="P90" s="41"/>
      <c r="Q90" s="41"/>
      <c r="R90" s="58"/>
      <c r="S90" s="41"/>
      <c r="T90" s="41"/>
      <c r="U90" s="41"/>
      <c r="V90" s="41"/>
      <c r="W90" s="41"/>
      <c r="X90" s="41"/>
    </row>
    <row r="91" ht="15.75" customHeight="1">
      <c r="A91" s="55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56"/>
      <c r="M91" s="41"/>
      <c r="N91" s="41"/>
      <c r="O91" s="41"/>
      <c r="P91" s="41"/>
      <c r="Q91" s="41"/>
      <c r="R91" s="58"/>
      <c r="S91" s="41"/>
      <c r="T91" s="41"/>
      <c r="U91" s="41"/>
      <c r="V91" s="41"/>
      <c r="W91" s="41"/>
      <c r="X91" s="41"/>
    </row>
    <row r="92" ht="15.75" customHeight="1">
      <c r="A92" s="55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56"/>
      <c r="M92" s="41"/>
      <c r="N92" s="41"/>
      <c r="O92" s="41"/>
      <c r="P92" s="41"/>
      <c r="Q92" s="41"/>
      <c r="R92" s="58"/>
      <c r="S92" s="41"/>
      <c r="T92" s="41"/>
      <c r="U92" s="41"/>
      <c r="V92" s="41"/>
      <c r="W92" s="41"/>
      <c r="X92" s="41"/>
    </row>
    <row r="93" ht="15.75" customHeight="1">
      <c r="A93" s="55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56"/>
      <c r="M93" s="41"/>
      <c r="N93" s="41"/>
      <c r="O93" s="41"/>
      <c r="P93" s="41"/>
      <c r="Q93" s="41"/>
      <c r="R93" s="58"/>
      <c r="S93" s="41"/>
      <c r="T93" s="41"/>
      <c r="U93" s="41"/>
      <c r="V93" s="41"/>
      <c r="W93" s="41"/>
      <c r="X93" s="41"/>
    </row>
    <row r="94" ht="15.75" customHeight="1">
      <c r="A94" s="55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56"/>
      <c r="M94" s="41"/>
      <c r="N94" s="41"/>
      <c r="O94" s="41"/>
      <c r="P94" s="41"/>
      <c r="Q94" s="41"/>
      <c r="R94" s="58"/>
      <c r="S94" s="41"/>
      <c r="T94" s="41"/>
      <c r="U94" s="41"/>
      <c r="V94" s="41"/>
      <c r="W94" s="41"/>
      <c r="X94" s="41"/>
    </row>
    <row r="95" ht="15.75" customHeight="1">
      <c r="A95" s="55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56"/>
      <c r="M95" s="41"/>
      <c r="N95" s="41"/>
      <c r="O95" s="41"/>
      <c r="P95" s="41"/>
      <c r="Q95" s="41"/>
      <c r="R95" s="58"/>
      <c r="S95" s="41"/>
      <c r="T95" s="41"/>
      <c r="U95" s="41"/>
      <c r="V95" s="41"/>
      <c r="W95" s="41"/>
      <c r="X95" s="41"/>
    </row>
    <row r="96" ht="15.75" customHeight="1">
      <c r="A96" s="55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56"/>
      <c r="M96" s="41"/>
      <c r="N96" s="41"/>
      <c r="O96" s="41"/>
      <c r="P96" s="41"/>
      <c r="Q96" s="41"/>
      <c r="R96" s="58"/>
      <c r="S96" s="41"/>
      <c r="T96" s="41"/>
      <c r="U96" s="41"/>
      <c r="V96" s="41"/>
      <c r="W96" s="41"/>
      <c r="X96" s="41"/>
    </row>
    <row r="97" ht="15.75" customHeight="1">
      <c r="A97" s="55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56"/>
      <c r="M97" s="41"/>
      <c r="N97" s="41"/>
      <c r="O97" s="41"/>
      <c r="P97" s="41"/>
      <c r="Q97" s="41"/>
      <c r="R97" s="58"/>
      <c r="S97" s="41"/>
      <c r="T97" s="41"/>
      <c r="U97" s="41"/>
      <c r="V97" s="41"/>
      <c r="W97" s="41"/>
      <c r="X97" s="41"/>
    </row>
    <row r="98" ht="15.75" customHeight="1">
      <c r="A98" s="55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56"/>
      <c r="M98" s="41"/>
      <c r="N98" s="41"/>
      <c r="O98" s="41"/>
      <c r="P98" s="41"/>
      <c r="Q98" s="41"/>
      <c r="R98" s="58"/>
      <c r="S98" s="41"/>
      <c r="T98" s="41"/>
      <c r="U98" s="41"/>
      <c r="V98" s="41"/>
      <c r="W98" s="41"/>
      <c r="X98" s="41"/>
    </row>
    <row r="99" ht="15.75" customHeight="1">
      <c r="A99" s="55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56"/>
      <c r="M99" s="41"/>
      <c r="N99" s="41"/>
      <c r="O99" s="41"/>
      <c r="P99" s="41"/>
      <c r="Q99" s="41"/>
      <c r="R99" s="58"/>
      <c r="S99" s="41"/>
      <c r="T99" s="41"/>
      <c r="U99" s="41"/>
      <c r="V99" s="41"/>
      <c r="W99" s="41"/>
      <c r="X99" s="41"/>
    </row>
    <row r="100" ht="15.75" customHeight="1">
      <c r="A100" s="55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56"/>
      <c r="M100" s="41"/>
      <c r="N100" s="41"/>
      <c r="O100" s="41"/>
      <c r="P100" s="41"/>
      <c r="Q100" s="41"/>
      <c r="R100" s="58"/>
      <c r="S100" s="41"/>
      <c r="T100" s="41"/>
      <c r="U100" s="41"/>
      <c r="V100" s="41"/>
      <c r="W100" s="41"/>
      <c r="X100" s="41"/>
    </row>
    <row r="101" ht="15.75" customHeight="1">
      <c r="A101" s="55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56"/>
      <c r="M101" s="41"/>
      <c r="N101" s="41"/>
      <c r="O101" s="41"/>
      <c r="P101" s="41"/>
      <c r="Q101" s="41"/>
      <c r="R101" s="58"/>
      <c r="S101" s="41"/>
      <c r="T101" s="41"/>
      <c r="U101" s="41"/>
      <c r="V101" s="41"/>
      <c r="W101" s="41"/>
      <c r="X101" s="41"/>
    </row>
    <row r="102" ht="15.75" customHeight="1">
      <c r="A102" s="55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56"/>
      <c r="M102" s="41"/>
      <c r="N102" s="41"/>
      <c r="O102" s="41"/>
      <c r="P102" s="41"/>
      <c r="Q102" s="41"/>
      <c r="R102" s="58"/>
      <c r="S102" s="41"/>
      <c r="T102" s="41"/>
      <c r="U102" s="41"/>
      <c r="V102" s="41"/>
      <c r="W102" s="41"/>
      <c r="X102" s="41"/>
    </row>
    <row r="103" ht="15.75" customHeight="1">
      <c r="A103" s="55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56"/>
      <c r="M103" s="41"/>
      <c r="N103" s="41"/>
      <c r="O103" s="41"/>
      <c r="P103" s="41"/>
      <c r="Q103" s="41"/>
      <c r="R103" s="58"/>
      <c r="S103" s="41"/>
      <c r="T103" s="41"/>
      <c r="U103" s="41"/>
      <c r="V103" s="41"/>
      <c r="W103" s="41"/>
      <c r="X103" s="41"/>
    </row>
    <row r="104" ht="15.75" customHeight="1">
      <c r="A104" s="55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56"/>
      <c r="M104" s="41"/>
      <c r="N104" s="41"/>
      <c r="O104" s="41"/>
      <c r="P104" s="41"/>
      <c r="Q104" s="41"/>
      <c r="R104" s="58"/>
      <c r="S104" s="41"/>
      <c r="T104" s="41"/>
      <c r="U104" s="41"/>
      <c r="V104" s="41"/>
      <c r="W104" s="41"/>
      <c r="X104" s="41"/>
    </row>
    <row r="105" ht="15.75" customHeight="1">
      <c r="A105" s="55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56"/>
      <c r="M105" s="41"/>
      <c r="N105" s="41"/>
      <c r="O105" s="41"/>
      <c r="P105" s="41"/>
      <c r="Q105" s="41"/>
      <c r="R105" s="58"/>
      <c r="S105" s="41"/>
      <c r="T105" s="41"/>
      <c r="U105" s="41"/>
      <c r="V105" s="41"/>
      <c r="W105" s="41"/>
      <c r="X105" s="41"/>
    </row>
    <row r="106" ht="15.75" customHeight="1">
      <c r="A106" s="55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56"/>
      <c r="M106" s="41"/>
      <c r="N106" s="41"/>
      <c r="O106" s="41"/>
      <c r="P106" s="41"/>
      <c r="Q106" s="41"/>
      <c r="R106" s="58"/>
      <c r="S106" s="41"/>
      <c r="T106" s="41"/>
      <c r="U106" s="41"/>
      <c r="V106" s="41"/>
      <c r="W106" s="41"/>
      <c r="X106" s="41"/>
    </row>
    <row r="107" ht="15.75" customHeight="1">
      <c r="A107" s="55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56"/>
      <c r="M107" s="41"/>
      <c r="N107" s="41"/>
      <c r="O107" s="41"/>
      <c r="P107" s="41"/>
      <c r="Q107" s="41"/>
      <c r="R107" s="58"/>
      <c r="S107" s="41"/>
      <c r="T107" s="41"/>
      <c r="U107" s="41"/>
      <c r="V107" s="41"/>
      <c r="W107" s="41"/>
      <c r="X107" s="41"/>
    </row>
    <row r="108" ht="15.75" customHeight="1">
      <c r="A108" s="55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56"/>
      <c r="M108" s="41"/>
      <c r="N108" s="41"/>
      <c r="O108" s="41"/>
      <c r="P108" s="41"/>
      <c r="Q108" s="41"/>
      <c r="R108" s="58"/>
      <c r="S108" s="41"/>
      <c r="T108" s="41"/>
      <c r="U108" s="41"/>
      <c r="V108" s="41"/>
      <c r="W108" s="41"/>
      <c r="X108" s="41"/>
    </row>
    <row r="109" ht="15.75" customHeight="1">
      <c r="A109" s="55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56"/>
      <c r="M109" s="41"/>
      <c r="N109" s="41"/>
      <c r="O109" s="41"/>
      <c r="P109" s="41"/>
      <c r="Q109" s="41"/>
      <c r="R109" s="58"/>
      <c r="S109" s="41"/>
      <c r="T109" s="41"/>
      <c r="U109" s="41"/>
      <c r="V109" s="41"/>
      <c r="W109" s="41"/>
      <c r="X109" s="41"/>
    </row>
    <row r="110" ht="15.75" customHeight="1">
      <c r="A110" s="55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56"/>
      <c r="M110" s="41"/>
      <c r="N110" s="41"/>
      <c r="O110" s="41"/>
      <c r="P110" s="41"/>
      <c r="Q110" s="41"/>
      <c r="R110" s="58"/>
      <c r="S110" s="41"/>
      <c r="T110" s="41"/>
      <c r="U110" s="41"/>
      <c r="V110" s="41"/>
      <c r="W110" s="41"/>
      <c r="X110" s="41"/>
    </row>
    <row r="111" ht="15.75" customHeight="1">
      <c r="A111" s="55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56"/>
      <c r="M111" s="41"/>
      <c r="N111" s="41"/>
      <c r="O111" s="41"/>
      <c r="P111" s="41"/>
      <c r="Q111" s="41"/>
      <c r="R111" s="58"/>
      <c r="S111" s="41"/>
      <c r="T111" s="41"/>
      <c r="U111" s="41"/>
      <c r="V111" s="41"/>
      <c r="W111" s="41"/>
      <c r="X111" s="41"/>
    </row>
    <row r="112" ht="15.75" customHeight="1">
      <c r="A112" s="55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56"/>
      <c r="M112" s="41"/>
      <c r="N112" s="41"/>
      <c r="O112" s="41"/>
      <c r="P112" s="41"/>
      <c r="Q112" s="41"/>
      <c r="R112" s="58"/>
      <c r="S112" s="41"/>
      <c r="T112" s="41"/>
      <c r="U112" s="41"/>
      <c r="V112" s="41"/>
      <c r="W112" s="41"/>
      <c r="X112" s="41"/>
    </row>
    <row r="113" ht="15.75" customHeight="1">
      <c r="A113" s="55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56"/>
      <c r="M113" s="41"/>
      <c r="N113" s="41"/>
      <c r="O113" s="41"/>
      <c r="P113" s="41"/>
      <c r="Q113" s="41"/>
      <c r="R113" s="58"/>
      <c r="S113" s="41"/>
      <c r="T113" s="41"/>
      <c r="U113" s="41"/>
      <c r="V113" s="41"/>
      <c r="W113" s="41"/>
      <c r="X113" s="41"/>
    </row>
    <row r="114" ht="15.75" customHeight="1">
      <c r="A114" s="55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56"/>
      <c r="M114" s="41"/>
      <c r="N114" s="41"/>
      <c r="O114" s="41"/>
      <c r="P114" s="41"/>
      <c r="Q114" s="41"/>
      <c r="R114" s="58"/>
      <c r="S114" s="41"/>
      <c r="T114" s="41"/>
      <c r="U114" s="41"/>
      <c r="V114" s="41"/>
      <c r="W114" s="41"/>
      <c r="X114" s="41"/>
    </row>
    <row r="115" ht="15.75" customHeight="1">
      <c r="A115" s="55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56"/>
      <c r="M115" s="41"/>
      <c r="N115" s="41"/>
      <c r="O115" s="41"/>
      <c r="P115" s="41"/>
      <c r="Q115" s="41"/>
      <c r="R115" s="58"/>
      <c r="S115" s="41"/>
      <c r="T115" s="41"/>
      <c r="U115" s="41"/>
      <c r="V115" s="41"/>
      <c r="W115" s="41"/>
      <c r="X115" s="41"/>
    </row>
    <row r="116" ht="15.75" customHeight="1">
      <c r="A116" s="55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56"/>
      <c r="M116" s="41"/>
      <c r="N116" s="41"/>
      <c r="O116" s="41"/>
      <c r="P116" s="41"/>
      <c r="Q116" s="41"/>
      <c r="R116" s="58"/>
      <c r="S116" s="41"/>
      <c r="T116" s="41"/>
      <c r="U116" s="41"/>
      <c r="V116" s="41"/>
      <c r="W116" s="41"/>
      <c r="X116" s="41"/>
    </row>
    <row r="117" ht="15.75" customHeight="1">
      <c r="A117" s="55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56"/>
      <c r="M117" s="41"/>
      <c r="N117" s="41"/>
      <c r="O117" s="41"/>
      <c r="P117" s="41"/>
      <c r="Q117" s="41"/>
      <c r="R117" s="58"/>
      <c r="S117" s="41"/>
      <c r="T117" s="41"/>
      <c r="U117" s="41"/>
      <c r="V117" s="41"/>
      <c r="W117" s="41"/>
      <c r="X117" s="41"/>
    </row>
    <row r="118" ht="15.75" customHeight="1">
      <c r="A118" s="55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56"/>
      <c r="M118" s="41"/>
      <c r="N118" s="41"/>
      <c r="O118" s="41"/>
      <c r="P118" s="41"/>
      <c r="Q118" s="41"/>
      <c r="R118" s="58"/>
      <c r="S118" s="41"/>
      <c r="T118" s="41"/>
      <c r="U118" s="41"/>
      <c r="V118" s="41"/>
      <c r="W118" s="41"/>
      <c r="X118" s="41"/>
    </row>
    <row r="119" ht="15.75" customHeight="1">
      <c r="A119" s="55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56"/>
      <c r="M119" s="41"/>
      <c r="N119" s="41"/>
      <c r="O119" s="41"/>
      <c r="P119" s="41"/>
      <c r="Q119" s="41"/>
      <c r="R119" s="58"/>
      <c r="S119" s="41"/>
      <c r="T119" s="41"/>
      <c r="U119" s="41"/>
      <c r="V119" s="41"/>
      <c r="W119" s="41"/>
      <c r="X119" s="41"/>
    </row>
    <row r="120" ht="15.75" customHeight="1">
      <c r="A120" s="55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56"/>
      <c r="M120" s="41"/>
      <c r="N120" s="41"/>
      <c r="O120" s="41"/>
      <c r="P120" s="41"/>
      <c r="Q120" s="41"/>
      <c r="R120" s="58"/>
      <c r="S120" s="41"/>
      <c r="T120" s="41"/>
      <c r="U120" s="41"/>
      <c r="V120" s="41"/>
      <c r="W120" s="41"/>
      <c r="X120" s="41"/>
    </row>
    <row r="121" ht="15.75" customHeight="1">
      <c r="A121" s="55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56"/>
      <c r="M121" s="41"/>
      <c r="N121" s="41"/>
      <c r="O121" s="41"/>
      <c r="P121" s="41"/>
      <c r="Q121" s="41"/>
      <c r="R121" s="58"/>
      <c r="S121" s="41"/>
      <c r="T121" s="41"/>
      <c r="U121" s="41"/>
      <c r="V121" s="41"/>
      <c r="W121" s="41"/>
      <c r="X121" s="41"/>
    </row>
    <row r="122" ht="15.75" customHeight="1">
      <c r="A122" s="55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56"/>
      <c r="M122" s="41"/>
      <c r="N122" s="41"/>
      <c r="O122" s="41"/>
      <c r="P122" s="41"/>
      <c r="Q122" s="41"/>
      <c r="R122" s="58"/>
      <c r="S122" s="41"/>
      <c r="T122" s="41"/>
      <c r="U122" s="41"/>
      <c r="V122" s="41"/>
      <c r="W122" s="41"/>
      <c r="X122" s="41"/>
    </row>
    <row r="123" ht="15.75" customHeight="1">
      <c r="A123" s="55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56"/>
      <c r="M123" s="41"/>
      <c r="N123" s="41"/>
      <c r="O123" s="41"/>
      <c r="P123" s="41"/>
      <c r="Q123" s="41"/>
      <c r="R123" s="58"/>
      <c r="S123" s="41"/>
      <c r="T123" s="41"/>
      <c r="U123" s="41"/>
      <c r="V123" s="41"/>
      <c r="W123" s="41"/>
      <c r="X123" s="41"/>
    </row>
    <row r="124" ht="15.75" customHeight="1">
      <c r="A124" s="55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56"/>
      <c r="M124" s="41"/>
      <c r="N124" s="41"/>
      <c r="O124" s="41"/>
      <c r="P124" s="41"/>
      <c r="Q124" s="41"/>
      <c r="R124" s="58"/>
      <c r="S124" s="41"/>
      <c r="T124" s="41"/>
      <c r="U124" s="41"/>
      <c r="V124" s="41"/>
      <c r="W124" s="41"/>
      <c r="X124" s="41"/>
    </row>
    <row r="125" ht="15.75" customHeight="1">
      <c r="A125" s="55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56"/>
      <c r="M125" s="41"/>
      <c r="N125" s="41"/>
      <c r="O125" s="41"/>
      <c r="P125" s="41"/>
      <c r="Q125" s="41"/>
      <c r="R125" s="58"/>
      <c r="S125" s="41"/>
      <c r="T125" s="41"/>
      <c r="U125" s="41"/>
      <c r="V125" s="41"/>
      <c r="W125" s="41"/>
      <c r="X125" s="41"/>
    </row>
    <row r="126" ht="15.75" customHeight="1">
      <c r="A126" s="55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56"/>
      <c r="M126" s="41"/>
      <c r="N126" s="41"/>
      <c r="O126" s="41"/>
      <c r="P126" s="41"/>
      <c r="Q126" s="41"/>
      <c r="R126" s="58"/>
      <c r="S126" s="41"/>
      <c r="T126" s="41"/>
      <c r="U126" s="41"/>
      <c r="V126" s="41"/>
      <c r="W126" s="41"/>
      <c r="X126" s="41"/>
    </row>
    <row r="127" ht="15.75" customHeight="1">
      <c r="A127" s="55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56"/>
      <c r="M127" s="41"/>
      <c r="N127" s="41"/>
      <c r="O127" s="41"/>
      <c r="P127" s="41"/>
      <c r="Q127" s="41"/>
      <c r="R127" s="58"/>
      <c r="S127" s="41"/>
      <c r="T127" s="41"/>
      <c r="U127" s="41"/>
      <c r="V127" s="41"/>
      <c r="W127" s="41"/>
      <c r="X127" s="41"/>
    </row>
    <row r="128" ht="15.75" customHeight="1">
      <c r="A128" s="55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56"/>
      <c r="M128" s="41"/>
      <c r="N128" s="41"/>
      <c r="O128" s="41"/>
      <c r="P128" s="41"/>
      <c r="Q128" s="41"/>
      <c r="R128" s="58"/>
      <c r="S128" s="41"/>
      <c r="T128" s="41"/>
      <c r="U128" s="41"/>
      <c r="V128" s="41"/>
      <c r="W128" s="41"/>
      <c r="X128" s="41"/>
    </row>
    <row r="129" ht="15.75" customHeight="1">
      <c r="A129" s="55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56"/>
      <c r="M129" s="41"/>
      <c r="N129" s="41"/>
      <c r="O129" s="41"/>
      <c r="P129" s="41"/>
      <c r="Q129" s="41"/>
      <c r="R129" s="58"/>
      <c r="S129" s="41"/>
      <c r="T129" s="41"/>
      <c r="U129" s="41"/>
      <c r="V129" s="41"/>
      <c r="W129" s="41"/>
      <c r="X129" s="41"/>
    </row>
    <row r="130" ht="15.75" customHeight="1">
      <c r="A130" s="55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56"/>
      <c r="M130" s="41"/>
      <c r="N130" s="41"/>
      <c r="O130" s="41"/>
      <c r="P130" s="41"/>
      <c r="Q130" s="41"/>
      <c r="R130" s="58"/>
      <c r="S130" s="41"/>
      <c r="T130" s="41"/>
      <c r="U130" s="41"/>
      <c r="V130" s="41"/>
      <c r="W130" s="41"/>
      <c r="X130" s="41"/>
    </row>
    <row r="131" ht="15.75" customHeight="1">
      <c r="A131" s="55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56"/>
      <c r="M131" s="41"/>
      <c r="N131" s="41"/>
      <c r="O131" s="41"/>
      <c r="P131" s="41"/>
      <c r="Q131" s="41"/>
      <c r="R131" s="58"/>
      <c r="S131" s="41"/>
      <c r="T131" s="41"/>
      <c r="U131" s="41"/>
      <c r="V131" s="41"/>
      <c r="W131" s="41"/>
      <c r="X131" s="41"/>
    </row>
    <row r="132" ht="15.75" customHeight="1">
      <c r="A132" s="55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56"/>
      <c r="M132" s="41"/>
      <c r="N132" s="41"/>
      <c r="O132" s="41"/>
      <c r="P132" s="41"/>
      <c r="Q132" s="41"/>
      <c r="R132" s="58"/>
      <c r="S132" s="41"/>
      <c r="T132" s="41"/>
      <c r="U132" s="41"/>
      <c r="V132" s="41"/>
      <c r="W132" s="41"/>
      <c r="X132" s="41"/>
    </row>
    <row r="133" ht="15.75" customHeight="1">
      <c r="A133" s="55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56"/>
      <c r="M133" s="41"/>
      <c r="N133" s="41"/>
      <c r="O133" s="41"/>
      <c r="P133" s="41"/>
      <c r="Q133" s="41"/>
      <c r="R133" s="58"/>
      <c r="S133" s="41"/>
      <c r="T133" s="41"/>
      <c r="U133" s="41"/>
      <c r="V133" s="41"/>
      <c r="W133" s="41"/>
      <c r="X133" s="41"/>
    </row>
    <row r="134" ht="15.75" customHeight="1">
      <c r="A134" s="55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56"/>
      <c r="M134" s="41"/>
      <c r="N134" s="41"/>
      <c r="O134" s="41"/>
      <c r="P134" s="41"/>
      <c r="Q134" s="41"/>
      <c r="R134" s="58"/>
      <c r="S134" s="41"/>
      <c r="T134" s="41"/>
      <c r="U134" s="41"/>
      <c r="V134" s="41"/>
      <c r="W134" s="41"/>
      <c r="X134" s="41"/>
    </row>
    <row r="135" ht="15.75" customHeight="1">
      <c r="A135" s="55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56"/>
      <c r="M135" s="41"/>
      <c r="N135" s="41"/>
      <c r="O135" s="41"/>
      <c r="P135" s="41"/>
      <c r="Q135" s="41"/>
      <c r="R135" s="58"/>
      <c r="S135" s="41"/>
      <c r="T135" s="41"/>
      <c r="U135" s="41"/>
      <c r="V135" s="41"/>
      <c r="W135" s="41"/>
      <c r="X135" s="41"/>
    </row>
    <row r="136" ht="15.75" customHeight="1">
      <c r="A136" s="55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56"/>
      <c r="M136" s="41"/>
      <c r="N136" s="41"/>
      <c r="O136" s="41"/>
      <c r="P136" s="41"/>
      <c r="Q136" s="41"/>
      <c r="R136" s="58"/>
      <c r="S136" s="41"/>
      <c r="T136" s="41"/>
      <c r="U136" s="41"/>
      <c r="V136" s="41"/>
      <c r="W136" s="41"/>
      <c r="X136" s="41"/>
    </row>
    <row r="137" ht="15.75" customHeight="1">
      <c r="A137" s="55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56"/>
      <c r="M137" s="41"/>
      <c r="N137" s="41"/>
      <c r="O137" s="41"/>
      <c r="P137" s="41"/>
      <c r="Q137" s="41"/>
      <c r="R137" s="58"/>
      <c r="S137" s="41"/>
      <c r="T137" s="41"/>
      <c r="U137" s="41"/>
      <c r="V137" s="41"/>
      <c r="W137" s="41"/>
      <c r="X137" s="41"/>
    </row>
    <row r="138" ht="15.75" customHeight="1">
      <c r="A138" s="55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56"/>
      <c r="M138" s="41"/>
      <c r="N138" s="41"/>
      <c r="O138" s="41"/>
      <c r="P138" s="41"/>
      <c r="Q138" s="41"/>
      <c r="R138" s="58"/>
      <c r="S138" s="41"/>
      <c r="T138" s="41"/>
      <c r="U138" s="41"/>
      <c r="V138" s="41"/>
      <c r="W138" s="41"/>
      <c r="X138" s="41"/>
    </row>
    <row r="139" ht="15.75" customHeight="1">
      <c r="A139" s="55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56"/>
      <c r="M139" s="41"/>
      <c r="N139" s="41"/>
      <c r="O139" s="41"/>
      <c r="P139" s="41"/>
      <c r="Q139" s="41"/>
      <c r="R139" s="58"/>
      <c r="S139" s="41"/>
      <c r="T139" s="41"/>
      <c r="U139" s="41"/>
      <c r="V139" s="41"/>
      <c r="W139" s="41"/>
      <c r="X139" s="41"/>
    </row>
    <row r="140" ht="15.75" customHeight="1">
      <c r="A140" s="55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56"/>
      <c r="M140" s="41"/>
      <c r="N140" s="41"/>
      <c r="O140" s="41"/>
      <c r="P140" s="41"/>
      <c r="Q140" s="41"/>
      <c r="R140" s="58"/>
      <c r="S140" s="41"/>
      <c r="T140" s="41"/>
      <c r="U140" s="41"/>
      <c r="V140" s="41"/>
      <c r="W140" s="41"/>
      <c r="X140" s="41"/>
    </row>
    <row r="141" ht="15.75" customHeight="1">
      <c r="A141" s="55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56"/>
      <c r="M141" s="41"/>
      <c r="N141" s="41"/>
      <c r="O141" s="41"/>
      <c r="P141" s="41"/>
      <c r="Q141" s="41"/>
      <c r="R141" s="58"/>
      <c r="S141" s="41"/>
      <c r="T141" s="41"/>
      <c r="U141" s="41"/>
      <c r="V141" s="41"/>
      <c r="W141" s="41"/>
      <c r="X141" s="41"/>
    </row>
    <row r="142" ht="15.75" customHeight="1">
      <c r="A142" s="55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56"/>
      <c r="M142" s="41"/>
      <c r="N142" s="41"/>
      <c r="O142" s="41"/>
      <c r="P142" s="41"/>
      <c r="Q142" s="41"/>
      <c r="R142" s="58"/>
      <c r="S142" s="41"/>
      <c r="T142" s="41"/>
      <c r="U142" s="41"/>
      <c r="V142" s="41"/>
      <c r="W142" s="41"/>
      <c r="X142" s="41"/>
    </row>
    <row r="143" ht="15.75" customHeight="1">
      <c r="A143" s="55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56"/>
      <c r="M143" s="41"/>
      <c r="N143" s="41"/>
      <c r="O143" s="41"/>
      <c r="P143" s="41"/>
      <c r="Q143" s="41"/>
      <c r="R143" s="58"/>
      <c r="S143" s="41"/>
      <c r="T143" s="41"/>
      <c r="U143" s="41"/>
      <c r="V143" s="41"/>
      <c r="W143" s="41"/>
      <c r="X143" s="41"/>
    </row>
    <row r="144" ht="15.75" customHeight="1">
      <c r="A144" s="55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56"/>
      <c r="M144" s="41"/>
      <c r="N144" s="41"/>
      <c r="O144" s="41"/>
      <c r="P144" s="41"/>
      <c r="Q144" s="41"/>
      <c r="R144" s="58"/>
      <c r="S144" s="41"/>
      <c r="T144" s="41"/>
      <c r="U144" s="41"/>
      <c r="V144" s="41"/>
      <c r="W144" s="41"/>
      <c r="X144" s="41"/>
    </row>
    <row r="145" ht="15.75" customHeight="1">
      <c r="A145" s="55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56"/>
      <c r="M145" s="41"/>
      <c r="N145" s="41"/>
      <c r="O145" s="41"/>
      <c r="P145" s="41"/>
      <c r="Q145" s="41"/>
      <c r="R145" s="58"/>
      <c r="S145" s="41"/>
      <c r="T145" s="41"/>
      <c r="U145" s="41"/>
      <c r="V145" s="41"/>
      <c r="W145" s="41"/>
      <c r="X145" s="41"/>
    </row>
    <row r="146" ht="15.75" customHeight="1">
      <c r="A146" s="55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56"/>
      <c r="M146" s="41"/>
      <c r="N146" s="41"/>
      <c r="O146" s="41"/>
      <c r="P146" s="41"/>
      <c r="Q146" s="41"/>
      <c r="R146" s="58"/>
      <c r="S146" s="41"/>
      <c r="T146" s="41"/>
      <c r="U146" s="41"/>
      <c r="V146" s="41"/>
      <c r="W146" s="41"/>
      <c r="X146" s="41"/>
    </row>
    <row r="147" ht="15.75" customHeight="1">
      <c r="A147" s="55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56"/>
      <c r="M147" s="41"/>
      <c r="N147" s="41"/>
      <c r="O147" s="41"/>
      <c r="P147" s="41"/>
      <c r="Q147" s="41"/>
      <c r="R147" s="58"/>
      <c r="S147" s="41"/>
      <c r="T147" s="41"/>
      <c r="U147" s="41"/>
      <c r="V147" s="41"/>
      <c r="W147" s="41"/>
      <c r="X147" s="41"/>
    </row>
    <row r="148" ht="15.75" customHeight="1">
      <c r="A148" s="55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56"/>
      <c r="M148" s="41"/>
      <c r="N148" s="41"/>
      <c r="O148" s="41"/>
      <c r="P148" s="41"/>
      <c r="Q148" s="41"/>
      <c r="R148" s="58"/>
      <c r="S148" s="41"/>
      <c r="T148" s="41"/>
      <c r="U148" s="41"/>
      <c r="V148" s="41"/>
      <c r="W148" s="41"/>
      <c r="X148" s="41"/>
    </row>
    <row r="149" ht="15.75" customHeight="1">
      <c r="A149" s="55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56"/>
      <c r="M149" s="41"/>
      <c r="N149" s="41"/>
      <c r="O149" s="41"/>
      <c r="P149" s="41"/>
      <c r="Q149" s="41"/>
      <c r="R149" s="58"/>
      <c r="S149" s="41"/>
      <c r="T149" s="41"/>
      <c r="U149" s="41"/>
      <c r="V149" s="41"/>
      <c r="W149" s="41"/>
      <c r="X149" s="41"/>
    </row>
    <row r="150" ht="15.75" customHeight="1">
      <c r="A150" s="55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56"/>
      <c r="M150" s="41"/>
      <c r="N150" s="41"/>
      <c r="O150" s="41"/>
      <c r="P150" s="41"/>
      <c r="Q150" s="41"/>
      <c r="R150" s="58"/>
      <c r="S150" s="41"/>
      <c r="T150" s="41"/>
      <c r="U150" s="41"/>
      <c r="V150" s="41"/>
      <c r="W150" s="41"/>
      <c r="X150" s="41"/>
    </row>
    <row r="151" ht="15.75" customHeight="1">
      <c r="A151" s="55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56"/>
      <c r="M151" s="41"/>
      <c r="N151" s="41"/>
      <c r="O151" s="41"/>
      <c r="P151" s="41"/>
      <c r="Q151" s="41"/>
      <c r="R151" s="58"/>
      <c r="S151" s="41"/>
      <c r="T151" s="41"/>
      <c r="U151" s="41"/>
      <c r="V151" s="41"/>
      <c r="W151" s="41"/>
      <c r="X151" s="41"/>
    </row>
    <row r="152" ht="15.75" customHeight="1">
      <c r="A152" s="55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56"/>
      <c r="M152" s="41"/>
      <c r="N152" s="41"/>
      <c r="O152" s="41"/>
      <c r="P152" s="41"/>
      <c r="Q152" s="41"/>
      <c r="R152" s="58"/>
      <c r="S152" s="41"/>
      <c r="T152" s="41"/>
      <c r="U152" s="41"/>
      <c r="V152" s="41"/>
      <c r="W152" s="41"/>
      <c r="X152" s="41"/>
    </row>
    <row r="153" ht="15.75" customHeight="1">
      <c r="A153" s="55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56"/>
      <c r="M153" s="41"/>
      <c r="N153" s="41"/>
      <c r="O153" s="41"/>
      <c r="P153" s="41"/>
      <c r="Q153" s="41"/>
      <c r="R153" s="58"/>
      <c r="S153" s="41"/>
      <c r="T153" s="41"/>
      <c r="U153" s="41"/>
      <c r="V153" s="41"/>
      <c r="W153" s="41"/>
      <c r="X153" s="41"/>
    </row>
    <row r="154" ht="15.75" customHeight="1">
      <c r="A154" s="55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56"/>
      <c r="M154" s="41"/>
      <c r="N154" s="41"/>
      <c r="O154" s="41"/>
      <c r="P154" s="41"/>
      <c r="Q154" s="41"/>
      <c r="R154" s="58"/>
      <c r="S154" s="41"/>
      <c r="T154" s="41"/>
      <c r="U154" s="41"/>
      <c r="V154" s="41"/>
      <c r="W154" s="41"/>
      <c r="X154" s="41"/>
    </row>
    <row r="155" ht="15.75" customHeight="1">
      <c r="A155" s="55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56"/>
      <c r="M155" s="41"/>
      <c r="N155" s="41"/>
      <c r="O155" s="41"/>
      <c r="P155" s="41"/>
      <c r="Q155" s="41"/>
      <c r="R155" s="58"/>
      <c r="S155" s="41"/>
      <c r="T155" s="41"/>
      <c r="U155" s="41"/>
      <c r="V155" s="41"/>
      <c r="W155" s="41"/>
      <c r="X155" s="41"/>
    </row>
    <row r="156" ht="15.75" customHeight="1">
      <c r="A156" s="55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56"/>
      <c r="M156" s="41"/>
      <c r="N156" s="41"/>
      <c r="O156" s="41"/>
      <c r="P156" s="41"/>
      <c r="Q156" s="41"/>
      <c r="R156" s="58"/>
      <c r="S156" s="41"/>
      <c r="T156" s="41"/>
      <c r="U156" s="41"/>
      <c r="V156" s="41"/>
      <c r="W156" s="41"/>
      <c r="X156" s="41"/>
    </row>
    <row r="157" ht="15.75" customHeight="1">
      <c r="A157" s="55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56"/>
      <c r="M157" s="41"/>
      <c r="N157" s="41"/>
      <c r="O157" s="41"/>
      <c r="P157" s="41"/>
      <c r="Q157" s="41"/>
      <c r="R157" s="58"/>
      <c r="S157" s="41"/>
      <c r="T157" s="41"/>
      <c r="U157" s="41"/>
      <c r="V157" s="41"/>
      <c r="W157" s="41"/>
      <c r="X157" s="41"/>
    </row>
    <row r="158" ht="15.75" customHeight="1">
      <c r="A158" s="55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56"/>
      <c r="M158" s="41"/>
      <c r="N158" s="41"/>
      <c r="O158" s="41"/>
      <c r="P158" s="41"/>
      <c r="Q158" s="41"/>
      <c r="R158" s="58"/>
      <c r="S158" s="41"/>
      <c r="T158" s="41"/>
      <c r="U158" s="41"/>
      <c r="V158" s="41"/>
      <c r="W158" s="41"/>
      <c r="X158" s="41"/>
    </row>
    <row r="159" ht="15.75" customHeight="1">
      <c r="A159" s="55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56"/>
      <c r="M159" s="41"/>
      <c r="N159" s="41"/>
      <c r="O159" s="41"/>
      <c r="P159" s="41"/>
      <c r="Q159" s="41"/>
      <c r="R159" s="58"/>
      <c r="S159" s="41"/>
      <c r="T159" s="41"/>
      <c r="U159" s="41"/>
      <c r="V159" s="41"/>
      <c r="W159" s="41"/>
      <c r="X159" s="41"/>
    </row>
    <row r="160" ht="15.75" customHeight="1">
      <c r="A160" s="55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56"/>
      <c r="M160" s="41"/>
      <c r="N160" s="41"/>
      <c r="O160" s="41"/>
      <c r="P160" s="41"/>
      <c r="Q160" s="41"/>
      <c r="R160" s="58"/>
      <c r="S160" s="41"/>
      <c r="T160" s="41"/>
      <c r="U160" s="41"/>
      <c r="V160" s="41"/>
      <c r="W160" s="41"/>
      <c r="X160" s="41"/>
    </row>
    <row r="161" ht="15.75" customHeight="1">
      <c r="A161" s="55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56"/>
      <c r="M161" s="41"/>
      <c r="N161" s="41"/>
      <c r="O161" s="41"/>
      <c r="P161" s="41"/>
      <c r="Q161" s="41"/>
      <c r="R161" s="58"/>
      <c r="S161" s="41"/>
      <c r="T161" s="41"/>
      <c r="U161" s="41"/>
      <c r="V161" s="41"/>
      <c r="W161" s="41"/>
      <c r="X161" s="41"/>
    </row>
    <row r="162" ht="15.75" customHeight="1">
      <c r="A162" s="55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56"/>
      <c r="M162" s="41"/>
      <c r="N162" s="41"/>
      <c r="O162" s="41"/>
      <c r="P162" s="41"/>
      <c r="Q162" s="41"/>
      <c r="R162" s="58"/>
      <c r="S162" s="41"/>
      <c r="T162" s="41"/>
      <c r="U162" s="41"/>
      <c r="V162" s="41"/>
      <c r="W162" s="41"/>
      <c r="X162" s="41"/>
    </row>
    <row r="163" ht="15.75" customHeight="1">
      <c r="A163" s="55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56"/>
      <c r="M163" s="41"/>
      <c r="N163" s="41"/>
      <c r="O163" s="41"/>
      <c r="P163" s="41"/>
      <c r="Q163" s="41"/>
      <c r="R163" s="58"/>
      <c r="S163" s="41"/>
      <c r="T163" s="41"/>
      <c r="U163" s="41"/>
      <c r="V163" s="41"/>
      <c r="W163" s="41"/>
      <c r="X163" s="41"/>
    </row>
    <row r="164" ht="15.75" customHeight="1">
      <c r="A164" s="55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56"/>
      <c r="M164" s="41"/>
      <c r="N164" s="41"/>
      <c r="O164" s="41"/>
      <c r="P164" s="41"/>
      <c r="Q164" s="41"/>
      <c r="R164" s="58"/>
      <c r="S164" s="41"/>
      <c r="T164" s="41"/>
      <c r="U164" s="41"/>
      <c r="V164" s="41"/>
      <c r="W164" s="41"/>
      <c r="X164" s="41"/>
    </row>
    <row r="165" ht="15.75" customHeight="1">
      <c r="A165" s="55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56"/>
      <c r="M165" s="41"/>
      <c r="N165" s="41"/>
      <c r="O165" s="41"/>
      <c r="P165" s="41"/>
      <c r="Q165" s="41"/>
      <c r="R165" s="58"/>
      <c r="S165" s="41"/>
      <c r="T165" s="41"/>
      <c r="U165" s="41"/>
      <c r="V165" s="41"/>
      <c r="W165" s="41"/>
      <c r="X165" s="41"/>
    </row>
    <row r="166" ht="15.75" customHeight="1">
      <c r="A166" s="55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56"/>
      <c r="M166" s="41"/>
      <c r="N166" s="41"/>
      <c r="O166" s="41"/>
      <c r="P166" s="41"/>
      <c r="Q166" s="41"/>
      <c r="R166" s="58"/>
      <c r="S166" s="41"/>
      <c r="T166" s="41"/>
      <c r="U166" s="41"/>
      <c r="V166" s="41"/>
      <c r="W166" s="41"/>
      <c r="X166" s="41"/>
    </row>
    <row r="167" ht="15.75" customHeight="1">
      <c r="A167" s="55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56"/>
      <c r="M167" s="41"/>
      <c r="N167" s="41"/>
      <c r="O167" s="41"/>
      <c r="P167" s="41"/>
      <c r="Q167" s="41"/>
      <c r="R167" s="58"/>
      <c r="S167" s="41"/>
      <c r="T167" s="41"/>
      <c r="U167" s="41"/>
      <c r="V167" s="41"/>
      <c r="W167" s="41"/>
      <c r="X167" s="41"/>
    </row>
    <row r="168" ht="15.75" customHeight="1">
      <c r="A168" s="55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56"/>
      <c r="M168" s="41"/>
      <c r="N168" s="41"/>
      <c r="O168" s="41"/>
      <c r="P168" s="41"/>
      <c r="Q168" s="41"/>
      <c r="R168" s="58"/>
      <c r="S168" s="41"/>
      <c r="T168" s="41"/>
      <c r="U168" s="41"/>
      <c r="V168" s="41"/>
      <c r="W168" s="41"/>
      <c r="X168" s="41"/>
    </row>
    <row r="169" ht="15.75" customHeight="1">
      <c r="A169" s="55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56"/>
      <c r="M169" s="41"/>
      <c r="N169" s="41"/>
      <c r="O169" s="41"/>
      <c r="P169" s="41"/>
      <c r="Q169" s="41"/>
      <c r="R169" s="58"/>
      <c r="S169" s="41"/>
      <c r="T169" s="41"/>
      <c r="U169" s="41"/>
      <c r="V169" s="41"/>
      <c r="W169" s="41"/>
      <c r="X169" s="41"/>
    </row>
    <row r="170" ht="15.75" customHeight="1">
      <c r="A170" s="55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56"/>
      <c r="M170" s="41"/>
      <c r="N170" s="41"/>
      <c r="O170" s="41"/>
      <c r="P170" s="41"/>
      <c r="Q170" s="41"/>
      <c r="R170" s="58"/>
      <c r="S170" s="41"/>
      <c r="T170" s="41"/>
      <c r="U170" s="41"/>
      <c r="V170" s="41"/>
      <c r="W170" s="41"/>
      <c r="X170" s="41"/>
    </row>
    <row r="171" ht="15.75" customHeight="1">
      <c r="A171" s="55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56"/>
      <c r="M171" s="41"/>
      <c r="N171" s="41"/>
      <c r="O171" s="41"/>
      <c r="P171" s="41"/>
      <c r="Q171" s="41"/>
      <c r="R171" s="58"/>
      <c r="S171" s="41"/>
      <c r="T171" s="41"/>
      <c r="U171" s="41"/>
      <c r="V171" s="41"/>
      <c r="W171" s="41"/>
      <c r="X171" s="41"/>
    </row>
    <row r="172" ht="15.75" customHeight="1">
      <c r="A172" s="55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56"/>
      <c r="M172" s="41"/>
      <c r="N172" s="41"/>
      <c r="O172" s="41"/>
      <c r="P172" s="41"/>
      <c r="Q172" s="41"/>
      <c r="R172" s="58"/>
      <c r="S172" s="41"/>
      <c r="T172" s="41"/>
      <c r="U172" s="41"/>
      <c r="V172" s="41"/>
      <c r="W172" s="41"/>
      <c r="X172" s="41"/>
    </row>
    <row r="173" ht="15.75" customHeight="1">
      <c r="A173" s="55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56"/>
      <c r="M173" s="41"/>
      <c r="N173" s="41"/>
      <c r="O173" s="41"/>
      <c r="P173" s="41"/>
      <c r="Q173" s="41"/>
      <c r="R173" s="58"/>
      <c r="S173" s="41"/>
      <c r="T173" s="41"/>
      <c r="U173" s="41"/>
      <c r="V173" s="41"/>
      <c r="W173" s="41"/>
      <c r="X173" s="41"/>
    </row>
    <row r="174" ht="15.75" customHeight="1">
      <c r="A174" s="55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56"/>
      <c r="M174" s="41"/>
      <c r="N174" s="41"/>
      <c r="O174" s="41"/>
      <c r="P174" s="41"/>
      <c r="Q174" s="41"/>
      <c r="R174" s="58"/>
      <c r="S174" s="41"/>
      <c r="T174" s="41"/>
      <c r="U174" s="41"/>
      <c r="V174" s="41"/>
      <c r="W174" s="41"/>
      <c r="X174" s="41"/>
    </row>
    <row r="175" ht="15.75" customHeight="1">
      <c r="A175" s="55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56"/>
      <c r="M175" s="41"/>
      <c r="N175" s="41"/>
      <c r="O175" s="41"/>
      <c r="P175" s="41"/>
      <c r="Q175" s="41"/>
      <c r="R175" s="58"/>
      <c r="S175" s="41"/>
      <c r="T175" s="41"/>
      <c r="U175" s="41"/>
      <c r="V175" s="41"/>
      <c r="W175" s="41"/>
      <c r="X175" s="41"/>
    </row>
    <row r="176" ht="15.75" customHeight="1">
      <c r="A176" s="55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56"/>
      <c r="M176" s="41"/>
      <c r="N176" s="41"/>
      <c r="O176" s="41"/>
      <c r="P176" s="41"/>
      <c r="Q176" s="41"/>
      <c r="R176" s="58"/>
      <c r="S176" s="41"/>
      <c r="T176" s="41"/>
      <c r="U176" s="41"/>
      <c r="V176" s="41"/>
      <c r="W176" s="41"/>
      <c r="X176" s="41"/>
    </row>
    <row r="177" ht="15.75" customHeight="1">
      <c r="A177" s="55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56"/>
      <c r="M177" s="41"/>
      <c r="N177" s="41"/>
      <c r="O177" s="41"/>
      <c r="P177" s="41"/>
      <c r="Q177" s="41"/>
      <c r="R177" s="58"/>
      <c r="S177" s="41"/>
      <c r="T177" s="41"/>
      <c r="U177" s="41"/>
      <c r="V177" s="41"/>
      <c r="W177" s="41"/>
      <c r="X177" s="41"/>
    </row>
    <row r="178" ht="15.75" customHeight="1">
      <c r="A178" s="55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56"/>
      <c r="M178" s="41"/>
      <c r="N178" s="41"/>
      <c r="O178" s="41"/>
      <c r="P178" s="41"/>
      <c r="Q178" s="41"/>
      <c r="R178" s="58"/>
      <c r="S178" s="41"/>
      <c r="T178" s="41"/>
      <c r="U178" s="41"/>
      <c r="V178" s="41"/>
      <c r="W178" s="41"/>
      <c r="X178" s="41"/>
    </row>
    <row r="179" ht="15.75" customHeight="1">
      <c r="A179" s="55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56"/>
      <c r="M179" s="41"/>
      <c r="N179" s="41"/>
      <c r="O179" s="41"/>
      <c r="P179" s="41"/>
      <c r="Q179" s="41"/>
      <c r="R179" s="58"/>
      <c r="S179" s="41"/>
      <c r="T179" s="41"/>
      <c r="U179" s="41"/>
      <c r="V179" s="41"/>
      <c r="W179" s="41"/>
      <c r="X179" s="41"/>
    </row>
    <row r="180" ht="15.75" customHeight="1">
      <c r="A180" s="55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56"/>
      <c r="M180" s="41"/>
      <c r="N180" s="41"/>
      <c r="O180" s="41"/>
      <c r="P180" s="41"/>
      <c r="Q180" s="41"/>
      <c r="R180" s="58"/>
      <c r="S180" s="41"/>
      <c r="T180" s="41"/>
      <c r="U180" s="41"/>
      <c r="V180" s="41"/>
      <c r="W180" s="41"/>
      <c r="X180" s="41"/>
    </row>
    <row r="181" ht="15.75" customHeight="1">
      <c r="A181" s="55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56"/>
      <c r="M181" s="41"/>
      <c r="N181" s="41"/>
      <c r="O181" s="41"/>
      <c r="P181" s="41"/>
      <c r="Q181" s="41"/>
      <c r="R181" s="58"/>
      <c r="S181" s="41"/>
      <c r="T181" s="41"/>
      <c r="U181" s="41"/>
      <c r="V181" s="41"/>
      <c r="W181" s="41"/>
      <c r="X181" s="41"/>
    </row>
    <row r="182" ht="15.75" customHeight="1">
      <c r="A182" s="55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56"/>
      <c r="M182" s="41"/>
      <c r="N182" s="41"/>
      <c r="O182" s="41"/>
      <c r="P182" s="41"/>
      <c r="Q182" s="41"/>
      <c r="R182" s="58"/>
      <c r="S182" s="41"/>
      <c r="T182" s="41"/>
      <c r="U182" s="41"/>
      <c r="V182" s="41"/>
      <c r="W182" s="41"/>
      <c r="X182" s="41"/>
    </row>
    <row r="183" ht="15.75" customHeight="1">
      <c r="A183" s="55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56"/>
      <c r="M183" s="41"/>
      <c r="N183" s="41"/>
      <c r="O183" s="41"/>
      <c r="P183" s="41"/>
      <c r="Q183" s="41"/>
      <c r="R183" s="58"/>
      <c r="S183" s="41"/>
      <c r="T183" s="41"/>
      <c r="U183" s="41"/>
      <c r="V183" s="41"/>
      <c r="W183" s="41"/>
      <c r="X183" s="41"/>
    </row>
    <row r="184" ht="15.75" customHeight="1">
      <c r="A184" s="55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56"/>
      <c r="M184" s="41"/>
      <c r="N184" s="41"/>
      <c r="O184" s="41"/>
      <c r="P184" s="41"/>
      <c r="Q184" s="41"/>
      <c r="R184" s="58"/>
      <c r="S184" s="41"/>
      <c r="T184" s="41"/>
      <c r="U184" s="41"/>
      <c r="V184" s="41"/>
      <c r="W184" s="41"/>
      <c r="X184" s="41"/>
    </row>
    <row r="185" ht="15.75" customHeight="1">
      <c r="A185" s="55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56"/>
      <c r="M185" s="41"/>
      <c r="N185" s="41"/>
      <c r="O185" s="41"/>
      <c r="P185" s="41"/>
      <c r="Q185" s="41"/>
      <c r="R185" s="58"/>
      <c r="S185" s="41"/>
      <c r="T185" s="41"/>
      <c r="U185" s="41"/>
      <c r="V185" s="41"/>
      <c r="W185" s="41"/>
      <c r="X185" s="41"/>
    </row>
    <row r="186" ht="15.75" customHeight="1">
      <c r="A186" s="55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56"/>
      <c r="M186" s="41"/>
      <c r="N186" s="41"/>
      <c r="O186" s="41"/>
      <c r="P186" s="41"/>
      <c r="Q186" s="41"/>
      <c r="R186" s="58"/>
      <c r="S186" s="41"/>
      <c r="T186" s="41"/>
      <c r="U186" s="41"/>
      <c r="V186" s="41"/>
      <c r="W186" s="41"/>
      <c r="X186" s="41"/>
    </row>
    <row r="187" ht="15.75" customHeight="1">
      <c r="A187" s="55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56"/>
      <c r="M187" s="41"/>
      <c r="N187" s="41"/>
      <c r="O187" s="41"/>
      <c r="P187" s="41"/>
      <c r="Q187" s="41"/>
      <c r="R187" s="58"/>
      <c r="S187" s="41"/>
      <c r="T187" s="41"/>
      <c r="U187" s="41"/>
      <c r="V187" s="41"/>
      <c r="W187" s="41"/>
      <c r="X187" s="41"/>
    </row>
    <row r="188" ht="15.75" customHeight="1">
      <c r="A188" s="55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56"/>
      <c r="M188" s="41"/>
      <c r="N188" s="41"/>
      <c r="O188" s="41"/>
      <c r="P188" s="41"/>
      <c r="Q188" s="41"/>
      <c r="R188" s="58"/>
      <c r="S188" s="41"/>
      <c r="T188" s="41"/>
      <c r="U188" s="41"/>
      <c r="V188" s="41"/>
      <c r="W188" s="41"/>
      <c r="X188" s="41"/>
    </row>
    <row r="189" ht="15.75" customHeight="1">
      <c r="A189" s="55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56"/>
      <c r="M189" s="41"/>
      <c r="N189" s="41"/>
      <c r="O189" s="41"/>
      <c r="P189" s="41"/>
      <c r="Q189" s="41"/>
      <c r="R189" s="58"/>
      <c r="S189" s="41"/>
      <c r="T189" s="41"/>
      <c r="U189" s="41"/>
      <c r="V189" s="41"/>
      <c r="W189" s="41"/>
      <c r="X189" s="41"/>
    </row>
    <row r="190" ht="15.75" customHeight="1">
      <c r="A190" s="55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56"/>
      <c r="M190" s="41"/>
      <c r="N190" s="41"/>
      <c r="O190" s="41"/>
      <c r="P190" s="41"/>
      <c r="Q190" s="41"/>
      <c r="R190" s="58"/>
      <c r="S190" s="41"/>
      <c r="T190" s="41"/>
      <c r="U190" s="41"/>
      <c r="V190" s="41"/>
      <c r="W190" s="41"/>
      <c r="X190" s="41"/>
    </row>
    <row r="191" ht="15.75" customHeight="1">
      <c r="A191" s="55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56"/>
      <c r="M191" s="41"/>
      <c r="N191" s="41"/>
      <c r="O191" s="41"/>
      <c r="P191" s="41"/>
      <c r="Q191" s="41"/>
      <c r="R191" s="58"/>
      <c r="S191" s="41"/>
      <c r="T191" s="41"/>
      <c r="U191" s="41"/>
      <c r="V191" s="41"/>
      <c r="W191" s="41"/>
      <c r="X191" s="41"/>
    </row>
    <row r="192" ht="15.75" customHeight="1">
      <c r="A192" s="55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56"/>
      <c r="M192" s="41"/>
      <c r="N192" s="41"/>
      <c r="O192" s="41"/>
      <c r="P192" s="41"/>
      <c r="Q192" s="41"/>
      <c r="R192" s="58"/>
      <c r="S192" s="41"/>
      <c r="T192" s="41"/>
      <c r="U192" s="41"/>
      <c r="V192" s="41"/>
      <c r="W192" s="41"/>
      <c r="X192" s="41"/>
    </row>
    <row r="193" ht="15.75" customHeight="1">
      <c r="A193" s="55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56"/>
      <c r="M193" s="41"/>
      <c r="N193" s="41"/>
      <c r="O193" s="41"/>
      <c r="P193" s="41"/>
      <c r="Q193" s="41"/>
      <c r="R193" s="58"/>
      <c r="S193" s="41"/>
      <c r="T193" s="41"/>
      <c r="U193" s="41"/>
      <c r="V193" s="41"/>
      <c r="W193" s="41"/>
      <c r="X193" s="41"/>
    </row>
    <row r="194" ht="15.75" customHeight="1">
      <c r="A194" s="55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56"/>
      <c r="M194" s="41"/>
      <c r="N194" s="41"/>
      <c r="O194" s="41"/>
      <c r="P194" s="41"/>
      <c r="Q194" s="41"/>
      <c r="R194" s="58"/>
      <c r="S194" s="41"/>
      <c r="T194" s="41"/>
      <c r="U194" s="41"/>
      <c r="V194" s="41"/>
      <c r="W194" s="41"/>
      <c r="X194" s="41"/>
    </row>
    <row r="195" ht="15.75" customHeight="1">
      <c r="A195" s="55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56"/>
      <c r="M195" s="41"/>
      <c r="N195" s="41"/>
      <c r="O195" s="41"/>
      <c r="P195" s="41"/>
      <c r="Q195" s="41"/>
      <c r="R195" s="58"/>
      <c r="S195" s="41"/>
      <c r="T195" s="41"/>
      <c r="U195" s="41"/>
      <c r="V195" s="41"/>
      <c r="W195" s="41"/>
      <c r="X195" s="41"/>
    </row>
    <row r="196" ht="15.75" customHeight="1">
      <c r="A196" s="55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56"/>
      <c r="M196" s="41"/>
      <c r="N196" s="41"/>
      <c r="O196" s="41"/>
      <c r="P196" s="41"/>
      <c r="Q196" s="41"/>
      <c r="R196" s="58"/>
      <c r="S196" s="41"/>
      <c r="T196" s="41"/>
      <c r="U196" s="41"/>
      <c r="V196" s="41"/>
      <c r="W196" s="41"/>
      <c r="X196" s="41"/>
    </row>
    <row r="197" ht="15.75" customHeight="1">
      <c r="A197" s="55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56"/>
      <c r="M197" s="41"/>
      <c r="N197" s="41"/>
      <c r="O197" s="41"/>
      <c r="P197" s="41"/>
      <c r="Q197" s="41"/>
      <c r="R197" s="58"/>
      <c r="S197" s="41"/>
      <c r="T197" s="41"/>
      <c r="U197" s="41"/>
      <c r="V197" s="41"/>
      <c r="W197" s="41"/>
      <c r="X197" s="41"/>
    </row>
    <row r="198" ht="15.75" customHeight="1">
      <c r="A198" s="55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56"/>
      <c r="M198" s="41"/>
      <c r="N198" s="41"/>
      <c r="O198" s="41"/>
      <c r="P198" s="41"/>
      <c r="Q198" s="41"/>
      <c r="R198" s="58"/>
      <c r="S198" s="41"/>
      <c r="T198" s="41"/>
      <c r="U198" s="41"/>
      <c r="V198" s="41"/>
      <c r="W198" s="41"/>
      <c r="X198" s="41"/>
    </row>
    <row r="199" ht="15.75" customHeight="1">
      <c r="A199" s="55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56"/>
      <c r="M199" s="41"/>
      <c r="N199" s="41"/>
      <c r="O199" s="41"/>
      <c r="P199" s="41"/>
      <c r="Q199" s="41"/>
      <c r="R199" s="58"/>
      <c r="S199" s="41"/>
      <c r="T199" s="41"/>
      <c r="U199" s="41"/>
      <c r="V199" s="41"/>
      <c r="W199" s="41"/>
      <c r="X199" s="41"/>
    </row>
    <row r="200" ht="15.75" customHeight="1">
      <c r="A200" s="55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56"/>
      <c r="M200" s="41"/>
      <c r="N200" s="41"/>
      <c r="O200" s="41"/>
      <c r="P200" s="41"/>
      <c r="Q200" s="41"/>
      <c r="R200" s="58"/>
      <c r="S200" s="41"/>
      <c r="T200" s="41"/>
      <c r="U200" s="41"/>
      <c r="V200" s="41"/>
      <c r="W200" s="41"/>
      <c r="X200" s="41"/>
    </row>
    <row r="201" ht="15.75" customHeight="1">
      <c r="A201" s="55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56"/>
      <c r="M201" s="41"/>
      <c r="N201" s="41"/>
      <c r="O201" s="41"/>
      <c r="P201" s="41"/>
      <c r="Q201" s="41"/>
      <c r="R201" s="58"/>
      <c r="S201" s="41"/>
      <c r="T201" s="41"/>
      <c r="U201" s="41"/>
      <c r="V201" s="41"/>
      <c r="W201" s="41"/>
      <c r="X201" s="41"/>
    </row>
    <row r="202" ht="15.75" customHeight="1">
      <c r="A202" s="55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56"/>
      <c r="M202" s="41"/>
      <c r="N202" s="41"/>
      <c r="O202" s="41"/>
      <c r="P202" s="41"/>
      <c r="Q202" s="41"/>
      <c r="R202" s="58"/>
      <c r="S202" s="41"/>
      <c r="T202" s="41"/>
      <c r="U202" s="41"/>
      <c r="V202" s="41"/>
      <c r="W202" s="41"/>
      <c r="X202" s="41"/>
    </row>
    <row r="203" ht="15.75" customHeight="1">
      <c r="A203" s="55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56"/>
      <c r="M203" s="41"/>
      <c r="N203" s="41"/>
      <c r="O203" s="41"/>
      <c r="P203" s="41"/>
      <c r="Q203" s="41"/>
      <c r="R203" s="58"/>
      <c r="S203" s="41"/>
      <c r="T203" s="41"/>
      <c r="U203" s="41"/>
      <c r="V203" s="41"/>
      <c r="W203" s="41"/>
      <c r="X203" s="41"/>
    </row>
    <row r="204" ht="15.75" customHeight="1">
      <c r="A204" s="55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56"/>
      <c r="M204" s="41"/>
      <c r="N204" s="41"/>
      <c r="O204" s="41"/>
      <c r="P204" s="41"/>
      <c r="Q204" s="41"/>
      <c r="R204" s="58"/>
      <c r="S204" s="41"/>
      <c r="T204" s="41"/>
      <c r="U204" s="41"/>
      <c r="V204" s="41"/>
      <c r="W204" s="41"/>
      <c r="X204" s="41"/>
    </row>
    <row r="205" ht="15.75" customHeight="1">
      <c r="A205" s="55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56"/>
      <c r="M205" s="41"/>
      <c r="N205" s="41"/>
      <c r="O205" s="41"/>
      <c r="P205" s="41"/>
      <c r="Q205" s="41"/>
      <c r="R205" s="58"/>
      <c r="S205" s="41"/>
      <c r="T205" s="41"/>
      <c r="U205" s="41"/>
      <c r="V205" s="41"/>
      <c r="W205" s="41"/>
      <c r="X205" s="41"/>
    </row>
    <row r="206" ht="15.75" customHeight="1">
      <c r="A206" s="55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56"/>
      <c r="M206" s="41"/>
      <c r="N206" s="41"/>
      <c r="O206" s="41"/>
      <c r="P206" s="41"/>
      <c r="Q206" s="41"/>
      <c r="R206" s="58"/>
      <c r="S206" s="41"/>
      <c r="T206" s="41"/>
      <c r="U206" s="41"/>
      <c r="V206" s="41"/>
      <c r="W206" s="41"/>
      <c r="X206" s="41"/>
    </row>
    <row r="207" ht="15.75" customHeight="1">
      <c r="A207" s="55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56"/>
      <c r="M207" s="41"/>
      <c r="N207" s="41"/>
      <c r="O207" s="41"/>
      <c r="P207" s="41"/>
      <c r="Q207" s="41"/>
      <c r="R207" s="58"/>
      <c r="S207" s="41"/>
      <c r="T207" s="41"/>
      <c r="U207" s="41"/>
      <c r="V207" s="41"/>
      <c r="W207" s="41"/>
      <c r="X207" s="41"/>
    </row>
    <row r="208" ht="15.75" customHeight="1">
      <c r="A208" s="55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56"/>
      <c r="M208" s="41"/>
      <c r="N208" s="41"/>
      <c r="O208" s="41"/>
      <c r="P208" s="41"/>
      <c r="Q208" s="41"/>
      <c r="R208" s="58"/>
      <c r="S208" s="41"/>
      <c r="T208" s="41"/>
      <c r="U208" s="41"/>
      <c r="V208" s="41"/>
      <c r="W208" s="41"/>
      <c r="X208" s="41"/>
    </row>
    <row r="209" ht="15.75" customHeight="1">
      <c r="A209" s="55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56"/>
      <c r="M209" s="41"/>
      <c r="N209" s="41"/>
      <c r="O209" s="41"/>
      <c r="P209" s="41"/>
      <c r="Q209" s="41"/>
      <c r="R209" s="58"/>
      <c r="S209" s="41"/>
      <c r="T209" s="41"/>
      <c r="U209" s="41"/>
      <c r="V209" s="41"/>
      <c r="W209" s="41"/>
      <c r="X209" s="41"/>
    </row>
    <row r="210" ht="15.75" customHeight="1">
      <c r="A210" s="55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56"/>
      <c r="M210" s="41"/>
      <c r="N210" s="41"/>
      <c r="O210" s="41"/>
      <c r="P210" s="41"/>
      <c r="Q210" s="41"/>
      <c r="R210" s="58"/>
      <c r="S210" s="41"/>
      <c r="T210" s="41"/>
      <c r="U210" s="41"/>
      <c r="V210" s="41"/>
      <c r="W210" s="41"/>
      <c r="X210" s="41"/>
    </row>
    <row r="211" ht="15.75" customHeight="1">
      <c r="A211" s="55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56"/>
      <c r="M211" s="41"/>
      <c r="N211" s="41"/>
      <c r="O211" s="41"/>
      <c r="P211" s="41"/>
      <c r="Q211" s="41"/>
      <c r="R211" s="58"/>
      <c r="S211" s="41"/>
      <c r="T211" s="41"/>
      <c r="U211" s="41"/>
      <c r="V211" s="41"/>
      <c r="W211" s="41"/>
      <c r="X211" s="41"/>
    </row>
    <row r="212" ht="15.75" customHeight="1">
      <c r="A212" s="55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56"/>
      <c r="M212" s="41"/>
      <c r="N212" s="41"/>
      <c r="O212" s="41"/>
      <c r="P212" s="41"/>
      <c r="Q212" s="41"/>
      <c r="R212" s="58"/>
      <c r="S212" s="41"/>
      <c r="T212" s="41"/>
      <c r="U212" s="41"/>
      <c r="V212" s="41"/>
      <c r="W212" s="41"/>
      <c r="X212" s="41"/>
    </row>
    <row r="213" ht="15.75" customHeight="1">
      <c r="A213" s="55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56"/>
      <c r="M213" s="41"/>
      <c r="N213" s="41"/>
      <c r="O213" s="41"/>
      <c r="P213" s="41"/>
      <c r="Q213" s="41"/>
      <c r="R213" s="58"/>
      <c r="S213" s="41"/>
      <c r="T213" s="41"/>
      <c r="U213" s="41"/>
      <c r="V213" s="41"/>
      <c r="W213" s="41"/>
      <c r="X213" s="41"/>
    </row>
    <row r="214" ht="15.75" customHeight="1">
      <c r="A214" s="55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56"/>
      <c r="M214" s="41"/>
      <c r="N214" s="41"/>
      <c r="O214" s="41"/>
      <c r="P214" s="41"/>
      <c r="Q214" s="41"/>
      <c r="R214" s="58"/>
      <c r="S214" s="41"/>
      <c r="T214" s="41"/>
      <c r="U214" s="41"/>
      <c r="V214" s="41"/>
      <c r="W214" s="41"/>
      <c r="X214" s="41"/>
    </row>
    <row r="215" ht="15.75" customHeight="1">
      <c r="A215" s="55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56"/>
      <c r="M215" s="41"/>
      <c r="N215" s="41"/>
      <c r="O215" s="41"/>
      <c r="P215" s="41"/>
      <c r="Q215" s="41"/>
      <c r="R215" s="58"/>
      <c r="S215" s="41"/>
      <c r="T215" s="41"/>
      <c r="U215" s="41"/>
      <c r="V215" s="41"/>
      <c r="W215" s="41"/>
      <c r="X215" s="41"/>
    </row>
    <row r="216" ht="15.75" customHeight="1">
      <c r="A216" s="55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56"/>
      <c r="M216" s="41"/>
      <c r="N216" s="41"/>
      <c r="O216" s="41"/>
      <c r="P216" s="41"/>
      <c r="Q216" s="41"/>
      <c r="R216" s="58"/>
      <c r="S216" s="41"/>
      <c r="T216" s="41"/>
      <c r="U216" s="41"/>
      <c r="V216" s="41"/>
      <c r="W216" s="41"/>
      <c r="X216" s="41"/>
    </row>
    <row r="217" ht="15.75" customHeight="1">
      <c r="A217" s="55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56"/>
      <c r="M217" s="41"/>
      <c r="N217" s="41"/>
      <c r="O217" s="41"/>
      <c r="P217" s="41"/>
      <c r="Q217" s="41"/>
      <c r="R217" s="58"/>
      <c r="S217" s="41"/>
      <c r="T217" s="41"/>
      <c r="U217" s="41"/>
      <c r="V217" s="41"/>
      <c r="W217" s="41"/>
      <c r="X217" s="41"/>
    </row>
    <row r="218" ht="15.75" customHeight="1">
      <c r="A218" s="55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56"/>
      <c r="M218" s="41"/>
      <c r="N218" s="41"/>
      <c r="O218" s="41"/>
      <c r="P218" s="41"/>
      <c r="Q218" s="41"/>
      <c r="R218" s="58"/>
      <c r="S218" s="41"/>
      <c r="T218" s="41"/>
      <c r="U218" s="41"/>
      <c r="V218" s="41"/>
      <c r="W218" s="41"/>
      <c r="X218" s="41"/>
    </row>
    <row r="219" ht="15.75" customHeight="1">
      <c r="A219" s="55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56"/>
      <c r="M219" s="41"/>
      <c r="N219" s="41"/>
      <c r="O219" s="41"/>
      <c r="P219" s="41"/>
      <c r="Q219" s="41"/>
      <c r="R219" s="58"/>
      <c r="S219" s="41"/>
      <c r="T219" s="41"/>
      <c r="U219" s="41"/>
      <c r="V219" s="41"/>
      <c r="W219" s="41"/>
      <c r="X219" s="41"/>
    </row>
    <row r="220" ht="15.75" customHeight="1">
      <c r="A220" s="55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56"/>
      <c r="M220" s="41"/>
      <c r="N220" s="41"/>
      <c r="O220" s="41"/>
      <c r="P220" s="41"/>
      <c r="Q220" s="41"/>
      <c r="R220" s="58"/>
      <c r="S220" s="41"/>
      <c r="T220" s="41"/>
      <c r="U220" s="41"/>
      <c r="V220" s="41"/>
      <c r="W220" s="41"/>
      <c r="X220" s="41"/>
    </row>
    <row r="221" ht="15.75" customHeight="1">
      <c r="A221" s="55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56"/>
      <c r="M221" s="41"/>
      <c r="N221" s="41"/>
      <c r="O221" s="41"/>
      <c r="P221" s="41"/>
      <c r="Q221" s="41"/>
      <c r="R221" s="58"/>
      <c r="S221" s="41"/>
      <c r="T221" s="41"/>
      <c r="U221" s="41"/>
      <c r="V221" s="41"/>
      <c r="W221" s="41"/>
      <c r="X221" s="41"/>
    </row>
    <row r="222" ht="15.75" customHeight="1">
      <c r="A222" s="55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56"/>
      <c r="M222" s="41"/>
      <c r="N222" s="41"/>
      <c r="O222" s="41"/>
      <c r="P222" s="41"/>
      <c r="Q222" s="41"/>
      <c r="R222" s="58"/>
      <c r="S222" s="41"/>
      <c r="T222" s="41"/>
      <c r="U222" s="41"/>
      <c r="V222" s="41"/>
      <c r="W222" s="41"/>
      <c r="X222" s="41"/>
    </row>
    <row r="223" ht="15.75" customHeight="1">
      <c r="A223" s="55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56"/>
      <c r="M223" s="41"/>
      <c r="N223" s="41"/>
      <c r="O223" s="41"/>
      <c r="P223" s="41"/>
      <c r="Q223" s="41"/>
      <c r="R223" s="58"/>
      <c r="S223" s="41"/>
      <c r="T223" s="41"/>
      <c r="U223" s="41"/>
      <c r="V223" s="41"/>
      <c r="W223" s="41"/>
      <c r="X223" s="41"/>
    </row>
    <row r="224" ht="15.75" customHeight="1">
      <c r="A224" s="55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56"/>
      <c r="M224" s="41"/>
      <c r="N224" s="41"/>
      <c r="O224" s="41"/>
      <c r="P224" s="41"/>
      <c r="Q224" s="41"/>
      <c r="R224" s="58"/>
      <c r="S224" s="41"/>
      <c r="T224" s="41"/>
      <c r="U224" s="41"/>
      <c r="V224" s="41"/>
      <c r="W224" s="41"/>
      <c r="X224" s="41"/>
    </row>
    <row r="225" ht="15.75" customHeight="1">
      <c r="A225" s="55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56"/>
      <c r="M225" s="41"/>
      <c r="N225" s="41"/>
      <c r="O225" s="41"/>
      <c r="P225" s="41"/>
      <c r="Q225" s="41"/>
      <c r="R225" s="58"/>
      <c r="S225" s="41"/>
      <c r="T225" s="41"/>
      <c r="U225" s="41"/>
      <c r="V225" s="41"/>
      <c r="W225" s="41"/>
      <c r="X225" s="41"/>
    </row>
    <row r="226" ht="15.75" customHeight="1">
      <c r="A226" s="55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56"/>
      <c r="M226" s="41"/>
      <c r="N226" s="41"/>
      <c r="O226" s="41"/>
      <c r="P226" s="41"/>
      <c r="Q226" s="41"/>
      <c r="R226" s="58"/>
      <c r="S226" s="41"/>
      <c r="T226" s="41"/>
      <c r="U226" s="41"/>
      <c r="V226" s="41"/>
      <c r="W226" s="41"/>
      <c r="X226" s="41"/>
    </row>
    <row r="227" ht="15.75" customHeight="1">
      <c r="A227" s="55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56"/>
      <c r="M227" s="41"/>
      <c r="N227" s="41"/>
      <c r="O227" s="41"/>
      <c r="P227" s="41"/>
      <c r="Q227" s="41"/>
      <c r="R227" s="58"/>
      <c r="S227" s="41"/>
      <c r="T227" s="41"/>
      <c r="U227" s="41"/>
      <c r="V227" s="41"/>
      <c r="W227" s="41"/>
      <c r="X227" s="41"/>
    </row>
    <row r="228" ht="15.75" customHeight="1">
      <c r="A228" s="55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56"/>
      <c r="M228" s="41"/>
      <c r="N228" s="41"/>
      <c r="O228" s="41"/>
      <c r="P228" s="41"/>
      <c r="Q228" s="41"/>
      <c r="R228" s="58"/>
      <c r="S228" s="41"/>
      <c r="T228" s="41"/>
      <c r="U228" s="41"/>
      <c r="V228" s="41"/>
      <c r="W228" s="41"/>
      <c r="X228" s="41"/>
    </row>
    <row r="229" ht="15.75" customHeight="1">
      <c r="A229" s="55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56"/>
      <c r="M229" s="41"/>
      <c r="N229" s="41"/>
      <c r="O229" s="41"/>
      <c r="P229" s="41"/>
      <c r="Q229" s="41"/>
      <c r="R229" s="58"/>
      <c r="S229" s="41"/>
      <c r="T229" s="41"/>
      <c r="U229" s="41"/>
      <c r="V229" s="41"/>
      <c r="W229" s="41"/>
      <c r="X229" s="41"/>
    </row>
    <row r="230" ht="15.75" customHeight="1">
      <c r="A230" s="55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56"/>
      <c r="M230" s="41"/>
      <c r="N230" s="41"/>
      <c r="O230" s="41"/>
      <c r="P230" s="41"/>
      <c r="Q230" s="41"/>
      <c r="R230" s="58"/>
      <c r="S230" s="41"/>
      <c r="T230" s="41"/>
      <c r="U230" s="41"/>
      <c r="V230" s="41"/>
      <c r="W230" s="41"/>
      <c r="X230" s="41"/>
    </row>
    <row r="231" ht="15.75" customHeight="1">
      <c r="A231" s="55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59"/>
      <c r="P231" s="41"/>
      <c r="Q231" s="41"/>
      <c r="R231" s="58"/>
      <c r="S231" s="41"/>
      <c r="T231" s="41"/>
      <c r="U231" s="41"/>
      <c r="V231" s="41"/>
      <c r="W231" s="41"/>
      <c r="X231" s="41"/>
    </row>
    <row r="232" ht="15.75" customHeight="1">
      <c r="A232" s="55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59"/>
      <c r="P232" s="53"/>
      <c r="Q232" s="53"/>
      <c r="R232" s="60"/>
      <c r="S232" s="41"/>
      <c r="T232" s="41"/>
      <c r="U232" s="41"/>
      <c r="V232" s="41"/>
      <c r="W232" s="41"/>
      <c r="X232" s="41"/>
    </row>
    <row r="233" ht="15.75" customHeight="1">
      <c r="A233" s="55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59"/>
      <c r="P233" s="53"/>
      <c r="Q233" s="53"/>
      <c r="R233" s="60"/>
      <c r="S233" s="41"/>
      <c r="T233" s="41"/>
      <c r="U233" s="41"/>
      <c r="V233" s="41"/>
      <c r="W233" s="41"/>
      <c r="X233" s="41"/>
    </row>
    <row r="234" ht="15.75" customHeight="1">
      <c r="A234" s="55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59"/>
      <c r="P234" s="53"/>
      <c r="Q234" s="53"/>
      <c r="R234" s="60"/>
      <c r="S234" s="41"/>
      <c r="T234" s="41"/>
      <c r="U234" s="41"/>
      <c r="V234" s="41"/>
      <c r="W234" s="41"/>
      <c r="X234" s="41"/>
    </row>
    <row r="235" ht="15.75" customHeight="1">
      <c r="A235" s="55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59"/>
      <c r="P235" s="53"/>
      <c r="Q235" s="53"/>
      <c r="R235" s="60"/>
      <c r="S235" s="41"/>
      <c r="T235" s="41"/>
      <c r="U235" s="41"/>
      <c r="V235" s="41"/>
      <c r="W235" s="41"/>
      <c r="X235" s="41"/>
    </row>
    <row r="236" ht="15.75" customHeight="1">
      <c r="A236" s="55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59"/>
      <c r="P236" s="53"/>
      <c r="Q236" s="53"/>
      <c r="R236" s="60"/>
      <c r="S236" s="41"/>
      <c r="T236" s="41"/>
      <c r="U236" s="41"/>
      <c r="V236" s="41"/>
      <c r="W236" s="41"/>
      <c r="X236" s="41"/>
    </row>
    <row r="237" ht="15.75" customHeight="1">
      <c r="A237" s="55"/>
      <c r="B237" s="41"/>
      <c r="C237" s="41"/>
      <c r="D237" s="41"/>
      <c r="E237" s="41"/>
      <c r="F237" s="41"/>
      <c r="G237" s="41"/>
      <c r="H237" s="41"/>
      <c r="I237" s="41"/>
      <c r="L237" s="59"/>
      <c r="P237" s="53"/>
      <c r="Q237" s="53"/>
      <c r="R237" s="60"/>
      <c r="S237" s="41"/>
      <c r="T237" s="41"/>
      <c r="U237" s="41"/>
      <c r="V237" s="41"/>
      <c r="W237" s="41"/>
      <c r="X237" s="41"/>
    </row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2" ref="N2"/>
    <hyperlink r:id="rId3" ref="N3"/>
    <hyperlink r:id="rId4" ref="A4"/>
    <hyperlink r:id="rId5" ref="N4"/>
    <hyperlink r:id="rId6" ref="A5"/>
    <hyperlink r:id="rId7" ref="N5"/>
    <hyperlink r:id="rId8" ref="A6"/>
    <hyperlink r:id="rId9" ref="N6"/>
    <hyperlink r:id="rId10" ref="A7"/>
    <hyperlink r:id="rId11" ref="N7"/>
    <hyperlink r:id="rId12" ref="A8"/>
    <hyperlink r:id="rId13" ref="N8"/>
    <hyperlink r:id="rId14" ref="A9"/>
    <hyperlink r:id="rId15" ref="N9"/>
    <hyperlink r:id="rId16" ref="N10"/>
    <hyperlink r:id="rId17" ref="N11"/>
    <hyperlink r:id="rId18" ref="N12"/>
    <hyperlink r:id="rId19" ref="N13"/>
    <hyperlink r:id="rId20" ref="N14"/>
    <hyperlink r:id="rId21" ref="N15"/>
    <hyperlink r:id="rId22" ref="A16"/>
    <hyperlink r:id="rId23" ref="N16"/>
    <hyperlink r:id="rId24" ref="A17"/>
    <hyperlink r:id="rId25" ref="N17"/>
    <hyperlink r:id="rId26" ref="A18"/>
    <hyperlink r:id="rId27" ref="N18"/>
    <hyperlink r:id="rId28" ref="A19"/>
    <hyperlink r:id="rId29" ref="N19"/>
    <hyperlink r:id="rId30" ref="A20"/>
    <hyperlink r:id="rId31" ref="N20"/>
    <hyperlink r:id="rId32" ref="A21"/>
    <hyperlink r:id="rId33" ref="N21"/>
    <hyperlink r:id="rId34" ref="N22"/>
    <hyperlink r:id="rId35" ref="N23"/>
    <hyperlink r:id="rId36" ref="N24"/>
    <hyperlink r:id="rId37" ref="N25"/>
    <hyperlink r:id="rId38" ref="N26"/>
    <hyperlink r:id="rId39" ref="N27"/>
    <hyperlink r:id="rId40" ref="N28"/>
    <hyperlink r:id="rId41" ref="N29"/>
    <hyperlink r:id="rId42" ref="N30"/>
    <hyperlink r:id="rId43" ref="N31"/>
    <hyperlink r:id="rId44" ref="N32"/>
    <hyperlink r:id="rId45" ref="N33"/>
    <hyperlink r:id="rId46" ref="N34"/>
    <hyperlink r:id="rId47" ref="N35"/>
    <hyperlink r:id="rId48" ref="N36"/>
    <hyperlink r:id="rId49" ref="N37"/>
  </hyperlinks>
  <drawing r:id="rId5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9.86"/>
    <col customWidth="1" min="2" max="2" width="11.0"/>
    <col customWidth="1" min="3" max="6" width="14.43"/>
  </cols>
  <sheetData>
    <row r="1">
      <c r="A1" s="61" t="s">
        <v>0</v>
      </c>
      <c r="B1" s="62" t="s">
        <v>5432</v>
      </c>
    </row>
    <row r="2" ht="15.75" customHeight="1">
      <c r="A2" s="63" t="s">
        <v>5</v>
      </c>
      <c r="B2" s="5">
        <v>44012.677083333336</v>
      </c>
      <c r="C2" s="64"/>
    </row>
    <row r="3" ht="15.75" customHeight="1">
      <c r="A3" s="63" t="s">
        <v>9</v>
      </c>
      <c r="B3" s="5">
        <v>44012.53055555555</v>
      </c>
      <c r="C3" s="64"/>
    </row>
    <row r="4" ht="15.75" customHeight="1">
      <c r="A4" s="63" t="s">
        <v>15</v>
      </c>
      <c r="B4" s="5">
        <v>44012.495833333334</v>
      </c>
      <c r="C4" s="64"/>
    </row>
    <row r="5" ht="15.75" customHeight="1">
      <c r="A5" s="63" t="s">
        <v>16</v>
      </c>
      <c r="B5" s="5">
        <v>44012.41527777778</v>
      </c>
      <c r="C5" s="64"/>
    </row>
    <row r="6" ht="15.75" customHeight="1">
      <c r="A6" s="63" t="s">
        <v>24</v>
      </c>
      <c r="B6" s="5">
        <v>44012.28055555555</v>
      </c>
      <c r="C6" s="64"/>
    </row>
    <row r="7" ht="15.75" customHeight="1">
      <c r="A7" s="63" t="s">
        <v>27</v>
      </c>
      <c r="B7" s="5">
        <v>44011.6375</v>
      </c>
      <c r="C7" s="64"/>
    </row>
    <row r="8" ht="15.75" customHeight="1">
      <c r="A8" s="63" t="s">
        <v>29</v>
      </c>
      <c r="B8" s="5">
        <v>44011.615277777775</v>
      </c>
      <c r="C8" s="64"/>
    </row>
    <row r="9" ht="15.75" customHeight="1">
      <c r="A9" s="63" t="s">
        <v>30</v>
      </c>
      <c r="B9" s="5">
        <v>44011.55763888889</v>
      </c>
      <c r="C9" s="64"/>
    </row>
    <row r="10" ht="15.75" customHeight="1">
      <c r="A10" s="63" t="s">
        <v>32</v>
      </c>
      <c r="B10" s="5">
        <v>44011.413194444445</v>
      </c>
      <c r="C10" s="64"/>
    </row>
    <row r="11" ht="15.75" customHeight="1">
      <c r="A11" s="63" t="s">
        <v>38</v>
      </c>
      <c r="B11" s="5">
        <v>44011.36944444444</v>
      </c>
      <c r="C11" s="64"/>
    </row>
    <row r="12" ht="15.75" customHeight="1">
      <c r="A12" s="63" t="s">
        <v>49</v>
      </c>
      <c r="B12" s="5">
        <v>44010.67291666667</v>
      </c>
      <c r="C12" s="64"/>
    </row>
    <row r="13" ht="15.75" customHeight="1">
      <c r="A13" s="63" t="s">
        <v>50</v>
      </c>
      <c r="B13" s="5">
        <v>44009.98125</v>
      </c>
      <c r="C13" s="64"/>
    </row>
    <row r="14" ht="15.75" customHeight="1">
      <c r="A14" s="63" t="s">
        <v>52</v>
      </c>
      <c r="B14" s="5">
        <v>44009.71944444445</v>
      </c>
      <c r="C14" s="64"/>
    </row>
    <row r="15" ht="15.75" customHeight="1">
      <c r="A15" s="63" t="s">
        <v>18</v>
      </c>
      <c r="B15" s="5">
        <v>44009.65555555555</v>
      </c>
      <c r="C15" s="64"/>
    </row>
    <row r="16" ht="15.75" customHeight="1">
      <c r="A16" s="63" t="s">
        <v>54</v>
      </c>
      <c r="B16" s="5">
        <v>44009.479166666664</v>
      </c>
      <c r="C16" s="64"/>
    </row>
    <row r="17" ht="15.75" customHeight="1">
      <c r="A17" s="63" t="s">
        <v>56</v>
      </c>
      <c r="B17" s="5">
        <v>44009.373611111114</v>
      </c>
      <c r="C17" s="64"/>
    </row>
    <row r="18" ht="15.75" customHeight="1">
      <c r="A18" s="63" t="s">
        <v>58</v>
      </c>
      <c r="B18" s="5">
        <v>44009.131944444445</v>
      </c>
      <c r="C18" s="64"/>
    </row>
    <row r="19" ht="15.75" customHeight="1">
      <c r="A19" s="63" t="s">
        <v>59</v>
      </c>
      <c r="B19" s="5">
        <v>44008.98055555556</v>
      </c>
      <c r="C19" s="64"/>
    </row>
    <row r="20" ht="15.75" customHeight="1">
      <c r="A20" s="63" t="s">
        <v>60</v>
      </c>
      <c r="B20" s="5">
        <v>44008.72361111111</v>
      </c>
      <c r="C20" s="64"/>
    </row>
    <row r="21" ht="15.75" customHeight="1">
      <c r="A21" s="63" t="s">
        <v>72</v>
      </c>
      <c r="B21" s="5">
        <v>44008.30763888889</v>
      </c>
      <c r="C21" s="64"/>
    </row>
    <row r="22" ht="15.75" customHeight="1">
      <c r="A22" s="63" t="s">
        <v>73</v>
      </c>
      <c r="B22" s="5">
        <v>44007.58263888889</v>
      </c>
      <c r="C22" s="64"/>
    </row>
    <row r="23" ht="15.75" customHeight="1">
      <c r="A23" s="63" t="s">
        <v>36</v>
      </c>
      <c r="B23" s="5">
        <v>44007.50208333333</v>
      </c>
      <c r="C23" s="64"/>
    </row>
    <row r="24" ht="15.75" customHeight="1">
      <c r="A24" s="63" t="s">
        <v>84</v>
      </c>
      <c r="B24" s="5">
        <v>44007.30902777778</v>
      </c>
      <c r="C24" s="64"/>
    </row>
    <row r="25" ht="15.75" customHeight="1">
      <c r="A25" s="63" t="s">
        <v>70</v>
      </c>
      <c r="B25" s="5">
        <v>44006.322222222225</v>
      </c>
      <c r="C25" s="64"/>
    </row>
    <row r="26" ht="15.75" customHeight="1">
      <c r="A26" s="63" t="s">
        <v>91</v>
      </c>
      <c r="B26" s="5">
        <v>44005.80763888889</v>
      </c>
      <c r="C26" s="64"/>
    </row>
    <row r="27" ht="15.75" customHeight="1">
      <c r="A27" s="63" t="s">
        <v>93</v>
      </c>
      <c r="B27" s="5">
        <v>44005.74930555555</v>
      </c>
      <c r="C27" s="64"/>
    </row>
    <row r="28" ht="15.75" customHeight="1">
      <c r="A28" s="63" t="s">
        <v>98</v>
      </c>
      <c r="B28" s="5">
        <v>44005.623611111114</v>
      </c>
      <c r="C28" s="64"/>
    </row>
    <row r="29" ht="15.75" customHeight="1">
      <c r="A29" s="63" t="s">
        <v>100</v>
      </c>
      <c r="B29" s="5">
        <v>44005.53055555555</v>
      </c>
      <c r="C29" s="64"/>
    </row>
    <row r="30" ht="15.75" customHeight="1">
      <c r="A30" s="63" t="s">
        <v>101</v>
      </c>
      <c r="B30" s="5">
        <v>44005.529861111114</v>
      </c>
      <c r="C30" s="64"/>
    </row>
    <row r="31" ht="15.75" customHeight="1">
      <c r="A31" s="63" t="s">
        <v>108</v>
      </c>
      <c r="B31" s="5">
        <v>44005.44930555556</v>
      </c>
      <c r="C31" s="64"/>
    </row>
    <row r="32" ht="15.75" customHeight="1">
      <c r="A32" s="63" t="s">
        <v>113</v>
      </c>
      <c r="B32" s="5">
        <v>44005.27777777778</v>
      </c>
      <c r="C32" s="64"/>
    </row>
    <row r="33" ht="15.75" customHeight="1">
      <c r="A33" s="63" t="s">
        <v>114</v>
      </c>
      <c r="B33" s="5">
        <v>44005.152083333334</v>
      </c>
      <c r="C33" s="64"/>
    </row>
    <row r="34" ht="15.75" customHeight="1">
      <c r="A34" s="63" t="s">
        <v>117</v>
      </c>
      <c r="B34" s="5">
        <v>44004.998611111114</v>
      </c>
      <c r="C34" s="64"/>
    </row>
    <row r="35" ht="15.75" customHeight="1">
      <c r="A35" s="63" t="s">
        <v>82</v>
      </c>
      <c r="B35" s="5">
        <v>44004.58611111111</v>
      </c>
      <c r="C35" s="64"/>
    </row>
    <row r="36" ht="15.75" customHeight="1">
      <c r="A36" s="63" t="s">
        <v>130</v>
      </c>
      <c r="B36" s="5">
        <v>44004.57152777778</v>
      </c>
      <c r="C36" s="64"/>
    </row>
    <row r="37" ht="15.75" customHeight="1">
      <c r="A37" s="63" t="s">
        <v>133</v>
      </c>
      <c r="B37" s="5">
        <v>44004.55763888889</v>
      </c>
      <c r="C37" s="64"/>
    </row>
    <row r="38" ht="15.75" customHeight="1">
      <c r="A38" s="63" t="s">
        <v>78</v>
      </c>
      <c r="B38" s="5">
        <v>44004.51597222222</v>
      </c>
      <c r="C38" s="64"/>
    </row>
    <row r="39" ht="15.75" customHeight="1">
      <c r="A39" s="63" t="s">
        <v>140</v>
      </c>
      <c r="B39" s="5">
        <v>44004.49652777778</v>
      </c>
      <c r="C39" s="64"/>
    </row>
    <row r="40" ht="15.75" customHeight="1">
      <c r="A40" s="63" t="s">
        <v>139</v>
      </c>
      <c r="B40" s="5">
        <v>44004.49444444444</v>
      </c>
      <c r="C40" s="64"/>
    </row>
    <row r="41" ht="15.75" customHeight="1">
      <c r="A41" s="63" t="s">
        <v>224</v>
      </c>
      <c r="B41" s="5">
        <v>44003.875</v>
      </c>
      <c r="C41" s="64"/>
    </row>
    <row r="42" ht="15.75" customHeight="1">
      <c r="A42" s="63" t="s">
        <v>5433</v>
      </c>
      <c r="B42" s="5">
        <v>44003.711805555555</v>
      </c>
      <c r="C42" s="64"/>
    </row>
    <row r="43" ht="15.75" customHeight="1">
      <c r="A43" s="63" t="s">
        <v>225</v>
      </c>
      <c r="B43" s="5">
        <v>44003.69652777778</v>
      </c>
      <c r="C43" s="64"/>
    </row>
    <row r="44" ht="15.75" customHeight="1">
      <c r="A44" s="63" t="s">
        <v>228</v>
      </c>
      <c r="B44" s="5">
        <v>44003.580555555556</v>
      </c>
      <c r="C44" s="64"/>
    </row>
    <row r="45" ht="15.75" customHeight="1">
      <c r="A45" s="63" t="s">
        <v>230</v>
      </c>
      <c r="B45" s="5">
        <v>44003.555555555555</v>
      </c>
      <c r="C45" s="64"/>
    </row>
    <row r="46" ht="15.75" customHeight="1">
      <c r="A46" s="63" t="s">
        <v>232</v>
      </c>
      <c r="B46" s="5">
        <v>44003.44513888889</v>
      </c>
      <c r="C46" s="64"/>
    </row>
    <row r="47" ht="15.75" customHeight="1">
      <c r="A47" s="63" t="s">
        <v>233</v>
      </c>
      <c r="B47" s="5">
        <v>44003.41527777778</v>
      </c>
      <c r="C47" s="64"/>
    </row>
    <row r="48" ht="15.75" customHeight="1">
      <c r="A48" s="63" t="s">
        <v>66</v>
      </c>
      <c r="B48" s="5">
        <v>44003.40625</v>
      </c>
      <c r="C48" s="64"/>
    </row>
    <row r="49" ht="15.75" customHeight="1">
      <c r="A49" s="63" t="s">
        <v>236</v>
      </c>
      <c r="B49" s="5">
        <v>44003.38680555556</v>
      </c>
      <c r="C49" s="64"/>
    </row>
    <row r="50" ht="15.75" customHeight="1">
      <c r="A50" s="63" t="s">
        <v>237</v>
      </c>
      <c r="B50" s="5">
        <v>44002.92916666667</v>
      </c>
      <c r="C50" s="64"/>
    </row>
    <row r="51" ht="15.75" customHeight="1">
      <c r="A51" s="63" t="s">
        <v>240</v>
      </c>
      <c r="B51" s="5">
        <v>44002.736805555556</v>
      </c>
      <c r="C51" s="64"/>
    </row>
    <row r="52" ht="15.75" customHeight="1">
      <c r="A52" s="63" t="s">
        <v>245</v>
      </c>
      <c r="B52" s="5">
        <v>44002.42083333333</v>
      </c>
      <c r="C52" s="64"/>
    </row>
    <row r="53" ht="15.75" customHeight="1">
      <c r="A53" s="63" t="s">
        <v>85</v>
      </c>
      <c r="B53" s="5">
        <v>44002.40972222222</v>
      </c>
      <c r="C53" s="64"/>
    </row>
    <row r="54" ht="15.75" customHeight="1">
      <c r="A54" s="63" t="s">
        <v>247</v>
      </c>
      <c r="B54" s="5">
        <v>44002.39513888889</v>
      </c>
      <c r="C54" s="64"/>
    </row>
    <row r="55" ht="15.75" customHeight="1">
      <c r="A55" s="63" t="s">
        <v>96</v>
      </c>
      <c r="B55" s="5">
        <v>44002.39444444444</v>
      </c>
      <c r="C55" s="64"/>
    </row>
    <row r="56" ht="15.75" customHeight="1">
      <c r="A56" s="63" t="s">
        <v>250</v>
      </c>
      <c r="B56" s="5">
        <v>44001.98611111111</v>
      </c>
      <c r="C56" s="64"/>
    </row>
    <row r="57" ht="15.75" customHeight="1">
      <c r="A57" s="63" t="s">
        <v>253</v>
      </c>
      <c r="B57" s="5">
        <v>44001.95486111111</v>
      </c>
      <c r="C57" s="64"/>
    </row>
    <row r="58" ht="15.75" customHeight="1">
      <c r="A58" s="63" t="s">
        <v>115</v>
      </c>
      <c r="B58" s="5">
        <v>44001.94930555556</v>
      </c>
      <c r="C58" s="64"/>
    </row>
    <row r="59" ht="15.75" customHeight="1">
      <c r="A59" s="63" t="s">
        <v>258</v>
      </c>
      <c r="B59" s="5">
        <v>44001.9</v>
      </c>
      <c r="C59" s="64"/>
    </row>
    <row r="60" ht="15.75" customHeight="1">
      <c r="A60" s="63" t="s">
        <v>259</v>
      </c>
      <c r="B60" s="5">
        <v>44001.85902777778</v>
      </c>
      <c r="C60" s="64"/>
    </row>
    <row r="61" ht="15.75" customHeight="1">
      <c r="A61" s="63" t="s">
        <v>261</v>
      </c>
      <c r="B61" s="5">
        <v>44001.791666666664</v>
      </c>
      <c r="C61" s="64"/>
    </row>
    <row r="62" ht="15.75" customHeight="1">
      <c r="A62" s="63" t="s">
        <v>263</v>
      </c>
      <c r="B62" s="5">
        <v>44001.77361111111</v>
      </c>
      <c r="C62" s="64"/>
    </row>
    <row r="63" ht="15.75" customHeight="1">
      <c r="A63" s="63" t="s">
        <v>161</v>
      </c>
      <c r="B63" s="5">
        <v>44001.76388888889</v>
      </c>
      <c r="C63" s="64"/>
    </row>
    <row r="64" ht="15.75" customHeight="1">
      <c r="A64" s="63" t="s">
        <v>269</v>
      </c>
      <c r="B64" s="5">
        <v>44001.67638888889</v>
      </c>
      <c r="C64" s="64"/>
    </row>
    <row r="65" ht="15.75" customHeight="1">
      <c r="A65" s="63" t="s">
        <v>277</v>
      </c>
      <c r="B65" s="5">
        <v>44001.58125</v>
      </c>
      <c r="C65" s="64"/>
    </row>
    <row r="66" ht="15.75" customHeight="1">
      <c r="A66" s="63" t="s">
        <v>153</v>
      </c>
      <c r="B66" s="5">
        <v>44001.57847222222</v>
      </c>
      <c r="C66" s="64"/>
    </row>
    <row r="67" ht="15.75" customHeight="1">
      <c r="A67" s="63" t="s">
        <v>278</v>
      </c>
      <c r="B67" s="5">
        <v>44001.575</v>
      </c>
      <c r="C67" s="64"/>
    </row>
    <row r="68" ht="15.75" customHeight="1">
      <c r="A68" s="63" t="s">
        <v>282</v>
      </c>
      <c r="B68" s="5">
        <v>44001.54236111111</v>
      </c>
      <c r="C68" s="64"/>
    </row>
    <row r="69" ht="15.75" customHeight="1">
      <c r="A69" s="63" t="s">
        <v>198</v>
      </c>
      <c r="B69" s="5">
        <v>44001.52361111111</v>
      </c>
      <c r="C69" s="64"/>
    </row>
    <row r="70" ht="15.75" customHeight="1">
      <c r="A70" s="63" t="s">
        <v>287</v>
      </c>
      <c r="B70" s="5">
        <v>44001.51180555556</v>
      </c>
      <c r="C70" s="64"/>
    </row>
    <row r="71" ht="15.75" customHeight="1">
      <c r="A71" s="63" t="s">
        <v>292</v>
      </c>
      <c r="B71" s="5">
        <v>44001.498611111114</v>
      </c>
      <c r="C71" s="64"/>
    </row>
    <row r="72" ht="15.75" customHeight="1">
      <c r="A72" s="63" t="s">
        <v>296</v>
      </c>
      <c r="B72" s="5">
        <v>44001.46319444444</v>
      </c>
      <c r="C72" s="64"/>
    </row>
    <row r="73" ht="15.75" customHeight="1">
      <c r="A73" s="63" t="s">
        <v>301</v>
      </c>
      <c r="B73" s="5">
        <v>44001.450694444444</v>
      </c>
      <c r="C73" s="64"/>
    </row>
    <row r="74" ht="15.75" customHeight="1">
      <c r="A74" s="63" t="s">
        <v>109</v>
      </c>
      <c r="B74" s="5">
        <v>44001.45</v>
      </c>
      <c r="C74" s="64"/>
    </row>
    <row r="75" ht="15.75" customHeight="1">
      <c r="A75" s="63" t="s">
        <v>147</v>
      </c>
      <c r="B75" s="5">
        <v>44001.44861111111</v>
      </c>
      <c r="C75" s="64"/>
    </row>
    <row r="76" ht="15.75" customHeight="1">
      <c r="A76" s="63" t="s">
        <v>141</v>
      </c>
      <c r="B76" s="5">
        <v>44001.43402777778</v>
      </c>
      <c r="C76" s="64"/>
    </row>
    <row r="77" ht="15.75" customHeight="1">
      <c r="A77" s="63" t="s">
        <v>5434</v>
      </c>
      <c r="B77" s="5">
        <v>44001.427083333336</v>
      </c>
      <c r="C77" s="64"/>
    </row>
    <row r="78" ht="15.75" customHeight="1">
      <c r="A78" s="63" t="s">
        <v>194</v>
      </c>
      <c r="B78" s="5">
        <v>44001.40416666667</v>
      </c>
      <c r="C78" s="64"/>
    </row>
    <row r="79" ht="15.75" customHeight="1">
      <c r="A79" s="63" t="s">
        <v>176</v>
      </c>
      <c r="B79" s="5">
        <v>44001.395833333336</v>
      </c>
      <c r="C79" s="64"/>
    </row>
    <row r="80" ht="15.75" customHeight="1">
      <c r="A80" s="63" t="s">
        <v>80</v>
      </c>
      <c r="B80" s="5">
        <v>44001.39027777778</v>
      </c>
      <c r="C80" s="64"/>
    </row>
    <row r="81" ht="15.75" customHeight="1">
      <c r="A81" s="63" t="s">
        <v>300</v>
      </c>
      <c r="B81" s="5">
        <v>44001.384722222225</v>
      </c>
      <c r="C81" s="64"/>
    </row>
    <row r="82" ht="15.75" customHeight="1">
      <c r="A82" s="63" t="s">
        <v>5435</v>
      </c>
      <c r="B82" s="5">
        <v>44001.38333333333</v>
      </c>
      <c r="C82" s="64"/>
    </row>
    <row r="83" ht="15.75" customHeight="1">
      <c r="A83" s="63" t="s">
        <v>192</v>
      </c>
      <c r="B83" s="5">
        <v>44001.38263888889</v>
      </c>
      <c r="C83" s="64"/>
    </row>
    <row r="84" ht="15.75" customHeight="1">
      <c r="A84" s="63" t="s">
        <v>5436</v>
      </c>
      <c r="B84" s="5">
        <v>44001.381944444445</v>
      </c>
      <c r="C84" s="64"/>
    </row>
    <row r="85" ht="15.75" customHeight="1">
      <c r="A85" s="63" t="s">
        <v>135</v>
      </c>
      <c r="B85" s="5">
        <v>44001.37430555555</v>
      </c>
      <c r="C85" s="64"/>
    </row>
    <row r="86" ht="15.75" customHeight="1">
      <c r="A86" s="63" t="s">
        <v>127</v>
      </c>
      <c r="B86" s="5">
        <v>44001.36736111111</v>
      </c>
      <c r="C86" s="64"/>
    </row>
    <row r="87" ht="15.75" customHeight="1">
      <c r="A87" s="63" t="s">
        <v>5437</v>
      </c>
      <c r="B87" s="5">
        <v>44001.36597222222</v>
      </c>
      <c r="C87" s="64"/>
    </row>
    <row r="88" ht="15.75" customHeight="1">
      <c r="A88" s="63" t="s">
        <v>186</v>
      </c>
      <c r="B88" s="5">
        <v>44001.35763888889</v>
      </c>
      <c r="C88" s="64"/>
    </row>
    <row r="89" ht="15.75" customHeight="1">
      <c r="A89" s="63" t="s">
        <v>165</v>
      </c>
      <c r="B89" s="5">
        <v>44001.339583333334</v>
      </c>
      <c r="C89" s="64"/>
    </row>
    <row r="90" ht="15.75" customHeight="1">
      <c r="A90" s="63" t="s">
        <v>208</v>
      </c>
      <c r="B90" s="5">
        <v>44001.33541666667</v>
      </c>
      <c r="C90" s="64"/>
    </row>
    <row r="91" ht="15.75" customHeight="1">
      <c r="A91" s="63" t="s">
        <v>218</v>
      </c>
      <c r="B91" s="5">
        <v>44001.333333333336</v>
      </c>
      <c r="C91" s="64"/>
    </row>
    <row r="92" ht="15.75" customHeight="1">
      <c r="A92" s="63" t="s">
        <v>5438</v>
      </c>
      <c r="B92" s="5">
        <v>44000.97222222222</v>
      </c>
      <c r="C92" s="64"/>
    </row>
    <row r="93" ht="15.75" customHeight="1">
      <c r="A93" s="63" t="s">
        <v>182</v>
      </c>
      <c r="B93" s="5">
        <v>44000.96597222222</v>
      </c>
      <c r="C93" s="64"/>
    </row>
    <row r="94" ht="15.75" customHeight="1">
      <c r="A94" s="63" t="s">
        <v>163</v>
      </c>
      <c r="B94" s="5">
        <v>44000.959027777775</v>
      </c>
      <c r="C94" s="64"/>
    </row>
    <row r="95" ht="15.75" customHeight="1">
      <c r="A95" s="63" t="s">
        <v>348</v>
      </c>
      <c r="B95" s="5">
        <v>44000.92222222222</v>
      </c>
      <c r="C95" s="64"/>
    </row>
    <row r="96" ht="15.75" customHeight="1">
      <c r="A96" s="63" t="s">
        <v>350</v>
      </c>
      <c r="B96" s="5">
        <v>44000.91458333333</v>
      </c>
      <c r="C96" s="64"/>
    </row>
    <row r="97" ht="15.75" customHeight="1">
      <c r="A97" s="63" t="s">
        <v>352</v>
      </c>
      <c r="B97" s="5">
        <v>44000.88680555556</v>
      </c>
      <c r="C97" s="64"/>
    </row>
    <row r="98" ht="15.75" customHeight="1">
      <c r="A98" s="63" t="s">
        <v>151</v>
      </c>
      <c r="B98" s="5">
        <v>44000.86736111111</v>
      </c>
      <c r="C98" s="64"/>
    </row>
    <row r="99" ht="15.75" customHeight="1">
      <c r="A99" s="63" t="s">
        <v>184</v>
      </c>
      <c r="B99" s="5">
        <v>44000.82847222222</v>
      </c>
      <c r="C99" s="64"/>
    </row>
    <row r="100" ht="15.75" customHeight="1">
      <c r="A100" s="63" t="s">
        <v>157</v>
      </c>
      <c r="B100" s="5">
        <v>44000.81597222222</v>
      </c>
      <c r="C100" s="64"/>
    </row>
    <row r="101" ht="15.75" customHeight="1">
      <c r="A101" s="63" t="s">
        <v>361</v>
      </c>
      <c r="B101" s="5">
        <v>44000.811111111114</v>
      </c>
      <c r="C101" s="64"/>
    </row>
    <row r="102" ht="15.75" customHeight="1">
      <c r="A102" s="63" t="s">
        <v>366</v>
      </c>
      <c r="B102" s="5">
        <v>44000.7875</v>
      </c>
      <c r="C102" s="64"/>
    </row>
    <row r="103" ht="15.75" customHeight="1">
      <c r="A103" s="63" t="s">
        <v>188</v>
      </c>
      <c r="B103" s="5">
        <v>44000.78055555555</v>
      </c>
      <c r="C103" s="64"/>
    </row>
    <row r="104" ht="15.75" customHeight="1">
      <c r="A104" s="63" t="s">
        <v>370</v>
      </c>
      <c r="B104" s="5">
        <v>44000.77916666667</v>
      </c>
      <c r="C104" s="64"/>
    </row>
    <row r="105" ht="15.75" customHeight="1">
      <c r="A105" s="63" t="s">
        <v>372</v>
      </c>
      <c r="B105" s="5">
        <v>44000.777083333334</v>
      </c>
      <c r="C105" s="64"/>
    </row>
    <row r="106" ht="15.75" customHeight="1">
      <c r="A106" s="63" t="s">
        <v>124</v>
      </c>
      <c r="B106" s="5">
        <v>44000.77361111111</v>
      </c>
      <c r="C106" s="64"/>
    </row>
    <row r="107" ht="15.75" customHeight="1">
      <c r="A107" s="63" t="s">
        <v>374</v>
      </c>
      <c r="B107" s="5">
        <v>44000.77361111111</v>
      </c>
      <c r="C107" s="64"/>
    </row>
    <row r="108" ht="15.75" customHeight="1">
      <c r="A108" s="63" t="s">
        <v>379</v>
      </c>
      <c r="B108" s="5">
        <v>44000.7625</v>
      </c>
      <c r="C108" s="64"/>
    </row>
    <row r="109" ht="15.75" customHeight="1">
      <c r="A109" s="63" t="s">
        <v>381</v>
      </c>
      <c r="B109" s="5">
        <v>44000.760416666664</v>
      </c>
      <c r="C109" s="64"/>
    </row>
    <row r="110" ht="15.75" customHeight="1">
      <c r="A110" s="63" t="s">
        <v>387</v>
      </c>
      <c r="B110" s="5">
        <v>44000.75555555556</v>
      </c>
      <c r="C110" s="64"/>
    </row>
    <row r="111" ht="15.75" customHeight="1">
      <c r="A111" s="63" t="s">
        <v>34</v>
      </c>
      <c r="B111" s="5">
        <v>44000.75486111111</v>
      </c>
      <c r="C111" s="64"/>
    </row>
    <row r="112" ht="15.75" customHeight="1">
      <c r="A112" s="63" t="s">
        <v>143</v>
      </c>
      <c r="B112" s="5">
        <v>44000.75208333333</v>
      </c>
      <c r="C112" s="64"/>
    </row>
    <row r="113" ht="15.75" customHeight="1">
      <c r="A113" s="63" t="s">
        <v>391</v>
      </c>
      <c r="B113" s="5">
        <v>44000.74722222222</v>
      </c>
      <c r="C113" s="64"/>
    </row>
    <row r="114" ht="15.75" customHeight="1">
      <c r="A114" s="63" t="s">
        <v>178</v>
      </c>
      <c r="B114" s="5">
        <v>44000.74652777778</v>
      </c>
      <c r="C114" s="64"/>
    </row>
    <row r="115" ht="15.75" customHeight="1">
      <c r="A115" s="63" t="s">
        <v>400</v>
      </c>
      <c r="B115" s="5">
        <v>44000.73888888889</v>
      </c>
      <c r="C115" s="64"/>
    </row>
    <row r="116" ht="15.75" customHeight="1">
      <c r="A116" s="63" t="s">
        <v>414</v>
      </c>
      <c r="B116" s="5">
        <v>44000.728472222225</v>
      </c>
      <c r="C116" s="64"/>
    </row>
    <row r="117" ht="15.75" customHeight="1">
      <c r="A117" s="63" t="s">
        <v>415</v>
      </c>
      <c r="B117" s="5">
        <v>44000.725694444445</v>
      </c>
      <c r="C117" s="64"/>
    </row>
    <row r="118" ht="15.75" customHeight="1">
      <c r="A118" s="63" t="s">
        <v>174</v>
      </c>
      <c r="B118" s="5">
        <v>44000.725</v>
      </c>
      <c r="C118" s="64"/>
    </row>
    <row r="119" ht="15.75" customHeight="1">
      <c r="A119" s="63" t="s">
        <v>423</v>
      </c>
      <c r="B119" s="5">
        <v>44000.72430555556</v>
      </c>
      <c r="C119" s="64"/>
    </row>
    <row r="120" ht="15.75" customHeight="1">
      <c r="A120" s="63" t="s">
        <v>417</v>
      </c>
      <c r="B120" s="5">
        <v>44000.72361111111</v>
      </c>
      <c r="C120" s="64"/>
    </row>
    <row r="121" ht="15.75" customHeight="1">
      <c r="A121" s="63" t="s">
        <v>427</v>
      </c>
      <c r="B121" s="5">
        <v>44000.722916666666</v>
      </c>
      <c r="C121" s="64"/>
    </row>
    <row r="122" ht="15.75" customHeight="1">
      <c r="A122" s="63" t="s">
        <v>155</v>
      </c>
      <c r="B122" s="5">
        <v>44000.72222222222</v>
      </c>
      <c r="C122" s="64"/>
    </row>
    <row r="123" ht="15.75" customHeight="1">
      <c r="A123" s="63" t="s">
        <v>206</v>
      </c>
      <c r="B123" s="5">
        <v>44000.714583333334</v>
      </c>
      <c r="C123" s="64"/>
    </row>
    <row r="124" ht="15.75" customHeight="1">
      <c r="A124" s="63" t="s">
        <v>180</v>
      </c>
      <c r="B124" s="5">
        <v>44000.714583333334</v>
      </c>
      <c r="C124" s="64"/>
    </row>
    <row r="125" ht="15.75" customHeight="1">
      <c r="A125" s="63" t="s">
        <v>40</v>
      </c>
      <c r="B125" s="5">
        <v>44000.70972222222</v>
      </c>
      <c r="C125" s="64"/>
    </row>
    <row r="126" ht="15.75" customHeight="1">
      <c r="A126" s="63" t="s">
        <v>434</v>
      </c>
      <c r="B126" s="5">
        <v>44000.70625</v>
      </c>
      <c r="C126" s="64"/>
    </row>
    <row r="127" ht="15.75" customHeight="1">
      <c r="A127" s="63" t="s">
        <v>440</v>
      </c>
      <c r="B127" s="5">
        <v>44000.70625</v>
      </c>
      <c r="C127" s="64"/>
    </row>
    <row r="128" ht="15.75" customHeight="1">
      <c r="A128" s="63" t="s">
        <v>438</v>
      </c>
      <c r="B128" s="5">
        <v>44000.70625</v>
      </c>
      <c r="C128" s="64"/>
    </row>
    <row r="129" ht="15.75" customHeight="1">
      <c r="A129" s="63" t="s">
        <v>111</v>
      </c>
      <c r="B129" s="5">
        <v>44000.705555555556</v>
      </c>
      <c r="C129" s="64"/>
    </row>
    <row r="130" ht="15.75" customHeight="1">
      <c r="A130" s="63" t="s">
        <v>442</v>
      </c>
      <c r="B130" s="5">
        <v>44000.705555555556</v>
      </c>
      <c r="C130" s="64"/>
    </row>
    <row r="131" ht="15.75" customHeight="1">
      <c r="A131" s="63" t="s">
        <v>190</v>
      </c>
      <c r="B131" s="5">
        <v>44000.70486111111</v>
      </c>
      <c r="C131" s="64"/>
    </row>
    <row r="132" ht="15.75" customHeight="1">
      <c r="A132" s="63" t="s">
        <v>444</v>
      </c>
      <c r="B132" s="5">
        <v>44000.70486111111</v>
      </c>
      <c r="C132" s="64"/>
    </row>
    <row r="133" ht="15.75" customHeight="1">
      <c r="A133" s="63" t="s">
        <v>454</v>
      </c>
      <c r="B133" s="5">
        <v>44000.70208333333</v>
      </c>
      <c r="C133" s="64"/>
    </row>
    <row r="134" ht="15.75" customHeight="1">
      <c r="A134" s="63" t="s">
        <v>450</v>
      </c>
      <c r="B134" s="5">
        <v>44000.70208333333</v>
      </c>
      <c r="C134" s="64"/>
    </row>
    <row r="135" ht="15.75" customHeight="1">
      <c r="A135" s="63" t="s">
        <v>452</v>
      </c>
      <c r="B135" s="5">
        <v>44000.70138888889</v>
      </c>
      <c r="C135" s="64"/>
    </row>
    <row r="136" ht="15.75" customHeight="1">
      <c r="A136" s="63" t="s">
        <v>210</v>
      </c>
      <c r="B136" s="5">
        <v>44000.69652777778</v>
      </c>
      <c r="C136" s="64"/>
    </row>
    <row r="137" ht="15.75" customHeight="1">
      <c r="A137" s="63" t="s">
        <v>457</v>
      </c>
      <c r="B137" s="5">
        <v>44000.69583333333</v>
      </c>
      <c r="C137" s="64"/>
    </row>
    <row r="138" ht="15.75" customHeight="1">
      <c r="A138" s="63" t="s">
        <v>5439</v>
      </c>
      <c r="B138" s="5">
        <v>44000.694444444445</v>
      </c>
      <c r="C138" s="64"/>
    </row>
    <row r="139" ht="15.75" customHeight="1">
      <c r="A139" s="63" t="s">
        <v>204</v>
      </c>
      <c r="B139" s="5">
        <v>44000.69236111111</v>
      </c>
      <c r="C139" s="64"/>
    </row>
    <row r="140" ht="15.75" customHeight="1">
      <c r="A140" s="63" t="s">
        <v>169</v>
      </c>
      <c r="B140" s="5">
        <v>44000.69097222222</v>
      </c>
      <c r="C140" s="64"/>
    </row>
    <row r="141" ht="15.75" customHeight="1">
      <c r="A141" s="63" t="s">
        <v>465</v>
      </c>
      <c r="B141" s="5">
        <v>44000.688888888886</v>
      </c>
      <c r="C141" s="64"/>
    </row>
    <row r="142" ht="15.75" customHeight="1">
      <c r="A142" s="63" t="s">
        <v>196</v>
      </c>
      <c r="B142" s="5">
        <v>44000.6875</v>
      </c>
      <c r="C142" s="64"/>
    </row>
    <row r="143" ht="15.75" customHeight="1">
      <c r="A143" s="63" t="s">
        <v>214</v>
      </c>
      <c r="B143" s="5">
        <v>44000.6875</v>
      </c>
      <c r="C143" s="64"/>
    </row>
    <row r="144" ht="15.75" customHeight="1">
      <c r="A144" s="63" t="s">
        <v>159</v>
      </c>
      <c r="B144" s="5">
        <v>44000.686111111114</v>
      </c>
      <c r="C144" s="64"/>
    </row>
    <row r="145" ht="15.75" customHeight="1">
      <c r="A145" s="63" t="s">
        <v>171</v>
      </c>
      <c r="B145" s="5">
        <v>44000.68472222222</v>
      </c>
      <c r="C145" s="64"/>
    </row>
    <row r="146" ht="15.75" customHeight="1">
      <c r="A146" s="63" t="s">
        <v>478</v>
      </c>
      <c r="B146" s="5">
        <v>44000.68472222222</v>
      </c>
      <c r="C146" s="64"/>
    </row>
    <row r="147" ht="15.75" customHeight="1">
      <c r="A147" s="63" t="s">
        <v>484</v>
      </c>
      <c r="B147" s="5">
        <v>44000.68472222222</v>
      </c>
      <c r="C147" s="64"/>
    </row>
    <row r="148" ht="15.75" customHeight="1">
      <c r="A148" s="63" t="s">
        <v>475</v>
      </c>
      <c r="B148" s="5">
        <v>44000.68402777778</v>
      </c>
      <c r="C148" s="64"/>
    </row>
    <row r="149" ht="15.75" customHeight="1">
      <c r="A149" s="63" t="s">
        <v>167</v>
      </c>
      <c r="B149" s="5">
        <v>44000.68402777778</v>
      </c>
      <c r="C149" s="64"/>
    </row>
    <row r="150" ht="15.75" customHeight="1">
      <c r="A150" s="63" t="s">
        <v>220</v>
      </c>
      <c r="B150" s="5">
        <v>44000.68402777778</v>
      </c>
      <c r="C150" s="64"/>
    </row>
    <row r="151" ht="15.75" customHeight="1">
      <c r="A151" s="63" t="s">
        <v>212</v>
      </c>
      <c r="B151" s="5">
        <v>44000.68263888889</v>
      </c>
      <c r="C151" s="64"/>
    </row>
    <row r="152" ht="15.75" customHeight="1">
      <c r="A152" s="63" t="s">
        <v>490</v>
      </c>
      <c r="B152" s="5">
        <v>44000.59444444445</v>
      </c>
      <c r="C152" s="64"/>
    </row>
    <row r="153" ht="15.75" customHeight="1">
      <c r="A153" s="63" t="s">
        <v>491</v>
      </c>
      <c r="B153" s="5">
        <v>44000.55069444444</v>
      </c>
      <c r="C153" s="64"/>
    </row>
    <row r="154" ht="15.75" customHeight="1">
      <c r="A154" s="63" t="s">
        <v>493</v>
      </c>
      <c r="B154" s="5">
        <v>44000.38333333333</v>
      </c>
      <c r="C154" s="64"/>
    </row>
    <row r="155" ht="15.75" customHeight="1">
      <c r="A155" s="63" t="s">
        <v>495</v>
      </c>
      <c r="B155" s="5">
        <v>43999.55486111111</v>
      </c>
      <c r="C155" s="64"/>
    </row>
    <row r="156" ht="15.75" customHeight="1">
      <c r="A156" s="63" t="s">
        <v>496</v>
      </c>
      <c r="B156" s="5">
        <v>43999.55138888889</v>
      </c>
      <c r="C156" s="64"/>
    </row>
    <row r="157" ht="15.75" customHeight="1">
      <c r="A157" s="63" t="s">
        <v>498</v>
      </c>
      <c r="B157" s="5">
        <v>43999.504166666666</v>
      </c>
      <c r="C157" s="64"/>
    </row>
    <row r="158" ht="15.75" customHeight="1">
      <c r="A158" s="63" t="s">
        <v>500</v>
      </c>
      <c r="B158" s="5">
        <v>43999.447222222225</v>
      </c>
      <c r="C158" s="64"/>
    </row>
    <row r="159" ht="15.75" customHeight="1">
      <c r="A159" s="63" t="s">
        <v>501</v>
      </c>
      <c r="B159" s="5">
        <v>43999.419444444444</v>
      </c>
      <c r="C159" s="64"/>
    </row>
    <row r="160" ht="15.75" customHeight="1">
      <c r="A160" s="63" t="s">
        <v>502</v>
      </c>
      <c r="B160" s="5">
        <v>43999.01875</v>
      </c>
      <c r="C160" s="64"/>
    </row>
    <row r="161" ht="15.75" customHeight="1">
      <c r="A161" s="63" t="s">
        <v>503</v>
      </c>
      <c r="B161" s="5">
        <v>43998.8625</v>
      </c>
      <c r="C161" s="64"/>
    </row>
    <row r="162" ht="15.75" customHeight="1">
      <c r="A162" s="63" t="s">
        <v>504</v>
      </c>
      <c r="B162" s="5">
        <v>43998.81041666667</v>
      </c>
      <c r="C162" s="64"/>
    </row>
    <row r="163" ht="15.75" customHeight="1">
      <c r="A163" s="63" t="s">
        <v>121</v>
      </c>
      <c r="B163" s="5">
        <v>43998.78055555555</v>
      </c>
      <c r="C163" s="64"/>
    </row>
    <row r="164" ht="15.75" customHeight="1">
      <c r="A164" s="63" t="s">
        <v>505</v>
      </c>
      <c r="B164" s="5">
        <v>43998.73402777778</v>
      </c>
      <c r="C164" s="64"/>
    </row>
    <row r="165" ht="15.75" customHeight="1">
      <c r="A165" s="63" t="s">
        <v>507</v>
      </c>
      <c r="B165" s="5">
        <v>43998.674305555556</v>
      </c>
      <c r="C165" s="64"/>
    </row>
    <row r="166" ht="15.75" customHeight="1">
      <c r="A166" s="63" t="s">
        <v>510</v>
      </c>
      <c r="B166" s="5">
        <v>43998.47222222222</v>
      </c>
      <c r="C166" s="64"/>
    </row>
    <row r="167" ht="15.75" customHeight="1">
      <c r="A167" s="63" t="s">
        <v>499</v>
      </c>
      <c r="B167" s="5">
        <v>43998.47083333333</v>
      </c>
      <c r="C167" s="64"/>
    </row>
    <row r="168" ht="15.75" customHeight="1">
      <c r="A168" s="63" t="s">
        <v>520</v>
      </c>
      <c r="B168" s="5">
        <v>43997.89722222222</v>
      </c>
      <c r="C168" s="64"/>
    </row>
    <row r="169" ht="15.75" customHeight="1">
      <c r="A169" s="63" t="s">
        <v>532</v>
      </c>
      <c r="B169" s="5">
        <v>43997.64513888889</v>
      </c>
      <c r="C169" s="64"/>
    </row>
    <row r="170" ht="15.75" customHeight="1">
      <c r="A170" s="63" t="s">
        <v>533</v>
      </c>
      <c r="B170" s="5">
        <v>43997.56875</v>
      </c>
      <c r="C170" s="64"/>
    </row>
    <row r="171" ht="15.75" customHeight="1">
      <c r="A171" s="63" t="s">
        <v>222</v>
      </c>
      <c r="B171" s="5">
        <v>43997.32013888889</v>
      </c>
      <c r="C171" s="64"/>
    </row>
    <row r="172" ht="15.75" customHeight="1">
      <c r="A172" s="63" t="s">
        <v>5440</v>
      </c>
      <c r="B172" s="5">
        <v>43996.74652777778</v>
      </c>
      <c r="C172" s="64"/>
    </row>
    <row r="173" ht="15.75" customHeight="1">
      <c r="A173" s="63" t="s">
        <v>572</v>
      </c>
      <c r="B173" s="5">
        <v>43995.73472222222</v>
      </c>
      <c r="C173" s="64"/>
    </row>
    <row r="174" ht="15.75" customHeight="1">
      <c r="A174" s="63" t="s">
        <v>573</v>
      </c>
      <c r="B174" s="5">
        <v>43995.513194444444</v>
      </c>
      <c r="C174" s="64"/>
    </row>
    <row r="175" ht="15.75" customHeight="1">
      <c r="A175" s="63" t="s">
        <v>5441</v>
      </c>
      <c r="B175" s="5">
        <v>43994.59722222222</v>
      </c>
      <c r="C175" s="64"/>
    </row>
    <row r="176" ht="15.75" customHeight="1">
      <c r="A176" s="63" t="s">
        <v>576</v>
      </c>
      <c r="B176" s="5">
        <v>43994.53611111111</v>
      </c>
      <c r="C176" s="64"/>
    </row>
    <row r="177" ht="15.75" customHeight="1">
      <c r="A177" s="63" t="s">
        <v>5442</v>
      </c>
      <c r="B177" s="5">
        <v>43994.529861111114</v>
      </c>
      <c r="C177" s="64"/>
    </row>
    <row r="178" ht="15.75" customHeight="1">
      <c r="A178" s="63" t="s">
        <v>559</v>
      </c>
      <c r="B178" s="5">
        <v>43994.50208333333</v>
      </c>
      <c r="C178" s="64"/>
    </row>
    <row r="179" ht="15.75" customHeight="1">
      <c r="A179" s="63" t="s">
        <v>550</v>
      </c>
      <c r="B179" s="5">
        <v>43994.43958333333</v>
      </c>
      <c r="C179" s="64"/>
    </row>
    <row r="180" ht="15.75" customHeight="1">
      <c r="A180" s="63" t="s">
        <v>585</v>
      </c>
      <c r="B180" s="5">
        <v>43994.41736111111</v>
      </c>
      <c r="C180" s="64"/>
    </row>
    <row r="181" ht="15.75" customHeight="1">
      <c r="A181" s="63" t="s">
        <v>587</v>
      </c>
      <c r="B181" s="5">
        <v>43994.393055555556</v>
      </c>
      <c r="C181" s="64"/>
    </row>
    <row r="182" ht="15.75" customHeight="1">
      <c r="A182" s="63" t="s">
        <v>589</v>
      </c>
      <c r="B182" s="5">
        <v>43994.39236111111</v>
      </c>
      <c r="C182" s="64"/>
    </row>
    <row r="183" ht="15.75" customHeight="1">
      <c r="A183" s="63" t="s">
        <v>595</v>
      </c>
      <c r="B183" s="5">
        <v>43993.061111111114</v>
      </c>
      <c r="C183" s="64"/>
    </row>
    <row r="184" ht="15.75" customHeight="1">
      <c r="A184" s="63" t="s">
        <v>601</v>
      </c>
      <c r="B184" s="5">
        <v>43992.35</v>
      </c>
      <c r="C184" s="64"/>
    </row>
    <row r="185" ht="15.75" customHeight="1">
      <c r="A185" s="63" t="s">
        <v>603</v>
      </c>
      <c r="B185" s="5">
        <v>43992.28958333333</v>
      </c>
      <c r="C185" s="64"/>
    </row>
    <row r="186" ht="15.75" customHeight="1">
      <c r="A186" s="63" t="s">
        <v>604</v>
      </c>
      <c r="B186" s="5">
        <v>43992.27361111111</v>
      </c>
      <c r="C186" s="64"/>
    </row>
    <row r="187" ht="15.75" customHeight="1">
      <c r="A187" s="63" t="s">
        <v>605</v>
      </c>
      <c r="B187" s="5">
        <v>43991.76736111111</v>
      </c>
      <c r="C187" s="64"/>
    </row>
    <row r="188" ht="15.75" customHeight="1">
      <c r="A188" s="63" t="s">
        <v>607</v>
      </c>
      <c r="B188" s="5">
        <v>43991.7625</v>
      </c>
      <c r="C188" s="64"/>
    </row>
    <row r="189" ht="15.75" customHeight="1">
      <c r="A189" s="63" t="s">
        <v>614</v>
      </c>
      <c r="B189" s="5">
        <v>43991.316666666666</v>
      </c>
      <c r="C189" s="64"/>
    </row>
    <row r="190" ht="15.75" customHeight="1">
      <c r="A190" s="63" t="s">
        <v>615</v>
      </c>
      <c r="B190" s="5">
        <v>43991.30694444444</v>
      </c>
      <c r="C190" s="64"/>
    </row>
    <row r="191" ht="15.75" customHeight="1">
      <c r="A191" s="63" t="s">
        <v>488</v>
      </c>
      <c r="B191" s="5">
        <v>43990.83194444444</v>
      </c>
      <c r="C191" s="64"/>
    </row>
    <row r="192" ht="15.75" customHeight="1">
      <c r="A192" s="63" t="s">
        <v>621</v>
      </c>
      <c r="B192" s="5">
        <v>43990.56041666667</v>
      </c>
      <c r="C192" s="64"/>
    </row>
    <row r="193" ht="15.75" customHeight="1">
      <c r="A193" s="63" t="s">
        <v>622</v>
      </c>
      <c r="B193" s="5">
        <v>43990.47638888889</v>
      </c>
      <c r="C193" s="64"/>
    </row>
    <row r="194" ht="15.75" customHeight="1">
      <c r="A194" s="63" t="s">
        <v>634</v>
      </c>
      <c r="B194" s="5">
        <v>43989.79722222222</v>
      </c>
      <c r="C194" s="64"/>
    </row>
    <row r="195" ht="15.75" customHeight="1">
      <c r="A195" s="63" t="s">
        <v>636</v>
      </c>
      <c r="B195" s="5">
        <v>43989.65972222222</v>
      </c>
      <c r="C195" s="64"/>
    </row>
    <row r="196" ht="15.75" customHeight="1">
      <c r="A196" s="63" t="s">
        <v>396</v>
      </c>
      <c r="B196" s="5">
        <v>43989.48472222222</v>
      </c>
      <c r="C196" s="64"/>
    </row>
    <row r="197" ht="15.75" customHeight="1">
      <c r="A197" s="63" t="s">
        <v>642</v>
      </c>
      <c r="B197" s="5">
        <v>43988.77638888889</v>
      </c>
      <c r="C197" s="64"/>
    </row>
    <row r="198" ht="15.75" customHeight="1">
      <c r="A198" s="63" t="s">
        <v>644</v>
      </c>
      <c r="B198" s="5">
        <v>43988.600694444445</v>
      </c>
      <c r="C198" s="64"/>
    </row>
    <row r="199" ht="15.75" customHeight="1">
      <c r="A199" s="63" t="s">
        <v>645</v>
      </c>
      <c r="B199" s="5">
        <v>43988.46805555555</v>
      </c>
      <c r="C199" s="64"/>
    </row>
    <row r="200" ht="15.75" customHeight="1">
      <c r="A200" s="63" t="s">
        <v>646</v>
      </c>
      <c r="B200" s="5">
        <v>43988.41527777778</v>
      </c>
      <c r="C200" s="64"/>
    </row>
    <row r="201" ht="15.75" customHeight="1">
      <c r="A201" s="63" t="s">
        <v>648</v>
      </c>
      <c r="B201" s="5">
        <v>43988.02361111111</v>
      </c>
      <c r="C201" s="64"/>
    </row>
    <row r="202" ht="15.75" customHeight="1">
      <c r="A202" s="63" t="s">
        <v>649</v>
      </c>
      <c r="B202" s="5">
        <v>43987.98333333333</v>
      </c>
      <c r="C202" s="64"/>
    </row>
    <row r="203" ht="15.75" customHeight="1">
      <c r="A203" s="63" t="s">
        <v>654</v>
      </c>
      <c r="B203" s="5">
        <v>43987.674305555556</v>
      </c>
      <c r="C203" s="64"/>
    </row>
    <row r="204" ht="15.75" customHeight="1">
      <c r="A204" s="63" t="s">
        <v>658</v>
      </c>
      <c r="B204" s="5">
        <v>43987.501388888886</v>
      </c>
      <c r="C204" s="64"/>
    </row>
    <row r="205" ht="15.75" customHeight="1">
      <c r="A205" s="63" t="s">
        <v>660</v>
      </c>
      <c r="B205" s="5">
        <v>43987.47222222222</v>
      </c>
      <c r="C205" s="64"/>
    </row>
    <row r="206" ht="15.75" customHeight="1">
      <c r="A206" s="63" t="s">
        <v>679</v>
      </c>
      <c r="B206" s="5">
        <v>43986.93819444445</v>
      </c>
      <c r="C206" s="64"/>
    </row>
    <row r="207" ht="15.75" customHeight="1">
      <c r="A207" s="63" t="s">
        <v>677</v>
      </c>
      <c r="B207" s="5">
        <v>43986.85625</v>
      </c>
      <c r="C207" s="64"/>
    </row>
    <row r="208" ht="15.75" customHeight="1">
      <c r="A208" s="63" t="s">
        <v>624</v>
      </c>
      <c r="B208" s="5">
        <v>43986.65069444444</v>
      </c>
      <c r="C208" s="64"/>
    </row>
    <row r="209" ht="15.75" customHeight="1">
      <c r="A209" s="63" t="s">
        <v>703</v>
      </c>
      <c r="B209" s="5">
        <v>43986.34375</v>
      </c>
      <c r="C209" s="64"/>
    </row>
    <row r="210" ht="15.75" customHeight="1">
      <c r="A210" s="63" t="s">
        <v>629</v>
      </c>
      <c r="B210" s="5">
        <v>43985.927083333336</v>
      </c>
      <c r="C210" s="64"/>
    </row>
    <row r="211" ht="15.75" customHeight="1">
      <c r="A211" s="63" t="s">
        <v>756</v>
      </c>
      <c r="B211" s="5">
        <v>43985.65625</v>
      </c>
      <c r="C211" s="64"/>
    </row>
    <row r="212" ht="15.75" customHeight="1">
      <c r="A212" s="63" t="s">
        <v>763</v>
      </c>
      <c r="B212" s="5">
        <v>43985.46875</v>
      </c>
      <c r="C212" s="64"/>
    </row>
    <row r="213" ht="15.75" customHeight="1">
      <c r="A213" s="63" t="s">
        <v>791</v>
      </c>
      <c r="B213" s="5">
        <v>43984.43680555555</v>
      </c>
      <c r="C213" s="64"/>
    </row>
    <row r="214" ht="15.75" customHeight="1">
      <c r="A214" s="63" t="s">
        <v>792</v>
      </c>
      <c r="B214" s="5">
        <v>43984.35208333333</v>
      </c>
      <c r="C214" s="64"/>
    </row>
    <row r="215" ht="15.75" customHeight="1">
      <c r="A215" s="63" t="s">
        <v>793</v>
      </c>
      <c r="B215" s="5">
        <v>43984.313888888886</v>
      </c>
      <c r="C215" s="64"/>
    </row>
    <row r="216" ht="15.75" customHeight="1">
      <c r="A216" s="63" t="s">
        <v>794</v>
      </c>
      <c r="B216" s="5">
        <v>43984.28680555556</v>
      </c>
      <c r="C216" s="64"/>
    </row>
    <row r="217" ht="15.75" customHeight="1">
      <c r="A217" s="63" t="s">
        <v>799</v>
      </c>
      <c r="B217" s="5">
        <v>43983.94513888889</v>
      </c>
      <c r="C217" s="64"/>
    </row>
    <row r="218" ht="15.75" customHeight="1">
      <c r="A218" s="63" t="s">
        <v>803</v>
      </c>
      <c r="B218" s="5">
        <v>43983.825694444444</v>
      </c>
      <c r="C218" s="64"/>
    </row>
    <row r="219" ht="15.75" customHeight="1">
      <c r="A219" s="63" t="s">
        <v>806</v>
      </c>
      <c r="B219" s="5">
        <v>43983.75486111111</v>
      </c>
      <c r="C219" s="64"/>
    </row>
    <row r="220" ht="15.75" customHeight="1">
      <c r="A220" s="63" t="s">
        <v>807</v>
      </c>
      <c r="B220" s="5">
        <v>43983.751388888886</v>
      </c>
      <c r="C220" s="64"/>
    </row>
    <row r="221" ht="15.75" customHeight="1">
      <c r="A221" s="63" t="s">
        <v>808</v>
      </c>
      <c r="B221" s="5">
        <v>43983.73888888889</v>
      </c>
      <c r="C221" s="64"/>
    </row>
    <row r="222" ht="15.75" customHeight="1">
      <c r="A222" s="63" t="s">
        <v>784</v>
      </c>
      <c r="B222" s="5">
        <v>43983.71666666667</v>
      </c>
      <c r="C222" s="64"/>
    </row>
    <row r="223" ht="15.75" customHeight="1">
      <c r="A223" s="63" t="s">
        <v>820</v>
      </c>
      <c r="B223" s="5">
        <v>43982.85555555556</v>
      </c>
      <c r="C223" s="64"/>
    </row>
    <row r="224" ht="15.75" customHeight="1">
      <c r="A224" s="63" t="s">
        <v>825</v>
      </c>
      <c r="B224" s="5">
        <v>43981.59027777778</v>
      </c>
      <c r="C224" s="64"/>
    </row>
    <row r="225" ht="15.75" customHeight="1">
      <c r="A225" s="63" t="s">
        <v>827</v>
      </c>
      <c r="B225" s="5">
        <v>43980.85625</v>
      </c>
      <c r="C225" s="64"/>
    </row>
    <row r="226" ht="15.75" customHeight="1">
      <c r="A226" s="63" t="s">
        <v>828</v>
      </c>
      <c r="B226" s="5">
        <v>43980.64513888889</v>
      </c>
      <c r="C226" s="64"/>
    </row>
    <row r="227" ht="15.75" customHeight="1">
      <c r="A227" s="63" t="s">
        <v>832</v>
      </c>
      <c r="B227" s="5">
        <v>43980.46319444444</v>
      </c>
      <c r="C227" s="64"/>
    </row>
    <row r="228" ht="15.75" customHeight="1">
      <c r="A228" s="63" t="s">
        <v>838</v>
      </c>
      <c r="B228" s="5">
        <v>43979.739583333336</v>
      </c>
      <c r="C228" s="64"/>
    </row>
    <row r="229" ht="15.75" customHeight="1">
      <c r="A229" s="63" t="s">
        <v>839</v>
      </c>
      <c r="B229" s="5">
        <v>43979.73541666667</v>
      </c>
      <c r="C229" s="64"/>
    </row>
    <row r="230" ht="15.75" customHeight="1">
      <c r="A230" s="63" t="s">
        <v>840</v>
      </c>
      <c r="B230" s="5">
        <v>43979.729166666664</v>
      </c>
      <c r="C230" s="64"/>
    </row>
    <row r="231" ht="15.75" customHeight="1">
      <c r="A231" s="63" t="s">
        <v>801</v>
      </c>
      <c r="B231" s="5">
        <v>43979.71388888889</v>
      </c>
      <c r="C231" s="64"/>
    </row>
    <row r="232" ht="15.75" customHeight="1">
      <c r="A232" s="63" t="s">
        <v>692</v>
      </c>
      <c r="B232" s="5">
        <v>43979.55972222222</v>
      </c>
      <c r="C232" s="64"/>
    </row>
    <row r="233" ht="15.75" customHeight="1">
      <c r="A233" s="63" t="s">
        <v>844</v>
      </c>
      <c r="B233" s="5">
        <v>43979.47152777778</v>
      </c>
      <c r="C233" s="64"/>
    </row>
    <row r="234" ht="15.75" customHeight="1">
      <c r="A234" s="63" t="s">
        <v>847</v>
      </c>
      <c r="B234" s="5">
        <v>43979.40555555555</v>
      </c>
      <c r="C234" s="64"/>
    </row>
    <row r="235" ht="15.75" customHeight="1">
      <c r="A235" s="63" t="s">
        <v>849</v>
      </c>
      <c r="B235" s="5">
        <v>43979.34166666667</v>
      </c>
      <c r="C235" s="64"/>
    </row>
    <row r="236" ht="15.75" customHeight="1">
      <c r="A236" s="63" t="s">
        <v>855</v>
      </c>
      <c r="B236" s="5">
        <v>43979.020833333336</v>
      </c>
      <c r="C236" s="64"/>
    </row>
    <row r="237" ht="15.75" customHeight="1">
      <c r="A237" s="63" t="s">
        <v>856</v>
      </c>
      <c r="B237" s="5">
        <v>43978.89722222222</v>
      </c>
      <c r="C237" s="64"/>
    </row>
    <row r="238" ht="15.75" customHeight="1">
      <c r="A238" s="63" t="s">
        <v>858</v>
      </c>
      <c r="B238" s="5">
        <v>43978.680555555555</v>
      </c>
      <c r="C238" s="64"/>
    </row>
    <row r="239" ht="15.75" customHeight="1">
      <c r="A239" s="63" t="s">
        <v>859</v>
      </c>
      <c r="B239" s="5">
        <v>43978.67847222222</v>
      </c>
      <c r="C239" s="64"/>
    </row>
    <row r="240" ht="15.75" customHeight="1">
      <c r="A240" s="63" t="s">
        <v>5443</v>
      </c>
      <c r="B240" s="5">
        <v>43978.59166666667</v>
      </c>
      <c r="C240" s="64"/>
    </row>
    <row r="241" ht="15.75" customHeight="1">
      <c r="A241" s="63" t="s">
        <v>804</v>
      </c>
      <c r="B241" s="5">
        <v>43978.48263888889</v>
      </c>
      <c r="C241" s="64"/>
    </row>
    <row r="242" ht="15.75" customHeight="1">
      <c r="A242" s="63" t="s">
        <v>788</v>
      </c>
      <c r="B242" s="5">
        <v>43978.455555555556</v>
      </c>
      <c r="C242" s="64"/>
    </row>
    <row r="243" ht="15.75" customHeight="1">
      <c r="A243" s="63" t="s">
        <v>864</v>
      </c>
      <c r="B243" s="5">
        <v>43977.95277777778</v>
      </c>
      <c r="C243" s="64"/>
    </row>
    <row r="244" ht="15.75" customHeight="1">
      <c r="A244" s="63" t="s">
        <v>865</v>
      </c>
      <c r="B244" s="5">
        <v>43977.73611111111</v>
      </c>
      <c r="C244" s="64"/>
    </row>
    <row r="245" ht="15.75" customHeight="1">
      <c r="A245" s="63" t="s">
        <v>871</v>
      </c>
      <c r="B245" s="5">
        <v>43977.4625</v>
      </c>
      <c r="C245" s="64"/>
    </row>
    <row r="246" ht="15.75" customHeight="1">
      <c r="A246" s="63" t="s">
        <v>873</v>
      </c>
      <c r="B246" s="5">
        <v>43977.455555555556</v>
      </c>
      <c r="C246" s="64"/>
    </row>
    <row r="247" ht="15.75" customHeight="1">
      <c r="A247" s="63" t="s">
        <v>874</v>
      </c>
      <c r="B247" s="5">
        <v>43977.40069444444</v>
      </c>
      <c r="C247" s="64"/>
    </row>
    <row r="248" ht="15.75" customHeight="1">
      <c r="A248" s="63" t="s">
        <v>5444</v>
      </c>
      <c r="B248" s="5">
        <v>43977.38402777778</v>
      </c>
      <c r="C248" s="64"/>
    </row>
    <row r="249" ht="15.75" customHeight="1">
      <c r="A249" s="63" t="s">
        <v>879</v>
      </c>
      <c r="B249" s="5">
        <v>43977.15625</v>
      </c>
      <c r="C249" s="64"/>
    </row>
    <row r="250" ht="15.75" customHeight="1">
      <c r="A250" s="63" t="s">
        <v>888</v>
      </c>
      <c r="B250" s="5">
        <v>43976.69375</v>
      </c>
      <c r="C250" s="64"/>
    </row>
    <row r="251" ht="15.75" customHeight="1">
      <c r="A251" s="63" t="s">
        <v>905</v>
      </c>
      <c r="B251" s="5">
        <v>43976.459027777775</v>
      </c>
      <c r="C251" s="64"/>
    </row>
    <row r="252" ht="15.75" customHeight="1">
      <c r="A252" s="63" t="s">
        <v>922</v>
      </c>
      <c r="B252" s="5">
        <v>43976.40555555555</v>
      </c>
      <c r="C252" s="64"/>
    </row>
    <row r="253" ht="15.75" customHeight="1">
      <c r="A253" s="63" t="s">
        <v>972</v>
      </c>
      <c r="B253" s="5">
        <v>43975.89722222222</v>
      </c>
      <c r="C253" s="64"/>
    </row>
    <row r="254" ht="15.75" customHeight="1">
      <c r="A254" s="63" t="s">
        <v>976</v>
      </c>
      <c r="B254" s="5">
        <v>43975.70416666667</v>
      </c>
      <c r="C254" s="64"/>
    </row>
    <row r="255" ht="15.75" customHeight="1">
      <c r="A255" s="63" t="s">
        <v>980</v>
      </c>
      <c r="B255" s="5">
        <v>43975.56319444445</v>
      </c>
      <c r="C255" s="64"/>
    </row>
    <row r="256" ht="15.75" customHeight="1">
      <c r="A256" s="63" t="s">
        <v>977</v>
      </c>
      <c r="B256" s="5">
        <v>43975.41180555556</v>
      </c>
      <c r="C256" s="64"/>
    </row>
    <row r="257" ht="15.75" customHeight="1">
      <c r="A257" s="63" t="s">
        <v>711</v>
      </c>
      <c r="B257" s="5">
        <v>43975.29791666667</v>
      </c>
      <c r="C257" s="64"/>
    </row>
    <row r="258" ht="15.75" customHeight="1">
      <c r="A258" s="63" t="s">
        <v>983</v>
      </c>
      <c r="B258" s="5">
        <v>43974.92916666667</v>
      </c>
      <c r="C258" s="64"/>
    </row>
    <row r="259" ht="15.75" customHeight="1">
      <c r="A259" s="63" t="s">
        <v>988</v>
      </c>
      <c r="B259" s="5">
        <v>43974.8375</v>
      </c>
      <c r="C259" s="64"/>
    </row>
    <row r="260" ht="15.75" customHeight="1">
      <c r="A260" s="63" t="s">
        <v>989</v>
      </c>
      <c r="B260" s="5">
        <v>43974.771527777775</v>
      </c>
      <c r="C260" s="64"/>
    </row>
    <row r="261" ht="15.75" customHeight="1">
      <c r="A261" s="63" t="s">
        <v>999</v>
      </c>
      <c r="B261" s="5">
        <v>43974.461805555555</v>
      </c>
      <c r="C261" s="64"/>
    </row>
    <row r="262" ht="15.75" customHeight="1">
      <c r="A262" s="63" t="s">
        <v>933</v>
      </c>
      <c r="B262" s="5">
        <v>43974.41180555556</v>
      </c>
      <c r="C262" s="64"/>
    </row>
    <row r="263" ht="15.75" customHeight="1">
      <c r="A263" s="63" t="s">
        <v>1007</v>
      </c>
      <c r="B263" s="5">
        <v>43974.13333333333</v>
      </c>
      <c r="C263" s="64"/>
    </row>
    <row r="264" ht="15.75" customHeight="1">
      <c r="A264" s="63" t="s">
        <v>1009</v>
      </c>
      <c r="B264" s="5">
        <v>43973.975</v>
      </c>
      <c r="C264" s="64"/>
    </row>
    <row r="265" ht="15.75" customHeight="1">
      <c r="A265" s="63" t="s">
        <v>1010</v>
      </c>
      <c r="B265" s="5">
        <v>43973.94027777778</v>
      </c>
      <c r="C265" s="64"/>
    </row>
    <row r="266" ht="15.75" customHeight="1">
      <c r="A266" s="63" t="s">
        <v>1249</v>
      </c>
      <c r="B266" s="5">
        <v>43973.29027777778</v>
      </c>
      <c r="C266" s="64"/>
    </row>
    <row r="267" ht="15.75" customHeight="1">
      <c r="A267" s="63" t="s">
        <v>1250</v>
      </c>
      <c r="B267" s="5">
        <v>43973.089583333334</v>
      </c>
      <c r="C267" s="64"/>
    </row>
    <row r="268" ht="15.75" customHeight="1">
      <c r="A268" s="63" t="s">
        <v>1251</v>
      </c>
      <c r="B268" s="5">
        <v>43972.961805555555</v>
      </c>
      <c r="C268" s="64"/>
    </row>
    <row r="269" ht="15.75" customHeight="1">
      <c r="A269" s="63" t="s">
        <v>565</v>
      </c>
      <c r="B269" s="5">
        <v>43972.84305555555</v>
      </c>
      <c r="C269" s="64"/>
    </row>
    <row r="270" ht="15.75" customHeight="1">
      <c r="A270" s="63" t="s">
        <v>1256</v>
      </c>
      <c r="B270" s="5">
        <v>43972.768055555556</v>
      </c>
      <c r="C270" s="64"/>
    </row>
    <row r="271" ht="15.75" customHeight="1">
      <c r="A271" s="63" t="s">
        <v>1258</v>
      </c>
      <c r="B271" s="5">
        <v>43972.75555555556</v>
      </c>
      <c r="C271" s="64"/>
    </row>
    <row r="272" ht="15.75" customHeight="1">
      <c r="A272" s="63" t="s">
        <v>826</v>
      </c>
      <c r="B272" s="5">
        <v>43972.69236111111</v>
      </c>
      <c r="C272" s="64"/>
    </row>
    <row r="273" ht="15.75" customHeight="1">
      <c r="A273" s="63" t="s">
        <v>991</v>
      </c>
      <c r="B273" s="5">
        <v>43972.54305555556</v>
      </c>
      <c r="C273" s="64"/>
    </row>
    <row r="274" ht="15.75" customHeight="1">
      <c r="A274" s="63" t="s">
        <v>5445</v>
      </c>
      <c r="B274" s="5">
        <v>43972.49166666667</v>
      </c>
      <c r="C274" s="64"/>
    </row>
    <row r="275" ht="15.75" customHeight="1">
      <c r="A275" s="63" t="s">
        <v>1279</v>
      </c>
      <c r="B275" s="5">
        <v>43972.46805555555</v>
      </c>
      <c r="C275" s="64"/>
    </row>
    <row r="276" ht="15.75" customHeight="1">
      <c r="A276" s="63" t="s">
        <v>656</v>
      </c>
      <c r="B276" s="5">
        <v>43972.4625</v>
      </c>
      <c r="C276" s="64"/>
    </row>
    <row r="277" ht="15.75" customHeight="1">
      <c r="A277" s="63" t="s">
        <v>672</v>
      </c>
      <c r="B277" s="5">
        <v>43972.45763888889</v>
      </c>
      <c r="C277" s="64"/>
    </row>
    <row r="278" ht="15.75" customHeight="1">
      <c r="A278" s="63" t="s">
        <v>1291</v>
      </c>
      <c r="B278" s="5">
        <v>43972.45625</v>
      </c>
      <c r="C278" s="64"/>
    </row>
    <row r="279" ht="15.75" customHeight="1">
      <c r="A279" s="63" t="s">
        <v>920</v>
      </c>
      <c r="B279" s="5">
        <v>43972.455555555556</v>
      </c>
      <c r="C279" s="64"/>
    </row>
    <row r="280" ht="15.75" customHeight="1">
      <c r="A280" s="63" t="s">
        <v>1270</v>
      </c>
      <c r="B280" s="5">
        <v>43972.455555555556</v>
      </c>
      <c r="C280" s="64"/>
    </row>
    <row r="281" ht="15.75" customHeight="1">
      <c r="A281" s="63" t="s">
        <v>652</v>
      </c>
      <c r="B281" s="5">
        <v>43972.45486111111</v>
      </c>
      <c r="C281" s="64"/>
    </row>
    <row r="282" ht="15.75" customHeight="1">
      <c r="A282" s="63" t="s">
        <v>1216</v>
      </c>
      <c r="B282" s="5">
        <v>43972.45208333333</v>
      </c>
      <c r="C282" s="64"/>
    </row>
    <row r="283" ht="15.75" customHeight="1">
      <c r="A283" s="63" t="s">
        <v>911</v>
      </c>
      <c r="B283" s="5">
        <v>43972.44027777778</v>
      </c>
      <c r="C283" s="64"/>
    </row>
    <row r="284" ht="15.75" customHeight="1">
      <c r="A284" s="63" t="s">
        <v>663</v>
      </c>
      <c r="B284" s="5">
        <v>43972.43402777778</v>
      </c>
      <c r="C284" s="64"/>
    </row>
    <row r="285" ht="15.75" customHeight="1">
      <c r="A285" s="63" t="s">
        <v>5446</v>
      </c>
      <c r="B285" s="5">
        <v>43972.42916666667</v>
      </c>
      <c r="C285" s="64"/>
    </row>
    <row r="286" ht="15.75" customHeight="1">
      <c r="A286" s="63" t="s">
        <v>1177</v>
      </c>
      <c r="B286" s="5">
        <v>43972.427777777775</v>
      </c>
      <c r="C286" s="64"/>
    </row>
    <row r="287" ht="15.75" customHeight="1">
      <c r="A287" s="63" t="s">
        <v>1308</v>
      </c>
      <c r="B287" s="5">
        <v>43972.42569444444</v>
      </c>
      <c r="C287" s="64"/>
    </row>
    <row r="288" ht="15.75" customHeight="1">
      <c r="A288" s="63" t="s">
        <v>5447</v>
      </c>
      <c r="B288" s="5">
        <v>43972.42361111111</v>
      </c>
      <c r="C288" s="64"/>
    </row>
    <row r="289" ht="15.75" customHeight="1">
      <c r="A289" s="63" t="s">
        <v>937</v>
      </c>
      <c r="B289" s="5">
        <v>43972.419444444444</v>
      </c>
      <c r="C289" s="64"/>
    </row>
    <row r="290" ht="15.75" customHeight="1">
      <c r="A290" s="63" t="s">
        <v>1315</v>
      </c>
      <c r="B290" s="5">
        <v>43972.41458333333</v>
      </c>
      <c r="C290" s="64"/>
    </row>
    <row r="291" ht="15.75" customHeight="1">
      <c r="A291" s="63" t="s">
        <v>1318</v>
      </c>
      <c r="B291" s="5">
        <v>43972.413194444445</v>
      </c>
      <c r="C291" s="64"/>
    </row>
    <row r="292" ht="15.75" customHeight="1">
      <c r="A292" s="63" t="s">
        <v>1080</v>
      </c>
      <c r="B292" s="5">
        <v>43972.40277777778</v>
      </c>
      <c r="C292" s="64"/>
    </row>
    <row r="293" ht="15.75" customHeight="1">
      <c r="A293" s="63" t="s">
        <v>5448</v>
      </c>
      <c r="B293" s="5">
        <v>43972.385416666664</v>
      </c>
      <c r="C293" s="64"/>
    </row>
    <row r="294" ht="15.75" customHeight="1">
      <c r="A294" s="63" t="s">
        <v>1060</v>
      </c>
      <c r="B294" s="5">
        <v>43972.384722222225</v>
      </c>
      <c r="C294" s="64"/>
    </row>
    <row r="295" ht="15.75" customHeight="1">
      <c r="A295" s="63" t="s">
        <v>1328</v>
      </c>
      <c r="B295" s="5">
        <v>43972.384722222225</v>
      </c>
      <c r="C295" s="64"/>
    </row>
    <row r="296" ht="15.75" customHeight="1">
      <c r="A296" s="63" t="s">
        <v>1285</v>
      </c>
      <c r="B296" s="5">
        <v>43972.38263888889</v>
      </c>
      <c r="C296" s="64"/>
    </row>
    <row r="297" ht="15.75" customHeight="1">
      <c r="A297" s="63" t="s">
        <v>5449</v>
      </c>
      <c r="B297" s="5">
        <v>43972.379166666666</v>
      </c>
      <c r="C297" s="64"/>
    </row>
    <row r="298" ht="15.75" customHeight="1">
      <c r="A298" s="63" t="s">
        <v>948</v>
      </c>
      <c r="B298" s="5">
        <v>43972.37013888889</v>
      </c>
      <c r="C298" s="64"/>
    </row>
    <row r="299" ht="15.75" customHeight="1">
      <c r="A299" s="63" t="s">
        <v>5450</v>
      </c>
      <c r="B299" s="5">
        <v>43972.365277777775</v>
      </c>
      <c r="C299" s="64"/>
    </row>
    <row r="300" ht="15.75" customHeight="1">
      <c r="A300" s="63" t="s">
        <v>1331</v>
      </c>
      <c r="B300" s="5">
        <v>43972.361805555556</v>
      </c>
      <c r="C300" s="64"/>
    </row>
    <row r="301" ht="15.75" customHeight="1">
      <c r="A301" s="63" t="s">
        <v>1329</v>
      </c>
      <c r="B301" s="5">
        <v>43972.35972222222</v>
      </c>
      <c r="C301" s="64"/>
    </row>
    <row r="302" ht="15.75" customHeight="1">
      <c r="A302" s="63" t="s">
        <v>640</v>
      </c>
      <c r="B302" s="5">
        <v>43971.98819444444</v>
      </c>
      <c r="C302" s="64"/>
    </row>
    <row r="303" ht="15.75" customHeight="1">
      <c r="A303" s="63" t="s">
        <v>1340</v>
      </c>
      <c r="B303" s="5">
        <v>43971.975694444445</v>
      </c>
      <c r="C303" s="64"/>
    </row>
    <row r="304" ht="15.75" customHeight="1">
      <c r="A304" s="63" t="s">
        <v>1342</v>
      </c>
      <c r="B304" s="5">
        <v>43971.97152777778</v>
      </c>
      <c r="C304" s="64"/>
    </row>
    <row r="305" ht="15.75" customHeight="1">
      <c r="A305" s="63" t="s">
        <v>842</v>
      </c>
      <c r="B305" s="5">
        <v>43971.961805555555</v>
      </c>
      <c r="C305" s="64"/>
    </row>
    <row r="306" ht="15.75" customHeight="1">
      <c r="A306" s="63" t="s">
        <v>1052</v>
      </c>
      <c r="B306" s="5">
        <v>43971.91875</v>
      </c>
      <c r="C306" s="64"/>
    </row>
    <row r="307" ht="15.75" customHeight="1">
      <c r="A307" s="63" t="s">
        <v>1024</v>
      </c>
      <c r="B307" s="5">
        <v>43971.82361111111</v>
      </c>
      <c r="C307" s="64"/>
    </row>
    <row r="308" ht="15.75" customHeight="1">
      <c r="A308" s="63" t="s">
        <v>1281</v>
      </c>
      <c r="B308" s="5">
        <v>43971.81805555556</v>
      </c>
      <c r="C308" s="64"/>
    </row>
    <row r="309" ht="15.75" customHeight="1">
      <c r="A309" s="63" t="s">
        <v>1200</v>
      </c>
      <c r="B309" s="5">
        <v>43971.759722222225</v>
      </c>
      <c r="C309" s="64"/>
    </row>
    <row r="310" ht="15.75" customHeight="1">
      <c r="A310" s="63" t="s">
        <v>1354</v>
      </c>
      <c r="B310" s="5">
        <v>43971.739583333336</v>
      </c>
      <c r="C310" s="64"/>
    </row>
    <row r="311" ht="15.75" customHeight="1">
      <c r="A311" s="63" t="s">
        <v>1355</v>
      </c>
      <c r="B311" s="5">
        <v>43971.73402777778</v>
      </c>
      <c r="C311" s="64"/>
    </row>
    <row r="312" ht="15.75" customHeight="1">
      <c r="A312" s="63" t="s">
        <v>1360</v>
      </c>
      <c r="B312" s="5">
        <v>43971.7</v>
      </c>
      <c r="C312" s="64"/>
    </row>
    <row r="313" ht="15.75" customHeight="1">
      <c r="A313" s="63" t="s">
        <v>131</v>
      </c>
      <c r="B313" s="5">
        <v>43971.69652777778</v>
      </c>
      <c r="C313" s="64"/>
    </row>
    <row r="314" ht="15.75" customHeight="1">
      <c r="A314" s="63" t="s">
        <v>1033</v>
      </c>
      <c r="B314" s="5">
        <v>43971.69652777778</v>
      </c>
      <c r="C314" s="64"/>
    </row>
    <row r="315" ht="15.75" customHeight="1">
      <c r="A315" s="63" t="s">
        <v>1231</v>
      </c>
      <c r="B315" s="5">
        <v>43971.69375</v>
      </c>
      <c r="C315" s="64"/>
    </row>
    <row r="316" ht="15.75" customHeight="1">
      <c r="A316" s="63" t="s">
        <v>1362</v>
      </c>
      <c r="B316" s="5">
        <v>43971.68194444444</v>
      </c>
      <c r="C316" s="64"/>
    </row>
    <row r="317" ht="15.75" customHeight="1">
      <c r="A317" s="63" t="s">
        <v>5451</v>
      </c>
      <c r="B317" s="5">
        <v>43971.65277777778</v>
      </c>
      <c r="C317" s="64"/>
    </row>
    <row r="318" ht="15.75" customHeight="1">
      <c r="A318" s="63" t="s">
        <v>907</v>
      </c>
      <c r="B318" s="5">
        <v>43971.64097222222</v>
      </c>
      <c r="C318" s="64"/>
    </row>
    <row r="319" ht="15.75" customHeight="1">
      <c r="A319" s="63" t="s">
        <v>957</v>
      </c>
      <c r="B319" s="5">
        <v>43971.62708333333</v>
      </c>
      <c r="C319" s="64"/>
    </row>
    <row r="320" ht="15.75" customHeight="1">
      <c r="A320" s="63" t="s">
        <v>1363</v>
      </c>
      <c r="B320" s="5">
        <v>43971.61388888889</v>
      </c>
      <c r="C320" s="64"/>
    </row>
    <row r="321" ht="15.75" customHeight="1">
      <c r="A321" s="63" t="s">
        <v>1364</v>
      </c>
      <c r="B321" s="5">
        <v>43971.6</v>
      </c>
      <c r="C321" s="64"/>
    </row>
    <row r="322" ht="15.75" customHeight="1">
      <c r="A322" s="63" t="s">
        <v>1367</v>
      </c>
      <c r="B322" s="5">
        <v>43971.56597222222</v>
      </c>
      <c r="C322" s="64"/>
    </row>
    <row r="323" ht="15.75" customHeight="1">
      <c r="A323" s="63" t="s">
        <v>5452</v>
      </c>
      <c r="B323" s="5">
        <v>43971.52638888889</v>
      </c>
      <c r="C323" s="64"/>
    </row>
    <row r="324" ht="15.75" customHeight="1">
      <c r="A324" s="63" t="s">
        <v>523</v>
      </c>
      <c r="B324" s="5">
        <v>43971.520833333336</v>
      </c>
      <c r="C324" s="64"/>
    </row>
    <row r="325" ht="15.75" customHeight="1">
      <c r="A325" s="63" t="s">
        <v>918</v>
      </c>
      <c r="B325" s="5">
        <v>43971.50208333333</v>
      </c>
      <c r="C325" s="64"/>
    </row>
    <row r="326" ht="15.75" customHeight="1">
      <c r="A326" s="63" t="s">
        <v>964</v>
      </c>
      <c r="B326" s="5">
        <v>43971.49236111111</v>
      </c>
      <c r="C326" s="64"/>
    </row>
    <row r="327" ht="15.75" customHeight="1">
      <c r="A327" s="63" t="s">
        <v>1269</v>
      </c>
      <c r="B327" s="5">
        <v>43971.489583333336</v>
      </c>
      <c r="C327" s="64"/>
    </row>
    <row r="328" ht="15.75" customHeight="1">
      <c r="A328" s="63" t="s">
        <v>1113</v>
      </c>
      <c r="B328" s="5">
        <v>43971.479166666664</v>
      </c>
      <c r="C328" s="64"/>
    </row>
    <row r="329" ht="15.75" customHeight="1">
      <c r="A329" s="63" t="s">
        <v>5453</v>
      </c>
      <c r="B329" s="5">
        <v>43971.47222222222</v>
      </c>
      <c r="C329" s="64"/>
    </row>
    <row r="330" ht="15.75" customHeight="1">
      <c r="A330" s="63" t="s">
        <v>11</v>
      </c>
      <c r="B330" s="5">
        <v>43971.458333333336</v>
      </c>
      <c r="C330" s="64"/>
    </row>
    <row r="331" ht="15.75" customHeight="1">
      <c r="A331" s="63" t="s">
        <v>1381</v>
      </c>
      <c r="B331" s="5">
        <v>43971.45486111111</v>
      </c>
      <c r="C331" s="64"/>
    </row>
    <row r="332" ht="15.75" customHeight="1">
      <c r="A332" s="63" t="s">
        <v>1303</v>
      </c>
      <c r="B332" s="5">
        <v>43971.45486111111</v>
      </c>
      <c r="C332" s="64"/>
    </row>
    <row r="333" ht="15.75" customHeight="1">
      <c r="A333" s="63" t="s">
        <v>923</v>
      </c>
      <c r="B333" s="5">
        <v>43971.44305555556</v>
      </c>
      <c r="C333" s="64"/>
    </row>
    <row r="334" ht="15.75" customHeight="1">
      <c r="A334" s="63" t="s">
        <v>1389</v>
      </c>
      <c r="B334" s="5">
        <v>43971.44305555556</v>
      </c>
      <c r="C334" s="64"/>
    </row>
    <row r="335" ht="15.75" customHeight="1">
      <c r="A335" s="63" t="s">
        <v>1385</v>
      </c>
      <c r="B335" s="5">
        <v>43971.441666666666</v>
      </c>
      <c r="C335" s="64"/>
    </row>
    <row r="336" ht="15.75" customHeight="1">
      <c r="A336" s="63" t="s">
        <v>1387</v>
      </c>
      <c r="B336" s="5">
        <v>43971.441666666666</v>
      </c>
      <c r="C336" s="64"/>
    </row>
    <row r="337" ht="15.75" customHeight="1">
      <c r="A337" s="63" t="s">
        <v>45</v>
      </c>
      <c r="B337" s="5">
        <v>43971.43958333333</v>
      </c>
      <c r="C337" s="64"/>
    </row>
    <row r="338" ht="15.75" customHeight="1">
      <c r="A338" s="63" t="s">
        <v>1043</v>
      </c>
      <c r="B338" s="5">
        <v>43971.438888888886</v>
      </c>
      <c r="C338" s="64"/>
    </row>
    <row r="339" ht="15.75" customHeight="1">
      <c r="A339" s="63" t="s">
        <v>1393</v>
      </c>
      <c r="B339" s="5">
        <v>43971.438888888886</v>
      </c>
      <c r="C339" s="64"/>
    </row>
    <row r="340" ht="15.75" customHeight="1">
      <c r="A340" s="63" t="s">
        <v>685</v>
      </c>
      <c r="B340" s="5">
        <v>43971.43402777778</v>
      </c>
      <c r="C340" s="64"/>
    </row>
    <row r="341" ht="15.75" customHeight="1">
      <c r="A341" s="63" t="s">
        <v>1310</v>
      </c>
      <c r="B341" s="5">
        <v>43971.42152777778</v>
      </c>
      <c r="C341" s="64"/>
    </row>
    <row r="342" ht="15.75" customHeight="1">
      <c r="A342" s="63" t="s">
        <v>1121</v>
      </c>
      <c r="B342" s="5">
        <v>43971.42013888889</v>
      </c>
      <c r="C342" s="64"/>
    </row>
    <row r="343" ht="15.75" customHeight="1">
      <c r="A343" s="63" t="s">
        <v>1240</v>
      </c>
      <c r="B343" s="5">
        <v>43971.41736111111</v>
      </c>
      <c r="C343" s="64"/>
    </row>
    <row r="344" ht="15.75" customHeight="1">
      <c r="A344" s="63" t="s">
        <v>1229</v>
      </c>
      <c r="B344" s="5">
        <v>43971.41527777778</v>
      </c>
      <c r="C344" s="64"/>
    </row>
    <row r="345" ht="15.75" customHeight="1">
      <c r="A345" s="63" t="s">
        <v>875</v>
      </c>
      <c r="B345" s="5">
        <v>43971.40833333333</v>
      </c>
      <c r="C345" s="64"/>
    </row>
    <row r="346" ht="15.75" customHeight="1">
      <c r="A346" s="63" t="s">
        <v>1283</v>
      </c>
      <c r="B346" s="5">
        <v>43971.407638888886</v>
      </c>
      <c r="C346" s="64"/>
    </row>
    <row r="347" ht="15.75" customHeight="1">
      <c r="A347" s="63" t="s">
        <v>850</v>
      </c>
      <c r="B347" s="5">
        <v>43971.39791666667</v>
      </c>
      <c r="C347" s="64"/>
    </row>
    <row r="348" ht="15.75" customHeight="1">
      <c r="A348" s="63" t="s">
        <v>913</v>
      </c>
      <c r="B348" s="5">
        <v>43971.39444444444</v>
      </c>
      <c r="C348" s="64"/>
    </row>
    <row r="349" ht="15.75" customHeight="1">
      <c r="A349" s="63" t="s">
        <v>1242</v>
      </c>
      <c r="B349" s="5">
        <v>43971.381944444445</v>
      </c>
      <c r="C349" s="64"/>
    </row>
    <row r="350" ht="15.75" customHeight="1">
      <c r="A350" s="63" t="s">
        <v>1202</v>
      </c>
      <c r="B350" s="5">
        <v>43971.36041666667</v>
      </c>
      <c r="C350" s="64"/>
    </row>
    <row r="351" ht="15.75" customHeight="1">
      <c r="A351" s="63" t="s">
        <v>1402</v>
      </c>
      <c r="B351" s="5">
        <v>43971.29861111111</v>
      </c>
      <c r="C351" s="64"/>
    </row>
    <row r="352" ht="15.75" customHeight="1">
      <c r="A352" s="63" t="s">
        <v>1404</v>
      </c>
      <c r="B352" s="5">
        <v>43970.92916666667</v>
      </c>
      <c r="C352" s="64"/>
    </row>
    <row r="353" ht="15.75" customHeight="1">
      <c r="A353" s="63" t="s">
        <v>942</v>
      </c>
      <c r="B353" s="5">
        <v>43970.9125</v>
      </c>
      <c r="C353" s="64"/>
    </row>
    <row r="354" ht="15.75" customHeight="1">
      <c r="A354" s="63" t="s">
        <v>1407</v>
      </c>
      <c r="B354" s="5">
        <v>43970.907638888886</v>
      </c>
      <c r="C354" s="64"/>
    </row>
    <row r="355" ht="15.75" customHeight="1">
      <c r="A355" s="63" t="s">
        <v>1408</v>
      </c>
      <c r="B355" s="5">
        <v>43970.81319444445</v>
      </c>
      <c r="C355" s="64"/>
    </row>
    <row r="356" ht="15.75" customHeight="1">
      <c r="A356" s="63" t="s">
        <v>1000</v>
      </c>
      <c r="B356" s="5">
        <v>43970.61736111111</v>
      </c>
      <c r="C356" s="64"/>
    </row>
    <row r="357" ht="15.75" customHeight="1">
      <c r="A357" s="63" t="s">
        <v>1417</v>
      </c>
      <c r="B357" s="5">
        <v>43970.51111111111</v>
      </c>
      <c r="C357" s="64"/>
    </row>
    <row r="358" ht="15.75" customHeight="1">
      <c r="A358" s="63" t="s">
        <v>284</v>
      </c>
      <c r="B358" s="5">
        <v>43970.49652777778</v>
      </c>
      <c r="C358" s="64"/>
    </row>
    <row r="359" ht="15.75" customHeight="1">
      <c r="A359" s="63" t="s">
        <v>899</v>
      </c>
      <c r="B359" s="5">
        <v>43970.44097222222</v>
      </c>
      <c r="C359" s="64"/>
    </row>
    <row r="360" ht="15.75" customHeight="1">
      <c r="A360" s="63" t="s">
        <v>935</v>
      </c>
      <c r="B360" s="5">
        <v>43970.430555555555</v>
      </c>
      <c r="C360" s="64"/>
    </row>
    <row r="361" ht="15.75" customHeight="1">
      <c r="A361" s="63" t="s">
        <v>1220</v>
      </c>
      <c r="B361" s="5">
        <v>43970.427083333336</v>
      </c>
      <c r="C361" s="64"/>
    </row>
    <row r="362" ht="15.75" customHeight="1">
      <c r="A362" s="63" t="s">
        <v>552</v>
      </c>
      <c r="B362" s="5">
        <v>43970.42638888889</v>
      </c>
      <c r="C362" s="64"/>
    </row>
    <row r="363" ht="15.75" customHeight="1">
      <c r="A363" s="63" t="s">
        <v>1105</v>
      </c>
      <c r="B363" s="5">
        <v>43970.25277777778</v>
      </c>
      <c r="C363" s="64"/>
    </row>
    <row r="364" ht="15.75" customHeight="1">
      <c r="A364" s="63" t="s">
        <v>473</v>
      </c>
      <c r="B364" s="5">
        <v>43970.010416666664</v>
      </c>
      <c r="C364" s="64"/>
    </row>
    <row r="365" ht="15.75" customHeight="1">
      <c r="A365" s="63" t="s">
        <v>1426</v>
      </c>
      <c r="B365" s="5">
        <v>43969.995833333334</v>
      </c>
      <c r="C365" s="64"/>
    </row>
    <row r="366" ht="15.75" customHeight="1">
      <c r="A366" s="63" t="s">
        <v>1333</v>
      </c>
      <c r="B366" s="5">
        <v>43969.981944444444</v>
      </c>
      <c r="C366" s="64"/>
    </row>
    <row r="367" ht="15.75" customHeight="1">
      <c r="A367" s="63" t="s">
        <v>1428</v>
      </c>
      <c r="B367" s="5">
        <v>43969.96666666667</v>
      </c>
      <c r="C367" s="64"/>
    </row>
    <row r="368" ht="15.75" customHeight="1">
      <c r="A368" s="63" t="s">
        <v>521</v>
      </c>
      <c r="B368" s="5">
        <v>43969.82847222222</v>
      </c>
      <c r="C368" s="64"/>
    </row>
    <row r="369" ht="15.75" customHeight="1">
      <c r="A369" s="63" t="s">
        <v>1093</v>
      </c>
      <c r="B369" s="5">
        <v>43969.78402777778</v>
      </c>
      <c r="C369" s="64"/>
    </row>
    <row r="370" ht="15.75" customHeight="1">
      <c r="A370" s="63" t="s">
        <v>891</v>
      </c>
      <c r="B370" s="5">
        <v>43969.705555555556</v>
      </c>
      <c r="C370" s="64"/>
    </row>
    <row r="371" ht="15.75" customHeight="1">
      <c r="A371" s="63" t="s">
        <v>5454</v>
      </c>
      <c r="B371" s="5">
        <v>43969.69861111111</v>
      </c>
      <c r="C371" s="64"/>
    </row>
    <row r="372" ht="15.75" customHeight="1">
      <c r="A372" s="63" t="s">
        <v>1288</v>
      </c>
      <c r="B372" s="5">
        <v>43969.691666666666</v>
      </c>
      <c r="C372" s="64"/>
    </row>
    <row r="373" ht="15.75" customHeight="1">
      <c r="A373" s="63" t="s">
        <v>25</v>
      </c>
      <c r="B373" s="5">
        <v>43969.646527777775</v>
      </c>
      <c r="C373" s="64"/>
    </row>
    <row r="374" ht="15.75" customHeight="1">
      <c r="A374" s="63" t="s">
        <v>661</v>
      </c>
      <c r="B374" s="5">
        <v>43969.535416666666</v>
      </c>
      <c r="C374" s="64"/>
    </row>
    <row r="375" ht="15.75" customHeight="1">
      <c r="A375" s="63" t="s">
        <v>5455</v>
      </c>
      <c r="B375" s="5">
        <v>43969.52361111111</v>
      </c>
      <c r="C375" s="64"/>
    </row>
    <row r="376" ht="15.75" customHeight="1">
      <c r="A376" s="63" t="s">
        <v>5456</v>
      </c>
      <c r="B376" s="5">
        <v>43969.51388888889</v>
      </c>
      <c r="C376" s="64"/>
    </row>
    <row r="377" ht="15.75" customHeight="1">
      <c r="A377" s="63" t="s">
        <v>950</v>
      </c>
      <c r="B377" s="5">
        <v>43969.49097222222</v>
      </c>
      <c r="C377" s="64"/>
    </row>
    <row r="378" ht="15.75" customHeight="1">
      <c r="A378" s="63" t="s">
        <v>955</v>
      </c>
      <c r="B378" s="5">
        <v>43969.48611111111</v>
      </c>
      <c r="C378" s="64"/>
    </row>
    <row r="379" ht="15.75" customHeight="1">
      <c r="A379" s="63" t="s">
        <v>280</v>
      </c>
      <c r="B379" s="5">
        <v>43969.47777777778</v>
      </c>
      <c r="C379" s="64"/>
    </row>
    <row r="380" ht="15.75" customHeight="1">
      <c r="A380" s="63" t="s">
        <v>5457</v>
      </c>
      <c r="B380" s="5">
        <v>43969.475694444445</v>
      </c>
      <c r="C380" s="64"/>
    </row>
    <row r="381" ht="15.75" customHeight="1">
      <c r="A381" s="63" t="s">
        <v>995</v>
      </c>
      <c r="B381" s="5">
        <v>43969.46041666667</v>
      </c>
      <c r="C381" s="64"/>
    </row>
    <row r="382" ht="15.75" customHeight="1">
      <c r="A382" s="63" t="s">
        <v>931</v>
      </c>
      <c r="B382" s="5">
        <v>43969.45763888889</v>
      </c>
      <c r="C382" s="64"/>
    </row>
    <row r="383" ht="15.75" customHeight="1">
      <c r="A383" s="63" t="s">
        <v>1464</v>
      </c>
      <c r="B383" s="5">
        <v>43969.43194444444</v>
      </c>
      <c r="C383" s="64"/>
    </row>
    <row r="384" ht="15.75" customHeight="1">
      <c r="A384" s="63" t="s">
        <v>1473</v>
      </c>
      <c r="B384" s="5">
        <v>43969.21319444444</v>
      </c>
      <c r="C384" s="64"/>
    </row>
    <row r="385" ht="15.75" customHeight="1">
      <c r="A385" s="63" t="s">
        <v>816</v>
      </c>
      <c r="B385" s="5">
        <v>43968.78888888889</v>
      </c>
      <c r="C385" s="64"/>
    </row>
    <row r="386" ht="15.75" customHeight="1">
      <c r="A386" s="63" t="s">
        <v>1480</v>
      </c>
      <c r="B386" s="5">
        <v>43968.77777777778</v>
      </c>
      <c r="C386" s="64"/>
    </row>
    <row r="387" ht="15.75" customHeight="1">
      <c r="A387" s="63" t="s">
        <v>1481</v>
      </c>
      <c r="B387" s="5">
        <v>43968.75902777778</v>
      </c>
      <c r="C387" s="64"/>
    </row>
    <row r="388" ht="15.75" customHeight="1">
      <c r="A388" s="63" t="s">
        <v>1482</v>
      </c>
      <c r="B388" s="5">
        <v>43968.67638888889</v>
      </c>
      <c r="C388" s="64"/>
    </row>
    <row r="389" ht="15.75" customHeight="1">
      <c r="A389" s="63" t="s">
        <v>984</v>
      </c>
      <c r="B389" s="5">
        <v>43968.51458333333</v>
      </c>
      <c r="C389" s="64"/>
    </row>
    <row r="390" ht="15.75" customHeight="1">
      <c r="A390" s="63" t="s">
        <v>1022</v>
      </c>
      <c r="B390" s="5">
        <v>43967.95277777778</v>
      </c>
      <c r="C390" s="64"/>
    </row>
    <row r="391" ht="15.75" customHeight="1">
      <c r="A391" s="63" t="s">
        <v>1484</v>
      </c>
      <c r="B391" s="5">
        <v>43967.94305555556</v>
      </c>
      <c r="C391" s="64"/>
    </row>
    <row r="392" ht="15.75" customHeight="1">
      <c r="A392" s="63" t="s">
        <v>886</v>
      </c>
      <c r="B392" s="5">
        <v>43967.865277777775</v>
      </c>
      <c r="C392" s="64"/>
    </row>
    <row r="393" ht="15.75" customHeight="1">
      <c r="A393" s="63" t="s">
        <v>1348</v>
      </c>
      <c r="B393" s="5">
        <v>43967.71805555555</v>
      </c>
      <c r="C393" s="64"/>
    </row>
    <row r="394" ht="15.75" customHeight="1">
      <c r="A394" s="63" t="s">
        <v>1489</v>
      </c>
      <c r="B394" s="5">
        <v>43967.65347222222</v>
      </c>
      <c r="C394" s="64"/>
    </row>
    <row r="395" ht="15.75" customHeight="1">
      <c r="A395" s="63" t="s">
        <v>5458</v>
      </c>
      <c r="B395" s="5">
        <v>43967.54513888889</v>
      </c>
      <c r="C395" s="64"/>
    </row>
    <row r="396" ht="15.75" customHeight="1">
      <c r="A396" s="63" t="s">
        <v>1493</v>
      </c>
      <c r="B396" s="5">
        <v>43967.39236111111</v>
      </c>
      <c r="C396" s="64"/>
    </row>
    <row r="397" ht="15.75" customHeight="1">
      <c r="A397" s="63" t="s">
        <v>1490</v>
      </c>
      <c r="B397" s="5">
        <v>43967.024305555555</v>
      </c>
      <c r="C397" s="64"/>
    </row>
    <row r="398" ht="15.75" customHeight="1">
      <c r="A398" s="63" t="s">
        <v>1496</v>
      </c>
      <c r="B398" s="5">
        <v>43966.71666666667</v>
      </c>
      <c r="C398" s="64"/>
    </row>
    <row r="399" ht="15.75" customHeight="1">
      <c r="A399" s="63" t="s">
        <v>1497</v>
      </c>
      <c r="B399" s="5">
        <v>43966.657638888886</v>
      </c>
      <c r="C399" s="64"/>
    </row>
    <row r="400" ht="15.75" customHeight="1">
      <c r="A400" s="63" t="s">
        <v>1509</v>
      </c>
      <c r="B400" s="5">
        <v>43966.333333333336</v>
      </c>
      <c r="C400" s="64"/>
    </row>
    <row r="401" ht="15.75" customHeight="1">
      <c r="A401" s="63" t="s">
        <v>1471</v>
      </c>
      <c r="B401" s="5">
        <v>43965.618055555555</v>
      </c>
      <c r="C401" s="64"/>
    </row>
    <row r="402" ht="15.75" customHeight="1">
      <c r="A402" s="63" t="s">
        <v>5459</v>
      </c>
      <c r="B402" s="5">
        <v>43965.42291666667</v>
      </c>
      <c r="C402" s="64"/>
    </row>
    <row r="403" ht="15.75" customHeight="1">
      <c r="A403" s="63" t="s">
        <v>1521</v>
      </c>
      <c r="B403" s="5">
        <v>43965.407638888886</v>
      </c>
      <c r="C403" s="64"/>
    </row>
    <row r="404" ht="15.75" customHeight="1">
      <c r="A404" s="63" t="s">
        <v>1170</v>
      </c>
      <c r="B404" s="5">
        <v>43965.39166666667</v>
      </c>
      <c r="C404" s="64"/>
    </row>
    <row r="405" ht="15.75" customHeight="1">
      <c r="A405" s="63" t="s">
        <v>944</v>
      </c>
      <c r="B405" s="5">
        <v>43965.37291666667</v>
      </c>
      <c r="C405" s="64"/>
    </row>
    <row r="406" ht="15.75" customHeight="1">
      <c r="A406" s="63" t="s">
        <v>836</v>
      </c>
      <c r="B406" s="5">
        <v>43965.36388888889</v>
      </c>
      <c r="C406" s="64"/>
    </row>
    <row r="407" ht="15.75" customHeight="1">
      <c r="A407" s="63" t="s">
        <v>1527</v>
      </c>
      <c r="B407" s="5">
        <v>43964.97777777778</v>
      </c>
      <c r="C407" s="64"/>
    </row>
    <row r="408" ht="15.75" customHeight="1">
      <c r="A408" s="63" t="s">
        <v>1528</v>
      </c>
      <c r="B408" s="5">
        <v>43964.927777777775</v>
      </c>
      <c r="C408" s="64"/>
    </row>
    <row r="409" ht="15.75" customHeight="1">
      <c r="A409" s="63" t="s">
        <v>1531</v>
      </c>
      <c r="B409" s="5">
        <v>43964.68402777778</v>
      </c>
      <c r="C409" s="64"/>
    </row>
    <row r="410" ht="15.75" customHeight="1">
      <c r="A410" s="63" t="s">
        <v>1086</v>
      </c>
      <c r="B410" s="5">
        <v>43964.56180555555</v>
      </c>
      <c r="C410" s="64"/>
    </row>
    <row r="411" ht="15.75" customHeight="1">
      <c r="A411" s="63" t="s">
        <v>1449</v>
      </c>
      <c r="B411" s="5">
        <v>43964.55416666667</v>
      </c>
      <c r="C411" s="64"/>
    </row>
    <row r="412" ht="15.75" customHeight="1">
      <c r="A412" s="63" t="s">
        <v>1532</v>
      </c>
      <c r="B412" s="5">
        <v>43964.51944444444</v>
      </c>
      <c r="C412" s="64"/>
    </row>
    <row r="413" ht="15.75" customHeight="1">
      <c r="A413" s="63" t="s">
        <v>1534</v>
      </c>
      <c r="B413" s="5">
        <v>43964.44027777778</v>
      </c>
      <c r="C413" s="64"/>
    </row>
    <row r="414" ht="15.75" customHeight="1">
      <c r="A414" s="63" t="s">
        <v>1535</v>
      </c>
      <c r="B414" s="5">
        <v>43964.40625</v>
      </c>
      <c r="C414" s="64"/>
    </row>
    <row r="415" ht="15.75" customHeight="1">
      <c r="A415" s="63" t="s">
        <v>638</v>
      </c>
      <c r="B415" s="5">
        <v>43964.376388888886</v>
      </c>
      <c r="C415" s="64"/>
    </row>
    <row r="416" ht="15.75" customHeight="1">
      <c r="A416" s="63" t="s">
        <v>821</v>
      </c>
      <c r="B416" s="5">
        <v>43964.28611111111</v>
      </c>
      <c r="C416" s="64"/>
    </row>
    <row r="417" ht="15.75" customHeight="1">
      <c r="A417" s="63" t="s">
        <v>1537</v>
      </c>
      <c r="B417" s="5">
        <v>43964.25069444445</v>
      </c>
      <c r="C417" s="64"/>
    </row>
    <row r="418" ht="15.75" customHeight="1">
      <c r="A418" s="63" t="s">
        <v>1539</v>
      </c>
      <c r="B418" s="5">
        <v>43963.85972222222</v>
      </c>
      <c r="C418" s="64"/>
    </row>
    <row r="419" ht="15.75" customHeight="1">
      <c r="A419" s="63" t="s">
        <v>1540</v>
      </c>
      <c r="B419" s="5">
        <v>43963.79305555556</v>
      </c>
      <c r="C419" s="64"/>
    </row>
    <row r="420" ht="15.75" customHeight="1">
      <c r="A420" s="63" t="s">
        <v>1541</v>
      </c>
      <c r="B420" s="5">
        <v>43963.79236111111</v>
      </c>
      <c r="C420" s="64"/>
    </row>
    <row r="421" ht="15.75" customHeight="1">
      <c r="A421" s="63" t="s">
        <v>1550</v>
      </c>
      <c r="B421" s="5">
        <v>43963.325</v>
      </c>
      <c r="C421" s="64"/>
    </row>
    <row r="422" ht="15.75" customHeight="1">
      <c r="A422" s="63" t="s">
        <v>1551</v>
      </c>
      <c r="B422" s="5">
        <v>43963.14722222222</v>
      </c>
      <c r="C422" s="64"/>
    </row>
    <row r="423" ht="15.75" customHeight="1">
      <c r="A423" s="63" t="s">
        <v>5460</v>
      </c>
      <c r="B423" s="5">
        <v>43962.98055555556</v>
      </c>
      <c r="C423" s="64"/>
    </row>
    <row r="424" ht="15.75" customHeight="1">
      <c r="A424" s="63" t="s">
        <v>1554</v>
      </c>
      <c r="B424" s="5">
        <v>43962.86111111111</v>
      </c>
      <c r="C424" s="64"/>
    </row>
    <row r="425" ht="15.75" customHeight="1">
      <c r="A425" s="63" t="s">
        <v>1558</v>
      </c>
      <c r="B425" s="5">
        <v>43962.83611111111</v>
      </c>
      <c r="C425" s="64"/>
    </row>
    <row r="426" ht="15.75" customHeight="1">
      <c r="A426" s="63" t="s">
        <v>962</v>
      </c>
      <c r="B426" s="5">
        <v>43962.72361111111</v>
      </c>
      <c r="C426" s="64"/>
    </row>
    <row r="427" ht="15.75" customHeight="1">
      <c r="A427" s="63" t="s">
        <v>1563</v>
      </c>
      <c r="B427" s="5">
        <v>43962.62430555555</v>
      </c>
      <c r="C427" s="64"/>
    </row>
    <row r="428" ht="15.75" customHeight="1">
      <c r="A428" s="63" t="s">
        <v>1565</v>
      </c>
      <c r="B428" s="5">
        <v>43962.44027777778</v>
      </c>
      <c r="C428" s="64"/>
    </row>
    <row r="429" ht="15.75" customHeight="1">
      <c r="A429" s="63" t="s">
        <v>1582</v>
      </c>
      <c r="B429" s="5">
        <v>43962.27291666667</v>
      </c>
      <c r="C429" s="64"/>
    </row>
    <row r="430" ht="15.75" customHeight="1">
      <c r="A430" s="63" t="s">
        <v>698</v>
      </c>
      <c r="B430" s="5">
        <v>43961.95972222222</v>
      </c>
      <c r="C430" s="64"/>
    </row>
    <row r="431" ht="15.75" customHeight="1">
      <c r="A431" s="63" t="s">
        <v>1586</v>
      </c>
      <c r="B431" s="5">
        <v>43961.95416666667</v>
      </c>
      <c r="C431" s="64"/>
    </row>
    <row r="432" ht="15.75" customHeight="1">
      <c r="A432" s="63" t="s">
        <v>1587</v>
      </c>
      <c r="B432" s="5">
        <v>43961.93125</v>
      </c>
      <c r="C432" s="64"/>
    </row>
    <row r="433" ht="15.75" customHeight="1">
      <c r="A433" s="63" t="s">
        <v>1590</v>
      </c>
      <c r="B433" s="5">
        <v>43961.82777777778</v>
      </c>
      <c r="C433" s="64"/>
    </row>
    <row r="434" ht="15.75" customHeight="1">
      <c r="A434" s="63" t="s">
        <v>1514</v>
      </c>
      <c r="B434" s="5">
        <v>43961.748611111114</v>
      </c>
      <c r="C434" s="64"/>
    </row>
    <row r="435" ht="15.75" customHeight="1">
      <c r="A435" s="63" t="s">
        <v>1592</v>
      </c>
      <c r="B435" s="5">
        <v>43961.66111111111</v>
      </c>
      <c r="C435" s="64"/>
    </row>
    <row r="436" ht="15.75" customHeight="1">
      <c r="A436" s="63" t="s">
        <v>1594</v>
      </c>
      <c r="B436" s="5">
        <v>43961.49236111111</v>
      </c>
      <c r="C436" s="64"/>
    </row>
    <row r="437" ht="15.75" customHeight="1">
      <c r="A437" s="63" t="s">
        <v>1595</v>
      </c>
      <c r="B437" s="5">
        <v>43961.427083333336</v>
      </c>
      <c r="C437" s="64"/>
    </row>
    <row r="438" ht="15.75" customHeight="1">
      <c r="A438" s="63" t="s">
        <v>1596</v>
      </c>
      <c r="B438" s="5">
        <v>43961.24722222222</v>
      </c>
      <c r="C438" s="64"/>
    </row>
    <row r="439" ht="15.75" customHeight="1">
      <c r="A439" s="63" t="s">
        <v>1597</v>
      </c>
      <c r="B439" s="5">
        <v>43961.16805555556</v>
      </c>
      <c r="C439" s="64"/>
    </row>
    <row r="440" ht="15.75" customHeight="1">
      <c r="A440" s="63" t="s">
        <v>5461</v>
      </c>
      <c r="B440" s="5">
        <v>43961.15138888889</v>
      </c>
      <c r="C440" s="64"/>
    </row>
    <row r="441" ht="15.75" customHeight="1">
      <c r="A441" s="63" t="s">
        <v>1598</v>
      </c>
      <c r="B441" s="5">
        <v>43961.07986111111</v>
      </c>
      <c r="C441" s="64"/>
    </row>
    <row r="442" ht="15.75" customHeight="1">
      <c r="A442" s="63" t="s">
        <v>1599</v>
      </c>
      <c r="B442" s="5">
        <v>43960.98611111111</v>
      </c>
      <c r="C442" s="64"/>
    </row>
    <row r="443" ht="15.75" customHeight="1">
      <c r="A443" s="63" t="s">
        <v>1601</v>
      </c>
      <c r="B443" s="5">
        <v>43960.74236111111</v>
      </c>
      <c r="C443" s="64"/>
    </row>
    <row r="444" ht="15.75" customHeight="1">
      <c r="A444" s="63" t="s">
        <v>1602</v>
      </c>
      <c r="B444" s="5">
        <v>43960.52777777778</v>
      </c>
      <c r="C444" s="64"/>
    </row>
    <row r="445" ht="15.75" customHeight="1">
      <c r="A445" s="63" t="s">
        <v>835</v>
      </c>
      <c r="B445" s="5">
        <v>43960.42986111111</v>
      </c>
      <c r="C445" s="64"/>
    </row>
    <row r="446" ht="15.75" customHeight="1">
      <c r="A446" s="63" t="s">
        <v>1605</v>
      </c>
      <c r="B446" s="5">
        <v>43959.856944444444</v>
      </c>
      <c r="C446" s="64"/>
    </row>
    <row r="447" ht="15.75" customHeight="1">
      <c r="A447" s="63" t="s">
        <v>1607</v>
      </c>
      <c r="B447" s="5">
        <v>43959.79583333333</v>
      </c>
      <c r="C447" s="64"/>
    </row>
    <row r="448" ht="15.75" customHeight="1">
      <c r="A448" s="63" t="s">
        <v>1610</v>
      </c>
      <c r="B448" s="5">
        <v>43959.74166666667</v>
      </c>
      <c r="C448" s="64"/>
    </row>
    <row r="449" ht="15.75" customHeight="1">
      <c r="A449" s="63" t="s">
        <v>1612</v>
      </c>
      <c r="B449" s="5">
        <v>43959.728472222225</v>
      </c>
      <c r="C449" s="64"/>
    </row>
    <row r="450" ht="15.75" customHeight="1">
      <c r="A450" s="63" t="s">
        <v>1613</v>
      </c>
      <c r="B450" s="5">
        <v>43959.72152777778</v>
      </c>
      <c r="C450" s="64"/>
    </row>
    <row r="451" ht="15.75" customHeight="1">
      <c r="A451" s="63" t="s">
        <v>1615</v>
      </c>
      <c r="B451" s="5">
        <v>43959.620833333334</v>
      </c>
      <c r="C451" s="64"/>
    </row>
    <row r="452" ht="15.75" customHeight="1">
      <c r="A452" s="63" t="s">
        <v>1616</v>
      </c>
      <c r="B452" s="5">
        <v>43959.61666666667</v>
      </c>
      <c r="C452" s="64"/>
    </row>
    <row r="453" ht="15.75" customHeight="1">
      <c r="A453" s="63" t="s">
        <v>1626</v>
      </c>
      <c r="B453" s="5">
        <v>43959.504166666666</v>
      </c>
      <c r="C453" s="64"/>
    </row>
    <row r="454" ht="15.75" customHeight="1">
      <c r="A454" s="63" t="s">
        <v>1568</v>
      </c>
      <c r="B454" s="5">
        <v>43959.47708333333</v>
      </c>
      <c r="C454" s="64"/>
    </row>
    <row r="455" ht="15.75" customHeight="1">
      <c r="A455" s="63" t="s">
        <v>1577</v>
      </c>
      <c r="B455" s="5">
        <v>43959.47152777778</v>
      </c>
      <c r="C455" s="64"/>
    </row>
    <row r="456" ht="15.75" customHeight="1">
      <c r="A456" s="63" t="s">
        <v>1572</v>
      </c>
      <c r="B456" s="5">
        <v>43959.44930555556</v>
      </c>
      <c r="C456" s="64"/>
    </row>
    <row r="457" ht="15.75" customHeight="1">
      <c r="A457" s="63" t="s">
        <v>1627</v>
      </c>
      <c r="B457" s="5">
        <v>43959.438888888886</v>
      </c>
      <c r="C457" s="64"/>
    </row>
    <row r="458" ht="15.75" customHeight="1">
      <c r="A458" s="63" t="s">
        <v>1579</v>
      </c>
      <c r="B458" s="5">
        <v>43959.42986111111</v>
      </c>
      <c r="C458" s="64"/>
    </row>
    <row r="459" ht="15.75" customHeight="1">
      <c r="A459" s="63" t="s">
        <v>1628</v>
      </c>
      <c r="B459" s="5">
        <v>43959.37430555555</v>
      </c>
      <c r="C459" s="64"/>
    </row>
    <row r="460" ht="15.75" customHeight="1">
      <c r="A460" s="63" t="s">
        <v>1635</v>
      </c>
      <c r="B460" s="5">
        <v>43959.001388888886</v>
      </c>
      <c r="C460" s="64"/>
    </row>
    <row r="461" ht="15.75" customHeight="1">
      <c r="A461" s="63" t="s">
        <v>1636</v>
      </c>
      <c r="B461" s="5">
        <v>43958.81319444445</v>
      </c>
      <c r="C461" s="64"/>
    </row>
    <row r="462" ht="15.75" customHeight="1">
      <c r="A462" s="63" t="s">
        <v>1312</v>
      </c>
      <c r="B462" s="5">
        <v>43958.80069444444</v>
      </c>
      <c r="C462" s="64"/>
    </row>
    <row r="463" ht="15.75" customHeight="1">
      <c r="A463" s="63" t="s">
        <v>1640</v>
      </c>
      <c r="B463" s="5">
        <v>43958.72638888889</v>
      </c>
      <c r="C463" s="64"/>
    </row>
    <row r="464" ht="15.75" customHeight="1">
      <c r="A464" s="63" t="s">
        <v>1642</v>
      </c>
      <c r="B464" s="5">
        <v>43958.71111111111</v>
      </c>
      <c r="C464" s="64"/>
    </row>
    <row r="465" ht="15.75" customHeight="1">
      <c r="A465" s="63" t="s">
        <v>1643</v>
      </c>
      <c r="B465" s="5">
        <v>43958.666666666664</v>
      </c>
      <c r="C465" s="64"/>
    </row>
    <row r="466" ht="15.75" customHeight="1">
      <c r="A466" s="63" t="s">
        <v>1658</v>
      </c>
      <c r="B466" s="5">
        <v>43958.23472222222</v>
      </c>
      <c r="C466" s="64"/>
    </row>
    <row r="467" ht="15.75" customHeight="1">
      <c r="A467" s="63" t="s">
        <v>1659</v>
      </c>
      <c r="B467" s="5">
        <v>43958.22083333333</v>
      </c>
      <c r="C467" s="64"/>
    </row>
    <row r="468" ht="15.75" customHeight="1">
      <c r="A468" s="63" t="s">
        <v>1660</v>
      </c>
      <c r="B468" s="5">
        <v>43957.92916666667</v>
      </c>
      <c r="C468" s="64"/>
    </row>
    <row r="469" ht="15.75" customHeight="1">
      <c r="A469" s="63" t="s">
        <v>1661</v>
      </c>
      <c r="B469" s="5">
        <v>43957.92013888889</v>
      </c>
      <c r="C469" s="64"/>
    </row>
    <row r="470" ht="15.75" customHeight="1">
      <c r="A470" s="63" t="s">
        <v>1662</v>
      </c>
      <c r="B470" s="5">
        <v>43957.791666666664</v>
      </c>
      <c r="C470" s="64"/>
    </row>
    <row r="471" ht="15.75" customHeight="1">
      <c r="A471" s="63" t="s">
        <v>1663</v>
      </c>
      <c r="B471" s="5">
        <v>43957.77222222222</v>
      </c>
      <c r="C471" s="64"/>
    </row>
    <row r="472" ht="15.75" customHeight="1">
      <c r="A472" s="63" t="s">
        <v>1665</v>
      </c>
      <c r="B472" s="5">
        <v>43957.75069444445</v>
      </c>
      <c r="C472" s="64"/>
    </row>
    <row r="473" ht="15.75" customHeight="1">
      <c r="A473" s="63" t="s">
        <v>1667</v>
      </c>
      <c r="B473" s="5">
        <v>43957.725</v>
      </c>
      <c r="C473" s="64"/>
    </row>
    <row r="474" ht="15.75" customHeight="1">
      <c r="A474" s="63" t="s">
        <v>1673</v>
      </c>
      <c r="B474" s="5">
        <v>43957.4375</v>
      </c>
      <c r="C474" s="64"/>
    </row>
    <row r="475" ht="15.75" customHeight="1">
      <c r="A475" s="63" t="s">
        <v>901</v>
      </c>
      <c r="B475" s="5">
        <v>43957.38888888889</v>
      </c>
      <c r="C475" s="64"/>
    </row>
    <row r="476" ht="15.75" customHeight="1">
      <c r="A476" s="63" t="s">
        <v>1680</v>
      </c>
      <c r="B476" s="5">
        <v>43957.35277777778</v>
      </c>
      <c r="C476" s="64"/>
    </row>
    <row r="477" ht="15.75" customHeight="1">
      <c r="A477" s="63" t="s">
        <v>1684</v>
      </c>
      <c r="B477" s="5">
        <v>43957.279861111114</v>
      </c>
      <c r="C477" s="64"/>
    </row>
    <row r="478" ht="15.75" customHeight="1">
      <c r="A478" s="63" t="s">
        <v>1689</v>
      </c>
      <c r="B478" s="5">
        <v>43956.899305555555</v>
      </c>
      <c r="C478" s="64"/>
    </row>
    <row r="479" ht="15.75" customHeight="1">
      <c r="A479" s="63" t="s">
        <v>1696</v>
      </c>
      <c r="B479" s="5">
        <v>43956.74791666667</v>
      </c>
      <c r="C479" s="64"/>
    </row>
    <row r="480" ht="15.75" customHeight="1">
      <c r="A480" s="63" t="s">
        <v>1698</v>
      </c>
      <c r="B480" s="5">
        <v>43956.736805555556</v>
      </c>
      <c r="C480" s="64"/>
    </row>
    <row r="481" ht="15.75" customHeight="1">
      <c r="A481" s="63" t="s">
        <v>1701</v>
      </c>
      <c r="B481" s="5">
        <v>43956.71805555555</v>
      </c>
      <c r="C481" s="64"/>
    </row>
    <row r="482" ht="15.75" customHeight="1">
      <c r="A482" s="63" t="s">
        <v>1709</v>
      </c>
      <c r="B482" s="5">
        <v>43956.53125</v>
      </c>
      <c r="C482" s="64"/>
    </row>
    <row r="483" ht="15.75" customHeight="1">
      <c r="A483" s="63" t="s">
        <v>1693</v>
      </c>
      <c r="B483" s="5">
        <v>43956.459027777775</v>
      </c>
      <c r="C483" s="64"/>
    </row>
    <row r="484" ht="15.75" customHeight="1">
      <c r="A484" s="63" t="s">
        <v>1653</v>
      </c>
      <c r="B484" s="5">
        <v>43956.45625</v>
      </c>
      <c r="C484" s="64"/>
    </row>
    <row r="485" ht="15.75" customHeight="1">
      <c r="A485" s="63" t="s">
        <v>1712</v>
      </c>
      <c r="B485" s="5">
        <v>43956.419444444444</v>
      </c>
      <c r="C485" s="64"/>
    </row>
    <row r="486" ht="15.75" customHeight="1">
      <c r="A486" s="63" t="s">
        <v>1713</v>
      </c>
      <c r="B486" s="5">
        <v>43956.416666666664</v>
      </c>
      <c r="C486" s="64"/>
    </row>
    <row r="487" ht="15.75" customHeight="1">
      <c r="A487" s="63" t="s">
        <v>563</v>
      </c>
      <c r="B487" s="5">
        <v>43956.41458333333</v>
      </c>
      <c r="C487" s="64"/>
    </row>
    <row r="488" ht="15.75" customHeight="1">
      <c r="A488" s="63" t="s">
        <v>1726</v>
      </c>
      <c r="B488" s="5">
        <v>43956.28333333333</v>
      </c>
      <c r="C488" s="64"/>
    </row>
    <row r="489" ht="15.75" customHeight="1">
      <c r="A489" s="63" t="s">
        <v>1728</v>
      </c>
      <c r="B489" s="5">
        <v>43956.14791666667</v>
      </c>
      <c r="C489" s="64"/>
    </row>
    <row r="490" ht="15.75" customHeight="1">
      <c r="A490" s="63" t="s">
        <v>1731</v>
      </c>
      <c r="B490" s="5">
        <v>43955.92361111111</v>
      </c>
      <c r="C490" s="64"/>
    </row>
    <row r="491" ht="15.75" customHeight="1">
      <c r="A491" s="63" t="s">
        <v>5462</v>
      </c>
      <c r="B491" s="5">
        <v>43955.72083333333</v>
      </c>
      <c r="C491" s="64"/>
    </row>
    <row r="492" ht="15.75" customHeight="1">
      <c r="A492" s="63" t="s">
        <v>1748</v>
      </c>
      <c r="B492" s="5">
        <v>43955.71875</v>
      </c>
      <c r="C492" s="64"/>
    </row>
    <row r="493" ht="15.75" customHeight="1">
      <c r="A493" s="63" t="s">
        <v>1752</v>
      </c>
      <c r="B493" s="5">
        <v>43955.69930555556</v>
      </c>
      <c r="C493" s="64"/>
    </row>
    <row r="494" ht="15.75" customHeight="1">
      <c r="A494" s="63" t="s">
        <v>1770</v>
      </c>
      <c r="B494" s="5">
        <v>43955.57013888889</v>
      </c>
      <c r="C494" s="64"/>
    </row>
    <row r="495" ht="15.75" customHeight="1">
      <c r="A495" s="63" t="s">
        <v>1772</v>
      </c>
      <c r="B495" s="5">
        <v>43955.5625</v>
      </c>
      <c r="C495" s="64"/>
    </row>
    <row r="496" ht="15.75" customHeight="1">
      <c r="A496" s="63" t="s">
        <v>1774</v>
      </c>
      <c r="B496" s="5">
        <v>43955.55972222222</v>
      </c>
      <c r="C496" s="64"/>
    </row>
    <row r="497" ht="15.75" customHeight="1">
      <c r="A497" s="63" t="s">
        <v>1500</v>
      </c>
      <c r="B497" s="5">
        <v>43955.506944444445</v>
      </c>
      <c r="C497" s="64"/>
    </row>
    <row r="498" ht="15.75" customHeight="1">
      <c r="A498" s="63" t="s">
        <v>1790</v>
      </c>
      <c r="B498" s="5">
        <v>43955.49166666667</v>
      </c>
      <c r="C498" s="64"/>
    </row>
    <row r="499" ht="15.75" customHeight="1">
      <c r="A499" s="63" t="s">
        <v>1794</v>
      </c>
      <c r="B499" s="5">
        <v>43955.44236111111</v>
      </c>
      <c r="C499" s="64"/>
    </row>
    <row r="500" ht="15.75" customHeight="1">
      <c r="A500" s="63" t="s">
        <v>518</v>
      </c>
      <c r="B500" s="5">
        <v>43955.42083333333</v>
      </c>
      <c r="C500" s="64"/>
    </row>
    <row r="501" ht="15.75" customHeight="1">
      <c r="A501" s="63" t="s">
        <v>1802</v>
      </c>
      <c r="B501" s="5">
        <v>43955.41527777778</v>
      </c>
      <c r="C501" s="64"/>
    </row>
    <row r="502" ht="15.75" customHeight="1">
      <c r="A502" s="63" t="s">
        <v>1804</v>
      </c>
      <c r="B502" s="5">
        <v>43955.399305555555</v>
      </c>
      <c r="C502" s="64"/>
    </row>
    <row r="503" ht="15.75" customHeight="1">
      <c r="A503" s="63" t="s">
        <v>1824</v>
      </c>
      <c r="B503" s="5">
        <v>43955.36111111111</v>
      </c>
      <c r="C503" s="64"/>
    </row>
    <row r="504" ht="15.75" customHeight="1">
      <c r="A504" s="63" t="s">
        <v>1466</v>
      </c>
      <c r="B504" s="5">
        <v>43955.02222222222</v>
      </c>
      <c r="C504" s="64"/>
    </row>
    <row r="505" ht="15.75" customHeight="1">
      <c r="A505" s="63" t="s">
        <v>1633</v>
      </c>
      <c r="B505" s="5">
        <v>43954.967361111114</v>
      </c>
      <c r="C505" s="64"/>
    </row>
    <row r="506" ht="15.75" customHeight="1">
      <c r="A506" s="63" t="s">
        <v>1846</v>
      </c>
      <c r="B506" s="5">
        <v>43954.944444444445</v>
      </c>
      <c r="C506" s="64"/>
    </row>
    <row r="507" ht="15.75" customHeight="1">
      <c r="A507" s="63" t="s">
        <v>1851</v>
      </c>
      <c r="B507" s="5">
        <v>43954.79652777778</v>
      </c>
      <c r="C507" s="64"/>
    </row>
    <row r="508" ht="15.75" customHeight="1">
      <c r="A508" s="63" t="s">
        <v>1852</v>
      </c>
      <c r="B508" s="5">
        <v>43954.794444444444</v>
      </c>
      <c r="C508" s="64"/>
    </row>
    <row r="509" ht="15.75" customHeight="1">
      <c r="A509" s="63" t="s">
        <v>1854</v>
      </c>
      <c r="B509" s="5">
        <v>43954.777083333334</v>
      </c>
      <c r="C509" s="64"/>
    </row>
    <row r="510" ht="15.75" customHeight="1">
      <c r="A510" s="63" t="s">
        <v>1856</v>
      </c>
      <c r="B510" s="5">
        <v>43954.675</v>
      </c>
      <c r="C510" s="64"/>
    </row>
    <row r="511" ht="15.75" customHeight="1">
      <c r="A511" s="63" t="s">
        <v>1857</v>
      </c>
      <c r="B511" s="5">
        <v>43954.64027777778</v>
      </c>
      <c r="C511" s="64"/>
    </row>
    <row r="512" ht="15.75" customHeight="1">
      <c r="A512" s="63" t="s">
        <v>1861</v>
      </c>
      <c r="B512" s="5">
        <v>43954.479166666664</v>
      </c>
      <c r="C512" s="64"/>
    </row>
    <row r="513" ht="15.75" customHeight="1">
      <c r="A513" s="63" t="s">
        <v>1862</v>
      </c>
      <c r="B513" s="5">
        <v>43954.44930555556</v>
      </c>
      <c r="C513" s="64"/>
    </row>
    <row r="514" ht="15.75" customHeight="1">
      <c r="A514" s="63" t="s">
        <v>1865</v>
      </c>
      <c r="B514" s="5">
        <v>43954.06736111111</v>
      </c>
      <c r="C514" s="64"/>
    </row>
    <row r="515" ht="15.75" customHeight="1">
      <c r="A515" s="63" t="s">
        <v>1876</v>
      </c>
      <c r="B515" s="5">
        <v>43953.68819444445</v>
      </c>
      <c r="C515" s="64"/>
    </row>
    <row r="516" ht="15.75" customHeight="1">
      <c r="A516" s="63" t="s">
        <v>1881</v>
      </c>
      <c r="B516" s="5">
        <v>43953.52847222222</v>
      </c>
      <c r="C516" s="64"/>
    </row>
    <row r="517" ht="15.75" customHeight="1">
      <c r="A517" s="63" t="s">
        <v>1884</v>
      </c>
      <c r="B517" s="5">
        <v>43953.44861111111</v>
      </c>
      <c r="C517" s="64"/>
    </row>
    <row r="518" ht="15.75" customHeight="1">
      <c r="A518" s="63" t="s">
        <v>1886</v>
      </c>
      <c r="B518" s="5">
        <v>43953.44652777778</v>
      </c>
      <c r="C518" s="64"/>
    </row>
    <row r="519" ht="15.75" customHeight="1">
      <c r="A519" s="63" t="s">
        <v>1732</v>
      </c>
      <c r="B519" s="5">
        <v>43953.31319444445</v>
      </c>
      <c r="C519" s="64"/>
    </row>
    <row r="520" ht="15.75" customHeight="1">
      <c r="A520" s="63" t="s">
        <v>1782</v>
      </c>
      <c r="B520" s="5">
        <v>43952.96527777778</v>
      </c>
      <c r="C520" s="64"/>
    </row>
    <row r="521" ht="15.75" customHeight="1">
      <c r="A521" s="63" t="s">
        <v>1894</v>
      </c>
      <c r="B521" s="5">
        <v>43952.95694444444</v>
      </c>
      <c r="C521" s="64"/>
    </row>
    <row r="522" ht="15.75" customHeight="1">
      <c r="A522" s="63" t="s">
        <v>1900</v>
      </c>
      <c r="B522" s="5">
        <v>43952.85972222222</v>
      </c>
      <c r="C522" s="64"/>
    </row>
    <row r="523" ht="15.75" customHeight="1">
      <c r="A523" s="63" t="s">
        <v>1904</v>
      </c>
      <c r="B523" s="5">
        <v>43952.82847222222</v>
      </c>
      <c r="C523" s="64"/>
    </row>
    <row r="524" ht="15.75" customHeight="1">
      <c r="A524" s="63" t="s">
        <v>1906</v>
      </c>
      <c r="B524" s="5">
        <v>43952.805555555555</v>
      </c>
      <c r="C524" s="64"/>
    </row>
    <row r="525" ht="15.75" customHeight="1">
      <c r="A525" s="63" t="s">
        <v>1775</v>
      </c>
      <c r="B525" s="5">
        <v>43952.770833333336</v>
      </c>
      <c r="C525" s="64"/>
    </row>
    <row r="526" ht="15.75" customHeight="1">
      <c r="A526" s="63" t="s">
        <v>1204</v>
      </c>
      <c r="B526" s="5">
        <v>43952.74166666667</v>
      </c>
      <c r="C526" s="64"/>
    </row>
    <row r="527" ht="15.75" customHeight="1">
      <c r="A527" s="63" t="s">
        <v>1916</v>
      </c>
      <c r="B527" s="5">
        <v>43952.611805555556</v>
      </c>
      <c r="C527" s="64"/>
    </row>
    <row r="528" ht="15.75" customHeight="1">
      <c r="A528" s="63" t="s">
        <v>1505</v>
      </c>
      <c r="B528" s="5">
        <v>43952.54652777778</v>
      </c>
      <c r="C528" s="64"/>
    </row>
    <row r="529" ht="15.75" customHeight="1">
      <c r="A529" s="63" t="s">
        <v>1923</v>
      </c>
      <c r="B529" s="5">
        <v>43952.51666666667</v>
      </c>
      <c r="C529" s="64"/>
    </row>
    <row r="530" ht="15.75" customHeight="1">
      <c r="A530" s="63" t="s">
        <v>1924</v>
      </c>
      <c r="B530" s="5">
        <v>43952.50208333333</v>
      </c>
      <c r="C530" s="64"/>
    </row>
    <row r="531" ht="15.75" customHeight="1">
      <c r="A531" s="63" t="s">
        <v>1925</v>
      </c>
      <c r="B531" s="5">
        <v>43952.49722222222</v>
      </c>
      <c r="C531" s="64"/>
    </row>
    <row r="532" ht="15.75" customHeight="1">
      <c r="A532" s="63" t="s">
        <v>1926</v>
      </c>
      <c r="B532" s="5">
        <v>43952.495833333334</v>
      </c>
      <c r="C532" s="64"/>
    </row>
    <row r="533" ht="15.75" customHeight="1">
      <c r="A533" s="63" t="s">
        <v>1935</v>
      </c>
      <c r="B533" s="5">
        <v>43952.35833333333</v>
      </c>
      <c r="C533" s="64"/>
    </row>
    <row r="534" ht="15.75" customHeight="1">
      <c r="A534" s="63" t="s">
        <v>1936</v>
      </c>
      <c r="B534" s="5">
        <v>43952.30347222222</v>
      </c>
      <c r="C534" s="64"/>
    </row>
    <row r="535" ht="15.75" customHeight="1">
      <c r="A535" s="63" t="s">
        <v>1939</v>
      </c>
      <c r="B535" s="5">
        <v>43951.978472222225</v>
      </c>
      <c r="C535" s="64"/>
    </row>
    <row r="536" ht="15.75" customHeight="1">
      <c r="A536" s="63" t="s">
        <v>1952</v>
      </c>
      <c r="B536" s="5">
        <v>43951.89513888889</v>
      </c>
      <c r="C536" s="64"/>
    </row>
    <row r="537" ht="15.75" customHeight="1">
      <c r="A537" s="63" t="s">
        <v>1960</v>
      </c>
      <c r="B537" s="5">
        <v>43951.87430555555</v>
      </c>
      <c r="C537" s="64"/>
    </row>
    <row r="538" ht="15.75" customHeight="1">
      <c r="A538" s="63" t="s">
        <v>1745</v>
      </c>
      <c r="B538" s="5">
        <v>43951.81736111111</v>
      </c>
      <c r="C538" s="64"/>
    </row>
    <row r="539" ht="15.75" customHeight="1">
      <c r="A539" s="63" t="s">
        <v>1973</v>
      </c>
      <c r="B539" s="5">
        <v>43951.76388888889</v>
      </c>
      <c r="C539" s="64"/>
    </row>
    <row r="540" ht="15.75" customHeight="1">
      <c r="A540" s="63" t="s">
        <v>1975</v>
      </c>
      <c r="B540" s="5">
        <v>43951.73125</v>
      </c>
      <c r="C540" s="64"/>
    </row>
    <row r="541" ht="15.75" customHeight="1">
      <c r="A541" s="63" t="s">
        <v>1977</v>
      </c>
      <c r="B541" s="5">
        <v>43951.72777777778</v>
      </c>
      <c r="C541" s="64"/>
    </row>
    <row r="542" ht="15.75" customHeight="1">
      <c r="A542" s="63" t="s">
        <v>1985</v>
      </c>
      <c r="B542" s="5">
        <v>43951.67569444444</v>
      </c>
      <c r="C542" s="64"/>
    </row>
    <row r="543" ht="15.75" customHeight="1">
      <c r="A543" s="63" t="s">
        <v>1991</v>
      </c>
      <c r="B543" s="5">
        <v>43951.589583333334</v>
      </c>
      <c r="C543" s="64"/>
    </row>
    <row r="544" ht="15.75" customHeight="1">
      <c r="A544" s="63" t="s">
        <v>1998</v>
      </c>
      <c r="B544" s="5">
        <v>43951.55763888889</v>
      </c>
      <c r="C544" s="64"/>
    </row>
    <row r="545" ht="15.75" customHeight="1">
      <c r="A545" s="63" t="s">
        <v>2005</v>
      </c>
      <c r="B545" s="5">
        <v>43951.53194444445</v>
      </c>
      <c r="C545" s="64"/>
    </row>
    <row r="546" ht="15.75" customHeight="1">
      <c r="A546" s="63" t="s">
        <v>2008</v>
      </c>
      <c r="B546" s="5">
        <v>43951.52291666667</v>
      </c>
      <c r="C546" s="64"/>
    </row>
    <row r="547" ht="15.75" customHeight="1">
      <c r="A547" s="63" t="s">
        <v>617</v>
      </c>
      <c r="B547" s="5">
        <v>43951.506944444445</v>
      </c>
      <c r="C547" s="64"/>
    </row>
    <row r="548" ht="15.75" customHeight="1">
      <c r="A548" s="63" t="s">
        <v>2026</v>
      </c>
      <c r="B548" s="5">
        <v>43951.49652777778</v>
      </c>
      <c r="C548" s="64"/>
    </row>
    <row r="549" ht="15.75" customHeight="1">
      <c r="A549" s="63" t="s">
        <v>2030</v>
      </c>
      <c r="B549" s="5">
        <v>43951.45694444444</v>
      </c>
      <c r="C549" s="64"/>
    </row>
    <row r="550" ht="15.75" customHeight="1">
      <c r="A550" s="63" t="s">
        <v>2040</v>
      </c>
      <c r="B550" s="5">
        <v>43951.425</v>
      </c>
      <c r="C550" s="64"/>
    </row>
    <row r="551" ht="15.75" customHeight="1">
      <c r="A551" s="63" t="s">
        <v>2046</v>
      </c>
      <c r="B551" s="5">
        <v>43951.42152777778</v>
      </c>
      <c r="C551" s="64"/>
    </row>
    <row r="552" ht="15.75" customHeight="1">
      <c r="A552" s="63" t="s">
        <v>2058</v>
      </c>
      <c r="B552" s="5">
        <v>43951.41180555556</v>
      </c>
      <c r="C552" s="64"/>
    </row>
    <row r="553" ht="15.75" customHeight="1">
      <c r="A553" s="63" t="s">
        <v>408</v>
      </c>
      <c r="B553" s="5">
        <v>43951.39513888889</v>
      </c>
      <c r="C553" s="64"/>
    </row>
    <row r="554" ht="15.75" customHeight="1">
      <c r="A554" s="63" t="s">
        <v>2075</v>
      </c>
      <c r="B554" s="5">
        <v>43951.3875</v>
      </c>
      <c r="C554" s="64"/>
    </row>
    <row r="555" ht="15.75" customHeight="1">
      <c r="A555" s="63" t="s">
        <v>1699</v>
      </c>
      <c r="B555" s="5">
        <v>43951.384722222225</v>
      </c>
      <c r="C555" s="64"/>
    </row>
    <row r="556" ht="15.75" customHeight="1">
      <c r="A556" s="63" t="s">
        <v>2086</v>
      </c>
      <c r="B556" s="5">
        <v>43951.37847222222</v>
      </c>
      <c r="C556" s="64"/>
    </row>
    <row r="557" ht="15.75" customHeight="1">
      <c r="A557" s="63" t="s">
        <v>2098</v>
      </c>
      <c r="B557" s="5">
        <v>43951.36875</v>
      </c>
      <c r="C557" s="64"/>
    </row>
    <row r="558" ht="15.75" customHeight="1">
      <c r="A558" s="63" t="s">
        <v>1762</v>
      </c>
      <c r="B558" s="5">
        <v>43951.36597222222</v>
      </c>
      <c r="C558" s="64"/>
    </row>
    <row r="559" ht="15.75" customHeight="1">
      <c r="A559" s="63" t="s">
        <v>2105</v>
      </c>
      <c r="B559" s="5">
        <v>43951.365277777775</v>
      </c>
      <c r="C559" s="64"/>
    </row>
    <row r="560" ht="15.75" customHeight="1">
      <c r="A560" s="63" t="s">
        <v>2107</v>
      </c>
      <c r="B560" s="5">
        <v>43951.361805555556</v>
      </c>
      <c r="C560" s="64"/>
    </row>
    <row r="561" ht="15.75" customHeight="1">
      <c r="A561" s="63" t="s">
        <v>2109</v>
      </c>
      <c r="B561" s="5">
        <v>43951.35972222222</v>
      </c>
      <c r="C561" s="64"/>
    </row>
    <row r="562" ht="15.75" customHeight="1">
      <c r="A562" s="63" t="s">
        <v>2111</v>
      </c>
      <c r="B562" s="5">
        <v>43951.353472222225</v>
      </c>
      <c r="C562" s="64"/>
    </row>
    <row r="563" ht="15.75" customHeight="1">
      <c r="A563" s="63" t="s">
        <v>2122</v>
      </c>
      <c r="B563" s="5">
        <v>43951.334027777775</v>
      </c>
      <c r="C563" s="64"/>
    </row>
    <row r="564" ht="15.75" customHeight="1">
      <c r="A564" s="63" t="s">
        <v>2124</v>
      </c>
      <c r="B564" s="5">
        <v>43951.333333333336</v>
      </c>
      <c r="C564" s="64"/>
    </row>
    <row r="565" ht="15.75" customHeight="1">
      <c r="A565" s="63" t="s">
        <v>2128</v>
      </c>
      <c r="B565" s="5">
        <v>43951.325</v>
      </c>
      <c r="C565" s="64"/>
    </row>
    <row r="566" ht="15.75" customHeight="1">
      <c r="A566" s="63" t="s">
        <v>2130</v>
      </c>
      <c r="B566" s="5">
        <v>43951.322916666664</v>
      </c>
      <c r="C566" s="64"/>
    </row>
    <row r="567" ht="15.75" customHeight="1">
      <c r="A567" s="63" t="s">
        <v>1785</v>
      </c>
      <c r="B567" s="5">
        <v>43951.30347222222</v>
      </c>
      <c r="C567" s="64"/>
    </row>
    <row r="568" ht="15.75" customHeight="1">
      <c r="A568" s="63" t="s">
        <v>2147</v>
      </c>
      <c r="B568" s="5">
        <v>43951.282638888886</v>
      </c>
      <c r="C568" s="64"/>
    </row>
    <row r="569" ht="15.75" customHeight="1">
      <c r="A569" s="63" t="s">
        <v>2149</v>
      </c>
      <c r="B569" s="5">
        <v>43951.275</v>
      </c>
      <c r="C569" s="64"/>
    </row>
    <row r="570" ht="15.75" customHeight="1">
      <c r="A570" s="63" t="s">
        <v>2159</v>
      </c>
      <c r="B570" s="5">
        <v>43951.13611111111</v>
      </c>
      <c r="C570" s="64"/>
    </row>
    <row r="571" ht="15.75" customHeight="1">
      <c r="A571" s="63" t="s">
        <v>2160</v>
      </c>
      <c r="B571" s="5">
        <v>43951.135416666664</v>
      </c>
      <c r="C571" s="64"/>
    </row>
    <row r="572" ht="15.75" customHeight="1">
      <c r="A572" s="63" t="s">
        <v>2168</v>
      </c>
      <c r="B572" s="5">
        <v>43950.998611111114</v>
      </c>
      <c r="C572" s="64"/>
    </row>
    <row r="573" ht="15.75" customHeight="1">
      <c r="A573" s="63" t="s">
        <v>2170</v>
      </c>
      <c r="B573" s="5">
        <v>43950.993055555555</v>
      </c>
      <c r="C573" s="64"/>
    </row>
    <row r="574" ht="15.75" customHeight="1">
      <c r="A574" s="63" t="s">
        <v>2174</v>
      </c>
      <c r="B574" s="5">
        <v>43950.959027777775</v>
      </c>
      <c r="C574" s="64"/>
    </row>
    <row r="575" ht="15.75" customHeight="1">
      <c r="A575" s="63" t="s">
        <v>2186</v>
      </c>
      <c r="B575" s="5">
        <v>43950.90694444445</v>
      </c>
      <c r="C575" s="64"/>
    </row>
    <row r="576" ht="15.75" customHeight="1">
      <c r="A576" s="63" t="s">
        <v>2194</v>
      </c>
      <c r="B576" s="5">
        <v>43950.89375</v>
      </c>
      <c r="C576" s="64"/>
    </row>
    <row r="577" ht="15.75" customHeight="1">
      <c r="A577" s="63" t="s">
        <v>2196</v>
      </c>
      <c r="B577" s="5">
        <v>43950.89097222222</v>
      </c>
      <c r="C577" s="64"/>
    </row>
    <row r="578" ht="15.75" customHeight="1">
      <c r="A578" s="63" t="s">
        <v>2208</v>
      </c>
      <c r="B578" s="5">
        <v>43950.87152777778</v>
      </c>
      <c r="C578" s="64"/>
    </row>
    <row r="579" ht="15.75" customHeight="1">
      <c r="A579" s="63" t="s">
        <v>2215</v>
      </c>
      <c r="B579" s="5">
        <v>43950.853472222225</v>
      </c>
      <c r="C579" s="64"/>
    </row>
    <row r="580" ht="15.75" customHeight="1">
      <c r="A580" s="63" t="s">
        <v>2223</v>
      </c>
      <c r="B580" s="5">
        <v>43950.845138888886</v>
      </c>
      <c r="C580" s="64"/>
    </row>
    <row r="581" ht="15.75" customHeight="1">
      <c r="A581" s="63" t="s">
        <v>2225</v>
      </c>
      <c r="B581" s="5">
        <v>43950.84444444445</v>
      </c>
      <c r="C581" s="64"/>
    </row>
    <row r="582" ht="15.75" customHeight="1">
      <c r="A582" s="63" t="s">
        <v>2221</v>
      </c>
      <c r="B582" s="5">
        <v>43950.84305555555</v>
      </c>
      <c r="C582" s="64"/>
    </row>
    <row r="583" ht="15.75" customHeight="1">
      <c r="A583" s="63" t="s">
        <v>2236</v>
      </c>
      <c r="B583" s="5">
        <v>43950.830555555556</v>
      </c>
      <c r="C583" s="64"/>
    </row>
    <row r="584" ht="15.75" customHeight="1">
      <c r="A584" s="63" t="s">
        <v>2239</v>
      </c>
      <c r="B584" s="5">
        <v>43950.825694444444</v>
      </c>
      <c r="C584" s="64"/>
    </row>
    <row r="585" ht="15.75" customHeight="1">
      <c r="A585" s="63" t="s">
        <v>2247</v>
      </c>
      <c r="B585" s="5">
        <v>43950.81319444445</v>
      </c>
      <c r="C585" s="64"/>
    </row>
    <row r="586" ht="15.75" customHeight="1">
      <c r="A586" s="63" t="s">
        <v>2256</v>
      </c>
      <c r="B586" s="5">
        <v>43950.808333333334</v>
      </c>
      <c r="C586" s="64"/>
    </row>
    <row r="587" ht="15.75" customHeight="1">
      <c r="A587" s="63" t="s">
        <v>2259</v>
      </c>
      <c r="B587" s="5">
        <v>43950.80694444444</v>
      </c>
      <c r="C587" s="64"/>
    </row>
    <row r="588" ht="15.75" customHeight="1">
      <c r="A588" s="63" t="s">
        <v>2267</v>
      </c>
      <c r="B588" s="5">
        <v>43950.80416666667</v>
      </c>
      <c r="C588" s="64"/>
    </row>
    <row r="589" ht="15.75" customHeight="1">
      <c r="A589" s="63" t="s">
        <v>2277</v>
      </c>
      <c r="B589" s="5">
        <v>43950.79027777778</v>
      </c>
      <c r="C589" s="64"/>
    </row>
    <row r="590" ht="15.75" customHeight="1">
      <c r="A590" s="63" t="s">
        <v>2283</v>
      </c>
      <c r="B590" s="5">
        <v>43950.78055555555</v>
      </c>
      <c r="C590" s="64"/>
    </row>
    <row r="591" ht="15.75" customHeight="1">
      <c r="A591" s="63" t="s">
        <v>2284</v>
      </c>
      <c r="B591" s="5">
        <v>43950.779861111114</v>
      </c>
      <c r="C591" s="64"/>
    </row>
    <row r="592" ht="15.75" customHeight="1">
      <c r="A592" s="63" t="s">
        <v>2286</v>
      </c>
      <c r="B592" s="5">
        <v>43950.779861111114</v>
      </c>
      <c r="C592" s="64"/>
    </row>
    <row r="593" ht="15.75" customHeight="1">
      <c r="A593" s="63" t="s">
        <v>2304</v>
      </c>
      <c r="B593" s="5">
        <v>43950.770833333336</v>
      </c>
      <c r="C593" s="64"/>
    </row>
    <row r="594" ht="15.75" customHeight="1">
      <c r="A594" s="63" t="s">
        <v>2310</v>
      </c>
      <c r="B594" s="5">
        <v>43950.76527777778</v>
      </c>
      <c r="C594" s="64"/>
    </row>
    <row r="595" ht="15.75" customHeight="1">
      <c r="A595" s="63" t="s">
        <v>2312</v>
      </c>
      <c r="B595" s="5">
        <v>43950.76458333333</v>
      </c>
      <c r="C595" s="64"/>
    </row>
    <row r="596" ht="15.75" customHeight="1">
      <c r="A596" s="63" t="s">
        <v>2320</v>
      </c>
      <c r="B596" s="5">
        <v>43950.7625</v>
      </c>
      <c r="C596" s="64"/>
    </row>
    <row r="597" ht="15.75" customHeight="1">
      <c r="A597" s="63" t="s">
        <v>7</v>
      </c>
      <c r="B597" s="5">
        <v>43950.760416666664</v>
      </c>
      <c r="C597" s="64"/>
    </row>
    <row r="598" ht="15.75" customHeight="1">
      <c r="A598" s="63" t="s">
        <v>1070</v>
      </c>
      <c r="B598" s="5">
        <v>43950.75277777778</v>
      </c>
      <c r="C598" s="64"/>
    </row>
    <row r="599" ht="15.75" customHeight="1">
      <c r="A599" s="63" t="s">
        <v>2342</v>
      </c>
      <c r="B599" s="5">
        <v>43950.74652777778</v>
      </c>
      <c r="C599" s="64"/>
    </row>
    <row r="600" ht="15.75" customHeight="1">
      <c r="A600" s="63" t="s">
        <v>2360</v>
      </c>
      <c r="B600" s="5">
        <v>43950.739583333336</v>
      </c>
      <c r="C600" s="64"/>
    </row>
    <row r="601" ht="15.75" customHeight="1">
      <c r="A601" s="63" t="s">
        <v>2370</v>
      </c>
      <c r="B601" s="5">
        <v>43950.73055555556</v>
      </c>
      <c r="C601" s="64"/>
    </row>
    <row r="602" ht="15.75" customHeight="1">
      <c r="A602" s="63" t="s">
        <v>2376</v>
      </c>
      <c r="B602" s="5">
        <v>43950.720138888886</v>
      </c>
      <c r="C602" s="64"/>
    </row>
    <row r="603" ht="15.75" customHeight="1">
      <c r="A603" s="63" t="s">
        <v>2382</v>
      </c>
      <c r="B603" s="5">
        <v>43950.7125</v>
      </c>
      <c r="C603" s="64"/>
    </row>
    <row r="604" ht="15.75" customHeight="1">
      <c r="A604" s="63" t="s">
        <v>2389</v>
      </c>
      <c r="B604" s="5">
        <v>43950.71111111111</v>
      </c>
      <c r="C604" s="64"/>
    </row>
    <row r="605" ht="15.75" customHeight="1">
      <c r="A605" s="63" t="s">
        <v>1829</v>
      </c>
      <c r="B605" s="5">
        <v>43950.71041666667</v>
      </c>
      <c r="C605" s="64"/>
    </row>
    <row r="606" ht="15.75" customHeight="1">
      <c r="A606" s="63" t="s">
        <v>480</v>
      </c>
      <c r="B606" s="5">
        <v>43950.709027777775</v>
      </c>
      <c r="C606" s="64"/>
    </row>
    <row r="607" ht="15.75" customHeight="1">
      <c r="A607" s="63" t="s">
        <v>5463</v>
      </c>
      <c r="B607" s="5">
        <v>43950.708333333336</v>
      </c>
      <c r="C607" s="64"/>
    </row>
    <row r="608" ht="15.75" customHeight="1">
      <c r="A608" s="63" t="s">
        <v>2398</v>
      </c>
      <c r="B608" s="5">
        <v>43950.705555555556</v>
      </c>
      <c r="C608" s="64"/>
    </row>
    <row r="609" ht="15.75" customHeight="1">
      <c r="A609" s="63" t="s">
        <v>2400</v>
      </c>
      <c r="B609" s="5">
        <v>43950.705555555556</v>
      </c>
      <c r="C609" s="64"/>
    </row>
    <row r="610" ht="15.75" customHeight="1">
      <c r="A610" s="63" t="s">
        <v>1760</v>
      </c>
      <c r="B610" s="5">
        <v>43950.69930555556</v>
      </c>
      <c r="C610" s="64"/>
    </row>
    <row r="611" ht="15.75" customHeight="1">
      <c r="A611" s="63" t="s">
        <v>2413</v>
      </c>
      <c r="B611" s="5">
        <v>43950.69513888889</v>
      </c>
      <c r="C611" s="64"/>
    </row>
    <row r="612" ht="15.75" customHeight="1">
      <c r="A612" s="63" t="s">
        <v>2415</v>
      </c>
      <c r="B612" s="5">
        <v>43950.691666666666</v>
      </c>
      <c r="C612" s="64"/>
    </row>
    <row r="613" ht="15.75" customHeight="1">
      <c r="A613" s="63" t="s">
        <v>2431</v>
      </c>
      <c r="B613" s="5">
        <v>43950.67847222222</v>
      </c>
      <c r="C613" s="64"/>
    </row>
    <row r="614" ht="15.75" customHeight="1">
      <c r="A614" s="63" t="s">
        <v>2441</v>
      </c>
      <c r="B614" s="5">
        <v>43950.666666666664</v>
      </c>
      <c r="C614" s="64"/>
    </row>
    <row r="615" ht="15.75" customHeight="1">
      <c r="A615" s="63" t="s">
        <v>2447</v>
      </c>
      <c r="B615" s="5">
        <v>43950.66458333333</v>
      </c>
      <c r="C615" s="64"/>
    </row>
    <row r="616" ht="15.75" customHeight="1">
      <c r="A616" s="63" t="s">
        <v>2455</v>
      </c>
      <c r="B616" s="5">
        <v>43950.65555555555</v>
      </c>
      <c r="C616" s="64"/>
    </row>
    <row r="617" ht="15.75" customHeight="1">
      <c r="A617" s="63" t="s">
        <v>2469</v>
      </c>
      <c r="B617" s="5">
        <v>43950.64861111111</v>
      </c>
      <c r="C617" s="64"/>
    </row>
    <row r="618" ht="15.75" customHeight="1">
      <c r="A618" s="63" t="s">
        <v>2489</v>
      </c>
      <c r="B618" s="5">
        <v>43950.62222222222</v>
      </c>
      <c r="C618" s="64"/>
    </row>
    <row r="619" ht="15.75" customHeight="1">
      <c r="A619" s="63" t="s">
        <v>2494</v>
      </c>
      <c r="B619" s="5">
        <v>43950.618055555555</v>
      </c>
      <c r="C619" s="64"/>
    </row>
    <row r="620" ht="15.75" customHeight="1">
      <c r="A620" s="63" t="s">
        <v>2492</v>
      </c>
      <c r="B620" s="5">
        <v>43950.618055555555</v>
      </c>
      <c r="C620" s="64"/>
    </row>
    <row r="621" ht="15.75" customHeight="1">
      <c r="A621" s="63" t="s">
        <v>2499</v>
      </c>
      <c r="B621" s="5">
        <v>43950.60972222222</v>
      </c>
      <c r="C621" s="64"/>
    </row>
    <row r="622" ht="15.75" customHeight="1">
      <c r="A622" s="63" t="s">
        <v>2508</v>
      </c>
      <c r="B622" s="5">
        <v>43950.604166666664</v>
      </c>
      <c r="C622" s="64"/>
    </row>
    <row r="623" ht="15.75" customHeight="1">
      <c r="A623" s="63" t="s">
        <v>2514</v>
      </c>
      <c r="B623" s="5">
        <v>43950.60277777778</v>
      </c>
      <c r="C623" s="64"/>
    </row>
    <row r="624" ht="15.75" customHeight="1">
      <c r="A624" s="63" t="s">
        <v>2526</v>
      </c>
      <c r="B624" s="5">
        <v>43950.58888888889</v>
      </c>
      <c r="C624" s="64"/>
    </row>
    <row r="625" ht="15.75" customHeight="1">
      <c r="A625" s="63" t="s">
        <v>2530</v>
      </c>
      <c r="B625" s="5">
        <v>43950.586805555555</v>
      </c>
      <c r="C625" s="64"/>
    </row>
    <row r="626" ht="15.75" customHeight="1">
      <c r="A626" s="63" t="s">
        <v>2534</v>
      </c>
      <c r="B626" s="5">
        <v>43950.58611111111</v>
      </c>
      <c r="C626" s="64"/>
    </row>
    <row r="627" ht="15.75" customHeight="1">
      <c r="A627" s="63" t="s">
        <v>2540</v>
      </c>
      <c r="B627" s="5">
        <v>43950.58263888889</v>
      </c>
      <c r="C627" s="64"/>
    </row>
    <row r="628" ht="15.75" customHeight="1">
      <c r="A628" s="63" t="s">
        <v>1639</v>
      </c>
      <c r="B628" s="5">
        <v>43950.575</v>
      </c>
      <c r="C628" s="64"/>
    </row>
    <row r="629" ht="15.75" customHeight="1">
      <c r="A629" s="63" t="s">
        <v>2560</v>
      </c>
      <c r="B629" s="5">
        <v>43950.57361111111</v>
      </c>
      <c r="C629" s="64"/>
    </row>
    <row r="630" ht="15.75" customHeight="1">
      <c r="A630" s="63" t="s">
        <v>2566</v>
      </c>
      <c r="B630" s="5">
        <v>43950.57083333333</v>
      </c>
      <c r="C630" s="64"/>
    </row>
    <row r="631" ht="15.75" customHeight="1">
      <c r="A631" s="63" t="s">
        <v>1707</v>
      </c>
      <c r="B631" s="5">
        <v>43950.57083333333</v>
      </c>
      <c r="C631" s="64"/>
    </row>
    <row r="632" ht="15.75" customHeight="1">
      <c r="A632" s="63" t="s">
        <v>2573</v>
      </c>
      <c r="B632" s="5">
        <v>43950.57013888889</v>
      </c>
      <c r="C632" s="64"/>
    </row>
    <row r="633" ht="15.75" customHeight="1">
      <c r="A633" s="63" t="s">
        <v>2571</v>
      </c>
      <c r="B633" s="5">
        <v>43950.57013888889</v>
      </c>
      <c r="C633" s="64"/>
    </row>
    <row r="634" ht="15.75" customHeight="1">
      <c r="A634" s="63" t="s">
        <v>2575</v>
      </c>
      <c r="B634" s="5">
        <v>43950.569444444445</v>
      </c>
      <c r="C634" s="64"/>
    </row>
    <row r="635" ht="15.75" customHeight="1">
      <c r="A635" s="63" t="s">
        <v>1810</v>
      </c>
      <c r="B635" s="5">
        <v>43950.5625</v>
      </c>
      <c r="C635" s="64"/>
    </row>
    <row r="636" ht="15.75" customHeight="1">
      <c r="A636" s="63" t="s">
        <v>2588</v>
      </c>
      <c r="B636" s="5">
        <v>43950.56180555555</v>
      </c>
      <c r="C636" s="64"/>
    </row>
    <row r="637" ht="15.75" customHeight="1">
      <c r="A637" s="63" t="s">
        <v>2596</v>
      </c>
      <c r="B637" s="5">
        <v>43950.55902777778</v>
      </c>
      <c r="C637" s="64"/>
    </row>
    <row r="638" ht="15.75" customHeight="1">
      <c r="A638" s="63" t="s">
        <v>2633</v>
      </c>
      <c r="B638" s="5">
        <v>43950.54652777778</v>
      </c>
      <c r="C638" s="64"/>
    </row>
    <row r="639" ht="15.75" customHeight="1">
      <c r="A639" s="63" t="s">
        <v>1002</v>
      </c>
      <c r="B639" s="5">
        <v>43950.544444444444</v>
      </c>
      <c r="C639" s="64"/>
    </row>
    <row r="640" ht="15.75" customHeight="1">
      <c r="A640" s="63" t="s">
        <v>2642</v>
      </c>
      <c r="B640" s="5">
        <v>43950.54375</v>
      </c>
      <c r="C640" s="64"/>
    </row>
    <row r="641" ht="15.75" customHeight="1">
      <c r="A641" s="63" t="s">
        <v>2662</v>
      </c>
      <c r="B641" s="5">
        <v>43950.53888888889</v>
      </c>
      <c r="C641" s="64"/>
    </row>
    <row r="642" ht="15.75" customHeight="1">
      <c r="A642" s="63" t="s">
        <v>2658</v>
      </c>
      <c r="B642" s="5">
        <v>43950.53888888889</v>
      </c>
      <c r="C642" s="64"/>
    </row>
    <row r="643" ht="15.75" customHeight="1">
      <c r="A643" s="63" t="s">
        <v>2660</v>
      </c>
      <c r="B643" s="5">
        <v>43950.53888888889</v>
      </c>
      <c r="C643" s="64"/>
    </row>
    <row r="644" ht="15.75" customHeight="1">
      <c r="A644" s="63" t="s">
        <v>2674</v>
      </c>
      <c r="B644" s="5">
        <v>43950.53472222222</v>
      </c>
      <c r="C644" s="64"/>
    </row>
    <row r="645" ht="15.75" customHeight="1">
      <c r="A645" s="63" t="s">
        <v>2676</v>
      </c>
      <c r="B645" s="5">
        <v>43950.53402777778</v>
      </c>
      <c r="C645" s="64"/>
    </row>
    <row r="646" ht="15.75" customHeight="1">
      <c r="A646" s="63" t="s">
        <v>2678</v>
      </c>
      <c r="B646" s="5">
        <v>43950.53402777778</v>
      </c>
      <c r="C646" s="64"/>
    </row>
    <row r="647" ht="15.75" customHeight="1">
      <c r="A647" s="63" t="s">
        <v>357</v>
      </c>
      <c r="B647" s="5">
        <v>43950.53125</v>
      </c>
      <c r="C647" s="64"/>
    </row>
    <row r="648" ht="15.75" customHeight="1">
      <c r="A648" s="63" t="s">
        <v>2693</v>
      </c>
      <c r="B648" s="5">
        <v>43950.52777777778</v>
      </c>
      <c r="C648" s="64"/>
    </row>
    <row r="649" ht="15.75" customHeight="1">
      <c r="A649" s="63" t="s">
        <v>2704</v>
      </c>
      <c r="B649" s="5">
        <v>43950.524305555555</v>
      </c>
      <c r="C649" s="64"/>
    </row>
    <row r="650" ht="15.75" customHeight="1">
      <c r="A650" s="63" t="s">
        <v>2706</v>
      </c>
      <c r="B650" s="5">
        <v>43950.524305555555</v>
      </c>
      <c r="C650" s="64"/>
    </row>
    <row r="651" ht="15.75" customHeight="1">
      <c r="A651" s="63" t="s">
        <v>425</v>
      </c>
      <c r="B651" s="5">
        <v>43950.52361111111</v>
      </c>
      <c r="C651" s="64"/>
    </row>
    <row r="652" ht="15.75" customHeight="1">
      <c r="A652" s="63" t="s">
        <v>2708</v>
      </c>
      <c r="B652" s="5">
        <v>43950.52361111111</v>
      </c>
      <c r="C652" s="64"/>
    </row>
    <row r="653" ht="15.75" customHeight="1">
      <c r="A653" s="63" t="s">
        <v>2717</v>
      </c>
      <c r="B653" s="5">
        <v>43950.521527777775</v>
      </c>
      <c r="C653" s="64"/>
    </row>
    <row r="654" ht="15.75" customHeight="1">
      <c r="A654" s="63" t="s">
        <v>2723</v>
      </c>
      <c r="B654" s="5">
        <v>43950.52013888889</v>
      </c>
      <c r="C654" s="64"/>
    </row>
    <row r="655" ht="15.75" customHeight="1">
      <c r="A655" s="63" t="s">
        <v>2725</v>
      </c>
      <c r="B655" s="5">
        <v>43950.52013888889</v>
      </c>
      <c r="C655" s="64"/>
    </row>
    <row r="656" ht="15.75" customHeight="1">
      <c r="A656" s="63" t="s">
        <v>2727</v>
      </c>
      <c r="B656" s="5">
        <v>43950.51944444444</v>
      </c>
      <c r="C656" s="64"/>
    </row>
    <row r="657" ht="15.75" customHeight="1">
      <c r="A657" s="63" t="s">
        <v>2735</v>
      </c>
      <c r="B657" s="5">
        <v>43950.51736111111</v>
      </c>
      <c r="C657" s="64"/>
    </row>
    <row r="658" ht="15.75" customHeight="1">
      <c r="A658" s="63" t="s">
        <v>2739</v>
      </c>
      <c r="B658" s="5">
        <v>43950.51666666667</v>
      </c>
      <c r="C658" s="64"/>
    </row>
    <row r="659" ht="15.75" customHeight="1">
      <c r="A659" s="63" t="s">
        <v>2750</v>
      </c>
      <c r="B659" s="5">
        <v>43950.513194444444</v>
      </c>
      <c r="C659" s="64"/>
    </row>
    <row r="660" ht="15.75" customHeight="1">
      <c r="A660" s="63" t="s">
        <v>2761</v>
      </c>
      <c r="B660" s="5">
        <v>43950.51180555556</v>
      </c>
      <c r="C660" s="64"/>
    </row>
    <row r="661" ht="15.75" customHeight="1">
      <c r="A661" s="63" t="s">
        <v>1686</v>
      </c>
      <c r="B661" s="5">
        <v>43950.51180555556</v>
      </c>
      <c r="C661" s="64"/>
    </row>
    <row r="662" ht="15.75" customHeight="1">
      <c r="A662" s="63" t="s">
        <v>1816</v>
      </c>
      <c r="B662" s="5">
        <v>43950.50555555556</v>
      </c>
      <c r="C662" s="64"/>
    </row>
    <row r="663" ht="15.75" customHeight="1">
      <c r="A663" s="63" t="s">
        <v>5464</v>
      </c>
      <c r="B663" s="5">
        <v>43950.504166666666</v>
      </c>
      <c r="C663" s="64"/>
    </row>
    <row r="664" ht="15.75" customHeight="1">
      <c r="A664" s="63" t="s">
        <v>1724</v>
      </c>
      <c r="B664" s="5">
        <v>43950.501388888886</v>
      </c>
      <c r="C664" s="64"/>
    </row>
    <row r="665" ht="15.75" customHeight="1">
      <c r="A665" s="63" t="s">
        <v>580</v>
      </c>
      <c r="B665" s="5">
        <v>43950.495833333334</v>
      </c>
      <c r="C665" s="64"/>
    </row>
    <row r="666" ht="15.75" customHeight="1">
      <c r="A666" s="63" t="s">
        <v>2831</v>
      </c>
      <c r="B666" s="5">
        <v>43950.49375</v>
      </c>
      <c r="C666" s="64"/>
    </row>
    <row r="667" ht="15.75" customHeight="1">
      <c r="A667" s="63" t="s">
        <v>694</v>
      </c>
      <c r="B667" s="5">
        <v>43950.490277777775</v>
      </c>
      <c r="C667" s="64"/>
    </row>
    <row r="668" ht="15.75" customHeight="1">
      <c r="A668" s="63" t="s">
        <v>1833</v>
      </c>
      <c r="B668" s="5">
        <v>43950.486805555556</v>
      </c>
      <c r="C668" s="64"/>
    </row>
    <row r="669" ht="15.75" customHeight="1">
      <c r="A669" s="63" t="s">
        <v>2854</v>
      </c>
      <c r="B669" s="5">
        <v>43950.48611111111</v>
      </c>
      <c r="C669" s="64"/>
    </row>
    <row r="670" ht="15.75" customHeight="1">
      <c r="A670" s="63" t="s">
        <v>1566</v>
      </c>
      <c r="B670" s="5">
        <v>43950.48611111111</v>
      </c>
      <c r="C670" s="64"/>
    </row>
    <row r="671" ht="15.75" customHeight="1">
      <c r="A671" s="63" t="s">
        <v>2857</v>
      </c>
      <c r="B671" s="5">
        <v>43950.48472222222</v>
      </c>
      <c r="C671" s="64"/>
    </row>
    <row r="672" ht="15.75" customHeight="1">
      <c r="A672" s="63" t="s">
        <v>2859</v>
      </c>
      <c r="B672" s="5">
        <v>43950.48402777778</v>
      </c>
      <c r="C672" s="64"/>
    </row>
    <row r="673" ht="15.75" customHeight="1">
      <c r="A673" s="63" t="s">
        <v>2864</v>
      </c>
      <c r="B673" s="5">
        <v>43950.48333333333</v>
      </c>
      <c r="C673" s="64"/>
    </row>
    <row r="674" ht="15.75" customHeight="1">
      <c r="A674" s="63" t="s">
        <v>2874</v>
      </c>
      <c r="B674" s="5">
        <v>43950.48055555556</v>
      </c>
      <c r="C674" s="64"/>
    </row>
    <row r="675" ht="15.75" customHeight="1">
      <c r="A675" s="63" t="s">
        <v>1822</v>
      </c>
      <c r="B675" s="5">
        <v>43950.47986111111</v>
      </c>
      <c r="C675" s="64"/>
    </row>
    <row r="676" ht="15.75" customHeight="1">
      <c r="A676" s="63" t="s">
        <v>2878</v>
      </c>
      <c r="B676" s="5">
        <v>43950.47986111111</v>
      </c>
      <c r="C676" s="64"/>
    </row>
    <row r="677" ht="15.75" customHeight="1">
      <c r="A677" s="63" t="s">
        <v>2891</v>
      </c>
      <c r="B677" s="5">
        <v>43950.47777777778</v>
      </c>
      <c r="C677" s="64"/>
    </row>
    <row r="678" ht="15.75" customHeight="1">
      <c r="A678" s="63" t="s">
        <v>2897</v>
      </c>
      <c r="B678" s="5">
        <v>43950.47777777778</v>
      </c>
      <c r="C678" s="64"/>
    </row>
    <row r="679" ht="15.75" customHeight="1">
      <c r="A679" s="63" t="s">
        <v>2904</v>
      </c>
      <c r="B679" s="5">
        <v>43950.47638888889</v>
      </c>
      <c r="C679" s="64"/>
    </row>
    <row r="680" ht="15.75" customHeight="1">
      <c r="A680" s="63" t="s">
        <v>2912</v>
      </c>
      <c r="B680" s="5">
        <v>43950.475694444445</v>
      </c>
      <c r="C680" s="64"/>
    </row>
    <row r="681" ht="15.75" customHeight="1">
      <c r="A681" s="63" t="s">
        <v>1574</v>
      </c>
      <c r="B681" s="5">
        <v>43950.475694444445</v>
      </c>
      <c r="C681" s="64"/>
    </row>
    <row r="682" ht="15.75" customHeight="1">
      <c r="A682" s="63" t="s">
        <v>2924</v>
      </c>
      <c r="B682" s="5">
        <v>43950.472916666666</v>
      </c>
      <c r="C682" s="64"/>
    </row>
    <row r="683" ht="15.75" customHeight="1">
      <c r="A683" s="63" t="s">
        <v>2926</v>
      </c>
      <c r="B683" s="5">
        <v>43950.472916666666</v>
      </c>
      <c r="C683" s="64"/>
    </row>
    <row r="684" ht="15.75" customHeight="1">
      <c r="A684" s="63" t="s">
        <v>2946</v>
      </c>
      <c r="B684" s="5">
        <v>43950.470138888886</v>
      </c>
      <c r="C684" s="64"/>
    </row>
    <row r="685" ht="15.75" customHeight="1">
      <c r="A685" s="63" t="s">
        <v>2952</v>
      </c>
      <c r="B685" s="5">
        <v>43950.46875</v>
      </c>
      <c r="C685" s="64"/>
    </row>
    <row r="686" ht="15.75" customHeight="1">
      <c r="A686" s="63" t="s">
        <v>2958</v>
      </c>
      <c r="B686" s="5">
        <v>43950.46805555555</v>
      </c>
      <c r="C686" s="64"/>
    </row>
    <row r="687" ht="15.75" customHeight="1">
      <c r="A687" s="63" t="s">
        <v>2970</v>
      </c>
      <c r="B687" s="5">
        <v>43950.46666666667</v>
      </c>
      <c r="C687" s="64"/>
    </row>
    <row r="688" ht="15.75" customHeight="1">
      <c r="A688" s="63" t="s">
        <v>2978</v>
      </c>
      <c r="B688" s="5">
        <v>43950.46597222222</v>
      </c>
      <c r="C688" s="64"/>
    </row>
    <row r="689" ht="15.75" customHeight="1">
      <c r="A689" s="63" t="s">
        <v>2981</v>
      </c>
      <c r="B689" s="5">
        <v>43950.464583333334</v>
      </c>
      <c r="C689" s="64"/>
    </row>
    <row r="690" ht="15.75" customHeight="1">
      <c r="A690" s="63" t="s">
        <v>630</v>
      </c>
      <c r="B690" s="5">
        <v>43950.46388888889</v>
      </c>
      <c r="C690" s="64"/>
    </row>
    <row r="691" ht="15.75" customHeight="1">
      <c r="A691" s="63" t="s">
        <v>2999</v>
      </c>
      <c r="B691" s="5">
        <v>43950.4625</v>
      </c>
      <c r="C691" s="64"/>
    </row>
    <row r="692" ht="15.75" customHeight="1">
      <c r="A692" s="63" t="s">
        <v>1800</v>
      </c>
      <c r="B692" s="5">
        <v>43950.4625</v>
      </c>
      <c r="C692" s="64"/>
    </row>
    <row r="693" ht="15.75" customHeight="1">
      <c r="A693" s="63" t="s">
        <v>3012</v>
      </c>
      <c r="B693" s="5">
        <v>43950.461805555555</v>
      </c>
      <c r="C693" s="64"/>
    </row>
    <row r="694" ht="15.75" customHeight="1">
      <c r="A694" s="63" t="s">
        <v>3004</v>
      </c>
      <c r="B694" s="5">
        <v>43950.461805555555</v>
      </c>
      <c r="C694" s="64"/>
    </row>
    <row r="695" ht="15.75" customHeight="1">
      <c r="A695" s="63" t="s">
        <v>1570</v>
      </c>
      <c r="B695" s="5">
        <v>43950.45694444444</v>
      </c>
      <c r="C695" s="64"/>
    </row>
    <row r="696" ht="15.75" customHeight="1">
      <c r="A696" s="63" t="s">
        <v>1788</v>
      </c>
      <c r="B696" s="5">
        <v>43950.45625</v>
      </c>
      <c r="C696" s="64"/>
    </row>
    <row r="697" ht="15.75" customHeight="1">
      <c r="A697" s="63" t="s">
        <v>3056</v>
      </c>
      <c r="B697" s="5">
        <v>43950.45486111111</v>
      </c>
      <c r="C697" s="64"/>
    </row>
    <row r="698" ht="15.75" customHeight="1">
      <c r="A698" s="63" t="s">
        <v>3059</v>
      </c>
      <c r="B698" s="5">
        <v>43950.45347222222</v>
      </c>
      <c r="C698" s="64"/>
    </row>
    <row r="699" ht="15.75" customHeight="1">
      <c r="A699" s="63" t="s">
        <v>1129</v>
      </c>
      <c r="B699" s="5">
        <v>43950.45277777778</v>
      </c>
      <c r="C699" s="64"/>
    </row>
    <row r="700" ht="15.75" customHeight="1">
      <c r="A700" s="63" t="s">
        <v>3095</v>
      </c>
      <c r="B700" s="5">
        <v>43950.45</v>
      </c>
      <c r="C700" s="64"/>
    </row>
    <row r="701" ht="15.75" customHeight="1">
      <c r="A701" s="63" t="s">
        <v>3105</v>
      </c>
      <c r="B701" s="5">
        <v>43950.44930555556</v>
      </c>
      <c r="C701" s="64"/>
    </row>
    <row r="702" ht="15.75" customHeight="1">
      <c r="A702" s="63" t="s">
        <v>3126</v>
      </c>
      <c r="B702" s="5">
        <v>43950.447916666664</v>
      </c>
      <c r="C702" s="64"/>
    </row>
    <row r="703" ht="15.75" customHeight="1">
      <c r="A703" s="63" t="s">
        <v>3137</v>
      </c>
      <c r="B703" s="5">
        <v>43950.44652777778</v>
      </c>
      <c r="C703" s="64"/>
    </row>
    <row r="704" ht="15.75" customHeight="1">
      <c r="A704" s="63" t="s">
        <v>1808</v>
      </c>
      <c r="B704" s="5">
        <v>43950.44583333333</v>
      </c>
      <c r="C704" s="64"/>
    </row>
    <row r="705" ht="15.75" customHeight="1">
      <c r="A705" s="63" t="s">
        <v>3151</v>
      </c>
      <c r="B705" s="5">
        <v>43950.444444444445</v>
      </c>
      <c r="C705" s="64"/>
    </row>
    <row r="706" ht="15.75" customHeight="1">
      <c r="A706" s="63" t="s">
        <v>3168</v>
      </c>
      <c r="B706" s="5">
        <v>43950.44305555556</v>
      </c>
      <c r="C706" s="64"/>
    </row>
    <row r="707" ht="15.75" customHeight="1">
      <c r="A707" s="63" t="s">
        <v>3178</v>
      </c>
      <c r="B707" s="5">
        <v>43950.441666666666</v>
      </c>
      <c r="C707" s="64"/>
    </row>
    <row r="708" ht="15.75" customHeight="1">
      <c r="A708" s="63" t="s">
        <v>1797</v>
      </c>
      <c r="B708" s="5">
        <v>43950.441666666666</v>
      </c>
      <c r="C708" s="64"/>
    </row>
    <row r="709" ht="15.75" customHeight="1">
      <c r="A709" s="63" t="s">
        <v>3191</v>
      </c>
      <c r="B709" s="5">
        <v>43950.44097222222</v>
      </c>
      <c r="C709" s="64"/>
    </row>
    <row r="710" ht="15.75" customHeight="1">
      <c r="A710" s="63" t="s">
        <v>3203</v>
      </c>
      <c r="B710" s="5">
        <v>43950.43958333333</v>
      </c>
      <c r="C710" s="64"/>
    </row>
    <row r="711" ht="15.75" customHeight="1">
      <c r="A711" s="63" t="s">
        <v>3223</v>
      </c>
      <c r="B711" s="5">
        <v>43950.438888888886</v>
      </c>
      <c r="C711" s="64"/>
    </row>
    <row r="712" ht="15.75" customHeight="1">
      <c r="A712" s="63" t="s">
        <v>3221</v>
      </c>
      <c r="B712" s="5">
        <v>43950.438888888886</v>
      </c>
      <c r="C712" s="64"/>
    </row>
    <row r="713" ht="15.75" customHeight="1">
      <c r="A713" s="63" t="s">
        <v>1758</v>
      </c>
      <c r="B713" s="5">
        <v>43950.43819444445</v>
      </c>
      <c r="C713" s="64"/>
    </row>
    <row r="714" ht="15.75" customHeight="1">
      <c r="A714" s="63" t="s">
        <v>3245</v>
      </c>
      <c r="B714" s="5">
        <v>43950.436111111114</v>
      </c>
      <c r="C714" s="64"/>
    </row>
    <row r="715" ht="15.75" customHeight="1">
      <c r="A715" s="63" t="s">
        <v>3249</v>
      </c>
      <c r="B715" s="5">
        <v>43950.436111111114</v>
      </c>
      <c r="C715" s="64"/>
    </row>
    <row r="716" ht="15.75" customHeight="1">
      <c r="A716" s="63" t="s">
        <v>3253</v>
      </c>
      <c r="B716" s="5">
        <v>43950.43541666667</v>
      </c>
      <c r="C716" s="64"/>
    </row>
    <row r="717" ht="15.75" customHeight="1">
      <c r="A717" s="63" t="s">
        <v>3280</v>
      </c>
      <c r="B717" s="5">
        <v>43950.43402777778</v>
      </c>
      <c r="C717" s="64"/>
    </row>
    <row r="718" ht="15.75" customHeight="1">
      <c r="A718" s="63" t="s">
        <v>3268</v>
      </c>
      <c r="B718" s="5">
        <v>43950.43402777778</v>
      </c>
      <c r="C718" s="64"/>
    </row>
    <row r="719" ht="15.75" customHeight="1">
      <c r="A719" s="63" t="s">
        <v>3295</v>
      </c>
      <c r="B719" s="5">
        <v>43950.43263888889</v>
      </c>
      <c r="C719" s="64"/>
    </row>
    <row r="720" ht="15.75" customHeight="1">
      <c r="A720" s="63" t="s">
        <v>3297</v>
      </c>
      <c r="B720" s="5">
        <v>43950.43263888889</v>
      </c>
      <c r="C720" s="64"/>
    </row>
    <row r="721" ht="15.75" customHeight="1">
      <c r="A721" s="63" t="s">
        <v>3307</v>
      </c>
      <c r="B721" s="5">
        <v>43950.43194444444</v>
      </c>
      <c r="C721" s="64"/>
    </row>
    <row r="722" ht="15.75" customHeight="1">
      <c r="A722" s="63" t="s">
        <v>3301</v>
      </c>
      <c r="B722" s="5">
        <v>43950.43194444444</v>
      </c>
      <c r="C722" s="64"/>
    </row>
    <row r="723" ht="15.75" customHeight="1">
      <c r="A723" s="63" t="s">
        <v>3329</v>
      </c>
      <c r="B723" s="5">
        <v>43950.43125</v>
      </c>
      <c r="C723" s="64"/>
    </row>
    <row r="724" ht="15.75" customHeight="1">
      <c r="A724" s="63" t="s">
        <v>3338</v>
      </c>
      <c r="B724" s="5">
        <v>43950.43125</v>
      </c>
      <c r="C724" s="64"/>
    </row>
    <row r="725" ht="15.75" customHeight="1">
      <c r="A725" s="63" t="s">
        <v>3327</v>
      </c>
      <c r="B725" s="5">
        <v>43950.43125</v>
      </c>
      <c r="C725" s="64"/>
    </row>
    <row r="726" ht="15.75" customHeight="1">
      <c r="A726" s="63" t="s">
        <v>3353</v>
      </c>
      <c r="B726" s="5">
        <v>43950.42986111111</v>
      </c>
      <c r="C726" s="64"/>
    </row>
    <row r="727" ht="15.75" customHeight="1">
      <c r="A727" s="63" t="s">
        <v>3385</v>
      </c>
      <c r="B727" s="5">
        <v>43950.42847222222</v>
      </c>
      <c r="C727" s="64"/>
    </row>
    <row r="728" ht="15.75" customHeight="1">
      <c r="A728" s="63" t="s">
        <v>3387</v>
      </c>
      <c r="B728" s="5">
        <v>43950.42847222222</v>
      </c>
      <c r="C728" s="64"/>
    </row>
    <row r="729" ht="15.75" customHeight="1">
      <c r="A729" s="63" t="s">
        <v>3397</v>
      </c>
      <c r="B729" s="5">
        <v>43950.427777777775</v>
      </c>
      <c r="C729" s="64"/>
    </row>
    <row r="730" ht="15.75" customHeight="1">
      <c r="A730" s="63" t="s">
        <v>1837</v>
      </c>
      <c r="B730" s="5">
        <v>43950.427777777775</v>
      </c>
      <c r="C730" s="64"/>
    </row>
    <row r="731" ht="15.75" customHeight="1">
      <c r="A731" s="63" t="s">
        <v>3391</v>
      </c>
      <c r="B731" s="5">
        <v>43950.427777777775</v>
      </c>
      <c r="C731" s="64"/>
    </row>
    <row r="732" ht="15.75" customHeight="1">
      <c r="A732" s="63" t="s">
        <v>1737</v>
      </c>
      <c r="B732" s="5">
        <v>43950.427083333336</v>
      </c>
      <c r="C732" s="64"/>
    </row>
    <row r="733" ht="15.75" customHeight="1">
      <c r="A733" s="63" t="s">
        <v>3410</v>
      </c>
      <c r="B733" s="5">
        <v>43950.427083333336</v>
      </c>
      <c r="C733" s="64"/>
    </row>
    <row r="734" ht="15.75" customHeight="1">
      <c r="A734" s="63" t="s">
        <v>3417</v>
      </c>
      <c r="B734" s="5">
        <v>43950.42638888889</v>
      </c>
      <c r="C734" s="64"/>
    </row>
    <row r="735" ht="15.75" customHeight="1">
      <c r="A735" s="63" t="s">
        <v>3421</v>
      </c>
      <c r="B735" s="5">
        <v>43950.42638888889</v>
      </c>
      <c r="C735" s="64"/>
    </row>
    <row r="736" ht="15.75" customHeight="1">
      <c r="A736" s="63" t="s">
        <v>3440</v>
      </c>
      <c r="B736" s="5">
        <v>43950.42569444444</v>
      </c>
      <c r="C736" s="64"/>
    </row>
    <row r="737" ht="15.75" customHeight="1">
      <c r="A737" s="63" t="s">
        <v>3483</v>
      </c>
      <c r="B737" s="5">
        <v>43950.42361111111</v>
      </c>
      <c r="C737" s="64"/>
    </row>
    <row r="738" ht="15.75" customHeight="1">
      <c r="A738" s="63" t="s">
        <v>3520</v>
      </c>
      <c r="B738" s="5">
        <v>43950.42222222222</v>
      </c>
      <c r="C738" s="64"/>
    </row>
    <row r="739" ht="15.75" customHeight="1">
      <c r="A739" s="63" t="s">
        <v>3522</v>
      </c>
      <c r="B739" s="5">
        <v>43950.42222222222</v>
      </c>
      <c r="C739" s="64"/>
    </row>
    <row r="740" ht="15.75" customHeight="1">
      <c r="A740" s="63" t="s">
        <v>3543</v>
      </c>
      <c r="B740" s="5">
        <v>43950.42222222222</v>
      </c>
      <c r="C740" s="64"/>
    </row>
    <row r="741" ht="15.75" customHeight="1">
      <c r="A741" s="63" t="s">
        <v>3561</v>
      </c>
      <c r="B741" s="5">
        <v>43950.41736111111</v>
      </c>
      <c r="C741" s="64"/>
    </row>
    <row r="742" ht="15.75" customHeight="1">
      <c r="A742" s="63" t="s">
        <v>3563</v>
      </c>
      <c r="B742" s="5">
        <v>43950.356944444444</v>
      </c>
      <c r="C742" s="64"/>
    </row>
    <row r="743" ht="15.75" customHeight="1">
      <c r="A743" s="63" t="s">
        <v>3567</v>
      </c>
      <c r="B743" s="5">
        <v>43949.83888888889</v>
      </c>
      <c r="C743" s="64"/>
    </row>
    <row r="744" ht="15.75" customHeight="1">
      <c r="A744" s="63" t="s">
        <v>3568</v>
      </c>
      <c r="B744" s="5">
        <v>43949.768055555556</v>
      </c>
      <c r="C744" s="64"/>
    </row>
    <row r="745" ht="15.75" customHeight="1">
      <c r="A745" s="63" t="s">
        <v>3570</v>
      </c>
      <c r="B745" s="5">
        <v>43949.76388888889</v>
      </c>
      <c r="C745" s="64"/>
    </row>
    <row r="746" ht="15.75" customHeight="1">
      <c r="A746" s="63" t="s">
        <v>1919</v>
      </c>
      <c r="B746" s="5">
        <v>43949.57083333333</v>
      </c>
      <c r="C746" s="64"/>
    </row>
    <row r="747" ht="15.75" customHeight="1">
      <c r="A747" s="63" t="s">
        <v>3573</v>
      </c>
      <c r="B747" s="5">
        <v>43949.56458333333</v>
      </c>
      <c r="C747" s="64"/>
    </row>
    <row r="748" ht="15.75" customHeight="1">
      <c r="A748" s="63" t="s">
        <v>2649</v>
      </c>
      <c r="B748" s="5">
        <v>43949.43402777778</v>
      </c>
      <c r="C748" s="64"/>
    </row>
    <row r="749" ht="15.75" customHeight="1">
      <c r="A749" s="63" t="s">
        <v>2884</v>
      </c>
      <c r="B749" s="5">
        <v>43949.37777777778</v>
      </c>
      <c r="C749" s="64"/>
    </row>
    <row r="750" ht="15.75" customHeight="1">
      <c r="A750" s="63" t="s">
        <v>3582</v>
      </c>
      <c r="B750" s="5">
        <v>43948.896527777775</v>
      </c>
      <c r="C750" s="64"/>
    </row>
    <row r="751" ht="15.75" customHeight="1">
      <c r="A751" s="63" t="s">
        <v>3583</v>
      </c>
      <c r="B751" s="5">
        <v>43948.88680555556</v>
      </c>
      <c r="C751" s="64"/>
    </row>
    <row r="752" ht="15.75" customHeight="1">
      <c r="A752" s="63" t="s">
        <v>3587</v>
      </c>
      <c r="B752" s="5">
        <v>43948.81319444445</v>
      </c>
      <c r="C752" s="64"/>
    </row>
    <row r="753" ht="15.75" customHeight="1">
      <c r="A753" s="63" t="s">
        <v>3591</v>
      </c>
      <c r="B753" s="5">
        <v>43948.72430555556</v>
      </c>
      <c r="C753" s="64"/>
    </row>
    <row r="754" ht="15.75" customHeight="1">
      <c r="A754" s="63" t="s">
        <v>3592</v>
      </c>
      <c r="B754" s="5">
        <v>43948.720138888886</v>
      </c>
      <c r="C754" s="64"/>
    </row>
    <row r="755" ht="15.75" customHeight="1">
      <c r="A755" s="63" t="s">
        <v>3598</v>
      </c>
      <c r="B755" s="5">
        <v>43948.60833333333</v>
      </c>
      <c r="C755" s="64"/>
    </row>
    <row r="756" ht="15.75" customHeight="1">
      <c r="A756" s="63" t="s">
        <v>3602</v>
      </c>
      <c r="B756" s="5">
        <v>43948.569444444445</v>
      </c>
      <c r="C756" s="64"/>
    </row>
    <row r="757" ht="15.75" customHeight="1">
      <c r="A757" s="63" t="s">
        <v>3604</v>
      </c>
      <c r="B757" s="5">
        <v>43948.527083333334</v>
      </c>
      <c r="C757" s="64"/>
    </row>
    <row r="758" ht="15.75" customHeight="1">
      <c r="A758" s="63" t="s">
        <v>3605</v>
      </c>
      <c r="B758" s="5">
        <v>43948.506944444445</v>
      </c>
      <c r="C758" s="64"/>
    </row>
    <row r="759" ht="15.75" customHeight="1">
      <c r="A759" s="63" t="s">
        <v>3634</v>
      </c>
      <c r="B759" s="5">
        <v>43948.38263888889</v>
      </c>
      <c r="C759" s="64"/>
    </row>
    <row r="760" ht="15.75" customHeight="1">
      <c r="A760" s="63" t="s">
        <v>3647</v>
      </c>
      <c r="B760" s="5">
        <v>43948.34930555556</v>
      </c>
      <c r="C760" s="64"/>
    </row>
    <row r="761" ht="15.75" customHeight="1">
      <c r="A761" s="63" t="s">
        <v>3656</v>
      </c>
      <c r="B761" s="5">
        <v>43948.135416666664</v>
      </c>
      <c r="C761" s="64"/>
    </row>
    <row r="762" ht="15.75" customHeight="1">
      <c r="A762" s="63" t="s">
        <v>3657</v>
      </c>
      <c r="B762" s="5">
        <v>43947.873611111114</v>
      </c>
      <c r="C762" s="64"/>
    </row>
    <row r="763" ht="15.75" customHeight="1">
      <c r="A763" s="63" t="s">
        <v>3660</v>
      </c>
      <c r="B763" s="5">
        <v>43947.8</v>
      </c>
      <c r="C763" s="64"/>
    </row>
    <row r="764" ht="15.75" customHeight="1">
      <c r="A764" s="63" t="s">
        <v>3661</v>
      </c>
      <c r="B764" s="5">
        <v>43947.78472222222</v>
      </c>
      <c r="C764" s="64"/>
    </row>
    <row r="765" ht="15.75" customHeight="1">
      <c r="A765" s="63" t="s">
        <v>655</v>
      </c>
      <c r="B765" s="5">
        <v>43947.76736111111</v>
      </c>
      <c r="C765" s="64"/>
    </row>
    <row r="766" ht="15.75" customHeight="1">
      <c r="A766" s="63" t="s">
        <v>3663</v>
      </c>
      <c r="B766" s="5">
        <v>43947.49513888889</v>
      </c>
      <c r="C766" s="64"/>
    </row>
    <row r="767" ht="15.75" customHeight="1">
      <c r="A767" s="63" t="s">
        <v>3664</v>
      </c>
      <c r="B767" s="5">
        <v>43947.354166666664</v>
      </c>
      <c r="C767" s="64"/>
    </row>
    <row r="768" ht="15.75" customHeight="1">
      <c r="A768" s="63" t="s">
        <v>1750</v>
      </c>
      <c r="B768" s="5">
        <v>43946.67291666667</v>
      </c>
      <c r="C768" s="64"/>
    </row>
    <row r="769" ht="15.75" customHeight="1">
      <c r="A769" s="63" t="s">
        <v>3670</v>
      </c>
      <c r="B769" s="5">
        <v>43946.66736111111</v>
      </c>
      <c r="C769" s="64"/>
    </row>
    <row r="770" ht="15.75" customHeight="1">
      <c r="A770" s="63" t="s">
        <v>3675</v>
      </c>
      <c r="B770" s="5">
        <v>43946.635416666664</v>
      </c>
      <c r="C770" s="64"/>
    </row>
    <row r="771" ht="15.75" customHeight="1">
      <c r="A771" s="63" t="s">
        <v>3321</v>
      </c>
      <c r="B771" s="5">
        <v>43946.510416666664</v>
      </c>
      <c r="C771" s="64"/>
    </row>
    <row r="772" ht="15.75" customHeight="1">
      <c r="A772" s="63" t="s">
        <v>3677</v>
      </c>
      <c r="B772" s="5">
        <v>43946.489583333336</v>
      </c>
      <c r="C772" s="64"/>
    </row>
    <row r="773" ht="15.75" customHeight="1">
      <c r="A773" s="63" t="s">
        <v>3678</v>
      </c>
      <c r="B773" s="5">
        <v>43946.48333333333</v>
      </c>
      <c r="C773" s="64"/>
    </row>
    <row r="774" ht="15.75" customHeight="1">
      <c r="A774" s="63" t="s">
        <v>3682</v>
      </c>
      <c r="B774" s="5">
        <v>43945.77361111111</v>
      </c>
      <c r="C774" s="64"/>
    </row>
    <row r="775" ht="15.75" customHeight="1">
      <c r="A775" s="63" t="s">
        <v>3694</v>
      </c>
      <c r="B775" s="5">
        <v>43945.722916666666</v>
      </c>
      <c r="C775" s="64"/>
    </row>
    <row r="776" ht="15.75" customHeight="1">
      <c r="A776" s="63" t="s">
        <v>3697</v>
      </c>
      <c r="B776" s="5">
        <v>43945.65694444445</v>
      </c>
      <c r="C776" s="64"/>
    </row>
    <row r="777" ht="15.75" customHeight="1">
      <c r="A777" s="63" t="s">
        <v>3698</v>
      </c>
      <c r="B777" s="5">
        <v>43945.63402777778</v>
      </c>
      <c r="C777" s="64"/>
    </row>
    <row r="778" ht="15.75" customHeight="1">
      <c r="A778" s="63" t="s">
        <v>2598</v>
      </c>
      <c r="B778" s="5">
        <v>43945.50902777778</v>
      </c>
      <c r="C778" s="64"/>
    </row>
    <row r="779" ht="15.75" customHeight="1">
      <c r="A779" s="63" t="s">
        <v>1462</v>
      </c>
      <c r="B779" s="5">
        <v>43945.39722222222</v>
      </c>
      <c r="C779" s="64"/>
    </row>
    <row r="780" ht="15.75" customHeight="1">
      <c r="A780" s="63" t="s">
        <v>412</v>
      </c>
      <c r="B780" s="5">
        <v>43945.396527777775</v>
      </c>
      <c r="C780" s="64"/>
    </row>
    <row r="781" ht="15.75" customHeight="1">
      <c r="A781" s="63" t="s">
        <v>3701</v>
      </c>
      <c r="B781" s="5">
        <v>43945.38888888889</v>
      </c>
      <c r="C781" s="64"/>
    </row>
    <row r="782" ht="15.75" customHeight="1">
      <c r="A782" s="63" t="s">
        <v>3703</v>
      </c>
      <c r="B782" s="5">
        <v>43945.342361111114</v>
      </c>
      <c r="C782" s="64"/>
    </row>
    <row r="783" ht="15.75" customHeight="1">
      <c r="A783" s="63" t="s">
        <v>1264</v>
      </c>
      <c r="B783" s="5">
        <v>43945.34097222222</v>
      </c>
      <c r="C783" s="64"/>
    </row>
    <row r="784" ht="15.75" customHeight="1">
      <c r="A784" s="63" t="s">
        <v>1839</v>
      </c>
      <c r="B784" s="5">
        <v>43945.34027777778</v>
      </c>
      <c r="C784" s="64"/>
    </row>
    <row r="785" ht="15.75" customHeight="1">
      <c r="A785" s="63" t="s">
        <v>3707</v>
      </c>
      <c r="B785" s="5">
        <v>43945.22361111111</v>
      </c>
      <c r="C785" s="64"/>
    </row>
    <row r="786" ht="15.75" customHeight="1">
      <c r="A786" s="63" t="s">
        <v>3708</v>
      </c>
      <c r="B786" s="5">
        <v>43945.00902777778</v>
      </c>
      <c r="C786" s="64"/>
    </row>
    <row r="787" ht="15.75" customHeight="1">
      <c r="A787" s="63" t="s">
        <v>3710</v>
      </c>
      <c r="B787" s="5">
        <v>43944.95625</v>
      </c>
      <c r="C787" s="64"/>
    </row>
    <row r="788" ht="15.75" customHeight="1">
      <c r="A788" s="63" t="s">
        <v>3621</v>
      </c>
      <c r="B788" s="5">
        <v>43944.93263888889</v>
      </c>
      <c r="C788" s="64"/>
    </row>
    <row r="789" ht="15.75" customHeight="1">
      <c r="A789" s="63" t="s">
        <v>3711</v>
      </c>
      <c r="B789" s="5">
        <v>43944.927777777775</v>
      </c>
      <c r="C789" s="64"/>
    </row>
    <row r="790" ht="15.75" customHeight="1">
      <c r="A790" s="63" t="s">
        <v>3713</v>
      </c>
      <c r="B790" s="5">
        <v>43944.88888888889</v>
      </c>
      <c r="C790" s="64"/>
    </row>
    <row r="791" ht="15.75" customHeight="1">
      <c r="A791" s="63" t="s">
        <v>2782</v>
      </c>
      <c r="B791" s="5">
        <v>43944.885416666664</v>
      </c>
      <c r="C791" s="64"/>
    </row>
    <row r="792" ht="15.75" customHeight="1">
      <c r="A792" s="63" t="s">
        <v>3617</v>
      </c>
      <c r="B792" s="5">
        <v>43944.88125</v>
      </c>
      <c r="C792" s="64"/>
    </row>
    <row r="793" ht="15.75" customHeight="1">
      <c r="A793" s="63" t="s">
        <v>3714</v>
      </c>
      <c r="B793" s="5">
        <v>43944.87847222222</v>
      </c>
      <c r="C793" s="64"/>
    </row>
    <row r="794" ht="15.75" customHeight="1">
      <c r="A794" s="63" t="s">
        <v>3715</v>
      </c>
      <c r="B794" s="5">
        <v>43944.85833333333</v>
      </c>
      <c r="C794" s="64"/>
    </row>
    <row r="795" ht="15.75" customHeight="1">
      <c r="A795" s="63" t="s">
        <v>512</v>
      </c>
      <c r="B795" s="5">
        <v>43944.83125</v>
      </c>
      <c r="C795" s="64"/>
    </row>
    <row r="796" ht="15.75" customHeight="1">
      <c r="A796" s="63" t="s">
        <v>3716</v>
      </c>
      <c r="B796" s="5">
        <v>43944.82847222222</v>
      </c>
      <c r="C796" s="64"/>
    </row>
    <row r="797" ht="15.75" customHeight="1">
      <c r="A797" s="63" t="s">
        <v>3638</v>
      </c>
      <c r="B797" s="5">
        <v>43944.79791666667</v>
      </c>
      <c r="C797" s="64"/>
    </row>
    <row r="798" ht="15.75" customHeight="1">
      <c r="A798" s="63" t="s">
        <v>3193</v>
      </c>
      <c r="B798" s="5">
        <v>43944.777083333334</v>
      </c>
      <c r="C798" s="64"/>
    </row>
    <row r="799" ht="15.75" customHeight="1">
      <c r="A799" s="63" t="s">
        <v>3721</v>
      </c>
      <c r="B799" s="5">
        <v>43944.77569444444</v>
      </c>
      <c r="C799" s="64"/>
    </row>
    <row r="800" ht="15.75" customHeight="1">
      <c r="A800" s="63" t="s">
        <v>3722</v>
      </c>
      <c r="B800" s="5">
        <v>43944.775</v>
      </c>
      <c r="C800" s="64"/>
    </row>
    <row r="801" ht="15.75" customHeight="1">
      <c r="A801" s="63" t="s">
        <v>3036</v>
      </c>
      <c r="B801" s="5">
        <v>43944.77361111111</v>
      </c>
      <c r="C801" s="64"/>
    </row>
    <row r="802" ht="15.75" customHeight="1">
      <c r="A802" s="63" t="s">
        <v>3723</v>
      </c>
      <c r="B802" s="5">
        <v>43944.77291666667</v>
      </c>
      <c r="C802" s="64"/>
    </row>
    <row r="803" ht="15.75" customHeight="1">
      <c r="A803" s="63" t="s">
        <v>3726</v>
      </c>
      <c r="B803" s="5">
        <v>43944.77222222222</v>
      </c>
      <c r="C803" s="64"/>
    </row>
    <row r="804" ht="15.75" customHeight="1">
      <c r="A804" s="63" t="s">
        <v>3727</v>
      </c>
      <c r="B804" s="5">
        <v>43944.77222222222</v>
      </c>
      <c r="C804" s="64"/>
    </row>
    <row r="805" ht="15.75" customHeight="1">
      <c r="A805" s="63" t="s">
        <v>3734</v>
      </c>
      <c r="B805" s="5">
        <v>43944.77222222222</v>
      </c>
      <c r="C805" s="64"/>
    </row>
    <row r="806" ht="15.75" customHeight="1">
      <c r="A806" s="63" t="s">
        <v>3732</v>
      </c>
      <c r="B806" s="5">
        <v>43944.77222222222</v>
      </c>
      <c r="C806" s="64"/>
    </row>
    <row r="807" ht="15.75" customHeight="1">
      <c r="A807" s="63" t="s">
        <v>3737</v>
      </c>
      <c r="B807" s="5">
        <v>43944.77222222222</v>
      </c>
      <c r="C807" s="64"/>
    </row>
    <row r="808" ht="15.75" customHeight="1">
      <c r="A808" s="63" t="s">
        <v>3239</v>
      </c>
      <c r="B808" s="5">
        <v>43944.77222222222</v>
      </c>
      <c r="C808" s="64"/>
    </row>
    <row r="809" ht="15.75" customHeight="1">
      <c r="A809" s="63" t="s">
        <v>2234</v>
      </c>
      <c r="B809" s="5">
        <v>43944.77222222222</v>
      </c>
      <c r="C809" s="64"/>
    </row>
    <row r="810" ht="15.75" customHeight="1">
      <c r="A810" s="63" t="s">
        <v>3729</v>
      </c>
      <c r="B810" s="5">
        <v>43944.77222222222</v>
      </c>
      <c r="C810" s="64"/>
    </row>
    <row r="811" ht="15.75" customHeight="1">
      <c r="A811" s="63" t="s">
        <v>3728</v>
      </c>
      <c r="B811" s="5">
        <v>43944.77222222222</v>
      </c>
      <c r="C811" s="64"/>
    </row>
    <row r="812" ht="15.75" customHeight="1">
      <c r="A812" s="63" t="s">
        <v>3736</v>
      </c>
      <c r="B812" s="5">
        <v>43944.77222222222</v>
      </c>
      <c r="C812" s="64"/>
    </row>
    <row r="813" ht="15.75" customHeight="1">
      <c r="A813" s="63" t="s">
        <v>3738</v>
      </c>
      <c r="B813" s="5">
        <v>43944.77222222222</v>
      </c>
      <c r="C813" s="64"/>
    </row>
    <row r="814" ht="15.75" customHeight="1">
      <c r="A814" s="63" t="s">
        <v>3740</v>
      </c>
      <c r="B814" s="5">
        <v>43944.77222222222</v>
      </c>
      <c r="C814" s="64"/>
    </row>
    <row r="815" ht="15.75" customHeight="1">
      <c r="A815" s="63" t="s">
        <v>3730</v>
      </c>
      <c r="B815" s="5">
        <v>43944.77222222222</v>
      </c>
      <c r="C815" s="64"/>
    </row>
    <row r="816" ht="15.75" customHeight="1">
      <c r="A816" s="63" t="s">
        <v>3725</v>
      </c>
      <c r="B816" s="5">
        <v>43944.77222222222</v>
      </c>
      <c r="C816" s="64"/>
    </row>
    <row r="817" ht="15.75" customHeight="1">
      <c r="A817" s="63" t="s">
        <v>3733</v>
      </c>
      <c r="B817" s="5">
        <v>43944.77222222222</v>
      </c>
      <c r="C817" s="64"/>
    </row>
    <row r="818" ht="15.75" customHeight="1">
      <c r="A818" s="63" t="s">
        <v>3750</v>
      </c>
      <c r="B818" s="5">
        <v>43944.771527777775</v>
      </c>
      <c r="C818" s="64"/>
    </row>
    <row r="819" ht="15.75" customHeight="1">
      <c r="A819" s="63" t="s">
        <v>3742</v>
      </c>
      <c r="B819" s="5">
        <v>43944.771527777775</v>
      </c>
      <c r="C819" s="64"/>
    </row>
    <row r="820" ht="15.75" customHeight="1">
      <c r="A820" s="63" t="s">
        <v>3599</v>
      </c>
      <c r="B820" s="5">
        <v>43944.771527777775</v>
      </c>
      <c r="C820" s="64"/>
    </row>
    <row r="821" ht="15.75" customHeight="1">
      <c r="A821" s="63" t="s">
        <v>2102</v>
      </c>
      <c r="B821" s="5">
        <v>43944.771527777775</v>
      </c>
      <c r="C821" s="64"/>
    </row>
    <row r="822" ht="15.75" customHeight="1">
      <c r="A822" s="63" t="s">
        <v>3747</v>
      </c>
      <c r="B822" s="5">
        <v>43944.771527777775</v>
      </c>
      <c r="C822" s="64"/>
    </row>
    <row r="823" ht="15.75" customHeight="1">
      <c r="A823" s="63" t="s">
        <v>3744</v>
      </c>
      <c r="B823" s="5">
        <v>43944.771527777775</v>
      </c>
      <c r="C823" s="64"/>
    </row>
    <row r="824" ht="15.75" customHeight="1">
      <c r="A824" s="63" t="s">
        <v>3724</v>
      </c>
      <c r="B824" s="5">
        <v>43944.771527777775</v>
      </c>
      <c r="C824" s="64"/>
    </row>
    <row r="825" ht="15.75" customHeight="1">
      <c r="A825" s="63" t="s">
        <v>3749</v>
      </c>
      <c r="B825" s="5">
        <v>43944.771527777775</v>
      </c>
      <c r="C825" s="64"/>
    </row>
    <row r="826" ht="15.75" customHeight="1">
      <c r="A826" s="63" t="s">
        <v>3748</v>
      </c>
      <c r="B826" s="5">
        <v>43944.771527777775</v>
      </c>
      <c r="C826" s="64"/>
    </row>
    <row r="827" ht="15.75" customHeight="1">
      <c r="A827" s="63" t="s">
        <v>3606</v>
      </c>
      <c r="B827" s="5">
        <v>43944.771527777775</v>
      </c>
      <c r="C827" s="64"/>
    </row>
    <row r="828" ht="15.75" customHeight="1">
      <c r="A828" s="63" t="s">
        <v>3743</v>
      </c>
      <c r="B828" s="5">
        <v>43944.771527777775</v>
      </c>
      <c r="C828" s="64"/>
    </row>
    <row r="829" ht="15.75" customHeight="1">
      <c r="A829" s="63" t="s">
        <v>3575</v>
      </c>
      <c r="B829" s="5">
        <v>43944.771527777775</v>
      </c>
      <c r="C829" s="64"/>
    </row>
    <row r="830" ht="15.75" customHeight="1">
      <c r="A830" s="63" t="s">
        <v>3735</v>
      </c>
      <c r="B830" s="5">
        <v>43944.771527777775</v>
      </c>
      <c r="C830" s="64"/>
    </row>
    <row r="831" ht="15.75" customHeight="1">
      <c r="A831" s="63" t="s">
        <v>3481</v>
      </c>
      <c r="B831" s="5">
        <v>43944.771527777775</v>
      </c>
      <c r="C831" s="64"/>
    </row>
    <row r="832" ht="15.75" customHeight="1">
      <c r="A832" s="63" t="s">
        <v>1691</v>
      </c>
      <c r="B832" s="5">
        <v>43944.771527777775</v>
      </c>
      <c r="C832" s="64"/>
    </row>
    <row r="833" ht="15.75" customHeight="1">
      <c r="A833" s="63" t="s">
        <v>3610</v>
      </c>
      <c r="B833" s="5">
        <v>43944.771527777775</v>
      </c>
      <c r="C833" s="64"/>
    </row>
    <row r="834" ht="15.75" customHeight="1">
      <c r="A834" s="63" t="s">
        <v>3746</v>
      </c>
      <c r="B834" s="5">
        <v>43944.76388888889</v>
      </c>
      <c r="C834" s="64"/>
    </row>
    <row r="835" ht="15.75" customHeight="1">
      <c r="A835" s="63" t="s">
        <v>3760</v>
      </c>
      <c r="B835" s="5">
        <v>43944.75555555556</v>
      </c>
      <c r="C835" s="64"/>
    </row>
    <row r="836" ht="15.75" customHeight="1">
      <c r="A836" s="63" t="s">
        <v>1850</v>
      </c>
      <c r="B836" s="5">
        <v>43944.74444444444</v>
      </c>
      <c r="C836" s="64"/>
    </row>
    <row r="837" ht="15.75" customHeight="1">
      <c r="A837" s="63" t="s">
        <v>3626</v>
      </c>
      <c r="B837" s="5">
        <v>43944.74444444444</v>
      </c>
      <c r="C837" s="64"/>
    </row>
    <row r="838" ht="15.75" customHeight="1">
      <c r="A838" s="63" t="s">
        <v>3762</v>
      </c>
      <c r="B838" s="5">
        <v>43944.73541666667</v>
      </c>
      <c r="C838" s="64"/>
    </row>
    <row r="839" ht="15.75" customHeight="1">
      <c r="A839" s="63" t="s">
        <v>3589</v>
      </c>
      <c r="B839" s="5">
        <v>43944.73333333333</v>
      </c>
      <c r="C839" s="64"/>
    </row>
    <row r="840" ht="15.75" customHeight="1">
      <c r="A840" s="63" t="s">
        <v>3767</v>
      </c>
      <c r="B840" s="5">
        <v>43944.73055555556</v>
      </c>
      <c r="C840" s="64"/>
    </row>
    <row r="841" ht="15.75" customHeight="1">
      <c r="A841" s="63" t="s">
        <v>3775</v>
      </c>
      <c r="B841" s="5">
        <v>43944.728472222225</v>
      </c>
      <c r="C841" s="64"/>
    </row>
    <row r="842" ht="15.75" customHeight="1">
      <c r="A842" s="63" t="s">
        <v>3349</v>
      </c>
      <c r="B842" s="5">
        <v>43944.728472222225</v>
      </c>
      <c r="C842" s="64"/>
    </row>
    <row r="843" ht="15.75" customHeight="1">
      <c r="A843" s="63" t="s">
        <v>3780</v>
      </c>
      <c r="B843" s="5">
        <v>43944.72777777778</v>
      </c>
      <c r="C843" s="64"/>
    </row>
    <row r="844" ht="15.75" customHeight="1">
      <c r="A844" s="63" t="s">
        <v>3779</v>
      </c>
      <c r="B844" s="5">
        <v>43944.72708333333</v>
      </c>
      <c r="C844" s="64"/>
    </row>
    <row r="845" ht="15.75" customHeight="1">
      <c r="A845" s="63" t="s">
        <v>3608</v>
      </c>
      <c r="B845" s="5">
        <v>43944.72708333333</v>
      </c>
      <c r="C845" s="64"/>
    </row>
    <row r="846" ht="15.75" customHeight="1">
      <c r="A846" s="63" t="s">
        <v>1621</v>
      </c>
      <c r="B846" s="5">
        <v>43944.72708333333</v>
      </c>
      <c r="C846" s="64"/>
    </row>
    <row r="847" ht="15.75" customHeight="1">
      <c r="A847" s="63" t="s">
        <v>3624</v>
      </c>
      <c r="B847" s="5">
        <v>43944.72708333333</v>
      </c>
      <c r="C847" s="64"/>
    </row>
    <row r="848" ht="15.75" customHeight="1">
      <c r="A848" s="63" t="s">
        <v>3778</v>
      </c>
      <c r="B848" s="5">
        <v>43944.72708333333</v>
      </c>
      <c r="C848" s="64"/>
    </row>
    <row r="849" ht="15.75" customHeight="1">
      <c r="A849" s="63" t="s">
        <v>3785</v>
      </c>
      <c r="B849" s="5">
        <v>43944.725694444445</v>
      </c>
      <c r="C849" s="64"/>
    </row>
    <row r="850" ht="15.75" customHeight="1">
      <c r="A850" s="63" t="s">
        <v>3578</v>
      </c>
      <c r="B850" s="5">
        <v>43944.725</v>
      </c>
      <c r="C850" s="64"/>
    </row>
    <row r="851" ht="15.75" customHeight="1">
      <c r="A851" s="63" t="s">
        <v>3786</v>
      </c>
      <c r="B851" s="5">
        <v>43944.725</v>
      </c>
      <c r="C851" s="64"/>
    </row>
    <row r="852" ht="15.75" customHeight="1">
      <c r="A852" s="63" t="s">
        <v>3764</v>
      </c>
      <c r="B852" s="5">
        <v>43944.72430555556</v>
      </c>
      <c r="C852" s="64"/>
    </row>
    <row r="853" ht="15.75" customHeight="1">
      <c r="A853" s="63" t="s">
        <v>3788</v>
      </c>
      <c r="B853" s="5">
        <v>43944.72430555556</v>
      </c>
      <c r="C853" s="64"/>
    </row>
    <row r="854" ht="15.75" customHeight="1">
      <c r="A854" s="63" t="s">
        <v>3776</v>
      </c>
      <c r="B854" s="5">
        <v>43944.72430555556</v>
      </c>
      <c r="C854" s="64"/>
    </row>
    <row r="855" ht="15.75" customHeight="1">
      <c r="A855" s="63" t="s">
        <v>3752</v>
      </c>
      <c r="B855" s="5">
        <v>43944.72430555556</v>
      </c>
      <c r="C855" s="64"/>
    </row>
    <row r="856" ht="15.75" customHeight="1">
      <c r="A856" s="63" t="s">
        <v>3649</v>
      </c>
      <c r="B856" s="5">
        <v>43944.72430555556</v>
      </c>
      <c r="C856" s="64"/>
    </row>
    <row r="857" ht="15.75" customHeight="1">
      <c r="A857" s="63" t="s">
        <v>3794</v>
      </c>
      <c r="B857" s="5">
        <v>43944.72361111111</v>
      </c>
      <c r="C857" s="64"/>
    </row>
    <row r="858" ht="15.75" customHeight="1">
      <c r="A858" s="63" t="s">
        <v>3790</v>
      </c>
      <c r="B858" s="5">
        <v>43944.72361111111</v>
      </c>
      <c r="C858" s="64"/>
    </row>
    <row r="859" ht="15.75" customHeight="1">
      <c r="A859" s="63" t="s">
        <v>3793</v>
      </c>
      <c r="B859" s="5">
        <v>43944.72361111111</v>
      </c>
      <c r="C859" s="64"/>
    </row>
    <row r="860" ht="15.75" customHeight="1">
      <c r="A860" s="63" t="s">
        <v>970</v>
      </c>
      <c r="B860" s="5">
        <v>43944.72361111111</v>
      </c>
      <c r="C860" s="64"/>
    </row>
    <row r="861" ht="15.75" customHeight="1">
      <c r="A861" s="63" t="s">
        <v>3796</v>
      </c>
      <c r="B861" s="5">
        <v>43944.72361111111</v>
      </c>
      <c r="C861" s="64"/>
    </row>
    <row r="862" ht="15.75" customHeight="1">
      <c r="A862" s="63" t="s">
        <v>2445</v>
      </c>
      <c r="B862" s="5">
        <v>43944.72361111111</v>
      </c>
      <c r="C862" s="64"/>
    </row>
    <row r="863" ht="15.75" customHeight="1">
      <c r="A863" s="63" t="s">
        <v>3792</v>
      </c>
      <c r="B863" s="5">
        <v>43944.72361111111</v>
      </c>
      <c r="C863" s="64"/>
    </row>
    <row r="864" ht="15.75" customHeight="1">
      <c r="A864" s="63" t="s">
        <v>3797</v>
      </c>
      <c r="B864" s="5">
        <v>43944.722916666666</v>
      </c>
      <c r="C864" s="64"/>
    </row>
    <row r="865" ht="15.75" customHeight="1">
      <c r="A865" s="63" t="s">
        <v>3795</v>
      </c>
      <c r="B865" s="5">
        <v>43944.72222222222</v>
      </c>
      <c r="C865" s="64"/>
    </row>
    <row r="866" ht="15.75" customHeight="1">
      <c r="A866" s="63" t="s">
        <v>3803</v>
      </c>
      <c r="B866" s="5">
        <v>43944.714583333334</v>
      </c>
      <c r="C866" s="64"/>
    </row>
    <row r="867" ht="15.75" customHeight="1">
      <c r="A867" s="63" t="s">
        <v>3770</v>
      </c>
      <c r="B867" s="5">
        <v>43944.71388888889</v>
      </c>
      <c r="C867" s="64"/>
    </row>
    <row r="868" ht="15.75" customHeight="1">
      <c r="A868" s="63" t="s">
        <v>2439</v>
      </c>
      <c r="B868" s="5">
        <v>43944.71319444444</v>
      </c>
      <c r="C868" s="64"/>
    </row>
    <row r="869" ht="15.75" customHeight="1">
      <c r="A869" s="63" t="s">
        <v>3631</v>
      </c>
      <c r="B869" s="5">
        <v>43944.71319444444</v>
      </c>
      <c r="C869" s="64"/>
    </row>
    <row r="870" ht="15.75" customHeight="1">
      <c r="A870" s="63" t="s">
        <v>3595</v>
      </c>
      <c r="B870" s="5">
        <v>43944.7125</v>
      </c>
      <c r="C870" s="64"/>
    </row>
    <row r="871" ht="15.75" customHeight="1">
      <c r="A871" s="63" t="s">
        <v>3805</v>
      </c>
      <c r="B871" s="5">
        <v>43944.7125</v>
      </c>
      <c r="C871" s="64"/>
    </row>
    <row r="872" ht="15.75" customHeight="1">
      <c r="A872" s="63" t="s">
        <v>3783</v>
      </c>
      <c r="B872" s="5">
        <v>43944.7125</v>
      </c>
      <c r="C872" s="64"/>
    </row>
    <row r="873" ht="15.75" customHeight="1">
      <c r="A873" s="63" t="s">
        <v>1987</v>
      </c>
      <c r="B873" s="5">
        <v>43944.7125</v>
      </c>
      <c r="C873" s="64"/>
    </row>
    <row r="874" ht="15.75" customHeight="1">
      <c r="A874" s="63" t="s">
        <v>3804</v>
      </c>
      <c r="B874" s="5">
        <v>43944.7125</v>
      </c>
      <c r="C874" s="64"/>
    </row>
    <row r="875" ht="15.75" customHeight="1">
      <c r="A875" s="63" t="s">
        <v>3808</v>
      </c>
      <c r="B875" s="5">
        <v>43944.7125</v>
      </c>
      <c r="C875" s="64"/>
    </row>
    <row r="876" ht="15.75" customHeight="1">
      <c r="A876" s="63" t="s">
        <v>3642</v>
      </c>
      <c r="B876" s="5">
        <v>43944.7125</v>
      </c>
      <c r="C876" s="64"/>
    </row>
    <row r="877" ht="15.75" customHeight="1">
      <c r="A877" s="63" t="s">
        <v>3645</v>
      </c>
      <c r="B877" s="5">
        <v>43944.7125</v>
      </c>
      <c r="C877" s="64"/>
    </row>
    <row r="878" ht="15.75" customHeight="1">
      <c r="A878" s="63" t="s">
        <v>3640</v>
      </c>
      <c r="B878" s="5">
        <v>43944.7125</v>
      </c>
      <c r="C878" s="64"/>
    </row>
    <row r="879" ht="15.75" customHeight="1">
      <c r="A879" s="63" t="s">
        <v>3820</v>
      </c>
      <c r="B879" s="5">
        <v>43944.711805555555</v>
      </c>
      <c r="C879" s="64"/>
    </row>
    <row r="880" ht="15.75" customHeight="1">
      <c r="A880" s="63" t="s">
        <v>3809</v>
      </c>
      <c r="B880" s="5">
        <v>43944.711805555555</v>
      </c>
      <c r="C880" s="64"/>
    </row>
    <row r="881" ht="15.75" customHeight="1">
      <c r="A881" s="63" t="s">
        <v>3814</v>
      </c>
      <c r="B881" s="5">
        <v>43944.711805555555</v>
      </c>
      <c r="C881" s="64"/>
    </row>
    <row r="882" ht="15.75" customHeight="1">
      <c r="A882" s="63" t="s">
        <v>3807</v>
      </c>
      <c r="B882" s="5">
        <v>43944.711805555555</v>
      </c>
      <c r="C882" s="64"/>
    </row>
    <row r="883" ht="15.75" customHeight="1">
      <c r="A883" s="63" t="s">
        <v>3806</v>
      </c>
      <c r="B883" s="5">
        <v>43944.711805555555</v>
      </c>
      <c r="C883" s="64"/>
    </row>
    <row r="884" ht="15.75" customHeight="1">
      <c r="A884" s="63" t="s">
        <v>3593</v>
      </c>
      <c r="B884" s="5">
        <v>43944.711805555555</v>
      </c>
      <c r="C884" s="64"/>
    </row>
    <row r="885" ht="15.75" customHeight="1">
      <c r="A885" s="63" t="s">
        <v>3811</v>
      </c>
      <c r="B885" s="5">
        <v>43944.711805555555</v>
      </c>
      <c r="C885" s="64"/>
    </row>
    <row r="886" ht="15.75" customHeight="1">
      <c r="A886" s="63" t="s">
        <v>3613</v>
      </c>
      <c r="B886" s="5">
        <v>43944.711805555555</v>
      </c>
      <c r="C886" s="64"/>
    </row>
    <row r="887" ht="15.75" customHeight="1">
      <c r="A887" s="63" t="s">
        <v>3769</v>
      </c>
      <c r="B887" s="5">
        <v>43944.709027777775</v>
      </c>
      <c r="C887" s="64"/>
    </row>
    <row r="888" ht="15.75" customHeight="1">
      <c r="A888" s="63" t="s">
        <v>3821</v>
      </c>
      <c r="B888" s="5">
        <v>43944.709027777775</v>
      </c>
      <c r="C888" s="64"/>
    </row>
    <row r="889" ht="15.75" customHeight="1">
      <c r="A889" s="63" t="s">
        <v>3825</v>
      </c>
      <c r="B889" s="5">
        <v>43944.708333333336</v>
      </c>
      <c r="C889" s="64"/>
    </row>
    <row r="890" ht="15.75" customHeight="1">
      <c r="A890" s="63" t="s">
        <v>3819</v>
      </c>
      <c r="B890" s="5">
        <v>43944.708333333336</v>
      </c>
      <c r="C890" s="64"/>
    </row>
    <row r="891" ht="15.75" customHeight="1">
      <c r="A891" s="63" t="s">
        <v>3784</v>
      </c>
      <c r="B891" s="5">
        <v>43944.708333333336</v>
      </c>
      <c r="C891" s="64"/>
    </row>
    <row r="892" ht="15.75" customHeight="1">
      <c r="A892" s="63" t="s">
        <v>3782</v>
      </c>
      <c r="B892" s="5">
        <v>43944.708333333336</v>
      </c>
      <c r="C892" s="64"/>
    </row>
    <row r="893" ht="15.75" customHeight="1">
      <c r="A893" s="63" t="s">
        <v>3812</v>
      </c>
      <c r="B893" s="5">
        <v>43944.708333333336</v>
      </c>
      <c r="C893" s="64"/>
    </row>
    <row r="894" ht="15.75" customHeight="1">
      <c r="A894" s="63" t="s">
        <v>3751</v>
      </c>
      <c r="B894" s="5">
        <v>43944.70763888889</v>
      </c>
      <c r="C894" s="64"/>
    </row>
    <row r="895" ht="15.75" customHeight="1">
      <c r="A895" s="63" t="s">
        <v>3826</v>
      </c>
      <c r="B895" s="5">
        <v>43944.70763888889</v>
      </c>
      <c r="C895" s="64"/>
    </row>
    <row r="896" ht="15.75" customHeight="1">
      <c r="A896" s="63" t="s">
        <v>3829</v>
      </c>
      <c r="B896" s="5">
        <v>43944.70694444444</v>
      </c>
      <c r="C896" s="64"/>
    </row>
    <row r="897" ht="15.75" customHeight="1">
      <c r="A897" s="63" t="s">
        <v>3830</v>
      </c>
      <c r="B897" s="5">
        <v>43944.70416666667</v>
      </c>
      <c r="C897" s="64"/>
    </row>
    <row r="898" ht="15.75" customHeight="1">
      <c r="A898" s="63" t="s">
        <v>2007</v>
      </c>
      <c r="B898" s="5">
        <v>43944.70208333333</v>
      </c>
      <c r="C898" s="64"/>
    </row>
    <row r="899" ht="15.75" customHeight="1">
      <c r="A899" s="63" t="s">
        <v>3195</v>
      </c>
      <c r="B899" s="5">
        <v>43944.69861111111</v>
      </c>
      <c r="C899" s="64"/>
    </row>
    <row r="900" ht="15.75" customHeight="1">
      <c r="A900" s="63" t="s">
        <v>3833</v>
      </c>
      <c r="B900" s="5">
        <v>43944.697916666664</v>
      </c>
      <c r="C900" s="64"/>
    </row>
    <row r="901" ht="15.75" customHeight="1">
      <c r="A901" s="63" t="s">
        <v>3753</v>
      </c>
      <c r="B901" s="5">
        <v>43944.697916666664</v>
      </c>
      <c r="C901" s="64"/>
    </row>
    <row r="902" ht="15.75" customHeight="1">
      <c r="A902" s="63" t="s">
        <v>3831</v>
      </c>
      <c r="B902" s="5">
        <v>43944.697916666664</v>
      </c>
      <c r="C902" s="64"/>
    </row>
    <row r="903" ht="15.75" customHeight="1">
      <c r="A903" s="63" t="s">
        <v>3530</v>
      </c>
      <c r="B903" s="5">
        <v>43944.697916666664</v>
      </c>
      <c r="C903" s="64"/>
    </row>
    <row r="904" ht="15.75" customHeight="1">
      <c r="A904" s="63" t="s">
        <v>3832</v>
      </c>
      <c r="B904" s="5">
        <v>43944.697916666664</v>
      </c>
      <c r="C904" s="64"/>
    </row>
    <row r="905" ht="15.75" customHeight="1">
      <c r="A905" s="63" t="s">
        <v>2906</v>
      </c>
      <c r="B905" s="5">
        <v>43944.697916666664</v>
      </c>
      <c r="C905" s="64"/>
    </row>
    <row r="906" ht="15.75" customHeight="1">
      <c r="A906" s="63" t="s">
        <v>732</v>
      </c>
      <c r="B906" s="5">
        <v>43944.697916666664</v>
      </c>
      <c r="C906" s="64"/>
    </row>
    <row r="907" ht="15.75" customHeight="1">
      <c r="A907" s="63" t="s">
        <v>3798</v>
      </c>
      <c r="B907" s="5">
        <v>43944.697916666664</v>
      </c>
      <c r="C907" s="64"/>
    </row>
    <row r="908" ht="15.75" customHeight="1">
      <c r="A908" s="63" t="s">
        <v>3818</v>
      </c>
      <c r="B908" s="5">
        <v>43944.697916666664</v>
      </c>
      <c r="C908" s="64"/>
    </row>
    <row r="909" ht="15.75" customHeight="1">
      <c r="A909" s="63" t="s">
        <v>3837</v>
      </c>
      <c r="B909" s="5">
        <v>43944.697222222225</v>
      </c>
      <c r="C909" s="64"/>
    </row>
    <row r="910" ht="15.75" customHeight="1">
      <c r="A910" s="63" t="s">
        <v>3774</v>
      </c>
      <c r="B910" s="5">
        <v>43944.697222222225</v>
      </c>
      <c r="C910" s="64"/>
    </row>
    <row r="911" ht="15.75" customHeight="1">
      <c r="A911" s="63" t="s">
        <v>3754</v>
      </c>
      <c r="B911" s="5">
        <v>43944.697222222225</v>
      </c>
      <c r="C911" s="64"/>
    </row>
    <row r="912" ht="15.75" customHeight="1">
      <c r="A912" s="63" t="s">
        <v>3839</v>
      </c>
      <c r="B912" s="5">
        <v>43944.69652777778</v>
      </c>
      <c r="C912" s="64"/>
    </row>
    <row r="913" ht="15.75" customHeight="1">
      <c r="A913" s="63" t="s">
        <v>3840</v>
      </c>
      <c r="B913" s="5">
        <v>43944.657638888886</v>
      </c>
      <c r="C913" s="64"/>
    </row>
    <row r="914" ht="15.75" customHeight="1">
      <c r="A914" s="63" t="s">
        <v>3842</v>
      </c>
      <c r="B914" s="5">
        <v>43944.62430555555</v>
      </c>
      <c r="C914" s="64"/>
    </row>
    <row r="915" ht="15.75" customHeight="1">
      <c r="A915" s="63" t="s">
        <v>2501</v>
      </c>
      <c r="B915" s="5">
        <v>43944.572222222225</v>
      </c>
      <c r="C915" s="64"/>
    </row>
    <row r="916" ht="15.75" customHeight="1">
      <c r="A916" s="63" t="s">
        <v>94</v>
      </c>
      <c r="B916" s="5">
        <v>43944.365277777775</v>
      </c>
      <c r="C916" s="64"/>
    </row>
    <row r="917" ht="15.75" customHeight="1">
      <c r="A917" s="63" t="s">
        <v>3845</v>
      </c>
      <c r="B917" s="5">
        <v>43944.34930555556</v>
      </c>
      <c r="C917" s="64"/>
    </row>
    <row r="918" ht="15.75" customHeight="1">
      <c r="A918" s="63" t="s">
        <v>3847</v>
      </c>
      <c r="B918" s="5">
        <v>43944.23611111111</v>
      </c>
      <c r="C918" s="64"/>
    </row>
    <row r="919" ht="15.75" customHeight="1">
      <c r="A919" s="63" t="s">
        <v>3848</v>
      </c>
      <c r="B919" s="5">
        <v>43943.80972222222</v>
      </c>
      <c r="C919" s="64"/>
    </row>
    <row r="920" ht="15.75" customHeight="1">
      <c r="A920" s="63" t="s">
        <v>1508</v>
      </c>
      <c r="B920" s="5">
        <v>43943.7</v>
      </c>
      <c r="C920" s="64"/>
    </row>
    <row r="921" ht="15.75" customHeight="1">
      <c r="A921" s="63" t="s">
        <v>3850</v>
      </c>
      <c r="B921" s="5">
        <v>43943.53680555556</v>
      </c>
      <c r="C921" s="64"/>
    </row>
    <row r="922" ht="15.75" customHeight="1">
      <c r="A922" s="63" t="s">
        <v>2889</v>
      </c>
      <c r="B922" s="5">
        <v>43943.40416666667</v>
      </c>
      <c r="C922" s="64"/>
    </row>
    <row r="923" ht="15.75" customHeight="1">
      <c r="A923" s="63" t="s">
        <v>3854</v>
      </c>
      <c r="B923" s="5">
        <v>43943.025</v>
      </c>
      <c r="C923" s="64"/>
    </row>
    <row r="924" ht="15.75" customHeight="1">
      <c r="A924" s="63" t="s">
        <v>3855</v>
      </c>
      <c r="B924" s="5">
        <v>43942.97361111111</v>
      </c>
      <c r="C924" s="64"/>
    </row>
    <row r="925" ht="15.75" customHeight="1">
      <c r="A925" s="63" t="s">
        <v>270</v>
      </c>
      <c r="B925" s="5">
        <v>43942.96875</v>
      </c>
      <c r="C925" s="64"/>
    </row>
    <row r="926" ht="15.75" customHeight="1">
      <c r="A926" s="63" t="s">
        <v>3766</v>
      </c>
      <c r="B926" s="5">
        <v>43942.868055555555</v>
      </c>
      <c r="C926" s="64"/>
    </row>
    <row r="927" ht="15.75" customHeight="1">
      <c r="A927" s="63" t="s">
        <v>3859</v>
      </c>
      <c r="B927" s="5">
        <v>43942.75625</v>
      </c>
      <c r="C927" s="64"/>
    </row>
    <row r="928" ht="15.75" customHeight="1">
      <c r="A928" s="63" t="s">
        <v>3862</v>
      </c>
      <c r="B928" s="5">
        <v>43942.75486111111</v>
      </c>
      <c r="C928" s="64"/>
    </row>
    <row r="929" ht="15.75" customHeight="1">
      <c r="A929" s="63" t="s">
        <v>3863</v>
      </c>
      <c r="B929" s="5">
        <v>43942.69583333333</v>
      </c>
      <c r="C929" s="64"/>
    </row>
    <row r="930" ht="15.75" customHeight="1">
      <c r="A930" s="63" t="s">
        <v>336</v>
      </c>
      <c r="B930" s="5">
        <v>43942.42569444444</v>
      </c>
      <c r="C930" s="64"/>
    </row>
    <row r="931" ht="15.75" customHeight="1">
      <c r="A931" s="63" t="s">
        <v>3705</v>
      </c>
      <c r="B931" s="5">
        <v>43942.35486111111</v>
      </c>
      <c r="C931" s="64"/>
    </row>
    <row r="932" ht="15.75" customHeight="1">
      <c r="A932" s="63" t="s">
        <v>818</v>
      </c>
      <c r="B932" s="5">
        <v>43942.27222222222</v>
      </c>
      <c r="C932" s="64"/>
    </row>
    <row r="933" ht="15.75" customHeight="1">
      <c r="A933" s="63" t="s">
        <v>3865</v>
      </c>
      <c r="B933" s="5">
        <v>43942.14166666667</v>
      </c>
      <c r="C933" s="64"/>
    </row>
    <row r="934" ht="15.75" customHeight="1">
      <c r="A934" s="63" t="s">
        <v>3867</v>
      </c>
      <c r="B934" s="5">
        <v>43941.91875</v>
      </c>
      <c r="C934" s="64"/>
    </row>
    <row r="935" ht="15.75" customHeight="1">
      <c r="A935" s="63" t="s">
        <v>3870</v>
      </c>
      <c r="B935" s="5">
        <v>43941.82083333333</v>
      </c>
      <c r="C935" s="64"/>
    </row>
    <row r="936" ht="15.75" customHeight="1">
      <c r="A936" s="63" t="s">
        <v>2685</v>
      </c>
      <c r="B936" s="5">
        <v>43941.75347222222</v>
      </c>
      <c r="C936" s="64"/>
    </row>
    <row r="937" ht="15.75" customHeight="1">
      <c r="A937" s="63" t="s">
        <v>927</v>
      </c>
      <c r="B937" s="5">
        <v>43941.73402777778</v>
      </c>
      <c r="C937" s="64"/>
    </row>
    <row r="938" ht="15.75" customHeight="1">
      <c r="A938" s="63" t="s">
        <v>3876</v>
      </c>
      <c r="B938" s="5">
        <v>43941.552777777775</v>
      </c>
      <c r="C938" s="64"/>
    </row>
    <row r="939" ht="15.75" customHeight="1">
      <c r="A939" s="63" t="s">
        <v>3877</v>
      </c>
      <c r="B939" s="5">
        <v>43941.46388888889</v>
      </c>
      <c r="C939" s="64"/>
    </row>
    <row r="940" ht="15.75" customHeight="1">
      <c r="A940" s="63" t="s">
        <v>3881</v>
      </c>
      <c r="B940" s="5">
        <v>43941.06458333333</v>
      </c>
      <c r="C940" s="64"/>
    </row>
    <row r="941" ht="15.75" customHeight="1">
      <c r="A941" s="63" t="s">
        <v>3889</v>
      </c>
      <c r="B941" s="5">
        <v>43940.62777777778</v>
      </c>
      <c r="C941" s="64"/>
    </row>
    <row r="942" ht="15.75" customHeight="1">
      <c r="A942" s="63" t="s">
        <v>3890</v>
      </c>
      <c r="B942" s="5">
        <v>43940.49722222222</v>
      </c>
      <c r="C942" s="64"/>
    </row>
    <row r="943" ht="15.75" customHeight="1">
      <c r="A943" s="63" t="s">
        <v>3891</v>
      </c>
      <c r="B943" s="5">
        <v>43940.39166666667</v>
      </c>
      <c r="C943" s="64"/>
    </row>
    <row r="944" ht="15.75" customHeight="1">
      <c r="A944" s="63" t="s">
        <v>3893</v>
      </c>
      <c r="B944" s="5">
        <v>43940.376388888886</v>
      </c>
      <c r="C944" s="64"/>
    </row>
    <row r="945" ht="15.75" customHeight="1">
      <c r="A945" s="63" t="s">
        <v>3895</v>
      </c>
      <c r="B945" s="5">
        <v>43939.83541666667</v>
      </c>
      <c r="C945" s="64"/>
    </row>
    <row r="946" ht="15.75" customHeight="1">
      <c r="A946" s="63" t="s">
        <v>3896</v>
      </c>
      <c r="B946" s="5">
        <v>43939.66111111111</v>
      </c>
      <c r="C946" s="64"/>
    </row>
    <row r="947" ht="15.75" customHeight="1">
      <c r="A947" s="63" t="s">
        <v>3897</v>
      </c>
      <c r="B947" s="5">
        <v>43939.277083333334</v>
      </c>
      <c r="C947" s="64"/>
    </row>
    <row r="948" ht="15.75" customHeight="1">
      <c r="A948" s="63" t="s">
        <v>3898</v>
      </c>
      <c r="B948" s="5">
        <v>43939.032638888886</v>
      </c>
      <c r="C948" s="64"/>
    </row>
    <row r="949" ht="15.75" customHeight="1">
      <c r="A949" s="63" t="s">
        <v>5465</v>
      </c>
      <c r="B949" s="5">
        <v>43938.896527777775</v>
      </c>
      <c r="C949" s="64"/>
    </row>
    <row r="950" ht="15.75" customHeight="1">
      <c r="A950" s="63" t="s">
        <v>3901</v>
      </c>
      <c r="B950" s="5">
        <v>43938.842361111114</v>
      </c>
      <c r="C950" s="64"/>
    </row>
    <row r="951" ht="15.75" customHeight="1">
      <c r="A951" s="63" t="s">
        <v>3902</v>
      </c>
      <c r="B951" s="5">
        <v>43938.67916666667</v>
      </c>
      <c r="C951" s="64"/>
    </row>
    <row r="952" ht="15.75" customHeight="1">
      <c r="A952" s="63" t="s">
        <v>3908</v>
      </c>
      <c r="B952" s="5">
        <v>43938.365277777775</v>
      </c>
      <c r="C952" s="64"/>
    </row>
    <row r="953" ht="15.75" customHeight="1">
      <c r="A953" s="63" t="s">
        <v>3904</v>
      </c>
      <c r="B953" s="5">
        <v>43938.339583333334</v>
      </c>
      <c r="C953" s="64"/>
    </row>
    <row r="954" ht="15.75" customHeight="1">
      <c r="A954" s="63" t="s">
        <v>3910</v>
      </c>
      <c r="B954" s="5">
        <v>43937.868055555555</v>
      </c>
      <c r="C954" s="64"/>
    </row>
    <row r="955" ht="15.75" customHeight="1">
      <c r="A955" s="63" t="s">
        <v>3912</v>
      </c>
      <c r="B955" s="5">
        <v>43937.73888888889</v>
      </c>
      <c r="C955" s="64"/>
    </row>
    <row r="956" ht="15.75" customHeight="1">
      <c r="A956" s="63" t="s">
        <v>3914</v>
      </c>
      <c r="B956" s="5">
        <v>43937.70972222222</v>
      </c>
      <c r="C956" s="64"/>
    </row>
    <row r="957" ht="15.75" customHeight="1">
      <c r="A957" s="63" t="s">
        <v>3917</v>
      </c>
      <c r="B957" s="5">
        <v>43937.525</v>
      </c>
      <c r="C957" s="64"/>
    </row>
    <row r="958" ht="15.75" customHeight="1">
      <c r="A958" s="63" t="s">
        <v>3918</v>
      </c>
      <c r="B958" s="5">
        <v>43937.48402777778</v>
      </c>
      <c r="C958" s="64"/>
    </row>
    <row r="959" ht="15.75" customHeight="1">
      <c r="A959" s="63" t="s">
        <v>3920</v>
      </c>
      <c r="B959" s="5">
        <v>43937.481944444444</v>
      </c>
      <c r="C959" s="64"/>
    </row>
    <row r="960" ht="15.75" customHeight="1">
      <c r="A960" s="63" t="s">
        <v>725</v>
      </c>
      <c r="B960" s="5">
        <v>43937.461805555555</v>
      </c>
      <c r="C960" s="64"/>
    </row>
    <row r="961" ht="15.75" customHeight="1">
      <c r="A961" s="63" t="s">
        <v>3923</v>
      </c>
      <c r="B961" s="5">
        <v>43937.376388888886</v>
      </c>
      <c r="C961" s="64"/>
    </row>
    <row r="962" ht="15.75" customHeight="1">
      <c r="A962" s="63" t="s">
        <v>3926</v>
      </c>
      <c r="B962" s="5">
        <v>43936.708333333336</v>
      </c>
      <c r="C962" s="64"/>
    </row>
    <row r="963" ht="15.75" customHeight="1">
      <c r="A963" s="63" t="s">
        <v>2635</v>
      </c>
      <c r="B963" s="5">
        <v>43936.54305555556</v>
      </c>
      <c r="C963" s="64"/>
    </row>
    <row r="964" ht="15.75" customHeight="1">
      <c r="A964" s="63" t="s">
        <v>5466</v>
      </c>
      <c r="B964" s="5">
        <v>43936.44513888889</v>
      </c>
      <c r="C964" s="64"/>
    </row>
    <row r="965" ht="15.75" customHeight="1">
      <c r="A965" s="63" t="s">
        <v>3929</v>
      </c>
      <c r="B965" s="5">
        <v>43936.427083333336</v>
      </c>
      <c r="C965" s="64"/>
    </row>
    <row r="966" ht="15.75" customHeight="1">
      <c r="A966" s="63" t="s">
        <v>3931</v>
      </c>
      <c r="B966" s="5">
        <v>43936.37430555555</v>
      </c>
      <c r="C966" s="64"/>
    </row>
    <row r="967" ht="15.75" customHeight="1">
      <c r="A967" s="63" t="s">
        <v>3932</v>
      </c>
      <c r="B967" s="5">
        <v>43935.975694444445</v>
      </c>
      <c r="C967" s="64"/>
    </row>
    <row r="968" ht="15.75" customHeight="1">
      <c r="A968" s="63" t="s">
        <v>3934</v>
      </c>
      <c r="B968" s="5">
        <v>43935.78055555555</v>
      </c>
      <c r="C968" s="64"/>
    </row>
    <row r="969" ht="15.75" customHeight="1">
      <c r="A969" s="63" t="s">
        <v>3937</v>
      </c>
      <c r="B969" s="5">
        <v>43935.74444444444</v>
      </c>
      <c r="C969" s="64"/>
    </row>
    <row r="970" ht="15.75" customHeight="1">
      <c r="A970" s="63" t="s">
        <v>3938</v>
      </c>
      <c r="B970" s="5">
        <v>43935.32013888889</v>
      </c>
      <c r="C970" s="64"/>
    </row>
    <row r="971" ht="15.75" customHeight="1">
      <c r="A971" s="63" t="s">
        <v>3939</v>
      </c>
      <c r="B971" s="5">
        <v>43934.94236111111</v>
      </c>
      <c r="C971" s="64"/>
    </row>
    <row r="972" ht="15.75" customHeight="1">
      <c r="A972" s="63" t="s">
        <v>3941</v>
      </c>
      <c r="B972" s="5">
        <v>43934.794444444444</v>
      </c>
      <c r="C972" s="64"/>
    </row>
    <row r="973" ht="15.75" customHeight="1">
      <c r="A973" s="63" t="s">
        <v>3849</v>
      </c>
      <c r="B973" s="5">
        <v>43934.410416666666</v>
      </c>
      <c r="C973" s="64"/>
    </row>
    <row r="974" ht="15.75" customHeight="1">
      <c r="A974" s="63" t="s">
        <v>3555</v>
      </c>
      <c r="B974" s="5">
        <v>43934.18472222222</v>
      </c>
      <c r="C974" s="64"/>
    </row>
    <row r="975" ht="15.75" customHeight="1">
      <c r="A975" s="63" t="s">
        <v>3948</v>
      </c>
      <c r="B975" s="5">
        <v>43934.07361111111</v>
      </c>
      <c r="C975" s="64"/>
    </row>
    <row r="976" ht="15.75" customHeight="1">
      <c r="A976" s="63" t="s">
        <v>1436</v>
      </c>
      <c r="B976" s="5">
        <v>43933.86597222222</v>
      </c>
      <c r="C976" s="64"/>
    </row>
    <row r="977" ht="15.75" customHeight="1">
      <c r="A977" s="63" t="s">
        <v>3949</v>
      </c>
      <c r="B977" s="5">
        <v>43933.652083333334</v>
      </c>
      <c r="C977" s="64"/>
    </row>
    <row r="978" ht="15.75" customHeight="1">
      <c r="A978" s="63" t="s">
        <v>3954</v>
      </c>
      <c r="B978" s="5">
        <v>43933.49791666667</v>
      </c>
      <c r="C978" s="64"/>
    </row>
    <row r="979" ht="15.75" customHeight="1">
      <c r="A979" s="63" t="s">
        <v>5467</v>
      </c>
      <c r="B979" s="5">
        <v>43933.45972222222</v>
      </c>
      <c r="C979" s="64"/>
    </row>
    <row r="980" ht="15.75" customHeight="1">
      <c r="A980" s="63" t="s">
        <v>3956</v>
      </c>
      <c r="B980" s="5">
        <v>43933.28472222222</v>
      </c>
      <c r="C980" s="64"/>
    </row>
    <row r="981" ht="15.75" customHeight="1">
      <c r="A981" s="63" t="s">
        <v>3957</v>
      </c>
      <c r="B981" s="5">
        <v>43933.0875</v>
      </c>
      <c r="C981" s="64"/>
    </row>
    <row r="982" ht="15.75" customHeight="1">
      <c r="A982" s="63" t="s">
        <v>3959</v>
      </c>
      <c r="B982" s="5">
        <v>43932.884722222225</v>
      </c>
      <c r="C982" s="64"/>
    </row>
    <row r="983" ht="15.75" customHeight="1">
      <c r="A983" s="63" t="s">
        <v>2088</v>
      </c>
      <c r="B983" s="5">
        <v>43932.82152777778</v>
      </c>
      <c r="C983" s="64"/>
    </row>
    <row r="984" ht="15.75" customHeight="1">
      <c r="A984" s="63" t="s">
        <v>3960</v>
      </c>
      <c r="B984" s="5">
        <v>43932.62777777778</v>
      </c>
      <c r="C984" s="64"/>
    </row>
    <row r="985" ht="15.75" customHeight="1">
      <c r="A985" s="63" t="s">
        <v>3961</v>
      </c>
      <c r="B985" s="5">
        <v>43932.5625</v>
      </c>
      <c r="C985" s="64"/>
    </row>
    <row r="986" ht="15.75" customHeight="1">
      <c r="A986" s="63" t="s">
        <v>3962</v>
      </c>
      <c r="B986" s="5">
        <v>43932.50277777778</v>
      </c>
      <c r="C986" s="64"/>
    </row>
    <row r="987" ht="15.75" customHeight="1">
      <c r="A987" s="63" t="s">
        <v>3963</v>
      </c>
      <c r="B987" s="5">
        <v>43932.09722222222</v>
      </c>
      <c r="C987" s="64"/>
    </row>
    <row r="988" ht="15.75" customHeight="1">
      <c r="A988" s="63" t="s">
        <v>3964</v>
      </c>
      <c r="B988" s="5">
        <v>43932.09583333333</v>
      </c>
      <c r="C988" s="64"/>
    </row>
    <row r="989" ht="15.75" customHeight="1">
      <c r="A989" s="63" t="s">
        <v>3944</v>
      </c>
      <c r="B989" s="5">
        <v>43931.78194444445</v>
      </c>
      <c r="C989" s="64"/>
    </row>
    <row r="990" ht="15.75" customHeight="1">
      <c r="A990" s="63" t="s">
        <v>3969</v>
      </c>
      <c r="B990" s="5">
        <v>43931.76597222222</v>
      </c>
      <c r="C990" s="64"/>
    </row>
    <row r="991" ht="15.75" customHeight="1">
      <c r="A991" s="63" t="s">
        <v>3970</v>
      </c>
      <c r="B991" s="5">
        <v>43931.62847222222</v>
      </c>
      <c r="C991" s="64"/>
    </row>
    <row r="992" ht="15.75" customHeight="1">
      <c r="A992" s="63" t="s">
        <v>3972</v>
      </c>
      <c r="B992" s="5">
        <v>43931.575</v>
      </c>
      <c r="C992" s="64"/>
    </row>
    <row r="993" ht="15.75" customHeight="1">
      <c r="A993" s="63" t="s">
        <v>3967</v>
      </c>
      <c r="B993" s="5">
        <v>43931.56180555555</v>
      </c>
      <c r="C993" s="64"/>
    </row>
    <row r="994" ht="15.75" customHeight="1">
      <c r="A994" s="63" t="s">
        <v>3975</v>
      </c>
      <c r="B994" s="5">
        <v>43931.552777777775</v>
      </c>
      <c r="C994" s="64"/>
    </row>
    <row r="995" ht="15.75" customHeight="1">
      <c r="A995" s="63" t="s">
        <v>3976</v>
      </c>
      <c r="B995" s="5">
        <v>43931.04513888889</v>
      </c>
      <c r="C995" s="64"/>
    </row>
    <row r="996" ht="15.75" customHeight="1">
      <c r="A996" s="63" t="s">
        <v>3977</v>
      </c>
      <c r="B996" s="5">
        <v>43930.99722222222</v>
      </c>
      <c r="C996" s="64"/>
    </row>
    <row r="997" ht="15.75" customHeight="1">
      <c r="A997" s="63" t="s">
        <v>2180</v>
      </c>
      <c r="B997" s="5">
        <v>43930.89861111111</v>
      </c>
      <c r="C997" s="64"/>
    </row>
    <row r="998" ht="15.75" customHeight="1">
      <c r="A998" s="63" t="s">
        <v>3978</v>
      </c>
      <c r="B998" s="5">
        <v>43930.74513888889</v>
      </c>
      <c r="C998" s="64"/>
    </row>
    <row r="999" ht="15.75" customHeight="1">
      <c r="A999" s="63" t="s">
        <v>3979</v>
      </c>
      <c r="B999" s="5">
        <v>43930.55694444444</v>
      </c>
      <c r="C999" s="64"/>
    </row>
    <row r="1000" ht="15.75" customHeight="1">
      <c r="A1000" s="63" t="s">
        <v>3381</v>
      </c>
      <c r="B1000" s="5">
        <v>43930.42291666667</v>
      </c>
      <c r="C1000" s="64"/>
    </row>
    <row r="1001" ht="15.75" customHeight="1">
      <c r="A1001" s="63" t="s">
        <v>3983</v>
      </c>
      <c r="B1001" s="5">
        <v>43930.395833333336</v>
      </c>
      <c r="C1001" s="64"/>
    </row>
    <row r="1002" ht="15.75" customHeight="1">
      <c r="A1002" s="63" t="s">
        <v>3984</v>
      </c>
      <c r="B1002" s="5">
        <v>43930.37152777778</v>
      </c>
      <c r="C1002" s="64"/>
    </row>
    <row r="1003" ht="15.75" customHeight="1">
      <c r="A1003" s="63" t="s">
        <v>3985</v>
      </c>
      <c r="B1003" s="5">
        <v>43930.05625</v>
      </c>
      <c r="C1003" s="64"/>
    </row>
    <row r="1004" ht="15.75" customHeight="1">
      <c r="A1004" s="63" t="s">
        <v>3986</v>
      </c>
      <c r="B1004" s="5">
        <v>43930.05347222222</v>
      </c>
      <c r="C1004" s="64"/>
    </row>
    <row r="1005" ht="15.75" customHeight="1">
      <c r="A1005" s="63" t="s">
        <v>3988</v>
      </c>
      <c r="B1005" s="5">
        <v>43930.00763888889</v>
      </c>
      <c r="C1005" s="64"/>
    </row>
    <row r="1006" ht="15.75" customHeight="1">
      <c r="A1006" s="63" t="s">
        <v>543</v>
      </c>
      <c r="B1006" s="5">
        <v>43929.97152777778</v>
      </c>
      <c r="C1006" s="64"/>
    </row>
    <row r="1007" ht="15.75" customHeight="1">
      <c r="A1007" s="63" t="s">
        <v>3990</v>
      </c>
      <c r="B1007" s="5">
        <v>43929.95347222222</v>
      </c>
      <c r="C1007" s="64"/>
    </row>
    <row r="1008" ht="15.75" customHeight="1">
      <c r="A1008" s="63" t="s">
        <v>3992</v>
      </c>
      <c r="B1008" s="5">
        <v>43929.92638888889</v>
      </c>
      <c r="C1008" s="64"/>
    </row>
    <row r="1009" ht="15.75" customHeight="1">
      <c r="A1009" s="63" t="s">
        <v>3994</v>
      </c>
      <c r="B1009" s="5">
        <v>43929.819444444445</v>
      </c>
      <c r="C1009" s="64"/>
    </row>
    <row r="1010" ht="15.75" customHeight="1">
      <c r="A1010" s="63" t="s">
        <v>1814</v>
      </c>
      <c r="B1010" s="5">
        <v>43929.76875</v>
      </c>
      <c r="C1010" s="64"/>
    </row>
    <row r="1011" ht="15.75" customHeight="1">
      <c r="A1011" s="63" t="s">
        <v>3982</v>
      </c>
      <c r="B1011" s="5">
        <v>43929.58611111111</v>
      </c>
      <c r="C1011" s="64"/>
    </row>
    <row r="1012" ht="15.75" customHeight="1">
      <c r="A1012" s="63" t="s">
        <v>3997</v>
      </c>
      <c r="B1012" s="5">
        <v>43929.580555555556</v>
      </c>
      <c r="C1012" s="64"/>
    </row>
    <row r="1013" ht="15.75" customHeight="1">
      <c r="A1013" s="63" t="s">
        <v>669</v>
      </c>
      <c r="B1013" s="5">
        <v>43929.51111111111</v>
      </c>
      <c r="C1013" s="64"/>
    </row>
    <row r="1014" ht="15.75" customHeight="1">
      <c r="A1014" s="63" t="s">
        <v>3998</v>
      </c>
      <c r="B1014" s="5">
        <v>43929.50763888889</v>
      </c>
      <c r="C1014" s="64"/>
    </row>
    <row r="1015" ht="15.75" customHeight="1">
      <c r="A1015" s="63" t="s">
        <v>3999</v>
      </c>
      <c r="B1015" s="5">
        <v>43929.45972222222</v>
      </c>
      <c r="C1015" s="64"/>
    </row>
    <row r="1016" ht="15.75" customHeight="1">
      <c r="A1016" s="63" t="s">
        <v>684</v>
      </c>
      <c r="B1016" s="5">
        <v>43929.433333333334</v>
      </c>
      <c r="C1016" s="64"/>
    </row>
    <row r="1017" ht="15.75" customHeight="1">
      <c r="A1017" s="63" t="s">
        <v>4001</v>
      </c>
      <c r="B1017" s="5">
        <v>43929.38263888889</v>
      </c>
      <c r="C1017" s="64"/>
    </row>
    <row r="1018" ht="15.75" customHeight="1">
      <c r="A1018" s="63" t="s">
        <v>4002</v>
      </c>
      <c r="B1018" s="5">
        <v>43929.05486111111</v>
      </c>
      <c r="C1018" s="64"/>
    </row>
    <row r="1019" ht="15.75" customHeight="1">
      <c r="A1019" s="63" t="s">
        <v>570</v>
      </c>
      <c r="B1019" s="5">
        <v>43928.904861111114</v>
      </c>
      <c r="C1019" s="64"/>
    </row>
    <row r="1020" ht="15.75" customHeight="1">
      <c r="A1020" s="63" t="s">
        <v>4006</v>
      </c>
      <c r="B1020" s="5">
        <v>43928.71388888889</v>
      </c>
      <c r="C1020" s="64"/>
    </row>
    <row r="1021" ht="15.75" customHeight="1">
      <c r="A1021" s="63" t="s">
        <v>5468</v>
      </c>
      <c r="B1021" s="5">
        <v>43928.56527777778</v>
      </c>
      <c r="C1021" s="64"/>
    </row>
    <row r="1022" ht="15.75" customHeight="1">
      <c r="A1022" s="63" t="s">
        <v>4013</v>
      </c>
      <c r="B1022" s="5">
        <v>43928.55347222222</v>
      </c>
      <c r="C1022" s="64"/>
    </row>
    <row r="1023" ht="15.75" customHeight="1">
      <c r="A1023" s="63" t="s">
        <v>2938</v>
      </c>
      <c r="B1023" s="5">
        <v>43928.55138888889</v>
      </c>
      <c r="C1023" s="64"/>
    </row>
    <row r="1024" ht="15.75" customHeight="1">
      <c r="A1024" s="63" t="s">
        <v>1423</v>
      </c>
      <c r="B1024" s="5">
        <v>43928.441666666666</v>
      </c>
      <c r="C1024" s="64"/>
    </row>
    <row r="1025" ht="15.75" customHeight="1">
      <c r="A1025" s="63" t="s">
        <v>3580</v>
      </c>
      <c r="B1025" s="5">
        <v>43928.41805555556</v>
      </c>
      <c r="C1025" s="64"/>
    </row>
    <row r="1026" ht="15.75" customHeight="1">
      <c r="A1026" s="63" t="s">
        <v>1678</v>
      </c>
      <c r="B1026" s="5">
        <v>43928.393055555556</v>
      </c>
      <c r="C1026" s="64"/>
    </row>
    <row r="1027" ht="15.75" customHeight="1">
      <c r="A1027" s="63" t="s">
        <v>2921</v>
      </c>
      <c r="B1027" s="5">
        <v>43928.38958333333</v>
      </c>
      <c r="C1027" s="64"/>
    </row>
    <row r="1028" ht="15.75" customHeight="1">
      <c r="A1028" s="63" t="s">
        <v>4017</v>
      </c>
      <c r="B1028" s="5">
        <v>43928.05069444444</v>
      </c>
      <c r="C1028" s="64"/>
    </row>
    <row r="1029" ht="15.75" customHeight="1">
      <c r="A1029" s="63" t="s">
        <v>4019</v>
      </c>
      <c r="B1029" s="5">
        <v>43928.04722222222</v>
      </c>
      <c r="C1029" s="64"/>
    </row>
    <row r="1030" ht="15.75" customHeight="1">
      <c r="A1030" s="63" t="s">
        <v>4023</v>
      </c>
      <c r="B1030" s="5">
        <v>43927.82708333333</v>
      </c>
      <c r="C1030" s="64"/>
    </row>
    <row r="1031" ht="15.75" customHeight="1">
      <c r="A1031" s="63" t="s">
        <v>4026</v>
      </c>
      <c r="B1031" s="5">
        <v>43927.76527777778</v>
      </c>
      <c r="C1031" s="64"/>
    </row>
    <row r="1032" ht="15.75" customHeight="1">
      <c r="A1032" s="63" t="s">
        <v>4028</v>
      </c>
      <c r="B1032" s="5">
        <v>43927.67847222222</v>
      </c>
      <c r="C1032" s="64"/>
    </row>
    <row r="1033" ht="15.75" customHeight="1">
      <c r="A1033" s="63" t="s">
        <v>1519</v>
      </c>
      <c r="B1033" s="5">
        <v>43927.606944444444</v>
      </c>
      <c r="C1033" s="64"/>
    </row>
    <row r="1034" ht="15.75" customHeight="1">
      <c r="A1034" s="63" t="s">
        <v>4032</v>
      </c>
      <c r="B1034" s="5">
        <v>43927.54791666667</v>
      </c>
      <c r="C1034" s="64"/>
    </row>
    <row r="1035" ht="15.75" customHeight="1">
      <c r="A1035" s="63" t="s">
        <v>4034</v>
      </c>
      <c r="B1035" s="5">
        <v>43927.54513888889</v>
      </c>
      <c r="C1035" s="64"/>
    </row>
    <row r="1036" ht="15.75" customHeight="1">
      <c r="A1036" s="63" t="s">
        <v>4041</v>
      </c>
      <c r="B1036" s="5">
        <v>43927.38333333333</v>
      </c>
      <c r="C1036" s="64"/>
    </row>
    <row r="1037" ht="15.75" customHeight="1">
      <c r="A1037" s="63" t="s">
        <v>4042</v>
      </c>
      <c r="B1037" s="5">
        <v>43927.36388888889</v>
      </c>
      <c r="C1037" s="64"/>
    </row>
    <row r="1038" ht="15.75" customHeight="1">
      <c r="A1038" s="63" t="s">
        <v>4043</v>
      </c>
      <c r="B1038" s="5">
        <v>43926.645833333336</v>
      </c>
      <c r="C1038" s="64"/>
    </row>
    <row r="1039" ht="15.75" customHeight="1">
      <c r="A1039" s="63" t="s">
        <v>4044</v>
      </c>
      <c r="B1039" s="5">
        <v>43926.59305555555</v>
      </c>
      <c r="C1039" s="64"/>
    </row>
    <row r="1040" ht="15.75" customHeight="1">
      <c r="A1040" s="63" t="s">
        <v>4046</v>
      </c>
      <c r="B1040" s="5">
        <v>43926.575</v>
      </c>
      <c r="C1040" s="64"/>
    </row>
    <row r="1041" ht="15.75" customHeight="1">
      <c r="A1041" s="63" t="s">
        <v>4047</v>
      </c>
      <c r="B1041" s="5">
        <v>43926.5125</v>
      </c>
      <c r="C1041" s="64"/>
    </row>
    <row r="1042" ht="15.75" customHeight="1">
      <c r="A1042" s="63" t="s">
        <v>4048</v>
      </c>
      <c r="B1042" s="5">
        <v>43926.025</v>
      </c>
      <c r="C1042" s="64"/>
    </row>
    <row r="1043" ht="15.75" customHeight="1">
      <c r="A1043" s="63" t="s">
        <v>4049</v>
      </c>
      <c r="B1043" s="5">
        <v>43925.947916666664</v>
      </c>
      <c r="C1043" s="64"/>
    </row>
    <row r="1044" ht="15.75" customHeight="1">
      <c r="A1044" s="63" t="s">
        <v>4051</v>
      </c>
      <c r="B1044" s="5">
        <v>43925.72152777778</v>
      </c>
      <c r="C1044" s="64"/>
    </row>
    <row r="1045" ht="15.75" customHeight="1">
      <c r="A1045" s="63" t="s">
        <v>4052</v>
      </c>
      <c r="B1045" s="5">
        <v>43925.69861111111</v>
      </c>
      <c r="C1045" s="64"/>
    </row>
    <row r="1046" ht="15.75" customHeight="1">
      <c r="A1046" s="63" t="s">
        <v>3966</v>
      </c>
      <c r="B1046" s="5">
        <v>43925.64513888889</v>
      </c>
      <c r="C1046" s="64"/>
    </row>
    <row r="1047" ht="15.75" customHeight="1">
      <c r="A1047" s="63" t="s">
        <v>4053</v>
      </c>
      <c r="B1047" s="5">
        <v>43925.61388888889</v>
      </c>
      <c r="C1047" s="64"/>
    </row>
    <row r="1048" ht="15.75" customHeight="1">
      <c r="A1048" s="63" t="s">
        <v>4054</v>
      </c>
      <c r="B1048" s="5">
        <v>43925.10833333333</v>
      </c>
      <c r="C1048" s="64"/>
    </row>
    <row r="1049" ht="15.75" customHeight="1">
      <c r="A1049" s="63" t="s">
        <v>599</v>
      </c>
      <c r="B1049" s="5">
        <v>43924.947222222225</v>
      </c>
      <c r="C1049" s="64"/>
    </row>
    <row r="1050" ht="15.75" customHeight="1">
      <c r="A1050" s="63" t="s">
        <v>4056</v>
      </c>
      <c r="B1050" s="5">
        <v>43924.87430555555</v>
      </c>
      <c r="C1050" s="64"/>
    </row>
    <row r="1051" ht="15.75" customHeight="1">
      <c r="A1051" s="63" t="s">
        <v>4057</v>
      </c>
      <c r="B1051" s="5">
        <v>43924.861805555556</v>
      </c>
      <c r="C1051" s="64"/>
    </row>
    <row r="1052" ht="15.75" customHeight="1">
      <c r="A1052" s="63" t="s">
        <v>4058</v>
      </c>
      <c r="B1052" s="5">
        <v>43924.84861111111</v>
      </c>
      <c r="C1052" s="64"/>
    </row>
    <row r="1053" ht="15.75" customHeight="1">
      <c r="A1053" s="63" t="s">
        <v>4059</v>
      </c>
      <c r="B1053" s="5">
        <v>43924.70625</v>
      </c>
      <c r="C1053" s="64"/>
    </row>
    <row r="1054" ht="15.75" customHeight="1">
      <c r="A1054" s="63" t="s">
        <v>4060</v>
      </c>
      <c r="B1054" s="5">
        <v>43924.66875</v>
      </c>
      <c r="C1054" s="64"/>
    </row>
    <row r="1055" ht="15.75" customHeight="1">
      <c r="A1055" s="63" t="s">
        <v>4061</v>
      </c>
      <c r="B1055" s="5">
        <v>43924.62569444445</v>
      </c>
      <c r="C1055" s="64"/>
    </row>
    <row r="1056" ht="15.75" customHeight="1">
      <c r="A1056" s="63" t="s">
        <v>4064</v>
      </c>
      <c r="B1056" s="5">
        <v>43924.583333333336</v>
      </c>
      <c r="C1056" s="64"/>
    </row>
    <row r="1057" ht="15.75" customHeight="1">
      <c r="A1057" s="63" t="s">
        <v>4050</v>
      </c>
      <c r="B1057" s="5">
        <v>43924.486805555556</v>
      </c>
      <c r="C1057" s="64"/>
    </row>
    <row r="1058" ht="15.75" customHeight="1">
      <c r="A1058" s="63" t="s">
        <v>4066</v>
      </c>
      <c r="B1058" s="5">
        <v>43924.47361111111</v>
      </c>
      <c r="C1058" s="64"/>
    </row>
    <row r="1059" ht="15.75" customHeight="1">
      <c r="A1059" s="63" t="s">
        <v>4070</v>
      </c>
      <c r="B1059" s="5">
        <v>43924.43472222222</v>
      </c>
      <c r="C1059" s="64"/>
    </row>
    <row r="1060" ht="15.75" customHeight="1">
      <c r="A1060" s="63" t="s">
        <v>4071</v>
      </c>
      <c r="B1060" s="5">
        <v>43924.381944444445</v>
      </c>
      <c r="C1060" s="64"/>
    </row>
    <row r="1061" ht="15.75" customHeight="1">
      <c r="A1061" s="63" t="s">
        <v>4075</v>
      </c>
      <c r="B1061" s="5">
        <v>43924.01736111111</v>
      </c>
      <c r="C1061" s="64"/>
    </row>
    <row r="1062" ht="15.75" customHeight="1">
      <c r="A1062" s="63" t="s">
        <v>4078</v>
      </c>
      <c r="B1062" s="5">
        <v>43923.916666666664</v>
      </c>
      <c r="C1062" s="64"/>
    </row>
    <row r="1063" ht="15.75" customHeight="1">
      <c r="A1063" s="63" t="s">
        <v>4079</v>
      </c>
      <c r="B1063" s="5">
        <v>43923.78888888889</v>
      </c>
      <c r="C1063" s="64"/>
    </row>
    <row r="1064" ht="15.75" customHeight="1">
      <c r="A1064" s="63" t="s">
        <v>4080</v>
      </c>
      <c r="B1064" s="5">
        <v>43923.78333333333</v>
      </c>
      <c r="C1064" s="64"/>
    </row>
    <row r="1065" ht="15.75" customHeight="1">
      <c r="A1065" s="63" t="s">
        <v>4083</v>
      </c>
      <c r="B1065" s="5">
        <v>43923.645833333336</v>
      </c>
      <c r="C1065" s="64"/>
    </row>
    <row r="1066" ht="15.75" customHeight="1">
      <c r="A1066" s="63" t="s">
        <v>4084</v>
      </c>
      <c r="B1066" s="5">
        <v>43923.555555555555</v>
      </c>
      <c r="C1066" s="64"/>
    </row>
    <row r="1067" ht="15.75" customHeight="1">
      <c r="A1067" s="63" t="s">
        <v>4086</v>
      </c>
      <c r="B1067" s="5">
        <v>43923.509722222225</v>
      </c>
      <c r="C1067" s="64"/>
    </row>
    <row r="1068" ht="15.75" customHeight="1">
      <c r="A1068" s="63" t="s">
        <v>5469</v>
      </c>
      <c r="B1068" s="5">
        <v>43923.48888888889</v>
      </c>
      <c r="C1068" s="64"/>
    </row>
    <row r="1069" ht="15.75" customHeight="1">
      <c r="A1069" s="63" t="s">
        <v>383</v>
      </c>
      <c r="B1069" s="5">
        <v>43923.481944444444</v>
      </c>
      <c r="C1069" s="64"/>
    </row>
    <row r="1070" ht="15.75" customHeight="1">
      <c r="A1070" s="63" t="s">
        <v>4088</v>
      </c>
      <c r="B1070" s="5">
        <v>43923.32013888889</v>
      </c>
      <c r="C1070" s="64"/>
    </row>
    <row r="1071" ht="15.75" customHeight="1">
      <c r="A1071" s="63" t="s">
        <v>3872</v>
      </c>
      <c r="B1071" s="5">
        <v>43923.07847222222</v>
      </c>
      <c r="C1071" s="64"/>
    </row>
    <row r="1072" ht="15.75" customHeight="1">
      <c r="A1072" s="63" t="s">
        <v>4090</v>
      </c>
      <c r="B1072" s="5">
        <v>43922.99375</v>
      </c>
      <c r="C1072" s="64"/>
    </row>
    <row r="1073" ht="15.75" customHeight="1">
      <c r="A1073" s="63" t="s">
        <v>4091</v>
      </c>
      <c r="B1073" s="5">
        <v>43922.90555555555</v>
      </c>
      <c r="C1073" s="64"/>
    </row>
    <row r="1074" ht="15.75" customHeight="1">
      <c r="A1074" s="63" t="s">
        <v>4092</v>
      </c>
      <c r="B1074" s="5">
        <v>43922.89166666667</v>
      </c>
      <c r="C1074" s="64"/>
    </row>
    <row r="1075" ht="15.75" customHeight="1">
      <c r="A1075" s="63" t="s">
        <v>4094</v>
      </c>
      <c r="B1075" s="5">
        <v>43922.76180555556</v>
      </c>
      <c r="C1075" s="64"/>
    </row>
    <row r="1076" ht="15.75" customHeight="1">
      <c r="A1076" s="63" t="s">
        <v>4096</v>
      </c>
      <c r="B1076" s="5">
        <v>43922.751388888886</v>
      </c>
      <c r="C1076" s="64"/>
    </row>
    <row r="1077" ht="15.75" customHeight="1">
      <c r="A1077" s="63" t="s">
        <v>4098</v>
      </c>
      <c r="B1077" s="5">
        <v>43922.743055555555</v>
      </c>
      <c r="C1077" s="64"/>
    </row>
    <row r="1078" ht="15.75" customHeight="1">
      <c r="A1078" s="63" t="s">
        <v>4099</v>
      </c>
      <c r="B1078" s="5">
        <v>43922.73263888889</v>
      </c>
      <c r="C1078" s="64"/>
    </row>
    <row r="1079" ht="15.75" customHeight="1">
      <c r="A1079" s="63" t="s">
        <v>4101</v>
      </c>
      <c r="B1079" s="5">
        <v>43922.725694444445</v>
      </c>
      <c r="C1079" s="64"/>
    </row>
    <row r="1080" ht="15.75" customHeight="1">
      <c r="A1080" s="63" t="s">
        <v>4103</v>
      </c>
      <c r="B1080" s="5">
        <v>43922.62013888889</v>
      </c>
      <c r="C1080" s="64"/>
    </row>
    <row r="1081" ht="15.75" customHeight="1">
      <c r="A1081" s="63" t="s">
        <v>4105</v>
      </c>
      <c r="B1081" s="5">
        <v>43922.54236111111</v>
      </c>
      <c r="C1081" s="64"/>
    </row>
    <row r="1082" ht="15.75" customHeight="1">
      <c r="A1082" s="63" t="s">
        <v>4106</v>
      </c>
      <c r="B1082" s="5">
        <v>43922.53611111111</v>
      </c>
      <c r="C1082" s="64"/>
    </row>
    <row r="1083" ht="15.75" customHeight="1">
      <c r="A1083" s="63" t="s">
        <v>3205</v>
      </c>
      <c r="B1083" s="5">
        <v>43922.49236111111</v>
      </c>
      <c r="C1083" s="64"/>
    </row>
    <row r="1084" ht="15.75" customHeight="1">
      <c r="A1084" s="63" t="s">
        <v>4112</v>
      </c>
      <c r="B1084" s="5">
        <v>43922.396527777775</v>
      </c>
      <c r="C1084" s="64"/>
    </row>
    <row r="1085" ht="15.75" customHeight="1">
      <c r="A1085" s="63" t="s">
        <v>3861</v>
      </c>
      <c r="B1085" s="5">
        <v>43922.004166666666</v>
      </c>
      <c r="C1085" s="64"/>
    </row>
    <row r="1086" ht="15.75" customHeight="1">
      <c r="A1086" s="63" t="s">
        <v>4113</v>
      </c>
      <c r="B1086" s="5">
        <v>43921.990277777775</v>
      </c>
      <c r="C1086" s="64"/>
    </row>
    <row r="1087" ht="15.75" customHeight="1">
      <c r="A1087" s="63" t="s">
        <v>3942</v>
      </c>
      <c r="B1087" s="5">
        <v>43921.89097222222</v>
      </c>
      <c r="C1087" s="64"/>
    </row>
    <row r="1088" ht="15.75" customHeight="1">
      <c r="A1088" s="63" t="s">
        <v>5470</v>
      </c>
      <c r="B1088" s="5">
        <v>43921.81458333333</v>
      </c>
      <c r="C1088" s="64"/>
    </row>
    <row r="1089" ht="15.75" customHeight="1">
      <c r="A1089" s="63" t="s">
        <v>4068</v>
      </c>
      <c r="B1089" s="5">
        <v>43921.76875</v>
      </c>
      <c r="C1089" s="64"/>
    </row>
    <row r="1090" ht="15.75" customHeight="1">
      <c r="A1090" s="63" t="s">
        <v>4118</v>
      </c>
      <c r="B1090" s="5">
        <v>43921.64513888889</v>
      </c>
      <c r="C1090" s="64"/>
    </row>
    <row r="1091" ht="15.75" customHeight="1">
      <c r="A1091" s="63" t="s">
        <v>385</v>
      </c>
      <c r="B1091" s="5">
        <v>43921.395833333336</v>
      </c>
      <c r="C1091" s="64"/>
    </row>
    <row r="1092" ht="15.75" customHeight="1">
      <c r="A1092" s="63" t="s">
        <v>4123</v>
      </c>
      <c r="B1092" s="5">
        <v>43921.37777777778</v>
      </c>
      <c r="C1092" s="64"/>
    </row>
    <row r="1093" ht="15.75" customHeight="1">
      <c r="A1093" s="63" t="s">
        <v>3564</v>
      </c>
      <c r="B1093" s="5">
        <v>43920.99513888889</v>
      </c>
      <c r="C1093" s="64"/>
    </row>
    <row r="1094" ht="15.75" customHeight="1">
      <c r="A1094" s="63" t="s">
        <v>4127</v>
      </c>
      <c r="B1094" s="5">
        <v>43920.76180555556</v>
      </c>
      <c r="C1094" s="64"/>
    </row>
    <row r="1095" ht="15.75" customHeight="1">
      <c r="A1095" s="63" t="s">
        <v>4128</v>
      </c>
      <c r="B1095" s="5">
        <v>43920.751388888886</v>
      </c>
      <c r="C1095" s="64"/>
    </row>
    <row r="1096" ht="15.75" customHeight="1">
      <c r="A1096" s="63" t="s">
        <v>716</v>
      </c>
      <c r="B1096" s="5">
        <v>43920.68402777778</v>
      </c>
      <c r="C1096" s="64"/>
    </row>
    <row r="1097" ht="15.75" customHeight="1">
      <c r="A1097" s="63" t="s">
        <v>4131</v>
      </c>
      <c r="B1097" s="5">
        <v>43920.66388888889</v>
      </c>
      <c r="C1097" s="64"/>
    </row>
    <row r="1098" ht="15.75" customHeight="1">
      <c r="A1098" s="63" t="s">
        <v>4133</v>
      </c>
      <c r="B1098" s="5">
        <v>43920.61388888889</v>
      </c>
      <c r="C1098" s="64"/>
    </row>
    <row r="1099" ht="15.75" customHeight="1">
      <c r="A1099" s="63" t="s">
        <v>244</v>
      </c>
      <c r="B1099" s="5">
        <v>43920.49652777778</v>
      </c>
      <c r="C1099" s="64"/>
    </row>
    <row r="1100" ht="15.75" customHeight="1">
      <c r="A1100" s="63" t="s">
        <v>2689</v>
      </c>
      <c r="B1100" s="5">
        <v>43920.48888888889</v>
      </c>
      <c r="C1100" s="64"/>
    </row>
    <row r="1101" ht="15.75" customHeight="1">
      <c r="A1101" s="63" t="s">
        <v>4141</v>
      </c>
      <c r="B1101" s="5">
        <v>43920.39722222222</v>
      </c>
      <c r="C1101" s="64"/>
    </row>
    <row r="1102" ht="15.75" customHeight="1">
      <c r="A1102" s="63" t="s">
        <v>5471</v>
      </c>
      <c r="B1102" s="5">
        <v>43920.35902777778</v>
      </c>
      <c r="C1102" s="64"/>
    </row>
    <row r="1103" ht="15.75" customHeight="1">
      <c r="A1103" s="63" t="s">
        <v>5472</v>
      </c>
      <c r="B1103" s="5">
        <v>43920.024305555555</v>
      </c>
      <c r="C1103" s="64"/>
    </row>
    <row r="1104" ht="15.75" customHeight="1">
      <c r="A1104" s="63" t="s">
        <v>5473</v>
      </c>
      <c r="B1104" s="5">
        <v>43919.888194444444</v>
      </c>
      <c r="C1104" s="64"/>
    </row>
    <row r="1105" ht="15.75" customHeight="1">
      <c r="A1105" s="63" t="s">
        <v>5474</v>
      </c>
      <c r="B1105" s="5">
        <v>43919.78888888889</v>
      </c>
      <c r="C1105" s="64"/>
    </row>
    <row r="1106" ht="15.75" customHeight="1">
      <c r="A1106" s="63" t="s">
        <v>5475</v>
      </c>
      <c r="B1106" s="5">
        <v>43919.75</v>
      </c>
      <c r="C1106" s="64"/>
    </row>
    <row r="1107" ht="15.75" customHeight="1">
      <c r="A1107" s="63" t="s">
        <v>4145</v>
      </c>
      <c r="B1107" s="5">
        <v>43919.72777777778</v>
      </c>
      <c r="C1107" s="64"/>
    </row>
    <row r="1108" ht="15.75" customHeight="1">
      <c r="A1108" s="63" t="s">
        <v>5476</v>
      </c>
      <c r="B1108" s="5">
        <v>43919.67361111111</v>
      </c>
      <c r="C1108" s="64"/>
    </row>
    <row r="1109" ht="15.75" customHeight="1">
      <c r="A1109" s="63" t="s">
        <v>1030</v>
      </c>
      <c r="B1109" s="5">
        <v>43919.62847222222</v>
      </c>
      <c r="C1109" s="64"/>
    </row>
    <row r="1110" ht="15.75" customHeight="1">
      <c r="A1110" s="63" t="s">
        <v>5477</v>
      </c>
      <c r="B1110" s="5">
        <v>43919.58541666667</v>
      </c>
      <c r="C1110" s="64"/>
    </row>
    <row r="1111" ht="15.75" customHeight="1">
      <c r="A1111" s="63" t="s">
        <v>4146</v>
      </c>
      <c r="B1111" s="5">
        <v>43919.1875</v>
      </c>
      <c r="C1111" s="64"/>
    </row>
    <row r="1112" ht="15.75" customHeight="1">
      <c r="A1112" s="63" t="s">
        <v>4147</v>
      </c>
      <c r="B1112" s="5">
        <v>43919.001388888886</v>
      </c>
      <c r="C1112" s="64"/>
    </row>
    <row r="1113" ht="15.75" customHeight="1">
      <c r="A1113" s="63" t="s">
        <v>2995</v>
      </c>
      <c r="B1113" s="5">
        <v>43918.92013888889</v>
      </c>
      <c r="C1113" s="64"/>
    </row>
    <row r="1114" ht="15.75" customHeight="1">
      <c r="A1114" s="63" t="s">
        <v>5478</v>
      </c>
      <c r="B1114" s="5">
        <v>43918.89027777778</v>
      </c>
      <c r="C1114" s="64"/>
    </row>
    <row r="1115" ht="15.75" customHeight="1">
      <c r="A1115" s="63" t="s">
        <v>3584</v>
      </c>
      <c r="B1115" s="5">
        <v>43918.77916666667</v>
      </c>
      <c r="C1115" s="64"/>
    </row>
    <row r="1116" ht="15.75" customHeight="1">
      <c r="A1116" s="63" t="s">
        <v>5479</v>
      </c>
      <c r="B1116" s="5">
        <v>43918.674305555556</v>
      </c>
      <c r="C1116" s="64"/>
    </row>
    <row r="1117" ht="15.75" customHeight="1">
      <c r="A1117" s="63" t="s">
        <v>5480</v>
      </c>
      <c r="B1117" s="5">
        <v>43918.64791666667</v>
      </c>
      <c r="C1117" s="64"/>
    </row>
    <row r="1118" ht="15.75" customHeight="1">
      <c r="A1118" s="63" t="s">
        <v>5481</v>
      </c>
      <c r="B1118" s="5">
        <v>43918.611805555556</v>
      </c>
      <c r="C1118" s="64"/>
    </row>
    <row r="1119" ht="15.75" customHeight="1">
      <c r="A1119" s="63" t="s">
        <v>5482</v>
      </c>
      <c r="B1119" s="5">
        <v>43918.57986111111</v>
      </c>
      <c r="C1119" s="64"/>
    </row>
    <row r="1120" ht="15.75" customHeight="1">
      <c r="A1120" s="63" t="s">
        <v>4149</v>
      </c>
      <c r="B1120" s="5">
        <v>43918.15347222222</v>
      </c>
      <c r="C1120" s="64"/>
    </row>
    <row r="1121" ht="15.75" customHeight="1">
      <c r="A1121" s="63" t="s">
        <v>1971</v>
      </c>
      <c r="B1121" s="5">
        <v>43917.90138888889</v>
      </c>
      <c r="C1121" s="64"/>
    </row>
    <row r="1122" ht="15.75" customHeight="1">
      <c r="A1122" s="63" t="s">
        <v>4158</v>
      </c>
      <c r="B1122" s="5">
        <v>43917.811111111114</v>
      </c>
      <c r="C1122" s="64"/>
    </row>
    <row r="1123" ht="15.75" customHeight="1">
      <c r="A1123" s="63" t="s">
        <v>578</v>
      </c>
      <c r="B1123" s="5">
        <v>43917.521527777775</v>
      </c>
      <c r="C1123" s="64"/>
    </row>
    <row r="1124" ht="15.75" customHeight="1">
      <c r="A1124" s="63" t="s">
        <v>5483</v>
      </c>
      <c r="B1124" s="5">
        <v>43917.521527777775</v>
      </c>
      <c r="C1124" s="64"/>
    </row>
    <row r="1125" ht="15.75" customHeight="1">
      <c r="A1125" s="63" t="s">
        <v>730</v>
      </c>
      <c r="B1125" s="5">
        <v>43917.509722222225</v>
      </c>
      <c r="C1125" s="64"/>
    </row>
    <row r="1126" ht="15.75" customHeight="1">
      <c r="A1126" s="63" t="s">
        <v>5484</v>
      </c>
      <c r="B1126" s="5">
        <v>43917.475</v>
      </c>
      <c r="C1126" s="64"/>
    </row>
    <row r="1127" ht="15.75" customHeight="1">
      <c r="A1127" s="63" t="s">
        <v>4040</v>
      </c>
      <c r="B1127" s="5">
        <v>43917.40555555555</v>
      </c>
      <c r="C1127" s="64"/>
    </row>
    <row r="1128" ht="15.75" customHeight="1">
      <c r="A1128" s="63" t="s">
        <v>4119</v>
      </c>
      <c r="B1128" s="5">
        <v>43917.384722222225</v>
      </c>
      <c r="C1128" s="64"/>
    </row>
    <row r="1129" ht="15.75" customHeight="1">
      <c r="A1129" s="63" t="s">
        <v>548</v>
      </c>
      <c r="B1129" s="5">
        <v>43917.35625</v>
      </c>
      <c r="C1129" s="64"/>
    </row>
    <row r="1130" ht="15.75" customHeight="1">
      <c r="A1130" s="63" t="s">
        <v>5485</v>
      </c>
      <c r="B1130" s="5">
        <v>43917.30972222222</v>
      </c>
      <c r="C1130" s="64"/>
    </row>
    <row r="1131" ht="15.75" customHeight="1">
      <c r="A1131" s="63" t="s">
        <v>795</v>
      </c>
      <c r="B1131" s="5">
        <v>43917.03402777778</v>
      </c>
      <c r="C1131" s="64"/>
    </row>
    <row r="1132" ht="15.75" customHeight="1">
      <c r="A1132" s="63" t="s">
        <v>3950</v>
      </c>
      <c r="B1132" s="5">
        <v>43917.03333333333</v>
      </c>
      <c r="C1132" s="64"/>
    </row>
    <row r="1133" ht="15.75" customHeight="1">
      <c r="A1133" s="63" t="s">
        <v>713</v>
      </c>
      <c r="B1133" s="5">
        <v>43916.99722222222</v>
      </c>
      <c r="C1133" s="64"/>
    </row>
    <row r="1134" ht="15.75" customHeight="1">
      <c r="A1134" s="63" t="s">
        <v>256</v>
      </c>
      <c r="B1134" s="5">
        <v>43916.90069444444</v>
      </c>
      <c r="C1134" s="64"/>
    </row>
    <row r="1135" ht="15.75" customHeight="1">
      <c r="A1135" s="63" t="s">
        <v>515</v>
      </c>
      <c r="B1135" s="5">
        <v>43916.89236111111</v>
      </c>
      <c r="C1135" s="64"/>
    </row>
    <row r="1136" ht="15.75" customHeight="1">
      <c r="A1136" s="63" t="s">
        <v>5486</v>
      </c>
      <c r="B1136" s="5">
        <v>43916.88263888889</v>
      </c>
      <c r="C1136" s="64"/>
    </row>
    <row r="1137" ht="15.75" customHeight="1">
      <c r="A1137" s="63" t="s">
        <v>686</v>
      </c>
      <c r="B1137" s="5">
        <v>43916.850694444445</v>
      </c>
      <c r="C1137" s="64"/>
    </row>
    <row r="1138" ht="15.75" customHeight="1">
      <c r="A1138" s="63" t="s">
        <v>2600</v>
      </c>
      <c r="B1138" s="5">
        <v>43916.845138888886</v>
      </c>
      <c r="C1138" s="64"/>
    </row>
    <row r="1139" ht="15.75" customHeight="1">
      <c r="A1139" s="63" t="s">
        <v>729</v>
      </c>
      <c r="B1139" s="5">
        <v>43916.799305555556</v>
      </c>
      <c r="C1139" s="64"/>
    </row>
    <row r="1140" ht="15.75" customHeight="1">
      <c r="A1140" s="63" t="s">
        <v>5487</v>
      </c>
      <c r="B1140" s="5">
        <v>43916.75555555556</v>
      </c>
      <c r="C1140" s="64"/>
    </row>
    <row r="1141" ht="15.75" customHeight="1">
      <c r="A1141" s="63" t="s">
        <v>3856</v>
      </c>
      <c r="B1141" s="5">
        <v>43916.74444444444</v>
      </c>
      <c r="C1141" s="64"/>
    </row>
    <row r="1142" ht="15.75" customHeight="1">
      <c r="A1142" s="63" t="s">
        <v>4179</v>
      </c>
      <c r="B1142" s="5">
        <v>43916.71111111111</v>
      </c>
      <c r="C1142" s="64"/>
    </row>
    <row r="1143" ht="15.75" customHeight="1">
      <c r="A1143" s="63" t="s">
        <v>5488</v>
      </c>
      <c r="B1143" s="5">
        <v>43916.70763888889</v>
      </c>
      <c r="C1143" s="64"/>
    </row>
    <row r="1144" ht="15.75" customHeight="1">
      <c r="A1144" s="63" t="s">
        <v>682</v>
      </c>
      <c r="B1144" s="5">
        <v>43916.69027777778</v>
      </c>
      <c r="C1144" s="64"/>
    </row>
    <row r="1145" ht="15.75" customHeight="1">
      <c r="A1145" s="63" t="s">
        <v>528</v>
      </c>
      <c r="B1145" s="5">
        <v>43916.6875</v>
      </c>
      <c r="C1145" s="64"/>
    </row>
    <row r="1146" ht="15.75" customHeight="1">
      <c r="A1146" s="63" t="s">
        <v>2212</v>
      </c>
      <c r="B1146" s="5">
        <v>43916.67847222222</v>
      </c>
      <c r="C1146" s="64"/>
    </row>
    <row r="1147" ht="15.75" customHeight="1">
      <c r="A1147" s="63" t="s">
        <v>1957</v>
      </c>
      <c r="B1147" s="5">
        <v>43916.677777777775</v>
      </c>
      <c r="C1147" s="64"/>
    </row>
    <row r="1148" ht="15.75" customHeight="1">
      <c r="A1148" s="63" t="s">
        <v>4129</v>
      </c>
      <c r="B1148" s="5">
        <v>43916.67152777778</v>
      </c>
      <c r="C1148" s="64"/>
    </row>
    <row r="1149" ht="15.75" customHeight="1">
      <c r="A1149" s="63" t="s">
        <v>3686</v>
      </c>
      <c r="B1149" s="5">
        <v>43916.66805555556</v>
      </c>
      <c r="C1149" s="64"/>
    </row>
    <row r="1150" ht="15.75" customHeight="1">
      <c r="A1150" s="63" t="s">
        <v>530</v>
      </c>
      <c r="B1150" s="5">
        <v>43916.66388888889</v>
      </c>
      <c r="C1150" s="64"/>
    </row>
    <row r="1151" ht="15.75" customHeight="1">
      <c r="A1151" s="63" t="s">
        <v>329</v>
      </c>
      <c r="B1151" s="5">
        <v>43916.663194444445</v>
      </c>
      <c r="C1151" s="64"/>
    </row>
    <row r="1152" ht="15.75" customHeight="1">
      <c r="A1152" s="63" t="s">
        <v>538</v>
      </c>
      <c r="B1152" s="5">
        <v>43916.657638888886</v>
      </c>
      <c r="C1152" s="64"/>
    </row>
    <row r="1153" ht="15.75" customHeight="1">
      <c r="A1153" s="63" t="s">
        <v>5489</v>
      </c>
      <c r="B1153" s="5">
        <v>43916.646527777775</v>
      </c>
      <c r="C1153" s="64"/>
    </row>
    <row r="1154" ht="15.75" customHeight="1">
      <c r="A1154" s="63" t="s">
        <v>5490</v>
      </c>
      <c r="B1154" s="5">
        <v>43916.49652777778</v>
      </c>
      <c r="C1154" s="64"/>
    </row>
    <row r="1155" ht="15.75" customHeight="1">
      <c r="A1155" s="63" t="s">
        <v>4154</v>
      </c>
      <c r="B1155" s="5">
        <v>43916.495833333334</v>
      </c>
      <c r="C1155" s="64"/>
    </row>
    <row r="1156" ht="15.75" customHeight="1">
      <c r="A1156" s="63" t="s">
        <v>5491</v>
      </c>
      <c r="B1156" s="5">
        <v>43916.37013888889</v>
      </c>
      <c r="C1156" s="64"/>
    </row>
    <row r="1157" ht="15.75" customHeight="1">
      <c r="A1157" s="63" t="s">
        <v>5492</v>
      </c>
      <c r="B1157" s="5">
        <v>43916.34305555555</v>
      </c>
      <c r="C1157" s="64"/>
    </row>
    <row r="1158" ht="15.75" customHeight="1">
      <c r="A1158" s="63" t="s">
        <v>5493</v>
      </c>
      <c r="B1158" s="5">
        <v>43916.02013888889</v>
      </c>
      <c r="C1158" s="64"/>
    </row>
    <row r="1159" ht="15.75" customHeight="1">
      <c r="A1159" s="63" t="s">
        <v>5494</v>
      </c>
      <c r="B1159" s="5">
        <v>43916.01736111111</v>
      </c>
      <c r="C1159" s="64"/>
    </row>
    <row r="1160" ht="15.75" customHeight="1">
      <c r="A1160" s="63" t="s">
        <v>4198</v>
      </c>
      <c r="B1160" s="5">
        <v>43916.00486111111</v>
      </c>
      <c r="C1160" s="64"/>
    </row>
    <row r="1161" ht="15.75" customHeight="1">
      <c r="A1161" s="63" t="s">
        <v>4218</v>
      </c>
      <c r="B1161" s="5">
        <v>43915.739583333336</v>
      </c>
      <c r="C1161" s="64"/>
    </row>
    <row r="1162" ht="15.75" customHeight="1">
      <c r="A1162" s="63" t="s">
        <v>4225</v>
      </c>
      <c r="B1162" s="5">
        <v>43915.72083333333</v>
      </c>
      <c r="C1162" s="64"/>
    </row>
    <row r="1163" ht="15.75" customHeight="1">
      <c r="A1163" s="63" t="s">
        <v>4228</v>
      </c>
      <c r="B1163" s="5">
        <v>43915.70694444444</v>
      </c>
      <c r="C1163" s="64"/>
    </row>
    <row r="1164" ht="15.75" customHeight="1">
      <c r="A1164" s="63" t="s">
        <v>4237</v>
      </c>
      <c r="B1164" s="5">
        <v>43915.688888888886</v>
      </c>
      <c r="C1164" s="64"/>
    </row>
    <row r="1165" ht="15.75" customHeight="1">
      <c r="A1165" s="63" t="s">
        <v>4241</v>
      </c>
      <c r="B1165" s="5">
        <v>43915.645833333336</v>
      </c>
      <c r="C1165" s="64"/>
    </row>
    <row r="1166" ht="15.75" customHeight="1">
      <c r="A1166" s="63" t="s">
        <v>5495</v>
      </c>
      <c r="B1166" s="5">
        <v>43915.56597222222</v>
      </c>
      <c r="C1166" s="64"/>
    </row>
    <row r="1167" ht="15.75" customHeight="1">
      <c r="A1167" s="63" t="s">
        <v>4258</v>
      </c>
      <c r="B1167" s="5">
        <v>43915.46944444445</v>
      </c>
      <c r="C1167" s="64"/>
    </row>
    <row r="1168" ht="15.75" customHeight="1">
      <c r="A1168" s="63" t="s">
        <v>4263</v>
      </c>
      <c r="B1168" s="5">
        <v>43915.45</v>
      </c>
      <c r="C1168" s="64"/>
    </row>
    <row r="1169" ht="15.75" customHeight="1">
      <c r="A1169" s="63" t="s">
        <v>4268</v>
      </c>
      <c r="B1169" s="5">
        <v>43915.36736111111</v>
      </c>
      <c r="C1169" s="64"/>
    </row>
    <row r="1170" ht="15.75" customHeight="1">
      <c r="A1170" s="63" t="s">
        <v>4270</v>
      </c>
      <c r="B1170" s="5">
        <v>43915.330555555556</v>
      </c>
      <c r="C1170" s="64"/>
    </row>
    <row r="1171" ht="15.75" customHeight="1">
      <c r="A1171" s="63" t="s">
        <v>4278</v>
      </c>
      <c r="B1171" s="5">
        <v>43914.97361111111</v>
      </c>
      <c r="C1171" s="64"/>
    </row>
    <row r="1172" ht="15.75" customHeight="1">
      <c r="A1172" s="63" t="s">
        <v>4284</v>
      </c>
      <c r="B1172" s="5">
        <v>43914.95277777778</v>
      </c>
      <c r="C1172" s="64"/>
    </row>
    <row r="1173" ht="15.75" customHeight="1">
      <c r="A1173" s="63" t="s">
        <v>5496</v>
      </c>
      <c r="B1173" s="5">
        <v>43914.893055555556</v>
      </c>
      <c r="C1173" s="64"/>
    </row>
    <row r="1174" ht="15.75" customHeight="1">
      <c r="A1174" s="63" t="s">
        <v>5497</v>
      </c>
      <c r="B1174" s="5">
        <v>43914.84444444445</v>
      </c>
      <c r="C1174" s="64"/>
    </row>
    <row r="1175" ht="15.75" customHeight="1">
      <c r="A1175" s="63" t="s">
        <v>4310</v>
      </c>
      <c r="B1175" s="5">
        <v>43914.83472222222</v>
      </c>
      <c r="C1175" s="64"/>
    </row>
    <row r="1176" ht="15.75" customHeight="1">
      <c r="A1176" s="63" t="s">
        <v>4312</v>
      </c>
      <c r="B1176" s="5">
        <v>43914.83194444444</v>
      </c>
      <c r="C1176" s="64"/>
    </row>
    <row r="1177" ht="15.75" customHeight="1">
      <c r="A1177" s="63" t="s">
        <v>3719</v>
      </c>
      <c r="B1177" s="5">
        <v>43914.777083333334</v>
      </c>
      <c r="C1177" s="64"/>
    </row>
    <row r="1178" ht="15.75" customHeight="1">
      <c r="A1178" s="63" t="s">
        <v>4331</v>
      </c>
      <c r="B1178" s="5">
        <v>43914.74375</v>
      </c>
      <c r="C1178" s="64"/>
    </row>
    <row r="1179" ht="15.75" customHeight="1">
      <c r="A1179" s="63" t="s">
        <v>4345</v>
      </c>
      <c r="B1179" s="5">
        <v>43914.7</v>
      </c>
      <c r="C1179" s="64"/>
    </row>
    <row r="1180" ht="15.75" customHeight="1">
      <c r="A1180" s="63" t="s">
        <v>4354</v>
      </c>
      <c r="B1180" s="5">
        <v>43914.66111111111</v>
      </c>
      <c r="C1180" s="64"/>
    </row>
    <row r="1181" ht="15.75" customHeight="1">
      <c r="A1181" s="63" t="s">
        <v>4376</v>
      </c>
      <c r="B1181" s="5">
        <v>43914.59305555555</v>
      </c>
      <c r="C1181" s="64"/>
    </row>
    <row r="1182" ht="15.75" customHeight="1">
      <c r="A1182" s="63" t="s">
        <v>4381</v>
      </c>
      <c r="B1182" s="5">
        <v>43914.575694444444</v>
      </c>
      <c r="C1182" s="64"/>
    </row>
    <row r="1183" ht="15.75" customHeight="1">
      <c r="A1183" s="63" t="s">
        <v>5498</v>
      </c>
      <c r="B1183" s="5">
        <v>43914.57430555556</v>
      </c>
      <c r="C1183" s="64"/>
    </row>
    <row r="1184" ht="15.75" customHeight="1">
      <c r="A1184" s="63" t="s">
        <v>5499</v>
      </c>
      <c r="B1184" s="5">
        <v>43914.55486111111</v>
      </c>
      <c r="C1184" s="64"/>
    </row>
    <row r="1185" ht="15.75" customHeight="1">
      <c r="A1185" s="63" t="s">
        <v>4395</v>
      </c>
      <c r="B1185" s="5">
        <v>43914.54722222222</v>
      </c>
      <c r="C1185" s="64"/>
    </row>
    <row r="1186" ht="15.75" customHeight="1">
      <c r="A1186" s="63" t="s">
        <v>4408</v>
      </c>
      <c r="B1186" s="5">
        <v>43914.53680555556</v>
      </c>
      <c r="C1186" s="64"/>
    </row>
    <row r="1187" ht="15.75" customHeight="1">
      <c r="A1187" s="63" t="s">
        <v>4415</v>
      </c>
      <c r="B1187" s="5">
        <v>43914.53125</v>
      </c>
      <c r="C1187" s="64"/>
    </row>
    <row r="1188" ht="15.75" customHeight="1">
      <c r="A1188" s="63" t="s">
        <v>4015</v>
      </c>
      <c r="B1188" s="5">
        <v>43914.52291666667</v>
      </c>
      <c r="C1188" s="64"/>
    </row>
    <row r="1189" ht="15.75" customHeight="1">
      <c r="A1189" s="63" t="s">
        <v>4073</v>
      </c>
      <c r="B1189" s="5">
        <v>43914.51666666667</v>
      </c>
      <c r="C1189" s="64"/>
    </row>
    <row r="1190" ht="15.75" customHeight="1">
      <c r="A1190" s="63" t="s">
        <v>4467</v>
      </c>
      <c r="B1190" s="5">
        <v>43914.49930555555</v>
      </c>
      <c r="C1190" s="64"/>
    </row>
    <row r="1191" ht="15.75" customHeight="1">
      <c r="A1191" s="63" t="s">
        <v>4471</v>
      </c>
      <c r="B1191" s="5">
        <v>43914.49722222222</v>
      </c>
      <c r="C1191" s="64"/>
    </row>
    <row r="1192" ht="15.75" customHeight="1">
      <c r="A1192" s="63" t="s">
        <v>5500</v>
      </c>
      <c r="B1192" s="5">
        <v>43914.44583333333</v>
      </c>
      <c r="C1192" s="64"/>
    </row>
    <row r="1193" ht="15.75" customHeight="1">
      <c r="A1193" s="63" t="s">
        <v>5501</v>
      </c>
      <c r="B1193" s="5">
        <v>43914.00347222222</v>
      </c>
      <c r="C1193" s="64"/>
    </row>
    <row r="1194" ht="15.75" customHeight="1">
      <c r="A1194" s="63" t="s">
        <v>5502</v>
      </c>
      <c r="B1194" s="5">
        <v>43913.990277777775</v>
      </c>
      <c r="C1194" s="64"/>
    </row>
    <row r="1195" ht="15.75" customHeight="1">
      <c r="A1195" s="63" t="s">
        <v>2245</v>
      </c>
      <c r="B1195" s="5">
        <v>43913.85902777778</v>
      </c>
      <c r="C1195" s="64"/>
    </row>
    <row r="1196" ht="15.75" customHeight="1">
      <c r="A1196" s="63" t="s">
        <v>5503</v>
      </c>
      <c r="B1196" s="5">
        <v>43913.76736111111</v>
      </c>
      <c r="C1196" s="64"/>
    </row>
    <row r="1197" ht="15.75" customHeight="1">
      <c r="A1197" s="63" t="s">
        <v>5504</v>
      </c>
      <c r="B1197" s="5">
        <v>43913.71944444445</v>
      </c>
      <c r="C1197" s="64"/>
    </row>
    <row r="1198" ht="15.75" customHeight="1">
      <c r="A1198" s="63" t="s">
        <v>5505</v>
      </c>
      <c r="B1198" s="5">
        <v>43913.70763888889</v>
      </c>
      <c r="C1198" s="64"/>
    </row>
    <row r="1199" ht="15.75" customHeight="1">
      <c r="A1199" s="63" t="s">
        <v>3218</v>
      </c>
      <c r="B1199" s="5">
        <v>43913.64236111111</v>
      </c>
      <c r="C1199" s="64"/>
    </row>
    <row r="1200" ht="15.75" customHeight="1">
      <c r="A1200" s="63" t="s">
        <v>5506</v>
      </c>
      <c r="B1200" s="5">
        <v>43913.47361111111</v>
      </c>
      <c r="C1200" s="64"/>
    </row>
    <row r="1201" ht="15.75" customHeight="1">
      <c r="A1201" s="63" t="s">
        <v>5507</v>
      </c>
      <c r="B1201" s="5">
        <v>43912.87986111111</v>
      </c>
      <c r="C1201" s="64"/>
    </row>
    <row r="1202" ht="15.75" customHeight="1">
      <c r="A1202" s="63" t="s">
        <v>4358</v>
      </c>
      <c r="B1202" s="5">
        <v>43912.44652777778</v>
      </c>
      <c r="C1202" s="64"/>
    </row>
    <row r="1203" ht="15.75" customHeight="1">
      <c r="A1203" s="63" t="s">
        <v>5508</v>
      </c>
      <c r="B1203" s="5">
        <v>43911.98611111111</v>
      </c>
      <c r="C1203" s="64"/>
    </row>
    <row r="1204" ht="15.75" customHeight="1">
      <c r="A1204" s="63" t="s">
        <v>4038</v>
      </c>
      <c r="B1204" s="5">
        <v>43911.915972222225</v>
      </c>
      <c r="C1204" s="64"/>
    </row>
    <row r="1205" ht="15.75" customHeight="1">
      <c r="A1205" s="63" t="s">
        <v>5509</v>
      </c>
      <c r="B1205" s="5">
        <v>43911.58263888889</v>
      </c>
      <c r="C1205" s="64"/>
    </row>
    <row r="1206" ht="15.75" customHeight="1">
      <c r="A1206" s="63" t="s">
        <v>5510</v>
      </c>
      <c r="B1206" s="5">
        <v>43911.52569444444</v>
      </c>
      <c r="C1206" s="64"/>
    </row>
    <row r="1207" ht="15.75" customHeight="1">
      <c r="A1207" s="63" t="s">
        <v>5511</v>
      </c>
      <c r="B1207" s="5">
        <v>43911.38402777778</v>
      </c>
      <c r="C1207" s="64"/>
    </row>
    <row r="1208" ht="15.75" customHeight="1">
      <c r="A1208" s="63" t="s">
        <v>5512</v>
      </c>
      <c r="B1208" s="5">
        <v>43911.381944444445</v>
      </c>
      <c r="C1208" s="64"/>
    </row>
    <row r="1209" ht="15.75" customHeight="1">
      <c r="A1209" s="63" t="s">
        <v>5513</v>
      </c>
      <c r="B1209" s="5">
        <v>43911.34375</v>
      </c>
      <c r="C1209" s="64"/>
    </row>
    <row r="1210" ht="15.75" customHeight="1">
      <c r="A1210" s="63" t="s">
        <v>2618</v>
      </c>
      <c r="B1210" s="5">
        <v>43911.00486111111</v>
      </c>
      <c r="C1210" s="64"/>
    </row>
    <row r="1211" ht="15.75" customHeight="1">
      <c r="A1211" s="63" t="s">
        <v>4553</v>
      </c>
      <c r="B1211" s="5">
        <v>43910.65625</v>
      </c>
      <c r="C1211" s="64"/>
    </row>
    <row r="1212" ht="15.75" customHeight="1">
      <c r="A1212" s="63" t="s">
        <v>5514</v>
      </c>
      <c r="B1212" s="5">
        <v>43910.60763888889</v>
      </c>
      <c r="C1212" s="64"/>
    </row>
    <row r="1213" ht="15.75" customHeight="1">
      <c r="A1213" s="63" t="s">
        <v>4556</v>
      </c>
      <c r="B1213" s="5">
        <v>43910.59305555555</v>
      </c>
      <c r="C1213" s="64"/>
    </row>
    <row r="1214" ht="15.75" customHeight="1">
      <c r="A1214" s="63" t="s">
        <v>4557</v>
      </c>
      <c r="B1214" s="5">
        <v>43910.56736111111</v>
      </c>
      <c r="C1214" s="64"/>
    </row>
    <row r="1215" ht="15.75" customHeight="1">
      <c r="A1215" s="63" t="s">
        <v>4559</v>
      </c>
      <c r="B1215" s="5">
        <v>43910.51597222222</v>
      </c>
      <c r="C1215" s="64"/>
    </row>
    <row r="1216" ht="15.75" customHeight="1">
      <c r="A1216" s="63" t="s">
        <v>5515</v>
      </c>
      <c r="B1216" s="5">
        <v>43909.73402777778</v>
      </c>
      <c r="C1216" s="64"/>
    </row>
    <row r="1217" ht="15.75" customHeight="1">
      <c r="A1217" s="63" t="s">
        <v>5516</v>
      </c>
      <c r="B1217" s="5">
        <v>43909.56180555555</v>
      </c>
      <c r="C1217" s="64"/>
    </row>
    <row r="1218" ht="15.75" customHeight="1">
      <c r="A1218" s="63" t="s">
        <v>4560</v>
      </c>
      <c r="B1218" s="5">
        <v>43909.34375</v>
      </c>
      <c r="C1218" s="64"/>
    </row>
    <row r="1219" ht="15.75" customHeight="1">
      <c r="A1219" s="63" t="s">
        <v>5517</v>
      </c>
      <c r="B1219" s="5">
        <v>43909.31041666667</v>
      </c>
      <c r="C1219" s="64"/>
    </row>
    <row r="1220" ht="15.75" customHeight="1">
      <c r="A1220" s="63" t="s">
        <v>966</v>
      </c>
      <c r="B1220" s="5">
        <v>43908.748611111114</v>
      </c>
      <c r="C1220" s="64"/>
    </row>
    <row r="1221" ht="15.75" customHeight="1">
      <c r="A1221" s="63" t="s">
        <v>5518</v>
      </c>
      <c r="B1221" s="5">
        <v>43908.586805555555</v>
      </c>
      <c r="C1221" s="64"/>
    </row>
    <row r="1222" ht="15.75" customHeight="1">
      <c r="A1222" s="63" t="s">
        <v>4567</v>
      </c>
      <c r="B1222" s="5">
        <v>43907.75347222222</v>
      </c>
      <c r="C1222" s="64"/>
    </row>
    <row r="1223" ht="15.75" customHeight="1">
      <c r="A1223" s="63" t="s">
        <v>5519</v>
      </c>
      <c r="B1223" s="5">
        <v>43907.70763888889</v>
      </c>
      <c r="C1223" s="64"/>
    </row>
    <row r="1224" ht="15.75" customHeight="1">
      <c r="A1224" s="63" t="s">
        <v>5520</v>
      </c>
      <c r="B1224" s="5">
        <v>43907.631944444445</v>
      </c>
      <c r="C1224" s="64"/>
    </row>
    <row r="1225" ht="15.75" customHeight="1">
      <c r="A1225" s="63" t="s">
        <v>4569</v>
      </c>
      <c r="B1225" s="5">
        <v>43907.618055555555</v>
      </c>
      <c r="C1225" s="64"/>
    </row>
    <row r="1226" ht="15.75" customHeight="1">
      <c r="A1226" s="63" t="s">
        <v>4552</v>
      </c>
      <c r="B1226" s="5">
        <v>43907.459027777775</v>
      </c>
      <c r="C1226" s="64"/>
    </row>
    <row r="1227" ht="15.75" customHeight="1">
      <c r="A1227" s="63" t="s">
        <v>4571</v>
      </c>
      <c r="B1227" s="5">
        <v>43907.43472222222</v>
      </c>
      <c r="C1227" s="64"/>
    </row>
    <row r="1228" ht="15.75" customHeight="1">
      <c r="A1228" s="63" t="s">
        <v>4572</v>
      </c>
      <c r="B1228" s="5">
        <v>43907.42847222222</v>
      </c>
      <c r="C1228" s="64"/>
    </row>
    <row r="1229" ht="15.75" customHeight="1">
      <c r="A1229" s="63" t="s">
        <v>741</v>
      </c>
      <c r="B1229" s="5">
        <v>43907.425</v>
      </c>
      <c r="C1229" s="64"/>
    </row>
    <row r="1230" ht="15.75" customHeight="1">
      <c r="A1230" s="63" t="s">
        <v>4573</v>
      </c>
      <c r="B1230" s="5">
        <v>43907.39027777778</v>
      </c>
      <c r="C1230" s="64"/>
    </row>
    <row r="1231" ht="15.75" customHeight="1">
      <c r="A1231" s="63" t="s">
        <v>4576</v>
      </c>
      <c r="B1231" s="5">
        <v>43907.025</v>
      </c>
      <c r="C1231" s="64"/>
    </row>
    <row r="1232" ht="15.75" customHeight="1">
      <c r="A1232" s="63" t="s">
        <v>5521</v>
      </c>
      <c r="B1232" s="5">
        <v>43906.785416666666</v>
      </c>
      <c r="C1232" s="64"/>
    </row>
    <row r="1233" ht="15.75" customHeight="1">
      <c r="A1233" s="63" t="s">
        <v>4181</v>
      </c>
      <c r="B1233" s="5">
        <v>43906.472916666666</v>
      </c>
      <c r="C1233" s="64"/>
    </row>
    <row r="1234" ht="15.75" customHeight="1">
      <c r="A1234" s="63" t="s">
        <v>4584</v>
      </c>
      <c r="B1234" s="5">
        <v>43906.42986111111</v>
      </c>
      <c r="C1234" s="64"/>
    </row>
    <row r="1235" ht="15.75" customHeight="1">
      <c r="A1235" s="63" t="s">
        <v>5522</v>
      </c>
      <c r="B1235" s="5">
        <v>43906.28888888889</v>
      </c>
      <c r="C1235" s="64"/>
    </row>
    <row r="1236" ht="15.75" customHeight="1">
      <c r="A1236" s="63" t="s">
        <v>5523</v>
      </c>
      <c r="B1236" s="5">
        <v>43906.18125</v>
      </c>
      <c r="C1236" s="64"/>
    </row>
    <row r="1237" ht="15.75" customHeight="1">
      <c r="A1237" s="63" t="s">
        <v>5524</v>
      </c>
      <c r="B1237" s="5">
        <v>43905.9875</v>
      </c>
      <c r="C1237" s="64"/>
    </row>
    <row r="1238" ht="15.75" customHeight="1">
      <c r="A1238" s="63" t="s">
        <v>5525</v>
      </c>
      <c r="B1238" s="5">
        <v>43905.97222222222</v>
      </c>
      <c r="C1238" s="64"/>
    </row>
    <row r="1239" ht="15.75" customHeight="1">
      <c r="A1239" s="63" t="s">
        <v>5526</v>
      </c>
      <c r="B1239" s="5">
        <v>43905.80347222222</v>
      </c>
      <c r="C1239" s="64"/>
    </row>
    <row r="1240" ht="15.75" customHeight="1">
      <c r="A1240" s="63" t="s">
        <v>5527</v>
      </c>
      <c r="B1240" s="5">
        <v>43905.717361111114</v>
      </c>
      <c r="C1240" s="64"/>
    </row>
    <row r="1241" ht="15.75" customHeight="1">
      <c r="A1241" s="63" t="s">
        <v>5528</v>
      </c>
      <c r="B1241" s="5">
        <v>43905.538194444445</v>
      </c>
      <c r="C1241" s="64"/>
    </row>
    <row r="1242" ht="15.75" customHeight="1">
      <c r="A1242" s="63" t="s">
        <v>4574</v>
      </c>
      <c r="B1242" s="5">
        <v>43905.01944444444</v>
      </c>
      <c r="C1242" s="64"/>
    </row>
    <row r="1243" ht="15.75" customHeight="1">
      <c r="A1243" s="63" t="s">
        <v>5529</v>
      </c>
      <c r="B1243" s="5">
        <v>43904.811111111114</v>
      </c>
      <c r="C1243" s="64"/>
    </row>
    <row r="1244" ht="15.75" customHeight="1">
      <c r="A1244" s="63" t="s">
        <v>5530</v>
      </c>
      <c r="B1244" s="5">
        <v>43904.80625</v>
      </c>
      <c r="C1244" s="64"/>
    </row>
    <row r="1245" ht="15.75" customHeight="1">
      <c r="A1245" s="63" t="s">
        <v>5531</v>
      </c>
      <c r="B1245" s="5">
        <v>43904.802777777775</v>
      </c>
      <c r="C1245" s="64"/>
    </row>
    <row r="1246" ht="15.75" customHeight="1">
      <c r="A1246" s="63" t="s">
        <v>3813</v>
      </c>
      <c r="B1246" s="5">
        <v>43904.79583333333</v>
      </c>
      <c r="C1246" s="64"/>
    </row>
    <row r="1247" ht="15.75" customHeight="1">
      <c r="A1247" s="63" t="s">
        <v>5532</v>
      </c>
      <c r="B1247" s="5">
        <v>43904.61111111111</v>
      </c>
      <c r="C1247" s="64"/>
    </row>
    <row r="1248" ht="15.75" customHeight="1">
      <c r="A1248" s="63" t="s">
        <v>3097</v>
      </c>
      <c r="B1248" s="5">
        <v>43903.93402777778</v>
      </c>
      <c r="C1248" s="64"/>
    </row>
    <row r="1249" ht="15.75" customHeight="1">
      <c r="A1249" s="63" t="s">
        <v>5533</v>
      </c>
      <c r="B1249" s="5">
        <v>43903.89513888889</v>
      </c>
      <c r="C1249" s="64"/>
    </row>
    <row r="1250" ht="15.75" customHeight="1">
      <c r="A1250" s="63" t="s">
        <v>2060</v>
      </c>
      <c r="B1250" s="5">
        <v>43903.592361111114</v>
      </c>
      <c r="C1250" s="64"/>
    </row>
    <row r="1251" ht="15.75" customHeight="1">
      <c r="A1251" s="63" t="s">
        <v>2153</v>
      </c>
      <c r="B1251" s="5">
        <v>43903.575694444444</v>
      </c>
      <c r="C1251" s="64"/>
    </row>
    <row r="1252" ht="15.75" customHeight="1">
      <c r="A1252" s="63" t="s">
        <v>3755</v>
      </c>
      <c r="B1252" s="5">
        <v>43903.53472222222</v>
      </c>
      <c r="C1252" s="64"/>
    </row>
    <row r="1253" ht="15.75" customHeight="1">
      <c r="A1253" s="63" t="s">
        <v>4593</v>
      </c>
      <c r="B1253" s="5">
        <v>43903.532638888886</v>
      </c>
      <c r="C1253" s="64"/>
    </row>
    <row r="1254" ht="15.75" customHeight="1">
      <c r="A1254" s="63" t="s">
        <v>5534</v>
      </c>
      <c r="B1254" s="5">
        <v>43903.35277777778</v>
      </c>
      <c r="C1254" s="64"/>
    </row>
    <row r="1255" ht="15.75" customHeight="1">
      <c r="A1255" s="63" t="s">
        <v>4597</v>
      </c>
      <c r="B1255" s="5">
        <v>43903.254166666666</v>
      </c>
      <c r="C1255" s="64"/>
    </row>
    <row r="1256" ht="15.75" customHeight="1">
      <c r="A1256" s="63" t="s">
        <v>1344</v>
      </c>
      <c r="B1256" s="5">
        <v>43903.032638888886</v>
      </c>
      <c r="C1256" s="64"/>
    </row>
    <row r="1257" ht="15.75" customHeight="1">
      <c r="A1257" s="63" t="s">
        <v>5535</v>
      </c>
      <c r="B1257" s="5">
        <v>43902.56736111111</v>
      </c>
      <c r="C1257" s="64"/>
    </row>
    <row r="1258" ht="15.75" customHeight="1">
      <c r="A1258" s="63" t="s">
        <v>4192</v>
      </c>
      <c r="B1258" s="5">
        <v>43902.47361111111</v>
      </c>
      <c r="C1258" s="64"/>
    </row>
    <row r="1259" ht="15.75" customHeight="1">
      <c r="A1259" s="63" t="s">
        <v>4606</v>
      </c>
      <c r="B1259" s="5">
        <v>43902.410416666666</v>
      </c>
      <c r="C1259" s="64"/>
    </row>
    <row r="1260" ht="15.75" customHeight="1">
      <c r="A1260" s="63" t="s">
        <v>4607</v>
      </c>
      <c r="B1260" s="5">
        <v>43902.01597222222</v>
      </c>
      <c r="C1260" s="64"/>
    </row>
    <row r="1261" ht="15.75" customHeight="1">
      <c r="A1261" s="63" t="s">
        <v>5536</v>
      </c>
      <c r="B1261" s="5">
        <v>43901.86111111111</v>
      </c>
      <c r="C1261" s="64"/>
    </row>
    <row r="1262" ht="15.75" customHeight="1">
      <c r="A1262" s="63" t="s">
        <v>4004</v>
      </c>
      <c r="B1262" s="5">
        <v>43901.79722222222</v>
      </c>
      <c r="C1262" s="64"/>
    </row>
    <row r="1263" ht="15.75" customHeight="1">
      <c r="A1263" s="63" t="s">
        <v>4612</v>
      </c>
      <c r="B1263" s="5">
        <v>43901.64097222222</v>
      </c>
      <c r="C1263" s="64"/>
    </row>
    <row r="1264" ht="15.75" customHeight="1">
      <c r="A1264" s="63" t="s">
        <v>1162</v>
      </c>
      <c r="B1264" s="5">
        <v>43901.60833333333</v>
      </c>
      <c r="C1264" s="64"/>
    </row>
    <row r="1265" ht="15.75" customHeight="1">
      <c r="A1265" s="63" t="s">
        <v>1238</v>
      </c>
      <c r="B1265" s="5">
        <v>43901.49791666667</v>
      </c>
      <c r="C1265" s="64"/>
    </row>
    <row r="1266" ht="15.75" customHeight="1">
      <c r="A1266" s="63" t="s">
        <v>5537</v>
      </c>
      <c r="B1266" s="5">
        <v>43901.37152777778</v>
      </c>
      <c r="C1266" s="64"/>
    </row>
    <row r="1267" ht="15.75" customHeight="1">
      <c r="A1267" s="63" t="s">
        <v>4622</v>
      </c>
      <c r="B1267" s="5">
        <v>43901.25763888889</v>
      </c>
      <c r="C1267" s="64"/>
    </row>
    <row r="1268" ht="15.75" customHeight="1">
      <c r="A1268" s="63" t="s">
        <v>5538</v>
      </c>
      <c r="B1268" s="5">
        <v>43901.0125</v>
      </c>
      <c r="C1268" s="64"/>
    </row>
    <row r="1269" ht="15.75" customHeight="1">
      <c r="A1269" s="63" t="s">
        <v>4542</v>
      </c>
      <c r="B1269" s="5">
        <v>43900.81736111111</v>
      </c>
      <c r="C1269" s="64"/>
    </row>
    <row r="1270" ht="15.75" customHeight="1">
      <c r="A1270" s="63" t="s">
        <v>4625</v>
      </c>
      <c r="B1270" s="5">
        <v>43900.71111111111</v>
      </c>
      <c r="C1270" s="64"/>
    </row>
    <row r="1271" ht="15.75" customHeight="1">
      <c r="A1271" s="63" t="s">
        <v>4626</v>
      </c>
      <c r="B1271" s="5">
        <v>43900.69652777778</v>
      </c>
      <c r="C1271" s="64"/>
    </row>
    <row r="1272" ht="15.75" customHeight="1">
      <c r="A1272" s="63" t="s">
        <v>4627</v>
      </c>
      <c r="B1272" s="5">
        <v>43900.53333333333</v>
      </c>
      <c r="C1272" s="64"/>
    </row>
    <row r="1273" ht="15.75" customHeight="1">
      <c r="A1273" s="63" t="s">
        <v>4628</v>
      </c>
      <c r="B1273" s="5">
        <v>43900.501388888886</v>
      </c>
      <c r="C1273" s="64"/>
    </row>
    <row r="1274" ht="15.75" customHeight="1">
      <c r="A1274" s="63" t="s">
        <v>5539</v>
      </c>
      <c r="B1274" s="5">
        <v>43900.404861111114</v>
      </c>
      <c r="C1274" s="64"/>
    </row>
    <row r="1275" ht="15.75" customHeight="1">
      <c r="A1275" s="63" t="s">
        <v>5540</v>
      </c>
      <c r="B1275" s="5">
        <v>43900.40347222222</v>
      </c>
      <c r="C1275" s="64"/>
    </row>
    <row r="1276" ht="15.75" customHeight="1">
      <c r="A1276" s="63" t="s">
        <v>4595</v>
      </c>
      <c r="B1276" s="5">
        <v>43900.385416666664</v>
      </c>
      <c r="C1276" s="64"/>
    </row>
    <row r="1277" ht="15.75" customHeight="1">
      <c r="A1277" s="63" t="s">
        <v>4634</v>
      </c>
      <c r="B1277" s="5">
        <v>43900.17013888889</v>
      </c>
      <c r="C1277" s="64"/>
    </row>
    <row r="1278" ht="15.75" customHeight="1">
      <c r="A1278" s="63" t="s">
        <v>5541</v>
      </c>
      <c r="B1278" s="5">
        <v>43900.03888888889</v>
      </c>
      <c r="C1278" s="64"/>
    </row>
    <row r="1279" ht="15.75" customHeight="1">
      <c r="A1279" s="63" t="s">
        <v>5542</v>
      </c>
      <c r="B1279" s="5">
        <v>43899.86319444444</v>
      </c>
      <c r="C1279" s="64"/>
    </row>
    <row r="1280" ht="15.75" customHeight="1">
      <c r="A1280" s="63" t="s">
        <v>272</v>
      </c>
      <c r="B1280" s="5">
        <v>43899.854166666664</v>
      </c>
      <c r="C1280" s="64"/>
    </row>
    <row r="1281" ht="15.75" customHeight="1">
      <c r="A1281" s="63" t="s">
        <v>4637</v>
      </c>
      <c r="B1281" s="5">
        <v>43899.850694444445</v>
      </c>
      <c r="C1281" s="64"/>
    </row>
    <row r="1282" ht="15.75" customHeight="1">
      <c r="A1282" s="63" t="s">
        <v>5543</v>
      </c>
      <c r="B1282" s="5">
        <v>43899.68680555555</v>
      </c>
      <c r="C1282" s="64"/>
    </row>
    <row r="1283" ht="15.75" customHeight="1">
      <c r="A1283" s="63" t="s">
        <v>5544</v>
      </c>
      <c r="B1283" s="5">
        <v>43899.60625</v>
      </c>
      <c r="C1283" s="64"/>
    </row>
    <row r="1284" ht="15.75" customHeight="1">
      <c r="A1284" s="63" t="s">
        <v>5545</v>
      </c>
      <c r="B1284" s="5">
        <v>43899.552083333336</v>
      </c>
      <c r="C1284" s="64"/>
    </row>
    <row r="1285" ht="15.75" customHeight="1">
      <c r="A1285" s="63" t="s">
        <v>68</v>
      </c>
      <c r="B1285" s="5">
        <v>43899.472916666666</v>
      </c>
      <c r="C1285" s="64"/>
    </row>
    <row r="1286" ht="15.75" customHeight="1">
      <c r="A1286" s="63" t="s">
        <v>4656</v>
      </c>
      <c r="B1286" s="5">
        <v>43899.350694444445</v>
      </c>
      <c r="C1286" s="64"/>
    </row>
    <row r="1287" ht="15.75" customHeight="1">
      <c r="A1287" s="63" t="s">
        <v>5546</v>
      </c>
      <c r="B1287" s="5">
        <v>43898.82152777778</v>
      </c>
      <c r="C1287" s="64"/>
    </row>
    <row r="1288" ht="15.75" customHeight="1">
      <c r="A1288" s="63" t="s">
        <v>4636</v>
      </c>
      <c r="B1288" s="5">
        <v>43898.774305555555</v>
      </c>
      <c r="C1288" s="64"/>
    </row>
    <row r="1289" ht="15.75" customHeight="1">
      <c r="A1289" s="63" t="s">
        <v>5547</v>
      </c>
      <c r="B1289" s="5">
        <v>43898.72986111111</v>
      </c>
      <c r="C1289" s="64"/>
    </row>
    <row r="1290" ht="15.75" customHeight="1">
      <c r="A1290" s="63" t="s">
        <v>5548</v>
      </c>
      <c r="B1290" s="5">
        <v>43898.597916666666</v>
      </c>
      <c r="C1290" s="64"/>
    </row>
    <row r="1291" ht="15.75" customHeight="1">
      <c r="A1291" s="63" t="s">
        <v>5549</v>
      </c>
      <c r="B1291" s="5">
        <v>43898.458333333336</v>
      </c>
      <c r="C1291" s="64"/>
    </row>
    <row r="1292" ht="15.75" customHeight="1">
      <c r="A1292" s="63" t="s">
        <v>4616</v>
      </c>
      <c r="B1292" s="5">
        <v>43898.254166666666</v>
      </c>
      <c r="C1292" s="64"/>
    </row>
    <row r="1293" ht="15.75" customHeight="1">
      <c r="A1293" s="63" t="s">
        <v>5550</v>
      </c>
      <c r="B1293" s="5">
        <v>43898.044444444444</v>
      </c>
      <c r="C1293" s="64"/>
    </row>
    <row r="1294" ht="15.75" customHeight="1">
      <c r="A1294" s="63" t="s">
        <v>5551</v>
      </c>
      <c r="B1294" s="5">
        <v>43897.63680555556</v>
      </c>
      <c r="C1294" s="64"/>
    </row>
    <row r="1295" ht="15.75" customHeight="1">
      <c r="A1295" s="63" t="s">
        <v>4664</v>
      </c>
      <c r="B1295" s="5">
        <v>43897.39166666667</v>
      </c>
      <c r="C1295" s="64"/>
    </row>
    <row r="1296" ht="15.75" customHeight="1">
      <c r="A1296" s="63" t="s">
        <v>5552</v>
      </c>
      <c r="B1296" s="5">
        <v>43897.37986111111</v>
      </c>
      <c r="C1296" s="64"/>
    </row>
    <row r="1297" ht="15.75" customHeight="1">
      <c r="A1297" s="63" t="s">
        <v>5553</v>
      </c>
      <c r="B1297" s="5">
        <v>43897.08472222222</v>
      </c>
      <c r="C1297" s="64"/>
    </row>
    <row r="1298" ht="15.75" customHeight="1">
      <c r="A1298" s="63" t="s">
        <v>5554</v>
      </c>
      <c r="B1298" s="5">
        <v>43896.76875</v>
      </c>
      <c r="C1298" s="64"/>
    </row>
    <row r="1299" ht="15.75" customHeight="1">
      <c r="A1299" s="63" t="s">
        <v>680</v>
      </c>
      <c r="B1299" s="5">
        <v>43896.68472222222</v>
      </c>
      <c r="C1299" s="64"/>
    </row>
    <row r="1300" ht="15.75" customHeight="1">
      <c r="A1300" s="63" t="s">
        <v>5555</v>
      </c>
      <c r="B1300" s="5">
        <v>43896.46944444445</v>
      </c>
      <c r="C1300" s="64"/>
    </row>
    <row r="1301" ht="15.75" customHeight="1">
      <c r="A1301" s="63" t="s">
        <v>4673</v>
      </c>
      <c r="B1301" s="5">
        <v>43896.43541666667</v>
      </c>
      <c r="C1301" s="64"/>
    </row>
    <row r="1302" ht="15.75" customHeight="1">
      <c r="A1302" s="63" t="s">
        <v>3468</v>
      </c>
      <c r="B1302" s="5">
        <v>43896.402083333334</v>
      </c>
      <c r="C1302" s="64"/>
    </row>
    <row r="1303" ht="15.75" customHeight="1">
      <c r="A1303" s="63" t="s">
        <v>5556</v>
      </c>
      <c r="B1303" s="5">
        <v>43896.319444444445</v>
      </c>
      <c r="C1303" s="64"/>
    </row>
    <row r="1304" ht="15.75" customHeight="1">
      <c r="A1304" s="63" t="s">
        <v>4681</v>
      </c>
      <c r="B1304" s="5">
        <v>43896.31875</v>
      </c>
      <c r="C1304" s="64"/>
    </row>
    <row r="1305" ht="15.75" customHeight="1">
      <c r="A1305" s="63" t="s">
        <v>4683</v>
      </c>
      <c r="B1305" s="5">
        <v>43896.16458333333</v>
      </c>
      <c r="C1305" s="64"/>
    </row>
    <row r="1306" ht="15.75" customHeight="1">
      <c r="A1306" s="63" t="s">
        <v>4685</v>
      </c>
      <c r="B1306" s="5">
        <v>43895.990277777775</v>
      </c>
      <c r="C1306" s="64"/>
    </row>
    <row r="1307" ht="15.75" customHeight="1">
      <c r="A1307" s="63" t="s">
        <v>4600</v>
      </c>
      <c r="B1307" s="5">
        <v>43895.91527777778</v>
      </c>
      <c r="C1307" s="64"/>
    </row>
    <row r="1308" ht="15.75" customHeight="1">
      <c r="A1308" s="63" t="s">
        <v>5557</v>
      </c>
      <c r="B1308" s="5">
        <v>43895.813888888886</v>
      </c>
      <c r="C1308" s="64"/>
    </row>
    <row r="1309" ht="15.75" customHeight="1">
      <c r="A1309" s="63" t="s">
        <v>4689</v>
      </c>
      <c r="B1309" s="5">
        <v>43895.720138888886</v>
      </c>
      <c r="C1309" s="64"/>
    </row>
    <row r="1310" ht="15.75" customHeight="1">
      <c r="A1310" s="63" t="s">
        <v>1779</v>
      </c>
      <c r="B1310" s="5">
        <v>43895.59444444445</v>
      </c>
      <c r="C1310" s="64"/>
    </row>
    <row r="1311" ht="15.75" customHeight="1">
      <c r="A1311" s="63" t="s">
        <v>4116</v>
      </c>
      <c r="B1311" s="5">
        <v>43895.50625</v>
      </c>
      <c r="C1311" s="64"/>
    </row>
    <row r="1312" ht="15.75" customHeight="1">
      <c r="A1312" s="63" t="s">
        <v>4695</v>
      </c>
      <c r="B1312" s="5">
        <v>43895.49722222222</v>
      </c>
      <c r="C1312" s="64"/>
    </row>
    <row r="1313" ht="15.75" customHeight="1">
      <c r="A1313" s="63" t="s">
        <v>2546</v>
      </c>
      <c r="B1313" s="5">
        <v>43895.48819444444</v>
      </c>
      <c r="C1313" s="64"/>
    </row>
    <row r="1314" ht="15.75" customHeight="1">
      <c r="A1314" s="63" t="s">
        <v>986</v>
      </c>
      <c r="B1314" s="5">
        <v>43895.470138888886</v>
      </c>
      <c r="C1314" s="64"/>
    </row>
    <row r="1315" ht="15.75" customHeight="1">
      <c r="A1315" s="63" t="s">
        <v>5558</v>
      </c>
      <c r="B1315" s="5">
        <v>43895.41805555556</v>
      </c>
      <c r="C1315" s="64"/>
    </row>
    <row r="1316" ht="15.75" customHeight="1">
      <c r="A1316" s="63" t="s">
        <v>4537</v>
      </c>
      <c r="B1316" s="5">
        <v>43895.38611111111</v>
      </c>
      <c r="C1316" s="64"/>
    </row>
    <row r="1317" ht="15.75" customHeight="1">
      <c r="A1317" s="63" t="s">
        <v>5559</v>
      </c>
      <c r="B1317" s="5">
        <v>43895.384722222225</v>
      </c>
      <c r="C1317" s="64"/>
    </row>
    <row r="1318" ht="15.75" customHeight="1">
      <c r="A1318" s="63" t="s">
        <v>4721</v>
      </c>
      <c r="B1318" s="5">
        <v>43895.345138888886</v>
      </c>
      <c r="C1318" s="64"/>
    </row>
    <row r="1319" ht="15.75" customHeight="1">
      <c r="A1319" s="63" t="s">
        <v>5560</v>
      </c>
      <c r="B1319" s="5">
        <v>43895.322222222225</v>
      </c>
      <c r="C1319" s="64"/>
    </row>
    <row r="1320" ht="15.75" customHeight="1">
      <c r="A1320" s="63" t="s">
        <v>5561</v>
      </c>
      <c r="B1320" s="5">
        <v>43895.04305555556</v>
      </c>
      <c r="C1320" s="64"/>
    </row>
    <row r="1321" ht="15.75" customHeight="1">
      <c r="A1321" s="63" t="s">
        <v>4725</v>
      </c>
      <c r="B1321" s="5">
        <v>43895.03055555555</v>
      </c>
      <c r="C1321" s="64"/>
    </row>
    <row r="1322" ht="15.75" customHeight="1">
      <c r="A1322" s="63" t="s">
        <v>5562</v>
      </c>
      <c r="B1322" s="5">
        <v>43894.79791666667</v>
      </c>
      <c r="C1322" s="64"/>
    </row>
    <row r="1323" ht="15.75" customHeight="1">
      <c r="A1323" s="63" t="s">
        <v>723</v>
      </c>
      <c r="B1323" s="5">
        <v>43894.71111111111</v>
      </c>
      <c r="C1323" s="64"/>
    </row>
    <row r="1324" ht="15.75" customHeight="1">
      <c r="A1324" s="63" t="s">
        <v>4732</v>
      </c>
      <c r="B1324" s="5">
        <v>43894.53472222222</v>
      </c>
      <c r="C1324" s="64"/>
    </row>
    <row r="1325" ht="15.75" customHeight="1">
      <c r="A1325" s="63" t="s">
        <v>5563</v>
      </c>
      <c r="B1325" s="5">
        <v>43894.521527777775</v>
      </c>
      <c r="C1325" s="64"/>
    </row>
    <row r="1326" ht="15.75" customHeight="1">
      <c r="A1326" s="63" t="s">
        <v>4729</v>
      </c>
      <c r="B1326" s="5">
        <v>43894.50902777778</v>
      </c>
      <c r="C1326" s="64"/>
    </row>
    <row r="1327" ht="15.75" customHeight="1">
      <c r="A1327" s="63" t="s">
        <v>4741</v>
      </c>
      <c r="B1327" s="5">
        <v>43894.45</v>
      </c>
      <c r="C1327" s="64"/>
    </row>
    <row r="1328" ht="15.75" customHeight="1">
      <c r="A1328" s="63" t="s">
        <v>4745</v>
      </c>
      <c r="B1328" s="5">
        <v>43894.388194444444</v>
      </c>
      <c r="C1328" s="64"/>
    </row>
    <row r="1329" ht="15.75" customHeight="1">
      <c r="A1329" s="63" t="s">
        <v>5564</v>
      </c>
      <c r="B1329" s="5">
        <v>43893.853472222225</v>
      </c>
      <c r="C1329" s="64"/>
    </row>
    <row r="1330" ht="15.75" customHeight="1">
      <c r="A1330" s="63" t="s">
        <v>4764</v>
      </c>
      <c r="B1330" s="5">
        <v>43893.70416666667</v>
      </c>
      <c r="C1330" s="64"/>
    </row>
    <row r="1331" ht="15.75" customHeight="1">
      <c r="A1331" s="63" t="s">
        <v>2833</v>
      </c>
      <c r="B1331" s="5">
        <v>43893.64861111111</v>
      </c>
      <c r="C1331" s="64"/>
    </row>
    <row r="1332" ht="15.75" customHeight="1">
      <c r="A1332" s="63" t="s">
        <v>4784</v>
      </c>
      <c r="B1332" s="5">
        <v>43893.58125</v>
      </c>
      <c r="C1332" s="64"/>
    </row>
    <row r="1333" ht="15.75" customHeight="1">
      <c r="A1333" s="63" t="s">
        <v>4806</v>
      </c>
      <c r="B1333" s="5">
        <v>43893.532638888886</v>
      </c>
      <c r="C1333" s="64"/>
    </row>
    <row r="1334" ht="15.75" customHeight="1">
      <c r="A1334" s="63" t="s">
        <v>4665</v>
      </c>
      <c r="B1334" s="5">
        <v>43893.47708333333</v>
      </c>
      <c r="C1334" s="64"/>
    </row>
    <row r="1335" ht="15.75" customHeight="1">
      <c r="A1335" s="63" t="s">
        <v>332</v>
      </c>
      <c r="B1335" s="5">
        <v>43893.46875</v>
      </c>
      <c r="C1335" s="64"/>
    </row>
    <row r="1336" ht="15.75" customHeight="1">
      <c r="A1336" s="63" t="s">
        <v>4846</v>
      </c>
      <c r="B1336" s="5">
        <v>43893.45416666667</v>
      </c>
      <c r="C1336" s="64"/>
    </row>
    <row r="1337" ht="15.75" customHeight="1">
      <c r="A1337" s="63" t="s">
        <v>4848</v>
      </c>
      <c r="B1337" s="5">
        <v>43893.42986111111</v>
      </c>
      <c r="C1337" s="64"/>
    </row>
    <row r="1338" ht="15.75" customHeight="1">
      <c r="A1338" s="63" t="s">
        <v>4854</v>
      </c>
      <c r="B1338" s="5">
        <v>43893.39722222222</v>
      </c>
      <c r="C1338" s="64"/>
    </row>
    <row r="1339" ht="15.75" customHeight="1">
      <c r="A1339" s="63" t="s">
        <v>4140</v>
      </c>
      <c r="B1339" s="5">
        <v>43893.35625</v>
      </c>
      <c r="C1339" s="64"/>
    </row>
    <row r="1340" ht="15.75" customHeight="1">
      <c r="A1340" s="63" t="s">
        <v>5565</v>
      </c>
      <c r="B1340" s="5">
        <v>43893.35</v>
      </c>
      <c r="C1340" s="64"/>
    </row>
    <row r="1341" ht="15.75" customHeight="1">
      <c r="A1341" s="63" t="s">
        <v>5566</v>
      </c>
      <c r="B1341" s="5">
        <v>43893.29375</v>
      </c>
      <c r="C1341" s="64"/>
    </row>
    <row r="1342" ht="15.75" customHeight="1">
      <c r="A1342" s="63" t="s">
        <v>4582</v>
      </c>
      <c r="B1342" s="5">
        <v>43892.924305555556</v>
      </c>
      <c r="C1342" s="64"/>
    </row>
    <row r="1343" ht="15.75" customHeight="1">
      <c r="A1343" s="63" t="s">
        <v>4860</v>
      </c>
      <c r="B1343" s="5">
        <v>43892.88333333333</v>
      </c>
      <c r="C1343" s="64"/>
    </row>
    <row r="1344" ht="15.75" customHeight="1">
      <c r="A1344" s="63" t="s">
        <v>4861</v>
      </c>
      <c r="B1344" s="5">
        <v>43892.84861111111</v>
      </c>
      <c r="C1344" s="64"/>
    </row>
    <row r="1345" ht="15.75" customHeight="1">
      <c r="A1345" s="63" t="s">
        <v>4862</v>
      </c>
      <c r="B1345" s="5">
        <v>43892.83611111111</v>
      </c>
      <c r="C1345" s="64"/>
    </row>
    <row r="1346" ht="15.75" customHeight="1">
      <c r="A1346" s="63" t="s">
        <v>5567</v>
      </c>
      <c r="B1346" s="5">
        <v>43892.80347222222</v>
      </c>
      <c r="C1346" s="64"/>
    </row>
    <row r="1347" ht="15.75" customHeight="1">
      <c r="A1347" s="63" t="s">
        <v>5568</v>
      </c>
      <c r="B1347" s="5">
        <v>43892.711805555555</v>
      </c>
      <c r="C1347" s="64"/>
    </row>
    <row r="1348" ht="15.75" customHeight="1">
      <c r="A1348" s="63" t="s">
        <v>5569</v>
      </c>
      <c r="B1348" s="5">
        <v>43892.57777777778</v>
      </c>
      <c r="C1348" s="64"/>
    </row>
    <row r="1349" ht="15.75" customHeight="1">
      <c r="A1349" s="63" t="s">
        <v>1989</v>
      </c>
      <c r="B1349" s="5">
        <v>43892.50555555556</v>
      </c>
      <c r="C1349" s="64"/>
    </row>
    <row r="1350" ht="15.75" customHeight="1">
      <c r="A1350" s="63" t="s">
        <v>5570</v>
      </c>
      <c r="B1350" s="5">
        <v>43892.479166666664</v>
      </c>
      <c r="C1350" s="64"/>
    </row>
    <row r="1351" ht="15.75" customHeight="1">
      <c r="A1351" s="63" t="s">
        <v>4868</v>
      </c>
      <c r="B1351" s="5">
        <v>43892.45277777778</v>
      </c>
      <c r="C1351" s="64"/>
    </row>
    <row r="1352" ht="15.75" customHeight="1">
      <c r="A1352" s="63" t="s">
        <v>4601</v>
      </c>
      <c r="B1352" s="5">
        <v>43891.816666666666</v>
      </c>
      <c r="C1352" s="64"/>
    </row>
    <row r="1353" ht="15.75" customHeight="1">
      <c r="A1353" s="63" t="s">
        <v>5571</v>
      </c>
      <c r="B1353" s="5">
        <v>43891.70625</v>
      </c>
      <c r="C1353" s="64"/>
    </row>
    <row r="1354" ht="15.75" customHeight="1">
      <c r="A1354" s="63" t="s">
        <v>5572</v>
      </c>
      <c r="B1354" s="5">
        <v>43891.680555555555</v>
      </c>
      <c r="C1354" s="64"/>
    </row>
    <row r="1355" ht="15.75" customHeight="1">
      <c r="A1355" s="63" t="s">
        <v>5573</v>
      </c>
      <c r="B1355" s="5">
        <v>43891.575</v>
      </c>
      <c r="C1355" s="64"/>
    </row>
    <row r="1356" ht="15.75" customHeight="1">
      <c r="A1356" s="63" t="s">
        <v>4870</v>
      </c>
      <c r="B1356" s="5">
        <v>43891.12430555555</v>
      </c>
      <c r="C1356" s="64"/>
    </row>
    <row r="1357" ht="15.75" customHeight="1">
      <c r="A1357" s="63" t="s">
        <v>5574</v>
      </c>
      <c r="B1357" s="5">
        <v>43890.79583333333</v>
      </c>
      <c r="C1357" s="64"/>
    </row>
    <row r="1358" ht="15.75" customHeight="1">
      <c r="A1358" s="63" t="s">
        <v>5575</v>
      </c>
      <c r="B1358" s="5">
        <v>43890.76388888889</v>
      </c>
      <c r="C1358" s="64"/>
    </row>
    <row r="1359" ht="15.75" customHeight="1">
      <c r="A1359" s="63" t="s">
        <v>4871</v>
      </c>
      <c r="B1359" s="5">
        <v>43890.586805555555</v>
      </c>
      <c r="C1359" s="64"/>
    </row>
    <row r="1360" ht="15.75" customHeight="1">
      <c r="A1360" s="63" t="s">
        <v>2366</v>
      </c>
      <c r="B1360" s="5">
        <v>43890.45972222222</v>
      </c>
      <c r="C1360" s="64"/>
    </row>
    <row r="1361" ht="15.75" customHeight="1">
      <c r="A1361" s="63" t="s">
        <v>1276</v>
      </c>
      <c r="B1361" s="5">
        <v>43890.42222222222</v>
      </c>
      <c r="C1361" s="64"/>
    </row>
    <row r="1362" ht="15.75" customHeight="1">
      <c r="A1362" s="63" t="s">
        <v>5576</v>
      </c>
      <c r="B1362" s="5">
        <v>43890.28472222222</v>
      </c>
      <c r="C1362" s="64"/>
    </row>
    <row r="1363" ht="15.75" customHeight="1">
      <c r="A1363" s="63" t="s">
        <v>5577</v>
      </c>
      <c r="B1363" s="5">
        <v>43889.85138888889</v>
      </c>
      <c r="C1363" s="64"/>
    </row>
    <row r="1364" ht="15.75" customHeight="1">
      <c r="A1364" s="63" t="s">
        <v>5578</v>
      </c>
      <c r="B1364" s="5">
        <v>43889.674305555556</v>
      </c>
      <c r="C1364" s="64"/>
    </row>
    <row r="1365" ht="15.75" customHeight="1">
      <c r="A1365" s="63" t="s">
        <v>4875</v>
      </c>
      <c r="B1365" s="5">
        <v>43889.62430555555</v>
      </c>
      <c r="C1365" s="64"/>
    </row>
    <row r="1366" ht="15.75" customHeight="1">
      <c r="A1366" s="63" t="s">
        <v>5579</v>
      </c>
      <c r="B1366" s="5">
        <v>43889.56458333333</v>
      </c>
      <c r="C1366" s="64"/>
    </row>
    <row r="1367" ht="15.75" customHeight="1">
      <c r="A1367" s="63" t="s">
        <v>2094</v>
      </c>
      <c r="B1367" s="5">
        <v>43889.56458333333</v>
      </c>
      <c r="C1367" s="64"/>
    </row>
    <row r="1368" ht="15.75" customHeight="1">
      <c r="A1368" s="63" t="s">
        <v>4877</v>
      </c>
      <c r="B1368" s="5">
        <v>43889.00347222222</v>
      </c>
      <c r="C1368" s="64"/>
    </row>
    <row r="1369" ht="15.75" customHeight="1">
      <c r="A1369" s="63" t="s">
        <v>5580</v>
      </c>
      <c r="B1369" s="5">
        <v>43888.99652777778</v>
      </c>
      <c r="C1369" s="64"/>
    </row>
    <row r="1370" ht="15.75" customHeight="1">
      <c r="A1370" s="63" t="s">
        <v>5581</v>
      </c>
      <c r="B1370" s="5">
        <v>43888.92569444444</v>
      </c>
      <c r="C1370" s="64"/>
    </row>
    <row r="1371" ht="15.75" customHeight="1">
      <c r="A1371" s="63" t="s">
        <v>5582</v>
      </c>
      <c r="B1371" s="5">
        <v>43888.916666666664</v>
      </c>
      <c r="C1371" s="64"/>
    </row>
    <row r="1372" ht="15.75" customHeight="1">
      <c r="A1372" s="63" t="s">
        <v>5583</v>
      </c>
      <c r="B1372" s="5">
        <v>43888.88888888889</v>
      </c>
      <c r="C1372" s="64"/>
    </row>
    <row r="1373" ht="15.75" customHeight="1">
      <c r="A1373" s="63" t="s">
        <v>4880</v>
      </c>
      <c r="B1373" s="5">
        <v>43888.80902777778</v>
      </c>
      <c r="C1373" s="64"/>
    </row>
    <row r="1374" ht="15.75" customHeight="1">
      <c r="A1374" s="63" t="s">
        <v>4882</v>
      </c>
      <c r="B1374" s="5">
        <v>43888.62222222222</v>
      </c>
      <c r="C1374" s="64"/>
    </row>
    <row r="1375" ht="15.75" customHeight="1">
      <c r="A1375" s="63" t="s">
        <v>5584</v>
      </c>
      <c r="B1375" s="5">
        <v>43888.52361111111</v>
      </c>
      <c r="C1375" s="64"/>
    </row>
    <row r="1376" ht="15.75" customHeight="1">
      <c r="A1376" s="63" t="s">
        <v>5585</v>
      </c>
      <c r="B1376" s="5">
        <v>43888.430555555555</v>
      </c>
      <c r="C1376" s="64"/>
    </row>
    <row r="1377" ht="15.75" customHeight="1">
      <c r="A1377" s="63" t="s">
        <v>4885</v>
      </c>
      <c r="B1377" s="5">
        <v>43888.42361111111</v>
      </c>
      <c r="C1377" s="64"/>
    </row>
    <row r="1378" ht="15.75" customHeight="1">
      <c r="A1378" s="63" t="s">
        <v>4821</v>
      </c>
      <c r="B1378" s="5">
        <v>43888.379166666666</v>
      </c>
      <c r="C1378" s="64"/>
    </row>
    <row r="1379" ht="15.75" customHeight="1">
      <c r="A1379" s="63" t="s">
        <v>5586</v>
      </c>
      <c r="B1379" s="5">
        <v>43888.356944444444</v>
      </c>
      <c r="C1379" s="64"/>
    </row>
    <row r="1380" ht="15.75" customHeight="1">
      <c r="A1380" s="63" t="s">
        <v>5587</v>
      </c>
      <c r="B1380" s="5">
        <v>43888.34652777778</v>
      </c>
      <c r="C1380" s="64"/>
    </row>
    <row r="1381" ht="15.75" customHeight="1">
      <c r="A1381" s="63" t="s">
        <v>4890</v>
      </c>
      <c r="B1381" s="5">
        <v>43888.333333333336</v>
      </c>
      <c r="C1381" s="64"/>
    </row>
    <row r="1382" ht="15.75" customHeight="1">
      <c r="A1382" s="63" t="s">
        <v>4893</v>
      </c>
      <c r="B1382" s="5">
        <v>43887.75208333333</v>
      </c>
      <c r="C1382" s="64"/>
    </row>
    <row r="1383" ht="15.75" customHeight="1">
      <c r="A1383" s="63" t="s">
        <v>5588</v>
      </c>
      <c r="B1383" s="5">
        <v>43887.58888888889</v>
      </c>
      <c r="C1383" s="64"/>
    </row>
    <row r="1384" ht="15.75" customHeight="1">
      <c r="A1384" s="63" t="s">
        <v>4894</v>
      </c>
      <c r="B1384" s="5">
        <v>43887.552083333336</v>
      </c>
      <c r="C1384" s="64"/>
    </row>
    <row r="1385" ht="15.75" customHeight="1">
      <c r="A1385" s="63" t="s">
        <v>3171</v>
      </c>
      <c r="B1385" s="5">
        <v>43887.45486111111</v>
      </c>
      <c r="C1385" s="64"/>
    </row>
    <row r="1386" ht="15.75" customHeight="1">
      <c r="A1386" s="63" t="s">
        <v>2279</v>
      </c>
      <c r="B1386" s="5">
        <v>43887.42152777778</v>
      </c>
      <c r="C1386" s="64"/>
    </row>
    <row r="1387" ht="15.75" customHeight="1">
      <c r="A1387" s="63" t="s">
        <v>2771</v>
      </c>
      <c r="B1387" s="5">
        <v>43887.36319444444</v>
      </c>
      <c r="C1387" s="64"/>
    </row>
    <row r="1388" ht="15.75" customHeight="1">
      <c r="A1388" s="63" t="s">
        <v>4898</v>
      </c>
      <c r="B1388" s="5">
        <v>43887.018055555556</v>
      </c>
      <c r="C1388" s="64"/>
    </row>
    <row r="1389" ht="15.75" customHeight="1">
      <c r="A1389" s="63" t="s">
        <v>5589</v>
      </c>
      <c r="B1389" s="5">
        <v>43886.970138888886</v>
      </c>
      <c r="C1389" s="64"/>
    </row>
    <row r="1390" ht="15.75" customHeight="1">
      <c r="A1390" s="63" t="s">
        <v>5590</v>
      </c>
      <c r="B1390" s="5">
        <v>43886.81180555555</v>
      </c>
      <c r="C1390" s="64"/>
    </row>
    <row r="1391" ht="15.75" customHeight="1">
      <c r="A1391" s="63" t="s">
        <v>4901</v>
      </c>
      <c r="B1391" s="5">
        <v>43886.76736111111</v>
      </c>
      <c r="C1391" s="64"/>
    </row>
    <row r="1392" ht="15.75" customHeight="1">
      <c r="A1392" s="63" t="s">
        <v>5591</v>
      </c>
      <c r="B1392" s="5">
        <v>43886.740277777775</v>
      </c>
      <c r="C1392" s="64"/>
    </row>
    <row r="1393" ht="15.75" customHeight="1">
      <c r="A1393" s="63" t="s">
        <v>5592</v>
      </c>
      <c r="B1393" s="5">
        <v>43886.73611111111</v>
      </c>
      <c r="C1393" s="64"/>
    </row>
    <row r="1394" ht="15.75" customHeight="1">
      <c r="A1394" s="63" t="s">
        <v>1950</v>
      </c>
      <c r="B1394" s="5">
        <v>43886.64166666667</v>
      </c>
      <c r="C1394" s="64"/>
    </row>
    <row r="1395" ht="15.75" customHeight="1">
      <c r="A1395" s="63" t="s">
        <v>4902</v>
      </c>
      <c r="B1395" s="5">
        <v>43886.57013888889</v>
      </c>
      <c r="C1395" s="64"/>
    </row>
    <row r="1396" ht="15.75" customHeight="1">
      <c r="A1396" s="63" t="s">
        <v>4876</v>
      </c>
      <c r="B1396" s="5">
        <v>43886.49444444444</v>
      </c>
      <c r="C1396" s="64"/>
    </row>
    <row r="1397" ht="15.75" customHeight="1">
      <c r="A1397" s="63" t="s">
        <v>4905</v>
      </c>
      <c r="B1397" s="5">
        <v>43886.376388888886</v>
      </c>
      <c r="C1397" s="64"/>
    </row>
    <row r="1398" ht="15.75" customHeight="1">
      <c r="A1398" s="63" t="s">
        <v>5593</v>
      </c>
      <c r="B1398" s="5">
        <v>43886.302777777775</v>
      </c>
      <c r="C1398" s="64"/>
    </row>
    <row r="1399" ht="15.75" customHeight="1">
      <c r="A1399" s="63" t="s">
        <v>4908</v>
      </c>
      <c r="B1399" s="5">
        <v>43885.97361111111</v>
      </c>
      <c r="C1399" s="64"/>
    </row>
    <row r="1400" ht="15.75" customHeight="1">
      <c r="A1400" s="63" t="s">
        <v>4852</v>
      </c>
      <c r="B1400" s="5">
        <v>43885.67013888889</v>
      </c>
      <c r="C1400" s="64"/>
    </row>
    <row r="1401" ht="15.75" customHeight="1">
      <c r="A1401" s="63" t="s">
        <v>5594</v>
      </c>
      <c r="B1401" s="5">
        <v>43885.65555555555</v>
      </c>
      <c r="C1401" s="64"/>
    </row>
    <row r="1402" ht="15.75" customHeight="1">
      <c r="A1402" s="63" t="s">
        <v>5595</v>
      </c>
      <c r="B1402" s="5">
        <v>43885.61111111111</v>
      </c>
      <c r="C1402" s="64"/>
    </row>
    <row r="1403" ht="15.75" customHeight="1">
      <c r="A1403" s="63" t="s">
        <v>4909</v>
      </c>
      <c r="B1403" s="5">
        <v>43885.60208333333</v>
      </c>
      <c r="C1403" s="64"/>
    </row>
    <row r="1404" ht="15.75" customHeight="1">
      <c r="A1404" s="63" t="s">
        <v>4910</v>
      </c>
      <c r="B1404" s="5">
        <v>43885.54861111111</v>
      </c>
      <c r="C1404" s="64"/>
    </row>
    <row r="1405" ht="15.75" customHeight="1">
      <c r="A1405" s="63" t="s">
        <v>5596</v>
      </c>
      <c r="B1405" s="5">
        <v>43885.53958333333</v>
      </c>
      <c r="C1405" s="64"/>
    </row>
    <row r="1406" ht="15.75" customHeight="1">
      <c r="A1406" s="63" t="s">
        <v>4912</v>
      </c>
      <c r="B1406" s="5">
        <v>43885.47361111111</v>
      </c>
      <c r="C1406" s="64"/>
    </row>
    <row r="1407" ht="15.75" customHeight="1">
      <c r="A1407" s="63" t="s">
        <v>4915</v>
      </c>
      <c r="B1407" s="5">
        <v>43885.32152777778</v>
      </c>
      <c r="C1407" s="64"/>
    </row>
    <row r="1408" ht="15.75" customHeight="1">
      <c r="A1408" s="63" t="s">
        <v>4917</v>
      </c>
      <c r="B1408" s="5">
        <v>43885.29027777778</v>
      </c>
      <c r="C1408" s="64"/>
    </row>
    <row r="1409" ht="15.75" customHeight="1">
      <c r="A1409" s="63" t="s">
        <v>5597</v>
      </c>
      <c r="B1409" s="5">
        <v>43885.27013888889</v>
      </c>
      <c r="C1409" s="64"/>
    </row>
    <row r="1410" ht="15.75" customHeight="1">
      <c r="A1410" s="63" t="s">
        <v>4918</v>
      </c>
      <c r="B1410" s="5">
        <v>43885.03055555555</v>
      </c>
      <c r="C1410" s="64"/>
    </row>
    <row r="1411" ht="15.75" customHeight="1">
      <c r="A1411" s="63" t="s">
        <v>4920</v>
      </c>
      <c r="B1411" s="5">
        <v>43884.90833333333</v>
      </c>
      <c r="C1411" s="64"/>
    </row>
    <row r="1412" ht="15.75" customHeight="1">
      <c r="A1412" s="63" t="s">
        <v>4921</v>
      </c>
      <c r="B1412" s="5">
        <v>43884.85277777778</v>
      </c>
      <c r="C1412" s="64"/>
    </row>
    <row r="1413" ht="15.75" customHeight="1">
      <c r="A1413" s="63" t="s">
        <v>5598</v>
      </c>
      <c r="B1413" s="5">
        <v>43884.025</v>
      </c>
      <c r="C1413" s="64"/>
    </row>
    <row r="1414" ht="15.75" customHeight="1">
      <c r="A1414" s="63" t="s">
        <v>4922</v>
      </c>
      <c r="B1414" s="5">
        <v>43883.839583333334</v>
      </c>
      <c r="C1414" s="64"/>
    </row>
    <row r="1415" ht="15.75" customHeight="1">
      <c r="A1415" s="63" t="s">
        <v>4761</v>
      </c>
      <c r="B1415" s="5">
        <v>43883.68472222222</v>
      </c>
      <c r="C1415" s="64"/>
    </row>
    <row r="1416" ht="15.75" customHeight="1">
      <c r="A1416" s="63" t="s">
        <v>5599</v>
      </c>
      <c r="B1416" s="5">
        <v>43883.68402777778</v>
      </c>
      <c r="C1416" s="64"/>
    </row>
    <row r="1417" ht="15.75" customHeight="1">
      <c r="A1417" s="63" t="s">
        <v>5600</v>
      </c>
      <c r="B1417" s="5">
        <v>43883.63958333333</v>
      </c>
      <c r="C1417" s="64"/>
    </row>
    <row r="1418" ht="15.75" customHeight="1">
      <c r="A1418" s="63" t="s">
        <v>5601</v>
      </c>
      <c r="B1418" s="5">
        <v>43883.57361111111</v>
      </c>
      <c r="C1418" s="64"/>
    </row>
    <row r="1419" ht="15.75" customHeight="1">
      <c r="A1419" s="63" t="s">
        <v>5602</v>
      </c>
      <c r="B1419" s="5">
        <v>43883.319444444445</v>
      </c>
      <c r="C1419" s="64"/>
    </row>
    <row r="1420" ht="15.75" customHeight="1">
      <c r="A1420" s="63" t="s">
        <v>4923</v>
      </c>
      <c r="B1420" s="5">
        <v>43883.13125</v>
      </c>
      <c r="C1420" s="64"/>
    </row>
    <row r="1421" ht="15.75" customHeight="1">
      <c r="A1421" s="63" t="s">
        <v>4924</v>
      </c>
      <c r="B1421" s="5">
        <v>43883.115277777775</v>
      </c>
      <c r="C1421" s="64"/>
    </row>
    <row r="1422" ht="15.75" customHeight="1">
      <c r="A1422" s="63" t="s">
        <v>1150</v>
      </c>
      <c r="B1422" s="5">
        <v>43882.74444444444</v>
      </c>
      <c r="C1422" s="64"/>
    </row>
    <row r="1423" ht="15.75" customHeight="1">
      <c r="A1423" s="63" t="s">
        <v>5603</v>
      </c>
      <c r="B1423" s="5">
        <v>43882.722916666666</v>
      </c>
      <c r="C1423" s="64"/>
    </row>
    <row r="1424" ht="15.75" customHeight="1">
      <c r="A1424" s="63" t="s">
        <v>4926</v>
      </c>
      <c r="B1424" s="5">
        <v>43882.697222222225</v>
      </c>
      <c r="C1424" s="64"/>
    </row>
    <row r="1425" ht="15.75" customHeight="1">
      <c r="A1425" s="63" t="s">
        <v>5604</v>
      </c>
      <c r="B1425" s="5">
        <v>43882.67847222222</v>
      </c>
      <c r="C1425" s="64"/>
    </row>
    <row r="1426" ht="15.75" customHeight="1">
      <c r="A1426" s="63" t="s">
        <v>5605</v>
      </c>
      <c r="B1426" s="5">
        <v>43882.67361111111</v>
      </c>
      <c r="C1426" s="64"/>
    </row>
    <row r="1427" ht="15.75" customHeight="1">
      <c r="A1427" s="63" t="s">
        <v>5606</v>
      </c>
      <c r="B1427" s="5">
        <v>43882.666666666664</v>
      </c>
      <c r="C1427" s="64"/>
    </row>
    <row r="1428" ht="15.75" customHeight="1">
      <c r="A1428" s="63" t="s">
        <v>310</v>
      </c>
      <c r="B1428" s="5">
        <v>43882.55069444444</v>
      </c>
      <c r="C1428" s="64"/>
    </row>
    <row r="1429" ht="15.75" customHeight="1">
      <c r="A1429" s="63" t="s">
        <v>4934</v>
      </c>
      <c r="B1429" s="5">
        <v>43882.345138888886</v>
      </c>
      <c r="C1429" s="64"/>
    </row>
    <row r="1430" ht="15.75" customHeight="1">
      <c r="A1430" s="63" t="s">
        <v>4387</v>
      </c>
      <c r="B1430" s="5">
        <v>43882.32152777778</v>
      </c>
      <c r="C1430" s="64"/>
    </row>
    <row r="1431" ht="15.75" customHeight="1">
      <c r="A1431" s="63" t="s">
        <v>4937</v>
      </c>
      <c r="B1431" s="5">
        <v>43881.97708333333</v>
      </c>
      <c r="C1431" s="64"/>
    </row>
    <row r="1432" ht="15.75" customHeight="1">
      <c r="A1432" s="63" t="s">
        <v>1768</v>
      </c>
      <c r="B1432" s="5">
        <v>43881.907638888886</v>
      </c>
      <c r="C1432" s="64"/>
    </row>
    <row r="1433" ht="15.75" customHeight="1">
      <c r="A1433" s="63" t="s">
        <v>5607</v>
      </c>
      <c r="B1433" s="5">
        <v>43881.561111111114</v>
      </c>
      <c r="C1433" s="64"/>
    </row>
    <row r="1434" ht="15.75" customHeight="1">
      <c r="A1434" s="63" t="s">
        <v>4939</v>
      </c>
      <c r="B1434" s="5">
        <v>43881.52013888889</v>
      </c>
      <c r="C1434" s="64"/>
    </row>
    <row r="1435" ht="15.75" customHeight="1">
      <c r="A1435" s="63" t="s">
        <v>619</v>
      </c>
      <c r="B1435" s="5">
        <v>43881.470138888886</v>
      </c>
      <c r="C1435" s="64"/>
    </row>
    <row r="1436" ht="15.75" customHeight="1">
      <c r="A1436" s="63" t="s">
        <v>5608</v>
      </c>
      <c r="B1436" s="5">
        <v>43880.85625</v>
      </c>
      <c r="C1436" s="64"/>
    </row>
    <row r="1437" ht="15.75" customHeight="1">
      <c r="A1437" s="63" t="s">
        <v>4945</v>
      </c>
      <c r="B1437" s="5">
        <v>43880.811111111114</v>
      </c>
      <c r="C1437" s="64"/>
    </row>
    <row r="1438" ht="15.75" customHeight="1">
      <c r="A1438" s="63" t="s">
        <v>4946</v>
      </c>
      <c r="B1438" s="5">
        <v>43880.71527777778</v>
      </c>
      <c r="C1438" s="64"/>
    </row>
    <row r="1439" ht="15.75" customHeight="1">
      <c r="A1439" s="63" t="s">
        <v>5609</v>
      </c>
      <c r="B1439" s="5">
        <v>43880.65625</v>
      </c>
      <c r="C1439" s="64"/>
    </row>
    <row r="1440" ht="15.75" customHeight="1">
      <c r="A1440" s="63" t="s">
        <v>4949</v>
      </c>
      <c r="B1440" s="5">
        <v>43880.57916666667</v>
      </c>
      <c r="C1440" s="64"/>
    </row>
    <row r="1441" ht="15.75" customHeight="1">
      <c r="A1441" s="63" t="s">
        <v>4950</v>
      </c>
      <c r="B1441" s="5">
        <v>43880.57083333333</v>
      </c>
      <c r="C1441" s="64"/>
    </row>
    <row r="1442" ht="15.75" customHeight="1">
      <c r="A1442" s="63" t="s">
        <v>4953</v>
      </c>
      <c r="B1442" s="5">
        <v>43879.947916666664</v>
      </c>
      <c r="C1442" s="64"/>
    </row>
    <row r="1443" ht="15.75" customHeight="1">
      <c r="A1443" s="63" t="s">
        <v>5610</v>
      </c>
      <c r="B1443" s="5">
        <v>43879.865277777775</v>
      </c>
      <c r="C1443" s="64"/>
    </row>
    <row r="1444" ht="15.75" customHeight="1">
      <c r="A1444" s="63" t="s">
        <v>4954</v>
      </c>
      <c r="B1444" s="5">
        <v>43879.865277777775</v>
      </c>
      <c r="C1444" s="64"/>
    </row>
    <row r="1445" ht="15.75" customHeight="1">
      <c r="A1445" s="63" t="s">
        <v>4957</v>
      </c>
      <c r="B1445" s="5">
        <v>43879.711805555555</v>
      </c>
      <c r="C1445" s="64"/>
    </row>
    <row r="1446" ht="15.75" customHeight="1">
      <c r="A1446" s="63" t="s">
        <v>4959</v>
      </c>
      <c r="B1446" s="5">
        <v>43879.663194444445</v>
      </c>
      <c r="C1446" s="64"/>
    </row>
    <row r="1447" ht="15.75" customHeight="1">
      <c r="A1447" s="63" t="s">
        <v>4960</v>
      </c>
      <c r="B1447" s="5">
        <v>43879.55763888889</v>
      </c>
      <c r="C1447" s="64"/>
    </row>
    <row r="1448" ht="15.75" customHeight="1">
      <c r="A1448" s="63" t="s">
        <v>5611</v>
      </c>
      <c r="B1448" s="5">
        <v>43879.50069444445</v>
      </c>
      <c r="C1448" s="64"/>
    </row>
    <row r="1449" ht="15.75" customHeight="1">
      <c r="A1449" s="63" t="s">
        <v>4962</v>
      </c>
      <c r="B1449" s="5">
        <v>43879.47777777778</v>
      </c>
      <c r="C1449" s="64"/>
    </row>
    <row r="1450" ht="15.75" customHeight="1">
      <c r="A1450" s="63" t="s">
        <v>3118</v>
      </c>
      <c r="B1450" s="5">
        <v>43879.464583333334</v>
      </c>
      <c r="C1450" s="64"/>
    </row>
    <row r="1451" ht="15.75" customHeight="1">
      <c r="A1451" s="63" t="s">
        <v>4965</v>
      </c>
      <c r="B1451" s="5">
        <v>43879.413194444445</v>
      </c>
      <c r="C1451" s="64"/>
    </row>
    <row r="1452" ht="15.75" customHeight="1">
      <c r="A1452" s="63" t="s">
        <v>5612</v>
      </c>
      <c r="B1452" s="5">
        <v>43878.78055555555</v>
      </c>
      <c r="C1452" s="64"/>
    </row>
    <row r="1453" ht="15.75" customHeight="1">
      <c r="A1453" s="63" t="s">
        <v>4970</v>
      </c>
      <c r="B1453" s="5">
        <v>43878.77361111111</v>
      </c>
      <c r="C1453" s="64"/>
    </row>
    <row r="1454" ht="15.75" customHeight="1">
      <c r="A1454" s="63" t="s">
        <v>1638</v>
      </c>
      <c r="B1454" s="5">
        <v>43878.711805555555</v>
      </c>
      <c r="C1454" s="64"/>
    </row>
    <row r="1455" ht="15.75" customHeight="1">
      <c r="A1455" s="63" t="s">
        <v>4020</v>
      </c>
      <c r="B1455" s="5">
        <v>43878.6625</v>
      </c>
      <c r="C1455" s="64"/>
    </row>
    <row r="1456" ht="15.75" customHeight="1">
      <c r="A1456" s="63" t="s">
        <v>5613</v>
      </c>
      <c r="B1456" s="5">
        <v>43878.63402777778</v>
      </c>
      <c r="C1456" s="64"/>
    </row>
    <row r="1457" ht="15.75" customHeight="1">
      <c r="A1457" s="63" t="s">
        <v>4972</v>
      </c>
      <c r="B1457" s="5">
        <v>43878.51875</v>
      </c>
      <c r="C1457" s="64"/>
    </row>
    <row r="1458" ht="15.75" customHeight="1">
      <c r="A1458" s="63" t="s">
        <v>3928</v>
      </c>
      <c r="B1458" s="5">
        <v>43878.45486111111</v>
      </c>
      <c r="C1458" s="64"/>
    </row>
    <row r="1459" ht="15.75" customHeight="1">
      <c r="A1459" s="63" t="s">
        <v>3208</v>
      </c>
      <c r="B1459" s="5">
        <v>43878.43472222222</v>
      </c>
      <c r="C1459" s="64"/>
    </row>
    <row r="1460" ht="15.75" customHeight="1">
      <c r="A1460" s="63" t="s">
        <v>4977</v>
      </c>
      <c r="B1460" s="5">
        <v>43878.427777777775</v>
      </c>
      <c r="C1460" s="64"/>
    </row>
    <row r="1461" ht="15.75" customHeight="1">
      <c r="A1461" s="63" t="s">
        <v>4911</v>
      </c>
      <c r="B1461" s="5">
        <v>43878.4</v>
      </c>
      <c r="C1461" s="64"/>
    </row>
    <row r="1462" ht="15.75" customHeight="1">
      <c r="A1462" s="63" t="s">
        <v>4981</v>
      </c>
      <c r="B1462" s="5">
        <v>43878.36875</v>
      </c>
      <c r="C1462" s="64"/>
    </row>
    <row r="1463" ht="15.75" customHeight="1">
      <c r="A1463" s="63" t="s">
        <v>2378</v>
      </c>
      <c r="B1463" s="5">
        <v>43878.33611111111</v>
      </c>
      <c r="C1463" s="64"/>
    </row>
    <row r="1464" ht="15.75" customHeight="1">
      <c r="A1464" s="63" t="s">
        <v>4986</v>
      </c>
      <c r="B1464" s="5">
        <v>43878.21875</v>
      </c>
      <c r="C1464" s="64"/>
    </row>
    <row r="1465" ht="15.75" customHeight="1">
      <c r="A1465" s="63" t="s">
        <v>4987</v>
      </c>
      <c r="B1465" s="5">
        <v>43877.854166666664</v>
      </c>
      <c r="C1465" s="64"/>
    </row>
    <row r="1466" ht="15.75" customHeight="1">
      <c r="A1466" s="63" t="s">
        <v>4988</v>
      </c>
      <c r="B1466" s="5">
        <v>43877.82847222222</v>
      </c>
      <c r="C1466" s="64"/>
    </row>
    <row r="1467" ht="15.75" customHeight="1">
      <c r="A1467" s="63" t="s">
        <v>4989</v>
      </c>
      <c r="B1467" s="5">
        <v>43877.78611111111</v>
      </c>
      <c r="C1467" s="64"/>
    </row>
    <row r="1468" ht="15.75" customHeight="1">
      <c r="A1468" s="63" t="s">
        <v>4990</v>
      </c>
      <c r="B1468" s="5">
        <v>43877.73541666667</v>
      </c>
      <c r="C1468" s="64"/>
    </row>
    <row r="1469" ht="15.75" customHeight="1">
      <c r="A1469" s="63" t="s">
        <v>4995</v>
      </c>
      <c r="B1469" s="5">
        <v>43877.510416666664</v>
      </c>
      <c r="C1469" s="64"/>
    </row>
    <row r="1470" ht="15.75" customHeight="1">
      <c r="A1470" s="63" t="s">
        <v>5614</v>
      </c>
      <c r="B1470" s="5">
        <v>43877.42361111111</v>
      </c>
      <c r="C1470" s="64"/>
    </row>
    <row r="1471" ht="15.75" customHeight="1">
      <c r="A1471" s="63" t="s">
        <v>4997</v>
      </c>
      <c r="B1471" s="5">
        <v>43877.388194444444</v>
      </c>
      <c r="C1471" s="64"/>
    </row>
    <row r="1472" ht="15.75" customHeight="1">
      <c r="A1472" s="63" t="s">
        <v>5615</v>
      </c>
      <c r="B1472" s="5">
        <v>43876.92222222222</v>
      </c>
      <c r="C1472" s="64"/>
    </row>
    <row r="1473" ht="15.75" customHeight="1">
      <c r="A1473" s="63" t="s">
        <v>3230</v>
      </c>
      <c r="B1473" s="5">
        <v>43876.865277777775</v>
      </c>
      <c r="C1473" s="64"/>
    </row>
    <row r="1474" ht="15.75" customHeight="1">
      <c r="A1474" s="63" t="s">
        <v>5000</v>
      </c>
      <c r="B1474" s="5">
        <v>43876.805555555555</v>
      </c>
      <c r="C1474" s="64"/>
    </row>
    <row r="1475" ht="15.75" customHeight="1">
      <c r="A1475" s="63" t="s">
        <v>5001</v>
      </c>
      <c r="B1475" s="5">
        <v>43876.575</v>
      </c>
      <c r="C1475" s="64"/>
    </row>
    <row r="1476" ht="15.75" customHeight="1">
      <c r="A1476" s="63" t="s">
        <v>5003</v>
      </c>
      <c r="B1476" s="5">
        <v>43876.54652777778</v>
      </c>
      <c r="C1476" s="64"/>
    </row>
    <row r="1477" ht="15.75" customHeight="1">
      <c r="A1477" s="63" t="s">
        <v>5616</v>
      </c>
      <c r="B1477" s="5">
        <v>43876.52569444444</v>
      </c>
      <c r="C1477" s="64"/>
    </row>
    <row r="1478" ht="15.75" customHeight="1">
      <c r="A1478" s="63" t="s">
        <v>4826</v>
      </c>
      <c r="B1478" s="5">
        <v>43876.44027777778</v>
      </c>
      <c r="C1478" s="64"/>
    </row>
    <row r="1479" ht="15.75" customHeight="1">
      <c r="A1479" s="63" t="s">
        <v>5617</v>
      </c>
      <c r="B1479" s="5">
        <v>43876.399305555555</v>
      </c>
      <c r="C1479" s="64"/>
    </row>
    <row r="1480" ht="15.75" customHeight="1">
      <c r="A1480" s="63" t="s">
        <v>5004</v>
      </c>
      <c r="B1480" s="5">
        <v>43876.350694444445</v>
      </c>
      <c r="C1480" s="64"/>
    </row>
    <row r="1481" ht="15.75" customHeight="1">
      <c r="A1481" s="63" t="s">
        <v>5618</v>
      </c>
      <c r="B1481" s="5">
        <v>43876.07430555556</v>
      </c>
      <c r="C1481" s="64"/>
    </row>
    <row r="1482" ht="15.75" customHeight="1">
      <c r="A1482" s="63" t="s">
        <v>5619</v>
      </c>
      <c r="B1482" s="5">
        <v>43875.99652777778</v>
      </c>
      <c r="C1482" s="64"/>
    </row>
    <row r="1483" ht="15.75" customHeight="1">
      <c r="A1483" s="63" t="s">
        <v>5005</v>
      </c>
      <c r="B1483" s="5">
        <v>43875.888194444444</v>
      </c>
      <c r="C1483" s="64"/>
    </row>
    <row r="1484" ht="15.75" customHeight="1">
      <c r="A1484" s="63" t="s">
        <v>5620</v>
      </c>
      <c r="B1484" s="5">
        <v>43875.8875</v>
      </c>
      <c r="C1484" s="64"/>
    </row>
    <row r="1485" ht="15.75" customHeight="1">
      <c r="A1485" s="63" t="s">
        <v>5006</v>
      </c>
      <c r="B1485" s="5">
        <v>43875.80763888889</v>
      </c>
      <c r="C1485" s="64"/>
    </row>
    <row r="1486" ht="15.75" customHeight="1">
      <c r="A1486" s="63" t="s">
        <v>4952</v>
      </c>
      <c r="B1486" s="5">
        <v>43875.72777777778</v>
      </c>
      <c r="C1486" s="64"/>
    </row>
    <row r="1487" ht="15.75" customHeight="1">
      <c r="A1487" s="63" t="s">
        <v>5621</v>
      </c>
      <c r="B1487" s="5">
        <v>43875.55</v>
      </c>
      <c r="C1487" s="64"/>
    </row>
    <row r="1488" ht="15.75" customHeight="1">
      <c r="A1488" s="63" t="s">
        <v>5010</v>
      </c>
      <c r="B1488" s="5">
        <v>43875.53472222222</v>
      </c>
      <c r="C1488" s="64"/>
    </row>
    <row r="1489" ht="15.75" customHeight="1">
      <c r="A1489" s="63" t="s">
        <v>5011</v>
      </c>
      <c r="B1489" s="5">
        <v>43875.50902777778</v>
      </c>
      <c r="C1489" s="64"/>
    </row>
    <row r="1490" ht="15.75" customHeight="1">
      <c r="A1490" s="63" t="s">
        <v>3309</v>
      </c>
      <c r="B1490" s="5">
        <v>43875.49097222222</v>
      </c>
      <c r="C1490" s="64"/>
    </row>
    <row r="1491" ht="15.75" customHeight="1">
      <c r="A1491" s="63" t="s">
        <v>5012</v>
      </c>
      <c r="B1491" s="5">
        <v>43875.47708333333</v>
      </c>
      <c r="C1491" s="64"/>
    </row>
    <row r="1492" ht="15.75" customHeight="1">
      <c r="A1492" s="63" t="s">
        <v>5014</v>
      </c>
      <c r="B1492" s="5">
        <v>43875.464583333334</v>
      </c>
      <c r="C1492" s="64"/>
    </row>
    <row r="1493" ht="15.75" customHeight="1">
      <c r="A1493" s="63" t="s">
        <v>5622</v>
      </c>
      <c r="B1493" s="5">
        <v>43875.45277777778</v>
      </c>
      <c r="C1493" s="64"/>
    </row>
    <row r="1494" ht="15.75" customHeight="1">
      <c r="A1494" s="63" t="s">
        <v>5623</v>
      </c>
      <c r="B1494" s="5">
        <v>43875.39861111111</v>
      </c>
      <c r="C1494" s="64"/>
    </row>
    <row r="1495" ht="15.75" customHeight="1">
      <c r="A1495" s="63" t="s">
        <v>5019</v>
      </c>
      <c r="B1495" s="5">
        <v>43875.34097222222</v>
      </c>
      <c r="C1495" s="64"/>
    </row>
    <row r="1496" ht="15.75" customHeight="1">
      <c r="A1496" s="63" t="s">
        <v>5624</v>
      </c>
      <c r="B1496" s="5">
        <v>43875.32916666667</v>
      </c>
      <c r="C1496" s="64"/>
    </row>
    <row r="1497" ht="15.75" customHeight="1">
      <c r="A1497" s="63" t="s">
        <v>1503</v>
      </c>
      <c r="B1497" s="5">
        <v>43874.96666666667</v>
      </c>
      <c r="C1497" s="64"/>
    </row>
    <row r="1498" ht="15.75" customHeight="1">
      <c r="A1498" s="63" t="s">
        <v>5625</v>
      </c>
      <c r="B1498" s="5">
        <v>43874.95208333333</v>
      </c>
      <c r="C1498" s="64"/>
    </row>
    <row r="1499" ht="15.75" customHeight="1">
      <c r="A1499" s="63" t="s">
        <v>5626</v>
      </c>
      <c r="B1499" s="5">
        <v>43874.92986111111</v>
      </c>
      <c r="C1499" s="64"/>
    </row>
    <row r="1500" ht="15.75" customHeight="1">
      <c r="A1500" s="63" t="s">
        <v>5021</v>
      </c>
      <c r="B1500" s="5">
        <v>43874.868055555555</v>
      </c>
      <c r="C1500" s="64"/>
    </row>
    <row r="1501" ht="15.75" customHeight="1">
      <c r="A1501" s="63" t="s">
        <v>4973</v>
      </c>
      <c r="B1501" s="5">
        <v>43874.83263888889</v>
      </c>
      <c r="C1501" s="64"/>
    </row>
    <row r="1502" ht="15.75" customHeight="1">
      <c r="A1502" s="63" t="s">
        <v>5022</v>
      </c>
      <c r="B1502" s="5">
        <v>43874.80138888889</v>
      </c>
      <c r="C1502" s="64"/>
    </row>
    <row r="1503" ht="15.75" customHeight="1">
      <c r="A1503" s="63" t="s">
        <v>767</v>
      </c>
      <c r="B1503" s="5">
        <v>43874.77638888889</v>
      </c>
      <c r="C1503" s="64"/>
    </row>
    <row r="1504" ht="15.75" customHeight="1">
      <c r="A1504" s="63" t="s">
        <v>5627</v>
      </c>
      <c r="B1504" s="5">
        <v>43874.60486111111</v>
      </c>
      <c r="C1504" s="64"/>
    </row>
    <row r="1505" ht="15.75" customHeight="1">
      <c r="A1505" s="63" t="s">
        <v>5023</v>
      </c>
      <c r="B1505" s="5">
        <v>43874.56805555556</v>
      </c>
      <c r="C1505" s="64"/>
    </row>
    <row r="1506" ht="15.75" customHeight="1">
      <c r="A1506" s="63" t="s">
        <v>1127</v>
      </c>
      <c r="B1506" s="5">
        <v>43874.52361111111</v>
      </c>
      <c r="C1506" s="64"/>
    </row>
    <row r="1507" ht="15.75" customHeight="1">
      <c r="A1507" s="63" t="s">
        <v>5025</v>
      </c>
      <c r="B1507" s="5">
        <v>43874.51666666667</v>
      </c>
      <c r="C1507" s="64"/>
    </row>
    <row r="1508" ht="15.75" customHeight="1">
      <c r="A1508" s="63" t="s">
        <v>5024</v>
      </c>
      <c r="B1508" s="5">
        <v>43874.51527777778</v>
      </c>
      <c r="C1508" s="64"/>
    </row>
    <row r="1509" ht="15.75" customHeight="1">
      <c r="A1509" s="63" t="s">
        <v>2151</v>
      </c>
      <c r="B1509" s="5">
        <v>43874.28194444445</v>
      </c>
      <c r="C1509" s="64"/>
    </row>
    <row r="1510" ht="15.75" customHeight="1">
      <c r="A1510" s="63" t="s">
        <v>4943</v>
      </c>
      <c r="B1510" s="5">
        <v>43873.93125</v>
      </c>
      <c r="C1510" s="64"/>
    </row>
    <row r="1511" ht="15.75" customHeight="1">
      <c r="A1511" s="63" t="s">
        <v>5029</v>
      </c>
      <c r="B1511" s="5">
        <v>43873.86666666667</v>
      </c>
      <c r="C1511" s="64"/>
    </row>
    <row r="1512" ht="15.75" customHeight="1">
      <c r="A1512" s="63" t="s">
        <v>5030</v>
      </c>
      <c r="B1512" s="5">
        <v>43873.856944444444</v>
      </c>
      <c r="C1512" s="64"/>
    </row>
    <row r="1513" ht="15.75" customHeight="1">
      <c r="A1513" s="63" t="s">
        <v>5032</v>
      </c>
      <c r="B1513" s="5">
        <v>43873.60277777778</v>
      </c>
      <c r="C1513" s="64"/>
    </row>
    <row r="1514" ht="15.75" customHeight="1">
      <c r="A1514" s="63" t="s">
        <v>5628</v>
      </c>
      <c r="B1514" s="5">
        <v>43873.58263888889</v>
      </c>
      <c r="C1514" s="64"/>
    </row>
    <row r="1515" ht="15.75" customHeight="1">
      <c r="A1515" s="63" t="s">
        <v>5033</v>
      </c>
      <c r="B1515" s="5">
        <v>43873.55972222222</v>
      </c>
      <c r="C1515" s="64"/>
    </row>
    <row r="1516" ht="15.75" customHeight="1">
      <c r="A1516" s="63" t="s">
        <v>5034</v>
      </c>
      <c r="B1516" s="5">
        <v>43873.49930555555</v>
      </c>
      <c r="C1516" s="64"/>
    </row>
    <row r="1517" ht="15.75" customHeight="1">
      <c r="A1517" s="63" t="s">
        <v>5035</v>
      </c>
      <c r="B1517" s="5">
        <v>43873.42916666667</v>
      </c>
      <c r="C1517" s="64"/>
    </row>
    <row r="1518" ht="15.75" customHeight="1">
      <c r="A1518" s="63" t="s">
        <v>5036</v>
      </c>
      <c r="B1518" s="5">
        <v>43873.28472222222</v>
      </c>
      <c r="C1518" s="64"/>
    </row>
    <row r="1519" ht="15.75" customHeight="1">
      <c r="A1519" s="63" t="s">
        <v>5037</v>
      </c>
      <c r="B1519" s="5">
        <v>43873.03402777778</v>
      </c>
      <c r="C1519" s="64"/>
    </row>
    <row r="1520" ht="15.75" customHeight="1">
      <c r="A1520" s="63" t="s">
        <v>5038</v>
      </c>
      <c r="B1520" s="5">
        <v>43872.92291666667</v>
      </c>
      <c r="C1520" s="64"/>
    </row>
    <row r="1521" ht="15.75" customHeight="1">
      <c r="A1521" s="63" t="s">
        <v>2219</v>
      </c>
      <c r="B1521" s="5">
        <v>43872.78611111111</v>
      </c>
      <c r="C1521" s="64"/>
    </row>
    <row r="1522" ht="15.75" customHeight="1">
      <c r="A1522" s="63" t="s">
        <v>5039</v>
      </c>
      <c r="B1522" s="5">
        <v>43872.74166666667</v>
      </c>
      <c r="C1522" s="64"/>
    </row>
    <row r="1523" ht="15.75" customHeight="1">
      <c r="A1523" s="63" t="s">
        <v>5040</v>
      </c>
      <c r="B1523" s="5">
        <v>43872.711805555555</v>
      </c>
      <c r="C1523" s="64"/>
    </row>
    <row r="1524" ht="15.75" customHeight="1">
      <c r="A1524" s="63" t="s">
        <v>5041</v>
      </c>
      <c r="B1524" s="5">
        <v>43872.68680555555</v>
      </c>
      <c r="C1524" s="64"/>
    </row>
    <row r="1525" ht="15.75" customHeight="1">
      <c r="A1525" s="63" t="s">
        <v>3299</v>
      </c>
      <c r="B1525" s="5">
        <v>43872.62708333333</v>
      </c>
      <c r="C1525" s="64"/>
    </row>
    <row r="1526" ht="15.75" customHeight="1">
      <c r="A1526" s="63" t="s">
        <v>4544</v>
      </c>
      <c r="B1526" s="5">
        <v>43872.62152777778</v>
      </c>
      <c r="C1526" s="64"/>
    </row>
    <row r="1527" ht="15.75" customHeight="1">
      <c r="A1527" s="63" t="s">
        <v>5629</v>
      </c>
      <c r="B1527" s="5">
        <v>43872.59652777778</v>
      </c>
      <c r="C1527" s="64"/>
    </row>
    <row r="1528" ht="15.75" customHeight="1">
      <c r="A1528" s="63" t="s">
        <v>5630</v>
      </c>
      <c r="B1528" s="5">
        <v>43872.538194444445</v>
      </c>
      <c r="C1528" s="64"/>
    </row>
    <row r="1529" ht="15.75" customHeight="1">
      <c r="A1529" s="63" t="s">
        <v>5042</v>
      </c>
      <c r="B1529" s="5">
        <v>43872.52638888889</v>
      </c>
      <c r="C1529" s="64"/>
    </row>
    <row r="1530" ht="15.75" customHeight="1">
      <c r="A1530" s="63" t="s">
        <v>4699</v>
      </c>
      <c r="B1530" s="5">
        <v>43872.4625</v>
      </c>
      <c r="C1530" s="64"/>
    </row>
    <row r="1531" ht="15.75" customHeight="1">
      <c r="A1531" s="63" t="s">
        <v>3241</v>
      </c>
      <c r="B1531" s="5">
        <v>43872.4125</v>
      </c>
      <c r="C1531" s="64"/>
    </row>
    <row r="1532" ht="15.75" customHeight="1">
      <c r="A1532" s="63" t="s">
        <v>3868</v>
      </c>
      <c r="B1532" s="5">
        <v>43872.402083333334</v>
      </c>
      <c r="C1532" s="64"/>
    </row>
    <row r="1533" ht="15.75" customHeight="1">
      <c r="A1533" s="63" t="s">
        <v>1928</v>
      </c>
      <c r="B1533" s="5">
        <v>43871.927083333336</v>
      </c>
      <c r="C1533" s="64"/>
    </row>
    <row r="1534" ht="15.75" customHeight="1">
      <c r="A1534" s="63" t="s">
        <v>5045</v>
      </c>
      <c r="B1534" s="5">
        <v>43871.90347222222</v>
      </c>
      <c r="C1534" s="64"/>
    </row>
    <row r="1535" ht="15.75" customHeight="1">
      <c r="A1535" s="63" t="s">
        <v>1593</v>
      </c>
      <c r="B1535" s="5">
        <v>43871.569444444445</v>
      </c>
      <c r="C1535" s="64"/>
    </row>
    <row r="1536" ht="15.75" customHeight="1">
      <c r="A1536" s="63" t="s">
        <v>5049</v>
      </c>
      <c r="B1536" s="5">
        <v>43871.549305555556</v>
      </c>
      <c r="C1536" s="64"/>
    </row>
    <row r="1537" ht="15.75" customHeight="1">
      <c r="A1537" s="63" t="s">
        <v>4156</v>
      </c>
      <c r="B1537" s="5">
        <v>43871.46111111111</v>
      </c>
      <c r="C1537" s="64"/>
    </row>
    <row r="1538" ht="15.75" customHeight="1">
      <c r="A1538" s="63" t="s">
        <v>574</v>
      </c>
      <c r="B1538" s="5">
        <v>43871.39236111111</v>
      </c>
      <c r="C1538" s="64"/>
    </row>
    <row r="1539" ht="15.75" customHeight="1">
      <c r="A1539" s="63" t="s">
        <v>5054</v>
      </c>
      <c r="B1539" s="5">
        <v>43870.95416666667</v>
      </c>
      <c r="C1539" s="64"/>
    </row>
    <row r="1540" ht="15.75" customHeight="1">
      <c r="A1540" s="63" t="s">
        <v>5055</v>
      </c>
      <c r="B1540" s="5">
        <v>43870.91111111111</v>
      </c>
      <c r="C1540" s="64"/>
    </row>
    <row r="1541" ht="15.75" customHeight="1">
      <c r="A1541" s="63" t="s">
        <v>5057</v>
      </c>
      <c r="B1541" s="5">
        <v>43870.873611111114</v>
      </c>
      <c r="C1541" s="64"/>
    </row>
    <row r="1542" ht="15.75" customHeight="1">
      <c r="A1542" s="63" t="s">
        <v>5631</v>
      </c>
      <c r="B1542" s="5">
        <v>43870.82152777778</v>
      </c>
      <c r="C1542" s="64"/>
    </row>
    <row r="1543" ht="15.75" customHeight="1">
      <c r="A1543" s="63" t="s">
        <v>5058</v>
      </c>
      <c r="B1543" s="5">
        <v>43870.66805555556</v>
      </c>
      <c r="C1543" s="64"/>
    </row>
    <row r="1544" ht="15.75" customHeight="1">
      <c r="A1544" s="63" t="s">
        <v>5060</v>
      </c>
      <c r="B1544" s="5">
        <v>43870.399305555555</v>
      </c>
      <c r="C1544" s="64"/>
    </row>
    <row r="1545" ht="15.75" customHeight="1">
      <c r="A1545" s="63" t="s">
        <v>5632</v>
      </c>
      <c r="B1545" s="5">
        <v>43869.853472222225</v>
      </c>
      <c r="C1545" s="64"/>
    </row>
    <row r="1546" ht="15.75" customHeight="1">
      <c r="A1546" s="63" t="s">
        <v>5633</v>
      </c>
      <c r="B1546" s="5">
        <v>43869.78888888889</v>
      </c>
      <c r="C1546" s="64"/>
    </row>
    <row r="1547" ht="15.75" customHeight="1">
      <c r="A1547" s="63" t="s">
        <v>4548</v>
      </c>
      <c r="B1547" s="5">
        <v>43869.75555555556</v>
      </c>
      <c r="C1547" s="64"/>
    </row>
    <row r="1548" ht="15.75" customHeight="1">
      <c r="A1548" s="63" t="s">
        <v>5634</v>
      </c>
      <c r="B1548" s="5">
        <v>43869.56041666667</v>
      </c>
      <c r="C1548" s="64"/>
    </row>
    <row r="1549" ht="15.75" customHeight="1">
      <c r="A1549" s="63" t="s">
        <v>2754</v>
      </c>
      <c r="B1549" s="5">
        <v>43869.43541666667</v>
      </c>
      <c r="C1549" s="64"/>
    </row>
    <row r="1550" ht="15.75" customHeight="1">
      <c r="A1550" s="63" t="s">
        <v>5061</v>
      </c>
      <c r="B1550" s="5">
        <v>43869.32152777778</v>
      </c>
      <c r="C1550" s="64"/>
    </row>
    <row r="1551" ht="15.75" customHeight="1">
      <c r="A1551" s="63" t="s">
        <v>5063</v>
      </c>
      <c r="B1551" s="5">
        <v>43868.947222222225</v>
      </c>
      <c r="C1551" s="64"/>
    </row>
    <row r="1552" ht="15.75" customHeight="1">
      <c r="A1552" s="63" t="s">
        <v>5067</v>
      </c>
      <c r="B1552" s="5">
        <v>43868.56319444445</v>
      </c>
      <c r="C1552" s="64"/>
    </row>
    <row r="1553" ht="15.75" customHeight="1">
      <c r="A1553" s="63" t="s">
        <v>5635</v>
      </c>
      <c r="B1553" s="5">
        <v>43868.54861111111</v>
      </c>
      <c r="C1553" s="64"/>
    </row>
    <row r="1554" ht="15.75" customHeight="1">
      <c r="A1554" s="63" t="s">
        <v>1714</v>
      </c>
      <c r="B1554" s="5">
        <v>43868.40347222222</v>
      </c>
      <c r="C1554" s="64"/>
    </row>
    <row r="1555" ht="15.75" customHeight="1">
      <c r="A1555" s="63" t="s">
        <v>5071</v>
      </c>
      <c r="B1555" s="5">
        <v>43868.365277777775</v>
      </c>
      <c r="C1555" s="64"/>
    </row>
    <row r="1556" ht="15.75" customHeight="1">
      <c r="A1556" s="63" t="s">
        <v>5072</v>
      </c>
      <c r="B1556" s="5">
        <v>43868.05416666667</v>
      </c>
      <c r="C1556" s="64"/>
    </row>
    <row r="1557" ht="15.75" customHeight="1">
      <c r="A1557" s="63" t="s">
        <v>4598</v>
      </c>
      <c r="B1557" s="5">
        <v>43867.975694444445</v>
      </c>
      <c r="C1557" s="64"/>
    </row>
    <row r="1558" ht="15.75" customHeight="1">
      <c r="A1558" s="63" t="s">
        <v>4244</v>
      </c>
      <c r="B1558" s="5">
        <v>43867.91111111111</v>
      </c>
      <c r="C1558" s="64"/>
    </row>
    <row r="1559" ht="15.75" customHeight="1">
      <c r="A1559" s="63" t="s">
        <v>5636</v>
      </c>
      <c r="B1559" s="5">
        <v>43867.84444444445</v>
      </c>
      <c r="C1559" s="64"/>
    </row>
    <row r="1560" ht="15.75" customHeight="1">
      <c r="A1560" s="63" t="s">
        <v>4820</v>
      </c>
      <c r="B1560" s="5">
        <v>43867.81041666667</v>
      </c>
      <c r="C1560" s="64"/>
    </row>
    <row r="1561" ht="15.75" customHeight="1">
      <c r="A1561" s="63" t="s">
        <v>4609</v>
      </c>
      <c r="B1561" s="5">
        <v>43867.69583333333</v>
      </c>
      <c r="C1561" s="64"/>
    </row>
    <row r="1562" ht="15.75" customHeight="1">
      <c r="A1562" s="63" t="s">
        <v>5074</v>
      </c>
      <c r="B1562" s="5">
        <v>43867.597916666666</v>
      </c>
      <c r="C1562" s="64"/>
    </row>
    <row r="1563" ht="15.75" customHeight="1">
      <c r="A1563" s="63" t="s">
        <v>4697</v>
      </c>
      <c r="B1563" s="5">
        <v>43867.45763888889</v>
      </c>
      <c r="C1563" s="64"/>
    </row>
    <row r="1564" ht="15.75" customHeight="1">
      <c r="A1564" s="63" t="s">
        <v>4788</v>
      </c>
      <c r="B1564" s="5">
        <v>43867.45347222222</v>
      </c>
      <c r="C1564" s="64"/>
    </row>
    <row r="1565" ht="15.75" customHeight="1">
      <c r="A1565" s="63" t="s">
        <v>3367</v>
      </c>
      <c r="B1565" s="5">
        <v>43867.41875</v>
      </c>
      <c r="C1565" s="64"/>
    </row>
    <row r="1566" ht="15.75" customHeight="1">
      <c r="A1566" s="63" t="s">
        <v>4650</v>
      </c>
      <c r="B1566" s="5">
        <v>43867.37430555555</v>
      </c>
      <c r="C1566" s="64"/>
    </row>
    <row r="1567" ht="15.75" customHeight="1">
      <c r="A1567" s="63" t="s">
        <v>5637</v>
      </c>
      <c r="B1567" s="5">
        <v>43867.025</v>
      </c>
      <c r="C1567" s="64"/>
    </row>
    <row r="1568" ht="15.75" customHeight="1">
      <c r="A1568" s="63" t="s">
        <v>1138</v>
      </c>
      <c r="B1568" s="5">
        <v>43866.89791666667</v>
      </c>
      <c r="C1568" s="64"/>
    </row>
    <row r="1569" ht="15.75" customHeight="1">
      <c r="A1569" s="63" t="s">
        <v>5638</v>
      </c>
      <c r="B1569" s="5">
        <v>43866.82847222222</v>
      </c>
      <c r="C1569" s="64"/>
    </row>
    <row r="1570" ht="15.75" customHeight="1">
      <c r="A1570" s="63" t="s">
        <v>5639</v>
      </c>
      <c r="B1570" s="5">
        <v>43866.73541666667</v>
      </c>
      <c r="C1570" s="64"/>
    </row>
    <row r="1571" ht="15.75" customHeight="1">
      <c r="A1571" s="63" t="s">
        <v>830</v>
      </c>
      <c r="B1571" s="5">
        <v>43866.61041666667</v>
      </c>
      <c r="C1571" s="64"/>
    </row>
    <row r="1572" ht="15.75" customHeight="1">
      <c r="A1572" s="63" t="s">
        <v>3062</v>
      </c>
      <c r="B1572" s="5">
        <v>43866.520833333336</v>
      </c>
      <c r="C1572" s="64"/>
    </row>
    <row r="1573" ht="15.75" customHeight="1">
      <c r="A1573" s="63" t="s">
        <v>398</v>
      </c>
      <c r="B1573" s="5">
        <v>43866.40416666667</v>
      </c>
      <c r="C1573" s="64"/>
    </row>
    <row r="1574" ht="15.75" customHeight="1">
      <c r="A1574" s="63" t="s">
        <v>5640</v>
      </c>
      <c r="B1574" s="5">
        <v>43866.39722222222</v>
      </c>
      <c r="C1574" s="64"/>
    </row>
    <row r="1575" ht="15.75" customHeight="1">
      <c r="A1575" s="63" t="s">
        <v>5015</v>
      </c>
      <c r="B1575" s="5">
        <v>43866.36041666667</v>
      </c>
      <c r="C1575" s="64"/>
    </row>
    <row r="1576" ht="15.75" customHeight="1">
      <c r="A1576" s="63" t="s">
        <v>5641</v>
      </c>
      <c r="B1576" s="5">
        <v>43866.35555555556</v>
      </c>
      <c r="C1576" s="64"/>
    </row>
    <row r="1577" ht="15.75" customHeight="1">
      <c r="A1577" s="63" t="s">
        <v>5642</v>
      </c>
      <c r="B1577" s="5">
        <v>43866.31319444445</v>
      </c>
      <c r="C1577" s="64"/>
    </row>
    <row r="1578" ht="15.75" customHeight="1">
      <c r="A1578" s="63" t="s">
        <v>5095</v>
      </c>
      <c r="B1578" s="5">
        <v>43865.92569444444</v>
      </c>
      <c r="C1578" s="64"/>
    </row>
    <row r="1579" ht="15.75" customHeight="1">
      <c r="A1579" s="63" t="s">
        <v>742</v>
      </c>
      <c r="B1579" s="5">
        <v>43865.81180555555</v>
      </c>
      <c r="C1579" s="64"/>
    </row>
    <row r="1580" ht="15.75" customHeight="1">
      <c r="A1580" s="63" t="s">
        <v>5052</v>
      </c>
      <c r="B1580" s="5">
        <v>43865.75833333333</v>
      </c>
      <c r="C1580" s="64"/>
    </row>
    <row r="1581" ht="15.75" customHeight="1">
      <c r="A1581" s="63" t="s">
        <v>4808</v>
      </c>
      <c r="B1581" s="5">
        <v>43865.71666666667</v>
      </c>
      <c r="C1581" s="64"/>
    </row>
    <row r="1582" ht="15.75" customHeight="1">
      <c r="A1582" s="63" t="s">
        <v>5643</v>
      </c>
      <c r="B1582" s="5">
        <v>43865.64722222222</v>
      </c>
      <c r="C1582" s="64"/>
    </row>
    <row r="1583" ht="15.75" customHeight="1">
      <c r="A1583" s="63" t="s">
        <v>5644</v>
      </c>
      <c r="B1583" s="5">
        <v>43865.64444444444</v>
      </c>
      <c r="C1583" s="64"/>
    </row>
    <row r="1584" ht="15.75" customHeight="1">
      <c r="A1584" s="63" t="s">
        <v>5645</v>
      </c>
      <c r="B1584" s="5">
        <v>43865.62847222222</v>
      </c>
      <c r="C1584" s="64"/>
    </row>
    <row r="1585" ht="15.75" customHeight="1">
      <c r="A1585" s="63" t="s">
        <v>5646</v>
      </c>
      <c r="B1585" s="5">
        <v>43865.61944444444</v>
      </c>
      <c r="C1585" s="64"/>
    </row>
    <row r="1586" ht="15.75" customHeight="1">
      <c r="A1586" s="63" t="s">
        <v>5099</v>
      </c>
      <c r="B1586" s="5">
        <v>43865.52569444444</v>
      </c>
      <c r="C1586" s="64"/>
    </row>
    <row r="1587" ht="15.75" customHeight="1">
      <c r="A1587" s="63" t="s">
        <v>3444</v>
      </c>
      <c r="B1587" s="5">
        <v>43865.46388888889</v>
      </c>
      <c r="C1587" s="64"/>
    </row>
    <row r="1588" ht="15.75" customHeight="1">
      <c r="A1588" s="63" t="s">
        <v>1648</v>
      </c>
      <c r="B1588" s="5">
        <v>43865.46319444444</v>
      </c>
      <c r="C1588" s="64"/>
    </row>
    <row r="1589" ht="15.75" customHeight="1">
      <c r="A1589" s="63" t="s">
        <v>616</v>
      </c>
      <c r="B1589" s="5">
        <v>43865.46041666667</v>
      </c>
      <c r="C1589" s="64"/>
    </row>
    <row r="1590" ht="15.75" customHeight="1">
      <c r="A1590" s="63" t="s">
        <v>2394</v>
      </c>
      <c r="B1590" s="5">
        <v>43865.438888888886</v>
      </c>
      <c r="C1590" s="64"/>
    </row>
    <row r="1591" ht="15.75" customHeight="1">
      <c r="A1591" s="63" t="s">
        <v>1710</v>
      </c>
      <c r="B1591" s="5">
        <v>43865.36319444444</v>
      </c>
      <c r="C1591" s="64"/>
    </row>
    <row r="1592" ht="15.75" customHeight="1">
      <c r="A1592" s="63" t="s">
        <v>1304</v>
      </c>
      <c r="B1592" s="5">
        <v>43865.36041666667</v>
      </c>
      <c r="C1592" s="64"/>
    </row>
    <row r="1593" ht="15.75" customHeight="1">
      <c r="A1593" s="63" t="s">
        <v>5017</v>
      </c>
      <c r="B1593" s="5">
        <v>43865.07986111111</v>
      </c>
      <c r="C1593" s="64"/>
    </row>
    <row r="1594" ht="15.75" customHeight="1">
      <c r="A1594" s="63" t="s">
        <v>2314</v>
      </c>
      <c r="B1594" s="5">
        <v>43864.9</v>
      </c>
      <c r="C1594" s="64"/>
    </row>
    <row r="1595" ht="15.75" customHeight="1">
      <c r="A1595" s="63" t="s">
        <v>1192</v>
      </c>
      <c r="B1595" s="5">
        <v>43864.64166666667</v>
      </c>
      <c r="C1595" s="64"/>
    </row>
    <row r="1596" ht="15.75" customHeight="1">
      <c r="A1596" s="63" t="s">
        <v>4716</v>
      </c>
      <c r="B1596" s="5">
        <v>43864.64027777778</v>
      </c>
      <c r="C1596" s="64"/>
    </row>
    <row r="1597" ht="15.75" customHeight="1">
      <c r="A1597" s="63" t="s">
        <v>5108</v>
      </c>
      <c r="B1597" s="5">
        <v>43864.44236111111</v>
      </c>
      <c r="C1597" s="64"/>
    </row>
    <row r="1598" ht="15.75" customHeight="1">
      <c r="A1598" s="63" t="s">
        <v>5647</v>
      </c>
      <c r="B1598" s="5">
        <v>43863.915972222225</v>
      </c>
      <c r="C1598" s="64"/>
    </row>
    <row r="1599" ht="15.75" customHeight="1">
      <c r="A1599" s="63" t="s">
        <v>5648</v>
      </c>
      <c r="B1599" s="5">
        <v>43863.80069444444</v>
      </c>
      <c r="C1599" s="64"/>
    </row>
    <row r="1600" ht="15.75" customHeight="1">
      <c r="A1600" s="63" t="s">
        <v>5111</v>
      </c>
      <c r="B1600" s="5">
        <v>43863.79027777778</v>
      </c>
      <c r="C1600" s="64"/>
    </row>
    <row r="1601" ht="15.75" customHeight="1">
      <c r="A1601" s="63" t="s">
        <v>5649</v>
      </c>
      <c r="B1601" s="5">
        <v>43863.72430555556</v>
      </c>
      <c r="C1601" s="64"/>
    </row>
    <row r="1602" ht="15.75" customHeight="1">
      <c r="A1602" s="63" t="s">
        <v>5650</v>
      </c>
      <c r="B1602" s="5">
        <v>43863.53055555555</v>
      </c>
      <c r="C1602" s="64"/>
    </row>
    <row r="1603" ht="15.75" customHeight="1">
      <c r="A1603" s="63" t="s">
        <v>5651</v>
      </c>
      <c r="B1603" s="5">
        <v>43863.13611111111</v>
      </c>
      <c r="C1603" s="64"/>
    </row>
    <row r="1604" ht="15.75" customHeight="1">
      <c r="A1604" s="63" t="s">
        <v>4772</v>
      </c>
      <c r="B1604" s="5">
        <v>43863.09097222222</v>
      </c>
      <c r="C1604" s="64"/>
    </row>
    <row r="1605" ht="15.75" customHeight="1">
      <c r="A1605" s="63" t="s">
        <v>5652</v>
      </c>
      <c r="B1605" s="5">
        <v>43862.990277777775</v>
      </c>
      <c r="C1605" s="64"/>
    </row>
    <row r="1606" ht="15.75" customHeight="1">
      <c r="A1606" s="63" t="s">
        <v>5653</v>
      </c>
      <c r="B1606" s="5">
        <v>43862.86041666667</v>
      </c>
      <c r="C1606" s="64"/>
    </row>
    <row r="1607" ht="15.75" customHeight="1">
      <c r="A1607" s="63" t="s">
        <v>5654</v>
      </c>
      <c r="B1607" s="5">
        <v>43862.854166666664</v>
      </c>
      <c r="C1607" s="64"/>
    </row>
    <row r="1608" ht="15.75" customHeight="1">
      <c r="A1608" s="63" t="s">
        <v>5655</v>
      </c>
      <c r="B1608" s="5">
        <v>43862.623611111114</v>
      </c>
      <c r="C1608" s="64"/>
    </row>
    <row r="1609" ht="15.75" customHeight="1">
      <c r="A1609" s="63" t="s">
        <v>5656</v>
      </c>
      <c r="B1609" s="5">
        <v>43862.600694444445</v>
      </c>
      <c r="C1609" s="64"/>
    </row>
    <row r="1610" ht="15.75" customHeight="1">
      <c r="A1610" s="63" t="s">
        <v>5115</v>
      </c>
      <c r="B1610" s="5">
        <v>43862.535416666666</v>
      </c>
      <c r="C1610" s="64"/>
    </row>
    <row r="1611" ht="15.75" customHeight="1">
      <c r="A1611" s="63" t="s">
        <v>5657</v>
      </c>
      <c r="B1611" s="5">
        <v>43862.461805555555</v>
      </c>
      <c r="C1611" s="64"/>
    </row>
    <row r="1612" ht="15.75" customHeight="1">
      <c r="A1612" s="63" t="s">
        <v>5658</v>
      </c>
      <c r="B1612" s="5">
        <v>43862.111805555556</v>
      </c>
      <c r="C1612" s="64"/>
    </row>
    <row r="1613" ht="15.75" customHeight="1">
      <c r="A1613" s="63" t="s">
        <v>5659</v>
      </c>
      <c r="B1613" s="5">
        <v>43861.81527777778</v>
      </c>
      <c r="C1613" s="64"/>
    </row>
    <row r="1614" ht="15.75" customHeight="1">
      <c r="A1614" s="63" t="s">
        <v>5120</v>
      </c>
      <c r="B1614" s="5">
        <v>43861.77847222222</v>
      </c>
      <c r="C1614" s="64"/>
    </row>
    <row r="1615" ht="15.75" customHeight="1">
      <c r="A1615" s="63" t="s">
        <v>5121</v>
      </c>
      <c r="B1615" s="5">
        <v>43861.70486111111</v>
      </c>
      <c r="C1615" s="64"/>
    </row>
    <row r="1616" ht="15.75" customHeight="1">
      <c r="A1616" s="63" t="s">
        <v>5122</v>
      </c>
      <c r="B1616" s="5">
        <v>43861.70138888889</v>
      </c>
      <c r="C1616" s="64"/>
    </row>
    <row r="1617" ht="15.75" customHeight="1">
      <c r="A1617" s="63" t="s">
        <v>3379</v>
      </c>
      <c r="B1617" s="5">
        <v>43861.677777777775</v>
      </c>
      <c r="C1617" s="64"/>
    </row>
    <row r="1618" ht="15.75" customHeight="1">
      <c r="A1618" s="63" t="s">
        <v>5050</v>
      </c>
      <c r="B1618" s="5">
        <v>43860.868055555555</v>
      </c>
      <c r="C1618" s="64"/>
    </row>
    <row r="1619" ht="15.75" customHeight="1">
      <c r="A1619" s="63" t="s">
        <v>4872</v>
      </c>
      <c r="B1619" s="5">
        <v>43860.77777777778</v>
      </c>
      <c r="C1619" s="64"/>
    </row>
    <row r="1620" ht="15.75" customHeight="1">
      <c r="A1620" s="63" t="s">
        <v>5126</v>
      </c>
      <c r="B1620" s="5">
        <v>43860.740277777775</v>
      </c>
      <c r="C1620" s="64"/>
    </row>
    <row r="1621" ht="15.75" customHeight="1">
      <c r="A1621" s="63" t="s">
        <v>5127</v>
      </c>
      <c r="B1621" s="5">
        <v>43860.555555555555</v>
      </c>
      <c r="C1621" s="64"/>
    </row>
    <row r="1622" ht="15.75" customHeight="1">
      <c r="A1622" s="63" t="s">
        <v>2066</v>
      </c>
      <c r="B1622" s="5">
        <v>43860.450694444444</v>
      </c>
      <c r="C1622" s="64"/>
    </row>
    <row r="1623" ht="15.75" customHeight="1">
      <c r="A1623" s="63" t="s">
        <v>5660</v>
      </c>
      <c r="B1623" s="5">
        <v>43860.01736111111</v>
      </c>
      <c r="C1623" s="64"/>
    </row>
    <row r="1624" ht="15.75" customHeight="1">
      <c r="A1624" s="63" t="s">
        <v>5132</v>
      </c>
      <c r="B1624" s="5">
        <v>43859.95277777778</v>
      </c>
      <c r="C1624" s="64"/>
    </row>
    <row r="1625" ht="15.75" customHeight="1">
      <c r="A1625" s="63" t="s">
        <v>5131</v>
      </c>
      <c r="B1625" s="5">
        <v>43859.89097222222</v>
      </c>
      <c r="C1625" s="64"/>
    </row>
    <row r="1626" ht="15.75" customHeight="1">
      <c r="A1626" s="63" t="s">
        <v>5133</v>
      </c>
      <c r="B1626" s="5">
        <v>43859.839583333334</v>
      </c>
      <c r="C1626" s="64"/>
    </row>
    <row r="1627" ht="15.75" customHeight="1">
      <c r="A1627" s="63" t="s">
        <v>611</v>
      </c>
      <c r="B1627" s="5">
        <v>43859.78888888889</v>
      </c>
      <c r="C1627" s="64"/>
    </row>
    <row r="1628" ht="15.75" customHeight="1">
      <c r="A1628" s="63" t="s">
        <v>5661</v>
      </c>
      <c r="B1628" s="5">
        <v>43859.74444444444</v>
      </c>
      <c r="C1628" s="64"/>
    </row>
    <row r="1629" ht="15.75" customHeight="1">
      <c r="A1629" s="63" t="s">
        <v>5662</v>
      </c>
      <c r="B1629" s="5">
        <v>43859.73402777778</v>
      </c>
      <c r="C1629" s="64"/>
    </row>
    <row r="1630" ht="15.75" customHeight="1">
      <c r="A1630" s="63" t="s">
        <v>5663</v>
      </c>
      <c r="B1630" s="5">
        <v>43859.69652777778</v>
      </c>
      <c r="C1630" s="64"/>
    </row>
    <row r="1631" ht="15.75" customHeight="1">
      <c r="A1631" s="63" t="s">
        <v>5664</v>
      </c>
      <c r="B1631" s="5">
        <v>43859.62569444445</v>
      </c>
      <c r="C1631" s="64"/>
    </row>
    <row r="1632" ht="15.75" customHeight="1">
      <c r="A1632" s="63" t="s">
        <v>1820</v>
      </c>
      <c r="B1632" s="5">
        <v>43859.56180555555</v>
      </c>
      <c r="C1632" s="64"/>
    </row>
    <row r="1633" ht="15.75" customHeight="1">
      <c r="A1633" s="63" t="s">
        <v>5081</v>
      </c>
      <c r="B1633" s="5">
        <v>43859.498611111114</v>
      </c>
      <c r="C1633" s="64"/>
    </row>
    <row r="1634" ht="15.75" customHeight="1">
      <c r="A1634" s="63" t="s">
        <v>461</v>
      </c>
      <c r="B1634" s="5">
        <v>43859.41388888889</v>
      </c>
      <c r="C1634" s="64"/>
    </row>
    <row r="1635" ht="15.75" customHeight="1">
      <c r="A1635" s="63" t="s">
        <v>5135</v>
      </c>
      <c r="B1635" s="5">
        <v>43859.41388888889</v>
      </c>
      <c r="C1635" s="64"/>
    </row>
    <row r="1636" ht="15.75" customHeight="1">
      <c r="A1636" s="63" t="s">
        <v>5665</v>
      </c>
      <c r="B1636" s="5">
        <v>43859.375</v>
      </c>
      <c r="C1636" s="64"/>
    </row>
    <row r="1637" ht="15.75" customHeight="1">
      <c r="A1637" s="63" t="s">
        <v>5666</v>
      </c>
      <c r="B1637" s="5">
        <v>43858.79513888889</v>
      </c>
      <c r="C1637" s="64"/>
    </row>
    <row r="1638" ht="15.75" customHeight="1">
      <c r="A1638" s="63" t="s">
        <v>5667</v>
      </c>
      <c r="B1638" s="5">
        <v>43858.666666666664</v>
      </c>
      <c r="C1638" s="64"/>
    </row>
    <row r="1639" ht="15.75" customHeight="1">
      <c r="A1639" s="63" t="s">
        <v>5668</v>
      </c>
      <c r="B1639" s="5">
        <v>43858.64861111111</v>
      </c>
      <c r="C1639" s="64"/>
    </row>
    <row r="1640" ht="15.75" customHeight="1">
      <c r="A1640" s="63" t="s">
        <v>5136</v>
      </c>
      <c r="B1640" s="5">
        <v>43858.57638888889</v>
      </c>
      <c r="C1640" s="64"/>
    </row>
    <row r="1641" ht="15.75" customHeight="1">
      <c r="A1641" s="63" t="s">
        <v>5139</v>
      </c>
      <c r="B1641" s="5">
        <v>43858.47638888889</v>
      </c>
      <c r="C1641" s="64"/>
    </row>
    <row r="1642" ht="15.75" customHeight="1">
      <c r="A1642" s="63" t="s">
        <v>5669</v>
      </c>
      <c r="B1642" s="5">
        <v>43858.29583333333</v>
      </c>
      <c r="C1642" s="64"/>
    </row>
    <row r="1643" ht="15.75" customHeight="1">
      <c r="A1643" s="63" t="s">
        <v>5670</v>
      </c>
      <c r="B1643" s="5">
        <v>43857.907638888886</v>
      </c>
      <c r="C1643" s="64"/>
    </row>
    <row r="1644" ht="15.75" customHeight="1">
      <c r="A1644" s="63" t="s">
        <v>5671</v>
      </c>
      <c r="B1644" s="5">
        <v>43857.836805555555</v>
      </c>
      <c r="C1644" s="64"/>
    </row>
    <row r="1645" ht="15.75" customHeight="1">
      <c r="A1645" s="63" t="s">
        <v>5672</v>
      </c>
      <c r="B1645" s="5">
        <v>43857.78611111111</v>
      </c>
      <c r="C1645" s="64"/>
    </row>
    <row r="1646" ht="15.75" customHeight="1">
      <c r="A1646" s="63" t="s">
        <v>5143</v>
      </c>
      <c r="B1646" s="5">
        <v>43857.606944444444</v>
      </c>
      <c r="C1646" s="64"/>
    </row>
    <row r="1647" ht="15.75" customHeight="1">
      <c r="A1647" s="63" t="s">
        <v>1209</v>
      </c>
      <c r="B1647" s="5">
        <v>43857.600694444445</v>
      </c>
      <c r="C1647" s="64"/>
    </row>
    <row r="1648" ht="15.75" customHeight="1">
      <c r="A1648" s="63" t="s">
        <v>5147</v>
      </c>
      <c r="B1648" s="5">
        <v>43857.55347222222</v>
      </c>
      <c r="C1648" s="64"/>
    </row>
    <row r="1649" ht="15.75" customHeight="1">
      <c r="A1649" s="63" t="s">
        <v>5151</v>
      </c>
      <c r="B1649" s="5">
        <v>43857.430555555555</v>
      </c>
      <c r="C1649" s="64"/>
    </row>
    <row r="1650" ht="15.75" customHeight="1">
      <c r="A1650" s="63" t="s">
        <v>909</v>
      </c>
      <c r="B1650" s="5">
        <v>43857.399305555555</v>
      </c>
      <c r="C1650" s="64"/>
    </row>
    <row r="1651" ht="15.75" customHeight="1">
      <c r="A1651" s="63" t="s">
        <v>2374</v>
      </c>
      <c r="B1651" s="5">
        <v>43856.944444444445</v>
      </c>
      <c r="C1651" s="64"/>
    </row>
    <row r="1652" ht="15.75" customHeight="1">
      <c r="A1652" s="63" t="s">
        <v>3133</v>
      </c>
      <c r="B1652" s="5">
        <v>43856.899305555555</v>
      </c>
      <c r="C1652" s="64"/>
    </row>
    <row r="1653" ht="15.75" customHeight="1">
      <c r="A1653" s="63" t="s">
        <v>5156</v>
      </c>
      <c r="B1653" s="5">
        <v>43856.89375</v>
      </c>
      <c r="C1653" s="64"/>
    </row>
    <row r="1654" ht="15.75" customHeight="1">
      <c r="A1654" s="63" t="s">
        <v>5673</v>
      </c>
      <c r="B1654" s="5">
        <v>43856.65416666667</v>
      </c>
      <c r="C1654" s="64"/>
    </row>
    <row r="1655" ht="15.75" customHeight="1">
      <c r="A1655" s="63" t="s">
        <v>5674</v>
      </c>
      <c r="B1655" s="5">
        <v>43856.5375</v>
      </c>
      <c r="C1655" s="64"/>
    </row>
    <row r="1656" ht="15.75" customHeight="1">
      <c r="A1656" s="63" t="s">
        <v>5064</v>
      </c>
      <c r="B1656" s="5">
        <v>43856.47222222222</v>
      </c>
      <c r="C1656" s="64"/>
    </row>
    <row r="1657" ht="15.75" customHeight="1">
      <c r="A1657" s="63" t="s">
        <v>5675</v>
      </c>
      <c r="B1657" s="5">
        <v>43856.024305555555</v>
      </c>
      <c r="C1657" s="64"/>
    </row>
    <row r="1658" ht="15.75" customHeight="1">
      <c r="A1658" s="63" t="s">
        <v>5676</v>
      </c>
      <c r="B1658" s="5">
        <v>43855.78194444445</v>
      </c>
      <c r="C1658" s="64"/>
    </row>
    <row r="1659" ht="15.75" customHeight="1">
      <c r="A1659" s="63" t="s">
        <v>4324</v>
      </c>
      <c r="B1659" s="5">
        <v>43855.76527777778</v>
      </c>
      <c r="C1659" s="64"/>
    </row>
    <row r="1660" ht="15.75" customHeight="1">
      <c r="A1660" s="63" t="s">
        <v>2014</v>
      </c>
      <c r="B1660" s="5">
        <v>43855.64166666667</v>
      </c>
      <c r="C1660" s="64"/>
    </row>
    <row r="1661" ht="15.75" customHeight="1">
      <c r="A1661" s="63" t="s">
        <v>719</v>
      </c>
      <c r="B1661" s="5">
        <v>43854.93125</v>
      </c>
      <c r="C1661" s="64"/>
    </row>
    <row r="1662" ht="15.75" customHeight="1">
      <c r="A1662" s="63" t="s">
        <v>5161</v>
      </c>
      <c r="B1662" s="5">
        <v>43854.78402777778</v>
      </c>
      <c r="C1662" s="64"/>
    </row>
    <row r="1663" ht="15.75" customHeight="1">
      <c r="A1663" s="63" t="s">
        <v>5162</v>
      </c>
      <c r="B1663" s="5">
        <v>43854.78333333333</v>
      </c>
      <c r="C1663" s="64"/>
    </row>
    <row r="1664" ht="15.75" customHeight="1">
      <c r="A1664" s="63" t="s">
        <v>5677</v>
      </c>
      <c r="B1664" s="5">
        <v>43854.63263888889</v>
      </c>
      <c r="C1664" s="64"/>
    </row>
    <row r="1665" ht="15.75" customHeight="1">
      <c r="A1665" s="63" t="s">
        <v>5163</v>
      </c>
      <c r="B1665" s="5">
        <v>43854.518055555556</v>
      </c>
      <c r="C1665" s="64"/>
    </row>
    <row r="1666" ht="15.75" customHeight="1">
      <c r="A1666" s="63" t="s">
        <v>5164</v>
      </c>
      <c r="B1666" s="5">
        <v>43854.427777777775</v>
      </c>
      <c r="C1666" s="64"/>
    </row>
    <row r="1667" ht="15.75" customHeight="1">
      <c r="A1667" s="63" t="s">
        <v>5678</v>
      </c>
      <c r="B1667" s="5">
        <v>43854.29513888889</v>
      </c>
      <c r="C1667" s="64"/>
    </row>
    <row r="1668" ht="15.75" customHeight="1">
      <c r="A1668" s="63" t="s">
        <v>4027</v>
      </c>
      <c r="B1668" s="5">
        <v>43853.95694444444</v>
      </c>
      <c r="C1668" s="64"/>
    </row>
    <row r="1669" ht="15.75" customHeight="1">
      <c r="A1669" s="63" t="s">
        <v>5679</v>
      </c>
      <c r="B1669" s="5">
        <v>43853.82152777778</v>
      </c>
      <c r="C1669" s="64"/>
    </row>
    <row r="1670" ht="15.75" customHeight="1">
      <c r="A1670" s="63" t="s">
        <v>5680</v>
      </c>
      <c r="B1670" s="5">
        <v>43853.80486111111</v>
      </c>
      <c r="C1670" s="64"/>
    </row>
    <row r="1671" ht="15.75" customHeight="1">
      <c r="A1671" s="63" t="s">
        <v>5681</v>
      </c>
      <c r="B1671" s="5">
        <v>43853.76666666667</v>
      </c>
      <c r="C1671" s="64"/>
    </row>
    <row r="1672" ht="15.75" customHeight="1">
      <c r="A1672" s="63" t="s">
        <v>5166</v>
      </c>
      <c r="B1672" s="5">
        <v>43853.74652777778</v>
      </c>
      <c r="C1672" s="64"/>
    </row>
    <row r="1673" ht="15.75" customHeight="1">
      <c r="A1673" s="63" t="s">
        <v>3406</v>
      </c>
      <c r="B1673" s="5">
        <v>43853.48333333333</v>
      </c>
      <c r="C1673" s="64"/>
    </row>
    <row r="1674" ht="15.75" customHeight="1">
      <c r="A1674" s="63" t="s">
        <v>5128</v>
      </c>
      <c r="B1674" s="5">
        <v>43853.01180555556</v>
      </c>
      <c r="C1674" s="64"/>
    </row>
    <row r="1675" ht="15.75" customHeight="1">
      <c r="A1675" s="63" t="s">
        <v>5682</v>
      </c>
      <c r="B1675" s="5">
        <v>43852.90555555555</v>
      </c>
      <c r="C1675" s="64"/>
    </row>
    <row r="1676" ht="15.75" customHeight="1">
      <c r="A1676" s="63" t="s">
        <v>5116</v>
      </c>
      <c r="B1676" s="5">
        <v>43852.87986111111</v>
      </c>
      <c r="C1676" s="64"/>
    </row>
    <row r="1677" ht="15.75" customHeight="1">
      <c r="A1677" s="63" t="s">
        <v>5172</v>
      </c>
      <c r="B1677" s="5">
        <v>43852.760416666664</v>
      </c>
      <c r="C1677" s="64"/>
    </row>
    <row r="1678" ht="15.75" customHeight="1">
      <c r="A1678" s="63" t="s">
        <v>5683</v>
      </c>
      <c r="B1678" s="5">
        <v>43852.73611111111</v>
      </c>
      <c r="C1678" s="64"/>
    </row>
    <row r="1679" ht="15.75" customHeight="1">
      <c r="A1679" s="63" t="s">
        <v>4657</v>
      </c>
      <c r="B1679" s="5">
        <v>43852.626388888886</v>
      </c>
      <c r="C1679" s="64"/>
    </row>
    <row r="1680" ht="15.75" customHeight="1">
      <c r="A1680" s="63" t="s">
        <v>3916</v>
      </c>
      <c r="B1680" s="5">
        <v>43852.56180555555</v>
      </c>
      <c r="C1680" s="64"/>
    </row>
    <row r="1681" ht="15.75" customHeight="1">
      <c r="A1681" s="63" t="s">
        <v>5178</v>
      </c>
      <c r="B1681" s="5">
        <v>43852.44652777778</v>
      </c>
      <c r="C1681" s="64"/>
    </row>
    <row r="1682" ht="15.75" customHeight="1">
      <c r="A1682" s="63" t="s">
        <v>5102</v>
      </c>
      <c r="B1682" s="5">
        <v>43852.32708333333</v>
      </c>
      <c r="C1682" s="64"/>
    </row>
    <row r="1683" ht="15.75" customHeight="1">
      <c r="A1683" s="63" t="s">
        <v>5179</v>
      </c>
      <c r="B1683" s="5">
        <v>43851.95694444444</v>
      </c>
      <c r="C1683" s="64"/>
    </row>
    <row r="1684" ht="15.75" customHeight="1">
      <c r="A1684" s="63" t="s">
        <v>5684</v>
      </c>
      <c r="B1684" s="5">
        <v>43851.94097222222</v>
      </c>
      <c r="C1684" s="64"/>
    </row>
    <row r="1685" ht="15.75" customHeight="1">
      <c r="A1685" s="63" t="s">
        <v>5685</v>
      </c>
      <c r="B1685" s="5">
        <v>43851.83611111111</v>
      </c>
      <c r="C1685" s="64"/>
    </row>
    <row r="1686" ht="15.75" customHeight="1">
      <c r="A1686" s="63" t="s">
        <v>5686</v>
      </c>
      <c r="B1686" s="5">
        <v>43851.80902777778</v>
      </c>
      <c r="C1686" s="64"/>
    </row>
    <row r="1687" ht="15.75" customHeight="1">
      <c r="A1687" s="63" t="s">
        <v>5180</v>
      </c>
      <c r="B1687" s="5">
        <v>43851.805555555555</v>
      </c>
      <c r="C1687" s="64"/>
    </row>
    <row r="1688" ht="15.75" customHeight="1">
      <c r="A1688" s="63" t="s">
        <v>1498</v>
      </c>
      <c r="B1688" s="5">
        <v>43851.756944444445</v>
      </c>
      <c r="C1688" s="64"/>
    </row>
    <row r="1689" ht="15.75" customHeight="1">
      <c r="A1689" s="63" t="s">
        <v>5183</v>
      </c>
      <c r="B1689" s="5">
        <v>43851.66458333333</v>
      </c>
      <c r="C1689" s="64"/>
    </row>
    <row r="1690" ht="15.75" customHeight="1">
      <c r="A1690" s="63" t="s">
        <v>4983</v>
      </c>
      <c r="B1690" s="5">
        <v>43851.45972222222</v>
      </c>
      <c r="C1690" s="64"/>
    </row>
    <row r="1691" ht="15.75" customHeight="1">
      <c r="A1691" s="63" t="s">
        <v>5187</v>
      </c>
      <c r="B1691" s="5">
        <v>43850.85625</v>
      </c>
      <c r="C1691" s="64"/>
    </row>
    <row r="1692" ht="15.75" customHeight="1">
      <c r="A1692" s="63" t="s">
        <v>404</v>
      </c>
      <c r="B1692" s="5">
        <v>43850.52291666667</v>
      </c>
      <c r="C1692" s="64"/>
    </row>
    <row r="1693" ht="15.75" customHeight="1">
      <c r="A1693" s="63" t="s">
        <v>5167</v>
      </c>
      <c r="B1693" s="5">
        <v>43850.38055555556</v>
      </c>
      <c r="C1693" s="64"/>
    </row>
    <row r="1694" ht="15.75" customHeight="1">
      <c r="A1694" s="63" t="s">
        <v>5687</v>
      </c>
      <c r="B1694" s="5">
        <v>43849.657638888886</v>
      </c>
      <c r="C1694" s="64"/>
    </row>
    <row r="1695" ht="15.75" customHeight="1">
      <c r="A1695" s="63" t="s">
        <v>3869</v>
      </c>
      <c r="B1695" s="5">
        <v>43849.57847222222</v>
      </c>
      <c r="C1695" s="64"/>
    </row>
    <row r="1696" ht="15.75" customHeight="1">
      <c r="A1696" s="63" t="s">
        <v>5688</v>
      </c>
      <c r="B1696" s="5">
        <v>43849.42222222222</v>
      </c>
      <c r="C1696" s="64"/>
    </row>
    <row r="1697" ht="15.75" customHeight="1">
      <c r="A1697" s="63" t="s">
        <v>5689</v>
      </c>
      <c r="B1697" s="5">
        <v>43848.96944444445</v>
      </c>
      <c r="C1697" s="64"/>
    </row>
    <row r="1698" ht="15.75" customHeight="1">
      <c r="A1698" s="63" t="s">
        <v>5137</v>
      </c>
      <c r="B1698" s="5">
        <v>43848.82986111111</v>
      </c>
      <c r="C1698" s="64"/>
    </row>
    <row r="1699" ht="15.75" customHeight="1">
      <c r="A1699" s="63" t="s">
        <v>5690</v>
      </c>
      <c r="B1699" s="5">
        <v>43848.705555555556</v>
      </c>
      <c r="C1699" s="64"/>
    </row>
    <row r="1700" ht="15.75" customHeight="1">
      <c r="A1700" s="63" t="s">
        <v>5691</v>
      </c>
      <c r="B1700" s="5">
        <v>43847.84027777778</v>
      </c>
      <c r="C1700" s="64"/>
    </row>
    <row r="1701" ht="15.75" customHeight="1">
      <c r="A1701" s="63" t="s">
        <v>5199</v>
      </c>
      <c r="B1701" s="5">
        <v>43847.760416666664</v>
      </c>
      <c r="C1701" s="64"/>
    </row>
    <row r="1702" ht="15.75" customHeight="1">
      <c r="A1702" s="63" t="s">
        <v>5692</v>
      </c>
      <c r="B1702" s="5">
        <v>43847.75625</v>
      </c>
      <c r="C1702" s="64"/>
    </row>
    <row r="1703" ht="15.75" customHeight="1">
      <c r="A1703" s="63" t="s">
        <v>5693</v>
      </c>
      <c r="B1703" s="5">
        <v>43847.643055555556</v>
      </c>
      <c r="C1703" s="64"/>
    </row>
    <row r="1704" ht="15.75" customHeight="1">
      <c r="A1704" s="63" t="s">
        <v>5694</v>
      </c>
      <c r="B1704" s="5">
        <v>43847.643055555556</v>
      </c>
      <c r="C1704" s="64"/>
    </row>
    <row r="1705" ht="15.75" customHeight="1">
      <c r="A1705" s="63" t="s">
        <v>4239</v>
      </c>
      <c r="B1705" s="5">
        <v>43847.643055555556</v>
      </c>
      <c r="C1705" s="64"/>
    </row>
    <row r="1706" ht="15.75" customHeight="1">
      <c r="A1706" s="63" t="s">
        <v>5695</v>
      </c>
      <c r="B1706" s="5">
        <v>43847.643055555556</v>
      </c>
      <c r="C1706" s="64"/>
    </row>
    <row r="1707" ht="15.75" customHeight="1">
      <c r="A1707" s="63" t="s">
        <v>5202</v>
      </c>
      <c r="B1707" s="5">
        <v>43847.55694444444</v>
      </c>
      <c r="C1707" s="64"/>
    </row>
    <row r="1708" ht="15.75" customHeight="1">
      <c r="A1708" s="63" t="s">
        <v>2140</v>
      </c>
      <c r="B1708" s="5">
        <v>43847.356944444444</v>
      </c>
      <c r="C1708" s="64"/>
    </row>
    <row r="1709" ht="15.75" customHeight="1">
      <c r="A1709" s="63" t="s">
        <v>5696</v>
      </c>
      <c r="B1709" s="5">
        <v>43847.32361111111</v>
      </c>
      <c r="C1709" s="64"/>
    </row>
    <row r="1710" ht="15.75" customHeight="1">
      <c r="A1710" s="63" t="s">
        <v>5206</v>
      </c>
      <c r="B1710" s="5">
        <v>43846.72777777778</v>
      </c>
      <c r="C1710" s="64"/>
    </row>
    <row r="1711" ht="15.75" customHeight="1">
      <c r="A1711" s="63" t="s">
        <v>5073</v>
      </c>
      <c r="B1711" s="5">
        <v>43846.638194444444</v>
      </c>
      <c r="C1711" s="64"/>
    </row>
    <row r="1712" ht="15.75" customHeight="1">
      <c r="A1712" s="63" t="s">
        <v>2479</v>
      </c>
      <c r="B1712" s="5">
        <v>43846.61666666667</v>
      </c>
      <c r="C1712" s="64"/>
    </row>
    <row r="1713" ht="15.75" customHeight="1">
      <c r="A1713" s="63" t="s">
        <v>5697</v>
      </c>
      <c r="B1713" s="5">
        <v>43846.518055555556</v>
      </c>
      <c r="C1713" s="64"/>
    </row>
    <row r="1714" ht="15.75" customHeight="1">
      <c r="A1714" s="63" t="s">
        <v>5698</v>
      </c>
      <c r="B1714" s="5">
        <v>43846.34166666667</v>
      </c>
      <c r="C1714" s="64"/>
    </row>
    <row r="1715" ht="15.75" customHeight="1">
      <c r="A1715" s="63" t="s">
        <v>1908</v>
      </c>
      <c r="B1715" s="5">
        <v>43845.924305555556</v>
      </c>
      <c r="C1715" s="64"/>
    </row>
    <row r="1716" ht="15.75" customHeight="1">
      <c r="A1716" s="63" t="s">
        <v>5152</v>
      </c>
      <c r="B1716" s="5">
        <v>43845.73611111111</v>
      </c>
      <c r="C1716" s="64"/>
    </row>
    <row r="1717" ht="15.75" customHeight="1">
      <c r="A1717" s="63" t="s">
        <v>5217</v>
      </c>
      <c r="B1717" s="5">
        <v>43845.69930555556</v>
      </c>
      <c r="C1717" s="64"/>
    </row>
    <row r="1718" ht="15.75" customHeight="1">
      <c r="A1718" s="63" t="s">
        <v>5699</v>
      </c>
      <c r="B1718" s="5">
        <v>43845.62569444445</v>
      </c>
      <c r="C1718" s="64"/>
    </row>
    <row r="1719" ht="15.75" customHeight="1">
      <c r="A1719" s="63" t="s">
        <v>5145</v>
      </c>
      <c r="B1719" s="5">
        <v>43845.6125</v>
      </c>
      <c r="C1719" s="64"/>
    </row>
    <row r="1720" ht="15.75" customHeight="1">
      <c r="A1720" s="63" t="s">
        <v>5700</v>
      </c>
      <c r="B1720" s="5">
        <v>43845.56041666667</v>
      </c>
      <c r="C1720" s="64"/>
    </row>
    <row r="1721" ht="15.75" customHeight="1">
      <c r="A1721" s="63" t="s">
        <v>5701</v>
      </c>
      <c r="B1721" s="5">
        <v>43845.43194444444</v>
      </c>
      <c r="C1721" s="64"/>
    </row>
    <row r="1722" ht="15.75" customHeight="1">
      <c r="A1722" s="63" t="s">
        <v>5702</v>
      </c>
      <c r="B1722" s="5">
        <v>43844.981944444444</v>
      </c>
      <c r="C1722" s="64"/>
    </row>
    <row r="1723" ht="15.75" customHeight="1">
      <c r="A1723" s="63" t="s">
        <v>5222</v>
      </c>
      <c r="B1723" s="5">
        <v>43844.72986111111</v>
      </c>
      <c r="C1723" s="64"/>
    </row>
    <row r="1724" ht="15.75" customHeight="1">
      <c r="A1724" s="63" t="s">
        <v>5703</v>
      </c>
      <c r="B1724" s="5">
        <v>43844.569444444445</v>
      </c>
      <c r="C1724" s="64"/>
    </row>
    <row r="1725" ht="15.75" customHeight="1">
      <c r="A1725" s="63" t="s">
        <v>5704</v>
      </c>
      <c r="B1725" s="5">
        <v>43844.52916666667</v>
      </c>
      <c r="C1725" s="64"/>
    </row>
    <row r="1726" ht="15.75" customHeight="1">
      <c r="A1726" s="63" t="s">
        <v>2182</v>
      </c>
      <c r="B1726" s="5">
        <v>43843.88263888889</v>
      </c>
      <c r="C1726" s="64"/>
    </row>
    <row r="1727" ht="15.75" customHeight="1">
      <c r="A1727" s="63" t="s">
        <v>5705</v>
      </c>
      <c r="B1727" s="5">
        <v>43843.873611111114</v>
      </c>
      <c r="C1727" s="64"/>
    </row>
    <row r="1728" ht="15.75" customHeight="1">
      <c r="A1728" s="63" t="s">
        <v>2623</v>
      </c>
      <c r="B1728" s="5">
        <v>43843.853472222225</v>
      </c>
      <c r="C1728" s="64"/>
    </row>
    <row r="1729" ht="15.75" customHeight="1">
      <c r="A1729" s="63" t="s">
        <v>5231</v>
      </c>
      <c r="B1729" s="5">
        <v>43843.76597222222</v>
      </c>
      <c r="C1729" s="64"/>
    </row>
    <row r="1730" ht="15.75" customHeight="1">
      <c r="A1730" s="63" t="s">
        <v>4550</v>
      </c>
      <c r="B1730" s="5">
        <v>43843.748611111114</v>
      </c>
      <c r="C1730" s="64"/>
    </row>
    <row r="1731" ht="15.75" customHeight="1">
      <c r="A1731" s="63" t="s">
        <v>5234</v>
      </c>
      <c r="B1731" s="5">
        <v>43843.6375</v>
      </c>
      <c r="C1731" s="64"/>
    </row>
    <row r="1732" ht="15.75" customHeight="1">
      <c r="A1732" s="63" t="s">
        <v>5706</v>
      </c>
      <c r="B1732" s="5">
        <v>43843.62430555555</v>
      </c>
      <c r="C1732" s="64"/>
    </row>
    <row r="1733" ht="15.75" customHeight="1">
      <c r="A1733" s="63" t="s">
        <v>3355</v>
      </c>
      <c r="B1733" s="5">
        <v>43843.52569444444</v>
      </c>
      <c r="C1733" s="64"/>
    </row>
    <row r="1734" ht="15.75" customHeight="1">
      <c r="A1734" s="63" t="s">
        <v>5707</v>
      </c>
      <c r="B1734" s="5">
        <v>43843.524305555555</v>
      </c>
      <c r="C1734" s="64"/>
    </row>
    <row r="1735" ht="15.75" customHeight="1">
      <c r="A1735" s="63" t="s">
        <v>5239</v>
      </c>
      <c r="B1735" s="5">
        <v>43843.41736111111</v>
      </c>
      <c r="C1735" s="64"/>
    </row>
    <row r="1736" ht="15.75" customHeight="1">
      <c r="A1736" s="63" t="s">
        <v>5242</v>
      </c>
      <c r="B1736" s="5">
        <v>43843.384722222225</v>
      </c>
      <c r="C1736" s="64"/>
    </row>
    <row r="1737" ht="15.75" customHeight="1">
      <c r="A1737" s="63" t="s">
        <v>5708</v>
      </c>
      <c r="B1737" s="5">
        <v>43843.021527777775</v>
      </c>
      <c r="C1737" s="64"/>
    </row>
    <row r="1738" ht="15.75" customHeight="1">
      <c r="A1738" s="63" t="s">
        <v>5709</v>
      </c>
      <c r="B1738" s="5">
        <v>43842.82013888889</v>
      </c>
      <c r="C1738" s="64"/>
    </row>
    <row r="1739" ht="15.75" customHeight="1">
      <c r="A1739" s="63" t="s">
        <v>5710</v>
      </c>
      <c r="B1739" s="5">
        <v>43842.78333333333</v>
      </c>
      <c r="C1739" s="64"/>
    </row>
    <row r="1740" ht="15.75" customHeight="1">
      <c r="A1740" s="63" t="s">
        <v>5711</v>
      </c>
      <c r="B1740" s="5">
        <v>43842.77222222222</v>
      </c>
      <c r="C1740" s="64"/>
    </row>
    <row r="1741" ht="15.75" customHeight="1">
      <c r="A1741" s="63" t="s">
        <v>1452</v>
      </c>
      <c r="B1741" s="5">
        <v>43842.58541666667</v>
      </c>
      <c r="C1741" s="64"/>
    </row>
    <row r="1742" ht="15.75" customHeight="1">
      <c r="A1742" s="63" t="s">
        <v>5712</v>
      </c>
      <c r="B1742" s="5">
        <v>43842.50208333333</v>
      </c>
      <c r="C1742" s="64"/>
    </row>
    <row r="1743" ht="15.75" customHeight="1">
      <c r="A1743" s="63" t="s">
        <v>5244</v>
      </c>
      <c r="B1743" s="5">
        <v>43841.82361111111</v>
      </c>
      <c r="C1743" s="64"/>
    </row>
    <row r="1744" ht="15.75" customHeight="1">
      <c r="A1744" s="63" t="s">
        <v>5713</v>
      </c>
      <c r="B1744" s="5">
        <v>43841.683333333334</v>
      </c>
      <c r="C1744" s="64"/>
    </row>
    <row r="1745" ht="15.75" customHeight="1">
      <c r="A1745" s="63" t="s">
        <v>5714</v>
      </c>
      <c r="B1745" s="5">
        <v>43841.674305555556</v>
      </c>
      <c r="C1745" s="64"/>
    </row>
    <row r="1746" ht="15.75" customHeight="1">
      <c r="A1746" s="63" t="s">
        <v>5715</v>
      </c>
      <c r="B1746" s="5">
        <v>43841.61111111111</v>
      </c>
      <c r="C1746" s="64"/>
    </row>
    <row r="1747" ht="15.75" customHeight="1">
      <c r="A1747" s="63" t="s">
        <v>2437</v>
      </c>
      <c r="B1747" s="5">
        <v>43841.48333333333</v>
      </c>
      <c r="C1747" s="64"/>
    </row>
    <row r="1748" ht="15.75" customHeight="1">
      <c r="A1748" s="63" t="s">
        <v>5716</v>
      </c>
      <c r="B1748" s="5">
        <v>43841.31597222222</v>
      </c>
      <c r="C1748" s="64"/>
    </row>
    <row r="1749" ht="15.75" customHeight="1">
      <c r="A1749" s="63" t="s">
        <v>5245</v>
      </c>
      <c r="B1749" s="5">
        <v>43840.99166666667</v>
      </c>
      <c r="C1749" s="64"/>
    </row>
    <row r="1750" ht="15.75" customHeight="1">
      <c r="A1750" s="63" t="s">
        <v>5717</v>
      </c>
      <c r="B1750" s="5">
        <v>43840.97708333333</v>
      </c>
      <c r="C1750" s="64"/>
    </row>
    <row r="1751" ht="15.75" customHeight="1">
      <c r="A1751" s="63" t="s">
        <v>5718</v>
      </c>
      <c r="B1751" s="5">
        <v>43840.91736111111</v>
      </c>
      <c r="C1751" s="64"/>
    </row>
    <row r="1752" ht="15.75" customHeight="1">
      <c r="A1752" s="63" t="s">
        <v>5719</v>
      </c>
      <c r="B1752" s="5">
        <v>43840.910416666666</v>
      </c>
      <c r="C1752" s="64"/>
    </row>
    <row r="1753" ht="15.75" customHeight="1">
      <c r="A1753" s="63" t="s">
        <v>1964</v>
      </c>
      <c r="B1753" s="5">
        <v>43840.811111111114</v>
      </c>
      <c r="C1753" s="64"/>
    </row>
    <row r="1754" ht="15.75" customHeight="1">
      <c r="A1754" s="63" t="s">
        <v>5720</v>
      </c>
      <c r="B1754" s="5">
        <v>43840.77638888889</v>
      </c>
      <c r="C1754" s="64"/>
    </row>
    <row r="1755" ht="15.75" customHeight="1">
      <c r="A1755" s="63" t="s">
        <v>5721</v>
      </c>
      <c r="B1755" s="5">
        <v>43840.68472222222</v>
      </c>
      <c r="C1755" s="64"/>
    </row>
    <row r="1756" ht="15.75" customHeight="1">
      <c r="A1756" s="63" t="s">
        <v>4679</v>
      </c>
      <c r="B1756" s="5">
        <v>43840.645833333336</v>
      </c>
      <c r="C1756" s="64"/>
    </row>
    <row r="1757" ht="15.75" customHeight="1">
      <c r="A1757" s="63" t="s">
        <v>5248</v>
      </c>
      <c r="B1757" s="5">
        <v>43840.5125</v>
      </c>
      <c r="C1757" s="64"/>
    </row>
    <row r="1758" ht="15.75" customHeight="1">
      <c r="A1758" s="63" t="s">
        <v>5722</v>
      </c>
      <c r="B1758" s="5">
        <v>43840.47986111111</v>
      </c>
      <c r="C1758" s="64"/>
    </row>
    <row r="1759" ht="15.75" customHeight="1">
      <c r="A1759" s="63" t="s">
        <v>5227</v>
      </c>
      <c r="B1759" s="5">
        <v>43840.43194444444</v>
      </c>
      <c r="C1759" s="64"/>
    </row>
    <row r="1760" ht="15.75" customHeight="1">
      <c r="A1760" s="63" t="s">
        <v>5252</v>
      </c>
      <c r="B1760" s="5">
        <v>43839.856944444444</v>
      </c>
      <c r="C1760" s="64"/>
    </row>
    <row r="1761" ht="15.75" customHeight="1">
      <c r="A1761" s="63" t="s">
        <v>5723</v>
      </c>
      <c r="B1761" s="5">
        <v>43839.85138888889</v>
      </c>
      <c r="C1761" s="64"/>
    </row>
    <row r="1762" ht="15.75" customHeight="1">
      <c r="A1762" s="63" t="s">
        <v>5724</v>
      </c>
      <c r="B1762" s="5">
        <v>43839.68472222222</v>
      </c>
      <c r="C1762" s="64"/>
    </row>
    <row r="1763" ht="15.75" customHeight="1">
      <c r="A1763" s="63" t="s">
        <v>5725</v>
      </c>
      <c r="B1763" s="5">
        <v>43839.604166666664</v>
      </c>
      <c r="C1763" s="64"/>
    </row>
    <row r="1764" ht="15.75" customHeight="1">
      <c r="A1764" s="63" t="s">
        <v>610</v>
      </c>
      <c r="B1764" s="5">
        <v>43839.589583333334</v>
      </c>
      <c r="C1764" s="64"/>
    </row>
    <row r="1765" ht="15.75" customHeight="1">
      <c r="A1765" s="63" t="s">
        <v>5258</v>
      </c>
      <c r="B1765" s="5">
        <v>43839.486805555556</v>
      </c>
      <c r="C1765" s="64"/>
    </row>
    <row r="1766" ht="15.75" customHeight="1">
      <c r="A1766" s="63" t="s">
        <v>770</v>
      </c>
      <c r="B1766" s="5">
        <v>43839.41527777778</v>
      </c>
      <c r="C1766" s="64"/>
    </row>
    <row r="1767" ht="15.75" customHeight="1">
      <c r="A1767" s="63" t="s">
        <v>5260</v>
      </c>
      <c r="B1767" s="5">
        <v>43839.407638888886</v>
      </c>
      <c r="C1767" s="64"/>
    </row>
    <row r="1768" ht="15.75" customHeight="1">
      <c r="A1768" s="63" t="s">
        <v>5726</v>
      </c>
      <c r="B1768" s="5">
        <v>43839.38680555556</v>
      </c>
      <c r="C1768" s="64"/>
    </row>
    <row r="1769" ht="15.75" customHeight="1">
      <c r="A1769" s="63" t="s">
        <v>1651</v>
      </c>
      <c r="B1769" s="5">
        <v>43839.316666666666</v>
      </c>
      <c r="C1769" s="64"/>
    </row>
    <row r="1770" ht="15.75" customHeight="1">
      <c r="A1770" s="63" t="s">
        <v>5727</v>
      </c>
      <c r="B1770" s="5">
        <v>43838.85763888889</v>
      </c>
      <c r="C1770" s="64"/>
    </row>
    <row r="1771" ht="15.75" customHeight="1">
      <c r="A1771" s="63" t="s">
        <v>5728</v>
      </c>
      <c r="B1771" s="5">
        <v>43838.816666666666</v>
      </c>
      <c r="C1771" s="64"/>
    </row>
    <row r="1772" ht="15.75" customHeight="1">
      <c r="A1772" s="63" t="s">
        <v>5729</v>
      </c>
      <c r="B1772" s="5">
        <v>43838.714583333334</v>
      </c>
      <c r="C1772" s="64"/>
    </row>
    <row r="1773" ht="15.75" customHeight="1">
      <c r="A1773" s="63" t="s">
        <v>5730</v>
      </c>
      <c r="B1773" s="5">
        <v>43838.63402777778</v>
      </c>
      <c r="C1773" s="64"/>
    </row>
    <row r="1774" ht="15.75" customHeight="1">
      <c r="A1774" s="63" t="s">
        <v>5263</v>
      </c>
      <c r="B1774" s="5">
        <v>43838.5625</v>
      </c>
      <c r="C1774" s="64"/>
    </row>
    <row r="1775" ht="15.75" customHeight="1">
      <c r="A1775" s="63" t="s">
        <v>5264</v>
      </c>
      <c r="B1775" s="5">
        <v>43838.4875</v>
      </c>
      <c r="C1775" s="64"/>
    </row>
    <row r="1776" ht="15.75" customHeight="1">
      <c r="A1776" s="63" t="s">
        <v>5731</v>
      </c>
      <c r="B1776" s="5">
        <v>43838.48611111111</v>
      </c>
      <c r="C1776" s="64"/>
    </row>
    <row r="1777" ht="15.75" customHeight="1">
      <c r="A1777" s="63" t="s">
        <v>5732</v>
      </c>
      <c r="B1777" s="5">
        <v>43838.45138888889</v>
      </c>
      <c r="C1777" s="64"/>
    </row>
    <row r="1778" ht="15.75" customHeight="1">
      <c r="A1778" s="63" t="s">
        <v>5733</v>
      </c>
      <c r="B1778" s="5">
        <v>43838.32847222222</v>
      </c>
      <c r="C1778" s="64"/>
    </row>
    <row r="1779" ht="15.75" customHeight="1">
      <c r="A1779" s="63" t="s">
        <v>5267</v>
      </c>
      <c r="B1779" s="5">
        <v>43837.65694444445</v>
      </c>
      <c r="C1779" s="64"/>
    </row>
    <row r="1780" ht="15.75" customHeight="1">
      <c r="A1780" s="63" t="s">
        <v>5734</v>
      </c>
      <c r="B1780" s="5">
        <v>43837.59444444445</v>
      </c>
      <c r="C1780" s="64"/>
    </row>
    <row r="1781" ht="15.75" customHeight="1">
      <c r="A1781" s="63" t="s">
        <v>5272</v>
      </c>
      <c r="B1781" s="5">
        <v>43837.52291666667</v>
      </c>
      <c r="C1781" s="64"/>
    </row>
    <row r="1782" ht="15.75" customHeight="1">
      <c r="A1782" s="63" t="s">
        <v>5277</v>
      </c>
      <c r="B1782" s="5">
        <v>43837.44375</v>
      </c>
      <c r="C1782" s="64"/>
    </row>
    <row r="1783" ht="15.75" customHeight="1">
      <c r="A1783" s="63" t="s">
        <v>2934</v>
      </c>
      <c r="B1783" s="5">
        <v>43837.4375</v>
      </c>
      <c r="C1783" s="64"/>
    </row>
    <row r="1784" ht="15.75" customHeight="1">
      <c r="A1784" s="63" t="s">
        <v>5287</v>
      </c>
      <c r="B1784" s="5">
        <v>43837.36666666667</v>
      </c>
      <c r="C1784" s="64"/>
    </row>
    <row r="1785" ht="15.75" customHeight="1">
      <c r="A1785" s="63" t="s">
        <v>5735</v>
      </c>
      <c r="B1785" s="5">
        <v>43836.98819444444</v>
      </c>
      <c r="C1785" s="64"/>
    </row>
    <row r="1786" ht="15.75" customHeight="1">
      <c r="A1786" s="63" t="s">
        <v>5736</v>
      </c>
      <c r="B1786" s="5">
        <v>43836.91458333333</v>
      </c>
      <c r="C1786" s="64"/>
    </row>
    <row r="1787" ht="15.75" customHeight="1">
      <c r="A1787" s="63" t="s">
        <v>5290</v>
      </c>
      <c r="B1787" s="5">
        <v>43836.90902777778</v>
      </c>
      <c r="C1787" s="64"/>
    </row>
    <row r="1788" ht="15.75" customHeight="1">
      <c r="A1788" s="63" t="s">
        <v>5737</v>
      </c>
      <c r="B1788" s="5">
        <v>43836.64722222222</v>
      </c>
      <c r="C1788" s="64"/>
    </row>
    <row r="1789" ht="15.75" customHeight="1">
      <c r="A1789" s="63" t="s">
        <v>5738</v>
      </c>
      <c r="B1789" s="5">
        <v>43836.48611111111</v>
      </c>
      <c r="C1789" s="64"/>
    </row>
    <row r="1790" ht="15.75" customHeight="1">
      <c r="A1790" s="63" t="s">
        <v>5739</v>
      </c>
      <c r="B1790" s="5">
        <v>43836.430555555555</v>
      </c>
      <c r="C1790" s="64"/>
    </row>
    <row r="1791" ht="15.75" customHeight="1">
      <c r="A1791" s="63" t="s">
        <v>5740</v>
      </c>
      <c r="B1791" s="5">
        <v>43836.42916666667</v>
      </c>
      <c r="C1791" s="64"/>
    </row>
    <row r="1792" ht="15.75" customHeight="1">
      <c r="A1792" s="63" t="s">
        <v>5297</v>
      </c>
      <c r="B1792" s="5">
        <v>43835.89097222222</v>
      </c>
      <c r="C1792" s="64"/>
    </row>
    <row r="1793" ht="15.75" customHeight="1">
      <c r="A1793" s="63" t="s">
        <v>5741</v>
      </c>
      <c r="B1793" s="5">
        <v>43835.59375</v>
      </c>
      <c r="C1793" s="64"/>
    </row>
    <row r="1794" ht="15.75" customHeight="1">
      <c r="A1794" s="63" t="s">
        <v>5742</v>
      </c>
      <c r="B1794" s="5">
        <v>43835.376388888886</v>
      </c>
      <c r="C1794" s="64"/>
    </row>
    <row r="1795" ht="15.75" customHeight="1">
      <c r="A1795" s="63" t="s">
        <v>5743</v>
      </c>
      <c r="B1795" s="5">
        <v>43835.35833333333</v>
      </c>
      <c r="C1795" s="64"/>
    </row>
    <row r="1796" ht="15.75" customHeight="1">
      <c r="A1796" s="63" t="s">
        <v>5744</v>
      </c>
      <c r="B1796" s="5">
        <v>43835.35833333333</v>
      </c>
      <c r="C1796" s="64"/>
    </row>
    <row r="1797" ht="15.75" customHeight="1">
      <c r="A1797" s="63" t="s">
        <v>5745</v>
      </c>
      <c r="B1797" s="5">
        <v>43834.91736111111</v>
      </c>
      <c r="C1797" s="64"/>
    </row>
    <row r="1798" ht="15.75" customHeight="1">
      <c r="A1798" s="63" t="s">
        <v>4362</v>
      </c>
      <c r="B1798" s="5">
        <v>43834.88402777778</v>
      </c>
      <c r="C1798" s="64"/>
    </row>
    <row r="1799" ht="15.75" customHeight="1">
      <c r="A1799" s="63" t="s">
        <v>5303</v>
      </c>
      <c r="B1799" s="5">
        <v>43834.50486111111</v>
      </c>
      <c r="C1799" s="64"/>
    </row>
    <row r="1800" ht="15.75" customHeight="1">
      <c r="A1800" s="63" t="s">
        <v>5300</v>
      </c>
      <c r="B1800" s="5">
        <v>43834.5</v>
      </c>
      <c r="C1800" s="64"/>
    </row>
    <row r="1801" ht="15.75" customHeight="1">
      <c r="A1801" s="63" t="s">
        <v>5304</v>
      </c>
      <c r="B1801" s="5">
        <v>43834.49652777778</v>
      </c>
      <c r="C1801" s="64"/>
    </row>
    <row r="1802" ht="15.75" customHeight="1">
      <c r="A1802" s="63" t="s">
        <v>5746</v>
      </c>
      <c r="B1802" s="5">
        <v>43834.48333333333</v>
      </c>
      <c r="C1802" s="64"/>
    </row>
    <row r="1803" ht="15.75" customHeight="1">
      <c r="A1803" s="63" t="s">
        <v>5747</v>
      </c>
      <c r="B1803" s="5">
        <v>43834.097916666666</v>
      </c>
      <c r="C1803" s="64"/>
    </row>
    <row r="1804" ht="15.75" customHeight="1">
      <c r="A1804" s="63" t="s">
        <v>5748</v>
      </c>
      <c r="B1804" s="5">
        <v>43834.010416666664</v>
      </c>
      <c r="C1804" s="64"/>
    </row>
    <row r="1805" ht="15.75" customHeight="1">
      <c r="A1805" s="63" t="s">
        <v>5306</v>
      </c>
      <c r="B1805" s="5">
        <v>43833.986805555556</v>
      </c>
      <c r="C1805" s="64"/>
    </row>
    <row r="1806" ht="15.75" customHeight="1">
      <c r="A1806" s="63" t="s">
        <v>5749</v>
      </c>
      <c r="B1806" s="5">
        <v>43833.91527777778</v>
      </c>
      <c r="C1806" s="64"/>
    </row>
    <row r="1807" ht="15.75" customHeight="1">
      <c r="A1807" s="63" t="s">
        <v>5750</v>
      </c>
      <c r="B1807" s="5">
        <v>43833.64375</v>
      </c>
      <c r="C1807" s="64"/>
    </row>
    <row r="1808" ht="15.75" customHeight="1">
      <c r="A1808" s="63" t="s">
        <v>5751</v>
      </c>
      <c r="B1808" s="5">
        <v>43833.54513888889</v>
      </c>
      <c r="C1808" s="64"/>
    </row>
    <row r="1809" ht="15.75" customHeight="1">
      <c r="A1809" s="63" t="s">
        <v>755</v>
      </c>
      <c r="B1809" s="5">
        <v>43833.45416666667</v>
      </c>
      <c r="C1809" s="64"/>
    </row>
    <row r="1810" ht="15.75" customHeight="1">
      <c r="A1810" s="63" t="s">
        <v>5752</v>
      </c>
      <c r="B1810" s="5">
        <v>43833.399305555555</v>
      </c>
      <c r="C1810" s="64"/>
    </row>
    <row r="1811" ht="15.75" customHeight="1">
      <c r="A1811" s="63" t="s">
        <v>5322</v>
      </c>
      <c r="B1811" s="5">
        <v>43833.36944444444</v>
      </c>
      <c r="C1811" s="64"/>
    </row>
    <row r="1812" ht="15.75" customHeight="1">
      <c r="A1812" s="63" t="s">
        <v>5326</v>
      </c>
      <c r="B1812" s="5">
        <v>43833.33541666667</v>
      </c>
      <c r="C1812" s="64"/>
    </row>
    <row r="1813" ht="15.75" customHeight="1">
      <c r="A1813" s="63" t="s">
        <v>5342</v>
      </c>
      <c r="B1813" s="5">
        <v>43832.79652777778</v>
      </c>
      <c r="C1813" s="64"/>
    </row>
    <row r="1814" ht="15.75" customHeight="1">
      <c r="A1814" s="63" t="s">
        <v>5753</v>
      </c>
      <c r="B1814" s="5">
        <v>43832.7875</v>
      </c>
      <c r="C1814" s="64"/>
    </row>
    <row r="1815" ht="15.75" customHeight="1">
      <c r="A1815" s="63" t="s">
        <v>2670</v>
      </c>
      <c r="B1815" s="5">
        <v>43832.68125</v>
      </c>
      <c r="C1815" s="64"/>
    </row>
    <row r="1816" ht="15.75" customHeight="1">
      <c r="A1816" s="63" t="s">
        <v>4252</v>
      </c>
      <c r="B1816" s="5">
        <v>43832.59930555556</v>
      </c>
      <c r="C1816" s="64"/>
    </row>
    <row r="1817" ht="15.75" customHeight="1">
      <c r="A1817" s="63" t="s">
        <v>5323</v>
      </c>
      <c r="B1817" s="5">
        <v>43832.57083333333</v>
      </c>
      <c r="C1817" s="64"/>
    </row>
    <row r="1818" ht="15.75" customHeight="1">
      <c r="A1818" s="63" t="s">
        <v>2806</v>
      </c>
      <c r="B1818" s="5">
        <v>43832.54652777778</v>
      </c>
      <c r="C1818" s="64"/>
    </row>
    <row r="1819" ht="15.75" customHeight="1">
      <c r="A1819" s="63" t="s">
        <v>5375</v>
      </c>
      <c r="B1819" s="5">
        <v>43832.44930555556</v>
      </c>
      <c r="C1819" s="64"/>
    </row>
    <row r="1820" ht="15.75" customHeight="1">
      <c r="A1820" s="63" t="s">
        <v>5754</v>
      </c>
      <c r="B1820" s="5">
        <v>43832.34861111111</v>
      </c>
      <c r="C1820" s="64"/>
    </row>
    <row r="1821" ht="15.75" customHeight="1">
      <c r="A1821" s="65"/>
      <c r="B1821" s="66"/>
      <c r="C1821" s="64"/>
    </row>
    <row r="1822" ht="15.75" customHeight="1">
      <c r="A1822" s="65"/>
      <c r="B1822" s="66"/>
      <c r="C1822" s="64"/>
    </row>
    <row r="1823" ht="15.75" customHeight="1">
      <c r="A1823" s="65"/>
      <c r="B1823" s="66"/>
      <c r="C1823" s="64"/>
    </row>
    <row r="1824" ht="15.75" customHeight="1">
      <c r="A1824" s="65"/>
      <c r="B1824" s="66"/>
      <c r="C1824" s="64"/>
    </row>
    <row r="1825" ht="15.75" customHeight="1">
      <c r="A1825" s="65"/>
      <c r="B1825" s="66"/>
      <c r="C1825" s="64"/>
    </row>
    <row r="1826" ht="15.75" customHeight="1">
      <c r="A1826" s="65"/>
      <c r="B1826" s="66"/>
      <c r="C1826" s="64"/>
    </row>
    <row r="1827" ht="15.75" customHeight="1">
      <c r="A1827" s="65"/>
      <c r="B1827" s="66"/>
      <c r="C1827" s="64"/>
    </row>
    <row r="1828" ht="15.75" customHeight="1">
      <c r="A1828" s="65"/>
      <c r="B1828" s="66"/>
      <c r="C1828" s="64"/>
    </row>
    <row r="1829" ht="15.75" customHeight="1">
      <c r="A1829" s="65"/>
      <c r="B1829" s="66"/>
      <c r="C1829" s="64"/>
    </row>
    <row r="1830" ht="15.75" customHeight="1">
      <c r="A1830" s="65"/>
      <c r="B1830" s="66"/>
      <c r="C1830" s="64"/>
    </row>
    <row r="1831" ht="15.75" customHeight="1">
      <c r="A1831" s="65"/>
      <c r="B1831" s="66"/>
      <c r="C1831" s="64"/>
    </row>
    <row r="1832" ht="15.75" customHeight="1">
      <c r="A1832" s="65"/>
      <c r="B1832" s="66"/>
      <c r="C1832" s="64"/>
    </row>
    <row r="1833" ht="15.75" customHeight="1">
      <c r="A1833" s="65"/>
      <c r="B1833" s="66"/>
      <c r="C1833" s="64"/>
    </row>
    <row r="1834" ht="15.75" customHeight="1">
      <c r="A1834" s="65"/>
      <c r="B1834" s="66"/>
      <c r="C1834" s="64"/>
    </row>
    <row r="1835" ht="15.75" customHeight="1">
      <c r="A1835" s="65"/>
      <c r="B1835" s="66"/>
      <c r="C1835" s="64"/>
    </row>
    <row r="1836" ht="15.75" customHeight="1">
      <c r="A1836" s="65"/>
      <c r="B1836" s="66"/>
      <c r="C1836" s="64"/>
    </row>
    <row r="1837" ht="15.75" customHeight="1">
      <c r="A1837" s="65"/>
      <c r="B1837" s="66"/>
      <c r="C1837" s="64"/>
    </row>
    <row r="1838" ht="15.75" customHeight="1">
      <c r="A1838" s="65"/>
      <c r="B1838" s="66"/>
      <c r="C1838" s="64"/>
    </row>
    <row r="1839" ht="15.75" customHeight="1">
      <c r="A1839" s="65"/>
      <c r="B1839" s="66"/>
      <c r="C1839" s="64"/>
    </row>
    <row r="1840" ht="15.75" customHeight="1">
      <c r="A1840" s="65"/>
      <c r="B1840" s="66"/>
      <c r="C1840" s="64"/>
    </row>
    <row r="1841" ht="15.75" customHeight="1">
      <c r="A1841" s="65"/>
      <c r="B1841" s="66"/>
      <c r="C1841" s="64"/>
    </row>
    <row r="1842" ht="15.75" customHeight="1">
      <c r="A1842" s="65"/>
      <c r="B1842" s="66"/>
      <c r="C1842" s="64"/>
    </row>
    <row r="1843" ht="15.75" customHeight="1">
      <c r="A1843" s="65"/>
      <c r="B1843" s="66"/>
      <c r="C1843" s="64"/>
    </row>
    <row r="1844" ht="15.75" customHeight="1">
      <c r="A1844" s="65"/>
      <c r="B1844" s="66"/>
      <c r="C1844" s="64"/>
    </row>
    <row r="1845" ht="15.75" customHeight="1">
      <c r="A1845" s="65"/>
      <c r="B1845" s="66"/>
      <c r="C1845" s="64"/>
    </row>
    <row r="1846" ht="15.75" customHeight="1">
      <c r="A1846" s="65"/>
      <c r="B1846" s="66"/>
      <c r="C1846" s="64"/>
    </row>
    <row r="1847" ht="15.75" customHeight="1">
      <c r="A1847" s="65"/>
      <c r="B1847" s="66"/>
      <c r="C1847" s="64"/>
    </row>
    <row r="1848" ht="15.75" customHeight="1">
      <c r="A1848" s="65"/>
      <c r="B1848" s="66"/>
      <c r="C1848" s="64"/>
    </row>
    <row r="1849" ht="15.75" customHeight="1">
      <c r="A1849" s="65"/>
      <c r="B1849" s="66"/>
      <c r="C1849" s="64"/>
    </row>
    <row r="1850" ht="15.75" customHeight="1">
      <c r="A1850" s="65"/>
      <c r="B1850" s="66"/>
      <c r="C1850" s="64"/>
    </row>
    <row r="1851" ht="15.75" customHeight="1">
      <c r="A1851" s="65"/>
      <c r="B1851" s="66"/>
      <c r="C1851" s="64"/>
    </row>
    <row r="1852" ht="15.75" customHeight="1">
      <c r="A1852" s="65"/>
      <c r="B1852" s="66"/>
      <c r="C1852" s="64"/>
    </row>
    <row r="1853" ht="15.75" customHeight="1">
      <c r="A1853" s="65"/>
      <c r="B1853" s="66"/>
      <c r="C1853" s="64"/>
    </row>
    <row r="1854" ht="15.75" customHeight="1">
      <c r="A1854" s="65"/>
      <c r="B1854" s="66"/>
      <c r="C1854" s="64"/>
    </row>
    <row r="1855" ht="15.75" customHeight="1">
      <c r="A1855" s="65"/>
      <c r="B1855" s="66"/>
      <c r="C1855" s="64"/>
    </row>
    <row r="1856" ht="15.75" customHeight="1">
      <c r="A1856" s="65"/>
      <c r="B1856" s="66"/>
      <c r="C1856" s="64"/>
    </row>
    <row r="1857" ht="15.75" customHeight="1">
      <c r="A1857" s="65"/>
      <c r="B1857" s="66"/>
      <c r="C1857" s="64"/>
    </row>
    <row r="1858" ht="15.75" customHeight="1">
      <c r="A1858" s="65"/>
      <c r="B1858" s="66"/>
      <c r="C1858" s="64"/>
    </row>
    <row r="1859" ht="15.75" customHeight="1">
      <c r="A1859" s="65"/>
      <c r="B1859" s="66"/>
      <c r="C1859" s="64"/>
    </row>
    <row r="1860" ht="15.75" customHeight="1">
      <c r="A1860" s="65"/>
      <c r="B1860" s="66"/>
      <c r="C1860" s="64"/>
    </row>
    <row r="1861" ht="15.75" customHeight="1">
      <c r="A1861" s="65"/>
      <c r="B1861" s="66"/>
      <c r="C1861" s="64"/>
    </row>
    <row r="1862" ht="15.75" customHeight="1">
      <c r="A1862" s="65"/>
      <c r="B1862" s="66"/>
      <c r="C1862" s="64"/>
    </row>
    <row r="1863" ht="15.75" customHeight="1">
      <c r="A1863" s="65"/>
      <c r="B1863" s="66"/>
      <c r="C1863" s="64"/>
    </row>
    <row r="1864" ht="15.75" customHeight="1">
      <c r="A1864" s="65"/>
      <c r="B1864" s="66"/>
      <c r="C1864" s="64"/>
    </row>
    <row r="1865" ht="15.75" customHeight="1">
      <c r="A1865" s="65"/>
      <c r="B1865" s="66"/>
      <c r="C1865" s="64"/>
    </row>
    <row r="1866" ht="15.75" customHeight="1">
      <c r="A1866" s="65"/>
      <c r="B1866" s="66"/>
      <c r="C1866" s="64"/>
    </row>
    <row r="1867" ht="15.75" customHeight="1">
      <c r="A1867" s="65"/>
      <c r="B1867" s="66"/>
      <c r="C1867" s="64"/>
    </row>
    <row r="1868" ht="15.75" customHeight="1">
      <c r="A1868" s="65"/>
      <c r="B1868" s="66"/>
      <c r="C1868" s="64"/>
    </row>
    <row r="1869" ht="15.75" customHeight="1">
      <c r="A1869" s="65"/>
      <c r="B1869" s="66"/>
      <c r="C1869" s="64"/>
    </row>
    <row r="1870" ht="15.75" customHeight="1">
      <c r="A1870" s="65"/>
      <c r="B1870" s="66"/>
      <c r="C1870" s="64"/>
    </row>
    <row r="1871" ht="15.75" customHeight="1">
      <c r="A1871" s="65"/>
      <c r="B1871" s="66"/>
      <c r="C1871" s="64"/>
    </row>
    <row r="1872" ht="15.75" customHeight="1">
      <c r="A1872" s="65"/>
      <c r="B1872" s="66"/>
      <c r="C1872" s="64"/>
    </row>
    <row r="1873" ht="15.75" customHeight="1">
      <c r="A1873" s="65"/>
      <c r="B1873" s="66"/>
      <c r="C1873" s="64"/>
    </row>
    <row r="1874" ht="15.75" customHeight="1">
      <c r="A1874" s="65"/>
      <c r="B1874" s="66"/>
      <c r="C1874" s="64"/>
    </row>
    <row r="1875" ht="15.75" customHeight="1">
      <c r="A1875" s="65"/>
      <c r="B1875" s="66"/>
      <c r="C1875" s="64"/>
    </row>
    <row r="1876" ht="15.75" customHeight="1">
      <c r="A1876" s="65"/>
      <c r="B1876" s="66"/>
      <c r="C1876" s="64"/>
    </row>
    <row r="1877" ht="15.75" customHeight="1">
      <c r="A1877" s="65"/>
      <c r="B1877" s="66"/>
      <c r="C1877" s="64"/>
    </row>
    <row r="1878" ht="15.75" customHeight="1">
      <c r="A1878" s="65"/>
      <c r="B1878" s="66"/>
      <c r="C1878" s="64"/>
    </row>
    <row r="1879" ht="15.75" customHeight="1">
      <c r="A1879" s="65"/>
      <c r="B1879" s="66"/>
      <c r="C1879" s="64"/>
    </row>
    <row r="1880" ht="15.75" customHeight="1">
      <c r="A1880" s="65"/>
      <c r="B1880" s="66"/>
      <c r="C1880" s="64"/>
    </row>
    <row r="1881" ht="15.75" customHeight="1">
      <c r="A1881" s="65"/>
      <c r="B1881" s="66"/>
      <c r="C1881" s="64"/>
    </row>
    <row r="1882" ht="15.75" customHeight="1">
      <c r="A1882" s="65"/>
      <c r="B1882" s="66"/>
      <c r="C1882" s="64"/>
    </row>
    <row r="1883" ht="15.75" customHeight="1">
      <c r="A1883" s="65"/>
      <c r="B1883" s="66"/>
      <c r="C1883" s="64"/>
    </row>
    <row r="1884" ht="15.75" customHeight="1">
      <c r="A1884" s="65"/>
      <c r="B1884" s="66"/>
      <c r="C1884" s="64"/>
    </row>
    <row r="1885" ht="15.75" customHeight="1">
      <c r="A1885" s="65"/>
      <c r="B1885" s="66"/>
      <c r="C1885" s="64"/>
    </row>
    <row r="1886" ht="15.75" customHeight="1">
      <c r="A1886" s="65"/>
      <c r="B1886" s="66"/>
      <c r="C1886" s="64"/>
    </row>
    <row r="1887" ht="15.75" customHeight="1">
      <c r="A1887" s="65"/>
      <c r="B1887" s="66"/>
      <c r="C1887" s="64"/>
    </row>
    <row r="1888" ht="15.75" customHeight="1">
      <c r="A1888" s="65"/>
      <c r="B1888" s="66"/>
      <c r="C1888" s="64"/>
    </row>
    <row r="1889" ht="15.75" customHeight="1">
      <c r="A1889" s="65"/>
      <c r="B1889" s="66"/>
      <c r="C1889" s="64"/>
    </row>
    <row r="1890" ht="15.75" customHeight="1">
      <c r="A1890" s="65"/>
      <c r="B1890" s="66"/>
      <c r="C1890" s="64"/>
    </row>
    <row r="1891" ht="15.75" customHeight="1">
      <c r="A1891" s="65"/>
      <c r="B1891" s="66"/>
      <c r="C1891" s="64"/>
    </row>
    <row r="1892" ht="15.75" customHeight="1">
      <c r="A1892" s="65"/>
      <c r="B1892" s="66"/>
      <c r="C1892" s="64"/>
    </row>
    <row r="1893" ht="15.75" customHeight="1">
      <c r="A1893" s="65"/>
      <c r="B1893" s="66"/>
      <c r="C1893" s="64"/>
    </row>
    <row r="1894" ht="15.75" customHeight="1">
      <c r="A1894" s="65"/>
      <c r="B1894" s="66"/>
      <c r="C1894" s="64"/>
    </row>
    <row r="1895" ht="15.75" customHeight="1">
      <c r="A1895" s="65"/>
      <c r="B1895" s="66"/>
      <c r="C1895" s="64"/>
    </row>
    <row r="1896" ht="15.75" customHeight="1">
      <c r="A1896" s="65"/>
      <c r="B1896" s="66"/>
      <c r="C1896" s="64"/>
    </row>
    <row r="1897" ht="15.75" customHeight="1">
      <c r="A1897" s="65"/>
      <c r="B1897" s="66"/>
      <c r="C1897" s="64"/>
    </row>
    <row r="1898" ht="15.75" customHeight="1">
      <c r="A1898" s="65"/>
      <c r="B1898" s="66"/>
      <c r="C1898" s="64"/>
    </row>
    <row r="1899" ht="15.75" customHeight="1">
      <c r="A1899" s="65"/>
      <c r="B1899" s="66"/>
      <c r="C1899" s="64"/>
    </row>
    <row r="1900" ht="15.75" customHeight="1">
      <c r="A1900" s="65"/>
      <c r="B1900" s="66"/>
      <c r="C1900" s="64"/>
    </row>
    <row r="1901" ht="15.75" customHeight="1">
      <c r="A1901" s="65"/>
      <c r="B1901" s="66"/>
      <c r="C1901" s="64"/>
    </row>
    <row r="1902" ht="15.75" customHeight="1">
      <c r="A1902" s="65"/>
      <c r="B1902" s="66"/>
      <c r="C1902" s="64"/>
    </row>
    <row r="1903" ht="15.75" customHeight="1">
      <c r="A1903" s="65"/>
      <c r="B1903" s="66"/>
      <c r="C1903" s="64"/>
    </row>
    <row r="1904" ht="15.75" customHeight="1">
      <c r="A1904" s="65"/>
      <c r="B1904" s="66"/>
      <c r="C1904" s="64"/>
    </row>
    <row r="1905" ht="15.75" customHeight="1">
      <c r="A1905" s="65"/>
      <c r="B1905" s="66"/>
      <c r="C1905" s="64"/>
    </row>
    <row r="1906" ht="15.75" customHeight="1">
      <c r="A1906" s="65"/>
      <c r="B1906" s="66"/>
      <c r="C1906" s="64"/>
    </row>
    <row r="1907" ht="15.75" customHeight="1">
      <c r="A1907" s="65"/>
      <c r="B1907" s="66"/>
      <c r="C1907" s="64"/>
    </row>
    <row r="1908" ht="15.75" customHeight="1">
      <c r="A1908" s="65"/>
      <c r="B1908" s="66"/>
      <c r="C1908" s="64"/>
    </row>
    <row r="1909" ht="15.75" customHeight="1">
      <c r="A1909" s="65"/>
      <c r="B1909" s="66"/>
      <c r="C1909" s="64"/>
    </row>
    <row r="1910" ht="15.75" customHeight="1">
      <c r="A1910" s="65"/>
      <c r="B1910" s="66"/>
      <c r="C1910" s="64"/>
    </row>
    <row r="1911" ht="15.75" customHeight="1">
      <c r="A1911" s="65"/>
      <c r="B1911" s="66"/>
      <c r="C1911" s="64"/>
    </row>
    <row r="1912" ht="15.75" customHeight="1">
      <c r="A1912" s="65"/>
      <c r="B1912" s="66"/>
      <c r="C1912" s="64"/>
    </row>
    <row r="1913" ht="15.75" customHeight="1">
      <c r="A1913" s="65"/>
      <c r="B1913" s="66"/>
      <c r="C1913" s="64"/>
    </row>
    <row r="1914" ht="15.75" customHeight="1">
      <c r="A1914" s="65"/>
      <c r="B1914" s="66"/>
      <c r="C1914" s="64"/>
    </row>
    <row r="1915" ht="15.75" customHeight="1">
      <c r="A1915" s="65"/>
      <c r="B1915" s="66"/>
      <c r="C1915" s="64"/>
    </row>
    <row r="1916" ht="15.75" customHeight="1">
      <c r="A1916" s="65"/>
      <c r="B1916" s="66"/>
      <c r="C1916" s="64"/>
    </row>
    <row r="1917" ht="15.75" customHeight="1">
      <c r="A1917" s="65"/>
      <c r="B1917" s="66"/>
      <c r="C1917" s="64"/>
    </row>
    <row r="1918" ht="15.75" customHeight="1">
      <c r="A1918" s="65"/>
      <c r="B1918" s="66"/>
      <c r="C1918" s="64"/>
    </row>
    <row r="1919" ht="15.75" customHeight="1">
      <c r="A1919" s="65"/>
      <c r="B1919" s="66"/>
      <c r="C1919" s="64"/>
    </row>
    <row r="1920" ht="15.75" customHeight="1">
      <c r="A1920" s="65"/>
      <c r="B1920" s="66"/>
      <c r="C1920" s="64"/>
    </row>
    <row r="1921" ht="15.75" customHeight="1">
      <c r="A1921" s="65"/>
      <c r="B1921" s="66"/>
      <c r="C1921" s="64"/>
    </row>
    <row r="1922" ht="15.75" customHeight="1">
      <c r="A1922" s="65"/>
      <c r="B1922" s="66"/>
      <c r="C1922" s="64"/>
    </row>
    <row r="1923" ht="15.75" customHeight="1">
      <c r="A1923" s="65"/>
      <c r="B1923" s="66"/>
      <c r="C1923" s="64"/>
    </row>
    <row r="1924" ht="15.75" customHeight="1">
      <c r="A1924" s="65"/>
      <c r="B1924" s="66"/>
      <c r="C1924" s="64"/>
    </row>
    <row r="1925" ht="15.75" customHeight="1">
      <c r="A1925" s="65"/>
      <c r="B1925" s="66"/>
      <c r="C1925" s="64"/>
    </row>
    <row r="1926" ht="15.75" customHeight="1">
      <c r="A1926" s="65"/>
      <c r="B1926" s="66"/>
      <c r="C1926" s="64"/>
    </row>
    <row r="1927" ht="15.75" customHeight="1">
      <c r="A1927" s="65"/>
      <c r="B1927" s="66"/>
      <c r="C1927" s="64"/>
    </row>
    <row r="1928" ht="15.75" customHeight="1">
      <c r="A1928" s="65"/>
      <c r="B1928" s="66"/>
      <c r="C1928" s="64"/>
    </row>
    <row r="1929" ht="15.75" customHeight="1">
      <c r="A1929" s="65"/>
      <c r="B1929" s="66"/>
      <c r="C1929" s="64"/>
    </row>
    <row r="1930" ht="15.75" customHeight="1">
      <c r="A1930" s="65"/>
      <c r="B1930" s="66"/>
      <c r="C1930" s="64"/>
    </row>
    <row r="1931" ht="15.75" customHeight="1">
      <c r="A1931" s="65"/>
      <c r="B1931" s="66"/>
      <c r="C1931" s="64"/>
    </row>
    <row r="1932" ht="15.75" customHeight="1">
      <c r="A1932" s="65"/>
      <c r="B1932" s="66"/>
      <c r="C1932" s="64"/>
    </row>
    <row r="1933" ht="15.75" customHeight="1">
      <c r="A1933" s="65"/>
      <c r="B1933" s="66"/>
      <c r="C1933" s="64"/>
    </row>
    <row r="1934" ht="15.75" customHeight="1">
      <c r="A1934" s="65"/>
      <c r="B1934" s="66"/>
      <c r="C1934" s="64"/>
    </row>
    <row r="1935" ht="15.75" customHeight="1">
      <c r="A1935" s="65"/>
      <c r="B1935" s="66"/>
      <c r="C1935" s="64"/>
    </row>
    <row r="1936" ht="15.75" customHeight="1">
      <c r="A1936" s="65"/>
      <c r="B1936" s="66"/>
      <c r="C1936" s="64"/>
    </row>
    <row r="1937" ht="15.75" customHeight="1">
      <c r="A1937" s="65"/>
      <c r="B1937" s="66"/>
      <c r="C1937" s="64"/>
    </row>
    <row r="1938" ht="15.75" customHeight="1">
      <c r="A1938" s="65"/>
      <c r="B1938" s="66"/>
      <c r="C1938" s="64"/>
    </row>
    <row r="1939" ht="15.75" customHeight="1">
      <c r="A1939" s="65"/>
      <c r="B1939" s="66"/>
      <c r="C1939" s="64"/>
    </row>
    <row r="1940" ht="15.75" customHeight="1">
      <c r="A1940" s="65"/>
      <c r="B1940" s="66"/>
      <c r="C1940" s="64"/>
    </row>
    <row r="1941" ht="15.75" customHeight="1">
      <c r="A1941" s="65"/>
      <c r="B1941" s="66"/>
      <c r="C1941" s="64"/>
    </row>
    <row r="1942" ht="15.75" customHeight="1">
      <c r="A1942" s="65"/>
      <c r="B1942" s="66"/>
      <c r="C1942" s="64"/>
    </row>
    <row r="1943" ht="15.75" customHeight="1">
      <c r="A1943" s="65"/>
      <c r="B1943" s="66"/>
      <c r="C1943" s="64"/>
    </row>
    <row r="1944" ht="15.75" customHeight="1">
      <c r="A1944" s="65"/>
      <c r="B1944" s="66"/>
      <c r="C1944" s="64"/>
    </row>
    <row r="1945" ht="15.75" customHeight="1">
      <c r="A1945" s="65"/>
      <c r="B1945" s="66"/>
      <c r="C1945" s="64"/>
    </row>
    <row r="1946" ht="15.75" customHeight="1">
      <c r="A1946" s="65"/>
      <c r="B1946" s="66"/>
      <c r="C1946" s="64"/>
    </row>
    <row r="1947" ht="15.75" customHeight="1">
      <c r="A1947" s="65"/>
      <c r="B1947" s="66"/>
      <c r="C1947" s="64"/>
    </row>
    <row r="1948" ht="15.75" customHeight="1">
      <c r="A1948" s="65"/>
      <c r="B1948" s="66"/>
      <c r="C1948" s="64"/>
    </row>
    <row r="1949" ht="15.75" customHeight="1">
      <c r="A1949" s="65"/>
      <c r="B1949" s="66"/>
      <c r="C1949" s="64"/>
    </row>
    <row r="1950" ht="15.75" customHeight="1">
      <c r="A1950" s="65"/>
      <c r="B1950" s="66"/>
      <c r="C1950" s="64"/>
    </row>
    <row r="1951" ht="15.75" customHeight="1">
      <c r="A1951" s="65"/>
      <c r="B1951" s="66"/>
      <c r="C1951" s="64"/>
    </row>
    <row r="1952" ht="15.75" customHeight="1">
      <c r="A1952" s="65"/>
      <c r="B1952" s="66"/>
      <c r="C1952" s="64"/>
    </row>
    <row r="1953" ht="15.75" customHeight="1">
      <c r="A1953" s="65"/>
      <c r="B1953" s="66"/>
      <c r="C1953" s="64"/>
    </row>
    <row r="1954" ht="15.75" customHeight="1">
      <c r="A1954" s="65"/>
      <c r="B1954" s="66"/>
      <c r="C1954" s="64"/>
    </row>
    <row r="1955" ht="15.75" customHeight="1">
      <c r="A1955" s="65"/>
      <c r="B1955" s="66"/>
      <c r="C1955" s="64"/>
    </row>
    <row r="1956" ht="15.75" customHeight="1">
      <c r="A1956" s="65"/>
      <c r="B1956" s="66"/>
      <c r="C1956" s="64"/>
    </row>
    <row r="1957" ht="15.75" customHeight="1">
      <c r="A1957" s="65"/>
      <c r="B1957" s="66"/>
      <c r="C1957" s="64"/>
    </row>
    <row r="1958" ht="15.75" customHeight="1">
      <c r="A1958" s="65"/>
      <c r="B1958" s="66"/>
      <c r="C1958" s="64"/>
    </row>
    <row r="1959" ht="15.75" customHeight="1">
      <c r="A1959" s="65"/>
      <c r="B1959" s="66"/>
      <c r="C1959" s="64"/>
    </row>
    <row r="1960" ht="15.75" customHeight="1">
      <c r="A1960" s="65"/>
      <c r="B1960" s="66"/>
      <c r="C1960" s="64"/>
    </row>
    <row r="1961" ht="15.75" customHeight="1">
      <c r="A1961" s="65"/>
      <c r="B1961" s="66"/>
      <c r="C1961" s="64"/>
    </row>
    <row r="1962" ht="15.75" customHeight="1">
      <c r="A1962" s="65"/>
      <c r="B1962" s="66"/>
      <c r="C1962" s="64"/>
    </row>
    <row r="1963" ht="15.75" customHeight="1">
      <c r="A1963" s="65"/>
      <c r="B1963" s="66"/>
      <c r="C1963" s="64"/>
    </row>
    <row r="1964" ht="15.75" customHeight="1">
      <c r="A1964" s="65"/>
      <c r="B1964" s="66"/>
      <c r="C1964" s="64"/>
    </row>
    <row r="1965" ht="15.75" customHeight="1">
      <c r="A1965" s="65"/>
      <c r="B1965" s="66"/>
      <c r="C1965" s="64"/>
    </row>
    <row r="1966" ht="15.75" customHeight="1">
      <c r="A1966" s="65"/>
      <c r="B1966" s="66"/>
      <c r="C1966" s="64"/>
    </row>
    <row r="1967" ht="15.75" customHeight="1">
      <c r="A1967" s="65"/>
      <c r="B1967" s="66"/>
      <c r="C1967" s="64"/>
    </row>
    <row r="1968" ht="15.75" customHeight="1">
      <c r="A1968" s="65"/>
      <c r="B1968" s="66"/>
      <c r="C1968" s="64"/>
    </row>
    <row r="1969" ht="15.75" customHeight="1">
      <c r="A1969" s="65"/>
      <c r="B1969" s="66"/>
      <c r="C1969" s="64"/>
    </row>
    <row r="1970" ht="15.75" customHeight="1">
      <c r="A1970" s="65"/>
      <c r="B1970" s="66"/>
      <c r="C1970" s="64"/>
    </row>
    <row r="1971" ht="15.75" customHeight="1">
      <c r="A1971" s="65"/>
      <c r="B1971" s="66"/>
      <c r="C1971" s="64"/>
    </row>
    <row r="1972" ht="15.75" customHeight="1">
      <c r="A1972" s="65"/>
      <c r="B1972" s="66"/>
      <c r="C1972" s="64"/>
    </row>
    <row r="1973" ht="15.75" customHeight="1">
      <c r="A1973" s="65"/>
      <c r="B1973" s="66"/>
      <c r="C1973" s="64"/>
    </row>
    <row r="1974" ht="15.75" customHeight="1">
      <c r="A1974" s="65"/>
      <c r="B1974" s="66"/>
      <c r="C1974" s="64"/>
    </row>
    <row r="1975" ht="15.75" customHeight="1">
      <c r="A1975" s="65"/>
      <c r="B1975" s="66"/>
      <c r="C1975" s="64"/>
    </row>
    <row r="1976" ht="15.75" customHeight="1">
      <c r="A1976" s="65"/>
      <c r="B1976" s="66"/>
      <c r="C1976" s="64"/>
    </row>
    <row r="1977" ht="15.75" customHeight="1">
      <c r="A1977" s="65"/>
      <c r="B1977" s="66"/>
      <c r="C1977" s="64"/>
    </row>
    <row r="1978" ht="15.75" customHeight="1">
      <c r="A1978" s="65"/>
      <c r="B1978" s="66"/>
      <c r="C1978" s="64"/>
    </row>
    <row r="1979" ht="15.75" customHeight="1">
      <c r="A1979" s="65"/>
      <c r="B1979" s="66"/>
      <c r="C1979" s="64"/>
    </row>
    <row r="1980" ht="15.75" customHeight="1">
      <c r="A1980" s="65"/>
      <c r="B1980" s="66"/>
      <c r="C1980" s="64"/>
    </row>
    <row r="1981" ht="15.75" customHeight="1">
      <c r="A1981" s="65"/>
      <c r="B1981" s="66"/>
      <c r="C1981" s="64"/>
    </row>
    <row r="1982" ht="15.75" customHeight="1">
      <c r="A1982" s="65"/>
      <c r="B1982" s="66"/>
      <c r="C1982" s="64"/>
    </row>
    <row r="1983" ht="15.75" customHeight="1">
      <c r="A1983" s="65"/>
      <c r="B1983" s="66"/>
      <c r="C1983" s="64"/>
    </row>
    <row r="1984" ht="15.75" customHeight="1">
      <c r="A1984" s="65"/>
      <c r="B1984" s="66"/>
      <c r="C1984" s="64"/>
    </row>
    <row r="1985" ht="15.75" customHeight="1">
      <c r="A1985" s="65"/>
      <c r="B1985" s="66"/>
      <c r="C1985" s="64"/>
    </row>
    <row r="1986" ht="15.75" customHeight="1">
      <c r="A1986" s="65"/>
      <c r="B1986" s="66"/>
      <c r="C1986" s="64"/>
    </row>
    <row r="1987" ht="15.75" customHeight="1">
      <c r="A1987" s="65"/>
      <c r="B1987" s="66"/>
      <c r="C1987" s="64"/>
    </row>
    <row r="1988" ht="15.75" customHeight="1">
      <c r="A1988" s="65"/>
      <c r="B1988" s="66"/>
      <c r="C1988" s="64"/>
    </row>
    <row r="1989" ht="15.75" customHeight="1">
      <c r="A1989" s="65"/>
      <c r="B1989" s="66"/>
      <c r="C1989" s="64"/>
    </row>
    <row r="1990" ht="15.75" customHeight="1">
      <c r="A1990" s="65"/>
      <c r="B1990" s="66"/>
      <c r="C1990" s="64"/>
    </row>
    <row r="1991" ht="15.75" customHeight="1">
      <c r="A1991" s="65"/>
      <c r="B1991" s="66"/>
      <c r="C1991" s="64"/>
    </row>
    <row r="1992" ht="15.75" customHeight="1">
      <c r="A1992" s="65"/>
      <c r="B1992" s="66"/>
      <c r="C1992" s="64"/>
    </row>
    <row r="1993" ht="15.75" customHeight="1">
      <c r="A1993" s="65"/>
      <c r="B1993" s="66"/>
      <c r="C1993" s="64"/>
    </row>
    <row r="1994" ht="15.75" customHeight="1">
      <c r="A1994" s="65"/>
      <c r="B1994" s="66"/>
      <c r="C1994" s="64"/>
    </row>
    <row r="1995" ht="15.75" customHeight="1">
      <c r="A1995" s="65"/>
      <c r="B1995" s="66"/>
      <c r="C1995" s="64"/>
    </row>
    <row r="1996" ht="15.75" customHeight="1">
      <c r="A1996" s="65"/>
      <c r="B1996" s="66"/>
      <c r="C1996" s="64"/>
    </row>
    <row r="1997" ht="15.75" customHeight="1">
      <c r="A1997" s="65"/>
      <c r="B1997" s="66"/>
      <c r="C1997" s="64"/>
    </row>
    <row r="1998" ht="15.75" customHeight="1">
      <c r="A1998" s="65"/>
      <c r="B1998" s="66"/>
      <c r="C1998" s="64"/>
    </row>
    <row r="1999" ht="15.75" customHeight="1">
      <c r="A1999" s="65"/>
      <c r="B1999" s="66"/>
      <c r="C1999" s="64"/>
    </row>
    <row r="2000" ht="15.75" customHeight="1">
      <c r="A2000" s="65"/>
      <c r="B2000" s="66"/>
      <c r="C2000" s="64"/>
    </row>
    <row r="2001" ht="15.75" customHeight="1">
      <c r="A2001" s="65"/>
      <c r="B2001" s="66"/>
      <c r="C2001" s="64"/>
    </row>
    <row r="2002" ht="15.75" customHeight="1">
      <c r="A2002" s="65"/>
      <c r="B2002" s="66"/>
      <c r="C2002" s="64"/>
    </row>
    <row r="2003" ht="15.75" customHeight="1">
      <c r="A2003" s="65"/>
      <c r="B2003" s="66"/>
      <c r="C2003" s="64"/>
    </row>
    <row r="2004" ht="15.75" customHeight="1">
      <c r="A2004" s="65"/>
      <c r="B2004" s="66"/>
      <c r="C2004" s="64"/>
    </row>
    <row r="2005" ht="15.75" customHeight="1">
      <c r="A2005" s="65"/>
      <c r="B2005" s="66"/>
      <c r="C2005" s="64"/>
    </row>
    <row r="2006" ht="15.75" customHeight="1">
      <c r="A2006" s="65"/>
      <c r="B2006" s="66"/>
      <c r="C2006" s="64"/>
    </row>
    <row r="2007" ht="15.75" customHeight="1">
      <c r="A2007" s="65"/>
      <c r="B2007" s="66"/>
      <c r="C2007" s="64"/>
    </row>
    <row r="2008" ht="15.75" customHeight="1">
      <c r="A2008" s="65"/>
      <c r="B2008" s="66"/>
      <c r="C2008" s="64"/>
    </row>
    <row r="2009" ht="15.75" customHeight="1">
      <c r="A2009" s="65"/>
      <c r="B2009" s="66"/>
      <c r="C2009" s="64"/>
    </row>
    <row r="2010" ht="15.75" customHeight="1">
      <c r="A2010" s="65"/>
      <c r="B2010" s="66"/>
      <c r="C2010" s="64"/>
    </row>
    <row r="2011" ht="15.75" customHeight="1">
      <c r="A2011" s="65"/>
      <c r="B2011" s="66"/>
      <c r="C2011" s="64"/>
    </row>
    <row r="2012" ht="15.75" customHeight="1">
      <c r="A2012" s="65"/>
      <c r="B2012" s="66"/>
      <c r="C2012" s="64"/>
    </row>
    <row r="2013" ht="15.75" customHeight="1">
      <c r="A2013" s="65"/>
      <c r="B2013" s="66"/>
      <c r="C2013" s="64"/>
    </row>
    <row r="2014" ht="15.75" customHeight="1">
      <c r="A2014" s="65"/>
      <c r="B2014" s="66"/>
      <c r="C2014" s="64"/>
    </row>
    <row r="2015" ht="15.75" customHeight="1">
      <c r="A2015" s="65"/>
      <c r="B2015" s="66"/>
      <c r="C2015" s="64"/>
    </row>
    <row r="2016" ht="15.75" customHeight="1">
      <c r="A2016" s="65"/>
      <c r="B2016" s="66"/>
      <c r="C2016" s="64"/>
    </row>
    <row r="2017" ht="15.75" customHeight="1">
      <c r="A2017" s="65"/>
      <c r="B2017" s="66"/>
      <c r="C2017" s="64"/>
    </row>
    <row r="2018" ht="15.75" customHeight="1">
      <c r="A2018" s="65"/>
      <c r="B2018" s="66"/>
      <c r="C2018" s="64"/>
    </row>
    <row r="2019" ht="15.75" customHeight="1">
      <c r="A2019" s="65"/>
      <c r="B2019" s="66"/>
      <c r="C2019" s="64"/>
    </row>
    <row r="2020" ht="15.75" customHeight="1">
      <c r="A2020" s="65"/>
      <c r="B2020" s="66"/>
      <c r="C2020" s="6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9.86"/>
    <col customWidth="1" min="2" max="6" width="14.43"/>
  </cols>
  <sheetData>
    <row r="1">
      <c r="A1" s="61" t="s">
        <v>0</v>
      </c>
      <c r="B1" s="62" t="s">
        <v>5432</v>
      </c>
    </row>
    <row r="2" ht="15.75" customHeight="1">
      <c r="A2" s="63" t="s">
        <v>9</v>
      </c>
      <c r="B2" s="5">
        <v>44012.53055555555</v>
      </c>
      <c r="C2" s="67"/>
    </row>
    <row r="3" ht="15.75" customHeight="1">
      <c r="A3" s="63" t="s">
        <v>16</v>
      </c>
      <c r="B3" s="5">
        <v>44012.41527777778</v>
      </c>
      <c r="C3" s="67"/>
    </row>
    <row r="4" ht="15.75" customHeight="1">
      <c r="A4" s="63" t="s">
        <v>32</v>
      </c>
      <c r="B4" s="5">
        <v>44011.413194444445</v>
      </c>
      <c r="C4" s="67"/>
    </row>
    <row r="5" ht="15.75" customHeight="1">
      <c r="A5" s="63" t="s">
        <v>18</v>
      </c>
      <c r="B5" s="5">
        <v>44009.65555555555</v>
      </c>
      <c r="C5" s="67"/>
    </row>
    <row r="6" ht="15.75" customHeight="1">
      <c r="A6" s="63" t="s">
        <v>72</v>
      </c>
      <c r="B6" s="5">
        <v>44008.30763888889</v>
      </c>
      <c r="C6" s="67"/>
    </row>
    <row r="7" ht="15.75" customHeight="1">
      <c r="A7" s="63" t="s">
        <v>36</v>
      </c>
      <c r="B7" s="5">
        <v>44007.50208333333</v>
      </c>
      <c r="C7" s="67"/>
    </row>
    <row r="8" ht="15.75" customHeight="1">
      <c r="A8" s="63" t="s">
        <v>70</v>
      </c>
      <c r="B8" s="5">
        <v>44006.322222222225</v>
      </c>
      <c r="C8" s="67"/>
    </row>
    <row r="9" ht="15.75" customHeight="1">
      <c r="A9" s="63" t="s">
        <v>91</v>
      </c>
      <c r="B9" s="5">
        <v>44005.80763888889</v>
      </c>
      <c r="C9" s="67"/>
    </row>
    <row r="10" ht="15.75" customHeight="1">
      <c r="A10" s="63" t="s">
        <v>117</v>
      </c>
      <c r="B10" s="5">
        <v>44004.998611111114</v>
      </c>
      <c r="C10" s="67"/>
    </row>
    <row r="11" ht="15.75" customHeight="1">
      <c r="A11" s="63" t="s">
        <v>82</v>
      </c>
      <c r="B11" s="5">
        <v>44004.58611111111</v>
      </c>
      <c r="C11" s="67"/>
    </row>
    <row r="12" ht="15.75" customHeight="1">
      <c r="A12" s="63" t="s">
        <v>78</v>
      </c>
      <c r="B12" s="5">
        <v>44004.51597222222</v>
      </c>
      <c r="C12" s="67"/>
    </row>
    <row r="13" ht="15.75" customHeight="1">
      <c r="A13" s="63" t="s">
        <v>5433</v>
      </c>
      <c r="B13" s="5">
        <v>44003.711805555555</v>
      </c>
      <c r="C13" s="67"/>
    </row>
    <row r="14" ht="15.75" customHeight="1">
      <c r="A14" s="63" t="s">
        <v>225</v>
      </c>
      <c r="B14" s="5">
        <v>44003.69652777778</v>
      </c>
      <c r="C14" s="67"/>
    </row>
    <row r="15" ht="15.75" customHeight="1">
      <c r="A15" s="63" t="s">
        <v>228</v>
      </c>
      <c r="B15" s="5">
        <v>44003.580555555556</v>
      </c>
      <c r="C15" s="67"/>
    </row>
    <row r="16" ht="15.75" customHeight="1">
      <c r="A16" s="63" t="s">
        <v>232</v>
      </c>
      <c r="B16" s="5">
        <v>44003.44513888889</v>
      </c>
      <c r="C16" s="67"/>
    </row>
    <row r="17" ht="15.75" customHeight="1">
      <c r="A17" s="63" t="s">
        <v>233</v>
      </c>
      <c r="B17" s="5">
        <v>44003.41527777778</v>
      </c>
      <c r="C17" s="67"/>
    </row>
    <row r="18" ht="15.75" customHeight="1">
      <c r="A18" s="63" t="s">
        <v>66</v>
      </c>
      <c r="B18" s="5">
        <v>44003.40625</v>
      </c>
      <c r="C18" s="67"/>
    </row>
    <row r="19" ht="15.75" customHeight="1">
      <c r="A19" s="63" t="s">
        <v>240</v>
      </c>
      <c r="B19" s="5">
        <v>44002.736805555556</v>
      </c>
      <c r="C19" s="67"/>
    </row>
    <row r="20" ht="15.75" customHeight="1">
      <c r="A20" s="63" t="s">
        <v>245</v>
      </c>
      <c r="B20" s="5">
        <v>44002.42083333333</v>
      </c>
      <c r="C20" s="67"/>
    </row>
    <row r="21" ht="15.75" customHeight="1">
      <c r="A21" s="63" t="s">
        <v>85</v>
      </c>
      <c r="B21" s="5">
        <v>44002.40972222222</v>
      </c>
      <c r="C21" s="67"/>
    </row>
    <row r="22" ht="15.75" customHeight="1">
      <c r="A22" s="63" t="s">
        <v>247</v>
      </c>
      <c r="B22" s="5">
        <v>44002.39513888889</v>
      </c>
      <c r="C22" s="67"/>
    </row>
    <row r="23" ht="15.75" customHeight="1">
      <c r="A23" s="63" t="s">
        <v>96</v>
      </c>
      <c r="B23" s="5">
        <v>44002.39444444444</v>
      </c>
      <c r="C23" s="67"/>
    </row>
    <row r="24" ht="15.75" customHeight="1">
      <c r="A24" s="63" t="s">
        <v>115</v>
      </c>
      <c r="B24" s="5">
        <v>44001.94930555556</v>
      </c>
      <c r="C24" s="67"/>
    </row>
    <row r="25" ht="15.75" customHeight="1">
      <c r="A25" s="63" t="s">
        <v>261</v>
      </c>
      <c r="B25" s="5">
        <v>44001.791666666664</v>
      </c>
      <c r="C25" s="67"/>
    </row>
    <row r="26" ht="15.75" customHeight="1">
      <c r="A26" s="63" t="s">
        <v>263</v>
      </c>
      <c r="B26" s="5">
        <v>44001.77361111111</v>
      </c>
      <c r="C26" s="67"/>
    </row>
    <row r="27" ht="15.75" customHeight="1">
      <c r="A27" s="63" t="s">
        <v>161</v>
      </c>
      <c r="B27" s="5">
        <v>44001.76388888889</v>
      </c>
      <c r="C27" s="67"/>
    </row>
    <row r="28" ht="15.75" customHeight="1">
      <c r="A28" s="63" t="s">
        <v>153</v>
      </c>
      <c r="B28" s="5">
        <v>44001.57847222222</v>
      </c>
      <c r="C28" s="67"/>
    </row>
    <row r="29" ht="15.75" customHeight="1">
      <c r="A29" s="63" t="s">
        <v>278</v>
      </c>
      <c r="B29" s="5">
        <v>44001.575</v>
      </c>
      <c r="C29" s="67"/>
    </row>
    <row r="30" ht="15.75" customHeight="1">
      <c r="A30" s="63" t="s">
        <v>282</v>
      </c>
      <c r="B30" s="5">
        <v>44001.54236111111</v>
      </c>
      <c r="C30" s="67"/>
    </row>
    <row r="31" ht="15.75" customHeight="1">
      <c r="A31" s="63" t="s">
        <v>198</v>
      </c>
      <c r="B31" s="5">
        <v>44001.52361111111</v>
      </c>
      <c r="C31" s="67"/>
    </row>
    <row r="32" ht="15.75" customHeight="1">
      <c r="A32" s="63" t="s">
        <v>287</v>
      </c>
      <c r="B32" s="5">
        <v>44001.51180555556</v>
      </c>
      <c r="C32" s="67"/>
    </row>
    <row r="33" ht="15.75" customHeight="1">
      <c r="A33" s="63" t="s">
        <v>292</v>
      </c>
      <c r="B33" s="5">
        <v>44001.498611111114</v>
      </c>
      <c r="C33" s="67"/>
    </row>
    <row r="34" ht="15.75" customHeight="1">
      <c r="A34" s="63" t="s">
        <v>296</v>
      </c>
      <c r="B34" s="5">
        <v>44001.46319444444</v>
      </c>
      <c r="C34" s="67"/>
    </row>
    <row r="35" ht="15.75" customHeight="1">
      <c r="A35" s="63" t="s">
        <v>301</v>
      </c>
      <c r="B35" s="5">
        <v>44001.450694444444</v>
      </c>
      <c r="C35" s="67"/>
    </row>
    <row r="36" ht="15.75" customHeight="1">
      <c r="A36" s="63" t="s">
        <v>109</v>
      </c>
      <c r="B36" s="5">
        <v>44001.45</v>
      </c>
      <c r="C36" s="67"/>
    </row>
    <row r="37" ht="15.75" customHeight="1">
      <c r="A37" s="63" t="s">
        <v>147</v>
      </c>
      <c r="B37" s="5">
        <v>44001.44861111111</v>
      </c>
      <c r="C37" s="67"/>
    </row>
    <row r="38" ht="15.75" customHeight="1">
      <c r="A38" s="63" t="s">
        <v>141</v>
      </c>
      <c r="B38" s="5">
        <v>44001.43402777778</v>
      </c>
      <c r="C38" s="67"/>
    </row>
    <row r="39" ht="15.75" customHeight="1">
      <c r="A39" s="63" t="s">
        <v>5434</v>
      </c>
      <c r="B39" s="5">
        <v>44001.427083333336</v>
      </c>
      <c r="C39" s="67"/>
    </row>
    <row r="40" ht="15.75" customHeight="1">
      <c r="A40" s="63" t="s">
        <v>194</v>
      </c>
      <c r="B40" s="5">
        <v>44001.40416666667</v>
      </c>
      <c r="C40" s="67"/>
    </row>
    <row r="41" ht="15.75" customHeight="1">
      <c r="A41" s="63" t="s">
        <v>176</v>
      </c>
      <c r="B41" s="5">
        <v>44001.395833333336</v>
      </c>
      <c r="C41" s="67"/>
    </row>
    <row r="42" ht="15.75" customHeight="1">
      <c r="A42" s="63" t="s">
        <v>80</v>
      </c>
      <c r="B42" s="5">
        <v>44001.39027777778</v>
      </c>
      <c r="C42" s="67"/>
    </row>
    <row r="43" ht="15.75" customHeight="1">
      <c r="A43" s="63" t="s">
        <v>5435</v>
      </c>
      <c r="B43" s="5">
        <v>44001.38333333333</v>
      </c>
      <c r="C43" s="67"/>
    </row>
    <row r="44" ht="15.75" customHeight="1">
      <c r="A44" s="63" t="s">
        <v>192</v>
      </c>
      <c r="B44" s="5">
        <v>44001.38263888889</v>
      </c>
      <c r="C44" s="67"/>
    </row>
    <row r="45" ht="15.75" customHeight="1">
      <c r="A45" s="63" t="s">
        <v>5436</v>
      </c>
      <c r="B45" s="5">
        <v>44001.381944444445</v>
      </c>
      <c r="C45" s="67"/>
    </row>
    <row r="46" ht="15.75" customHeight="1">
      <c r="A46" s="63" t="s">
        <v>135</v>
      </c>
      <c r="B46" s="5">
        <v>44001.37430555555</v>
      </c>
      <c r="C46" s="67"/>
    </row>
    <row r="47" ht="15.75" customHeight="1">
      <c r="A47" s="63" t="s">
        <v>127</v>
      </c>
      <c r="B47" s="5">
        <v>44001.36736111111</v>
      </c>
      <c r="C47" s="67"/>
    </row>
    <row r="48" ht="15.75" customHeight="1">
      <c r="A48" s="63" t="s">
        <v>5437</v>
      </c>
      <c r="B48" s="5">
        <v>44001.36597222222</v>
      </c>
      <c r="C48" s="67"/>
    </row>
    <row r="49" ht="15.75" customHeight="1">
      <c r="A49" s="63" t="s">
        <v>186</v>
      </c>
      <c r="B49" s="5">
        <v>44001.35763888889</v>
      </c>
      <c r="C49" s="67"/>
    </row>
    <row r="50" ht="15.75" customHeight="1">
      <c r="A50" s="63" t="s">
        <v>165</v>
      </c>
      <c r="B50" s="5">
        <v>44001.339583333334</v>
      </c>
      <c r="C50" s="67"/>
    </row>
    <row r="51" ht="15.75" customHeight="1">
      <c r="A51" s="63" t="s">
        <v>208</v>
      </c>
      <c r="B51" s="5">
        <v>44001.33541666667</v>
      </c>
      <c r="C51" s="67"/>
    </row>
    <row r="52" ht="15.75" customHeight="1">
      <c r="A52" s="63" t="s">
        <v>218</v>
      </c>
      <c r="B52" s="5">
        <v>44001.333333333336</v>
      </c>
      <c r="C52" s="67"/>
    </row>
    <row r="53" ht="15.75" customHeight="1">
      <c r="A53" s="63" t="s">
        <v>5438</v>
      </c>
      <c r="B53" s="5">
        <v>44000.97222222222</v>
      </c>
      <c r="C53" s="67"/>
    </row>
    <row r="54" ht="15.75" customHeight="1">
      <c r="A54" s="63" t="s">
        <v>182</v>
      </c>
      <c r="B54" s="5">
        <v>44000.96597222222</v>
      </c>
      <c r="C54" s="67"/>
    </row>
    <row r="55" ht="15.75" customHeight="1">
      <c r="A55" s="63" t="s">
        <v>163</v>
      </c>
      <c r="B55" s="5">
        <v>44000.959027777775</v>
      </c>
      <c r="C55" s="67"/>
    </row>
    <row r="56" ht="15.75" customHeight="1">
      <c r="A56" s="63" t="s">
        <v>348</v>
      </c>
      <c r="B56" s="5">
        <v>44000.92222222222</v>
      </c>
      <c r="C56" s="67"/>
    </row>
    <row r="57" ht="15.75" customHeight="1">
      <c r="A57" s="63" t="s">
        <v>350</v>
      </c>
      <c r="B57" s="5">
        <v>44000.91458333333</v>
      </c>
      <c r="C57" s="67"/>
    </row>
    <row r="58" ht="15.75" customHeight="1">
      <c r="A58" s="63" t="s">
        <v>352</v>
      </c>
      <c r="B58" s="5">
        <v>44000.88680555556</v>
      </c>
      <c r="C58" s="67"/>
    </row>
    <row r="59" ht="15.75" customHeight="1">
      <c r="A59" s="63" t="s">
        <v>151</v>
      </c>
      <c r="B59" s="5">
        <v>44000.86736111111</v>
      </c>
      <c r="C59" s="67"/>
    </row>
    <row r="60" ht="15.75" customHeight="1">
      <c r="A60" s="63" t="s">
        <v>184</v>
      </c>
      <c r="B60" s="5">
        <v>44000.82847222222</v>
      </c>
      <c r="C60" s="67"/>
    </row>
    <row r="61" ht="15.75" customHeight="1">
      <c r="A61" s="63" t="s">
        <v>157</v>
      </c>
      <c r="B61" s="5">
        <v>44000.81597222222</v>
      </c>
      <c r="C61" s="67"/>
    </row>
    <row r="62" ht="15.75" customHeight="1">
      <c r="A62" s="63" t="s">
        <v>361</v>
      </c>
      <c r="B62" s="5">
        <v>44000.811111111114</v>
      </c>
      <c r="C62" s="67"/>
    </row>
    <row r="63" ht="15.75" customHeight="1">
      <c r="A63" s="63" t="s">
        <v>366</v>
      </c>
      <c r="B63" s="5">
        <v>44000.7875</v>
      </c>
      <c r="C63" s="67"/>
    </row>
    <row r="64" ht="15.75" customHeight="1">
      <c r="A64" s="63" t="s">
        <v>188</v>
      </c>
      <c r="B64" s="5">
        <v>44000.78055555555</v>
      </c>
      <c r="C64" s="67"/>
    </row>
    <row r="65" ht="15.75" customHeight="1">
      <c r="A65" s="63" t="s">
        <v>370</v>
      </c>
      <c r="B65" s="5">
        <v>44000.77916666667</v>
      </c>
      <c r="C65" s="67"/>
    </row>
    <row r="66" ht="15.75" customHeight="1">
      <c r="A66" s="63" t="s">
        <v>372</v>
      </c>
      <c r="B66" s="5">
        <v>44000.777083333334</v>
      </c>
      <c r="C66" s="67"/>
    </row>
    <row r="67" ht="15.75" customHeight="1">
      <c r="A67" s="63" t="s">
        <v>124</v>
      </c>
      <c r="B67" s="5">
        <v>44000.77361111111</v>
      </c>
      <c r="C67" s="67"/>
    </row>
    <row r="68" ht="15.75" customHeight="1">
      <c r="A68" s="63" t="s">
        <v>374</v>
      </c>
      <c r="B68" s="5">
        <v>44000.77361111111</v>
      </c>
      <c r="C68" s="67"/>
    </row>
    <row r="69" ht="15.75" customHeight="1">
      <c r="A69" s="63" t="s">
        <v>379</v>
      </c>
      <c r="B69" s="5">
        <v>44000.7625</v>
      </c>
      <c r="C69" s="67"/>
    </row>
    <row r="70" ht="15.75" customHeight="1">
      <c r="A70" s="63" t="s">
        <v>381</v>
      </c>
      <c r="B70" s="5">
        <v>44000.760416666664</v>
      </c>
      <c r="C70" s="67"/>
    </row>
    <row r="71" ht="15.75" customHeight="1">
      <c r="A71" s="63" t="s">
        <v>387</v>
      </c>
      <c r="B71" s="5">
        <v>44000.75555555556</v>
      </c>
      <c r="C71" s="67"/>
    </row>
    <row r="72" ht="15.75" customHeight="1">
      <c r="A72" s="63" t="s">
        <v>34</v>
      </c>
      <c r="B72" s="5">
        <v>44000.75486111111</v>
      </c>
      <c r="C72" s="67"/>
    </row>
    <row r="73" ht="15.75" customHeight="1">
      <c r="A73" s="63" t="s">
        <v>143</v>
      </c>
      <c r="B73" s="5">
        <v>44000.75208333333</v>
      </c>
      <c r="C73" s="67"/>
    </row>
    <row r="74" ht="15.75" customHeight="1">
      <c r="A74" s="63" t="s">
        <v>391</v>
      </c>
      <c r="B74" s="5">
        <v>44000.74722222222</v>
      </c>
      <c r="C74" s="67"/>
    </row>
    <row r="75" ht="15.75" customHeight="1">
      <c r="A75" s="63" t="s">
        <v>178</v>
      </c>
      <c r="B75" s="5">
        <v>44000.74652777778</v>
      </c>
      <c r="C75" s="67"/>
    </row>
    <row r="76" ht="15.75" customHeight="1">
      <c r="A76" s="63" t="s">
        <v>400</v>
      </c>
      <c r="B76" s="5">
        <v>44000.73888888889</v>
      </c>
      <c r="C76" s="67"/>
    </row>
    <row r="77" ht="15.75" customHeight="1">
      <c r="A77" s="63" t="s">
        <v>415</v>
      </c>
      <c r="B77" s="5">
        <v>44000.725694444445</v>
      </c>
      <c r="C77" s="67"/>
    </row>
    <row r="78" ht="15.75" customHeight="1">
      <c r="A78" s="63" t="s">
        <v>174</v>
      </c>
      <c r="B78" s="5">
        <v>44000.725</v>
      </c>
      <c r="C78" s="67"/>
    </row>
    <row r="79" ht="15.75" customHeight="1">
      <c r="A79" s="63" t="s">
        <v>423</v>
      </c>
      <c r="B79" s="5">
        <v>44000.72430555556</v>
      </c>
      <c r="C79" s="67"/>
    </row>
    <row r="80" ht="15.75" customHeight="1">
      <c r="A80" s="63" t="s">
        <v>417</v>
      </c>
      <c r="B80" s="5">
        <v>44000.72361111111</v>
      </c>
      <c r="C80" s="67"/>
    </row>
    <row r="81" ht="15.75" customHeight="1">
      <c r="A81" s="63" t="s">
        <v>427</v>
      </c>
      <c r="B81" s="5">
        <v>44000.722916666666</v>
      </c>
      <c r="C81" s="67"/>
    </row>
    <row r="82" ht="15.75" customHeight="1">
      <c r="A82" s="63" t="s">
        <v>155</v>
      </c>
      <c r="B82" s="5">
        <v>44000.72222222222</v>
      </c>
      <c r="C82" s="67"/>
    </row>
    <row r="83" ht="15.75" customHeight="1">
      <c r="A83" s="63" t="s">
        <v>206</v>
      </c>
      <c r="B83" s="5">
        <v>44000.714583333334</v>
      </c>
      <c r="C83" s="67"/>
    </row>
    <row r="84" ht="15.75" customHeight="1">
      <c r="A84" s="63" t="s">
        <v>180</v>
      </c>
      <c r="B84" s="5">
        <v>44000.714583333334</v>
      </c>
      <c r="C84" s="67"/>
    </row>
    <row r="85" ht="15.75" customHeight="1">
      <c r="A85" s="63" t="s">
        <v>40</v>
      </c>
      <c r="B85" s="5">
        <v>44000.70972222222</v>
      </c>
      <c r="C85" s="67"/>
    </row>
    <row r="86" ht="15.75" customHeight="1">
      <c r="A86" s="63" t="s">
        <v>434</v>
      </c>
      <c r="B86" s="5">
        <v>44000.70625</v>
      </c>
      <c r="C86" s="67"/>
    </row>
    <row r="87" ht="15.75" customHeight="1">
      <c r="A87" s="63" t="s">
        <v>440</v>
      </c>
      <c r="B87" s="5">
        <v>44000.70625</v>
      </c>
      <c r="C87" s="67"/>
    </row>
    <row r="88" ht="15.75" customHeight="1">
      <c r="A88" s="63" t="s">
        <v>438</v>
      </c>
      <c r="B88" s="5">
        <v>44000.70625</v>
      </c>
      <c r="C88" s="67"/>
    </row>
    <row r="89" ht="15.75" customHeight="1">
      <c r="A89" s="63" t="s">
        <v>111</v>
      </c>
      <c r="B89" s="5">
        <v>44000.705555555556</v>
      </c>
      <c r="C89" s="67"/>
    </row>
    <row r="90" ht="15.75" customHeight="1">
      <c r="A90" s="63" t="s">
        <v>442</v>
      </c>
      <c r="B90" s="5">
        <v>44000.705555555556</v>
      </c>
      <c r="C90" s="67"/>
    </row>
    <row r="91" ht="15.75" customHeight="1">
      <c r="A91" s="63" t="s">
        <v>190</v>
      </c>
      <c r="B91" s="5">
        <v>44000.70486111111</v>
      </c>
      <c r="C91" s="67"/>
    </row>
    <row r="92" ht="15.75" customHeight="1">
      <c r="A92" s="63" t="s">
        <v>444</v>
      </c>
      <c r="B92" s="5">
        <v>44000.70486111111</v>
      </c>
      <c r="C92" s="67"/>
    </row>
    <row r="93" ht="15.75" customHeight="1">
      <c r="A93" s="63" t="s">
        <v>450</v>
      </c>
      <c r="B93" s="5">
        <v>44000.70208333333</v>
      </c>
      <c r="C93" s="67"/>
    </row>
    <row r="94" ht="15.75" customHeight="1">
      <c r="A94" s="63" t="s">
        <v>452</v>
      </c>
      <c r="B94" s="5">
        <v>44000.70138888889</v>
      </c>
      <c r="C94" s="67"/>
    </row>
    <row r="95" ht="15.75" customHeight="1">
      <c r="A95" s="63" t="s">
        <v>210</v>
      </c>
      <c r="B95" s="5">
        <v>44000.69652777778</v>
      </c>
      <c r="C95" s="67"/>
    </row>
    <row r="96" ht="15.75" customHeight="1">
      <c r="A96" s="63" t="s">
        <v>457</v>
      </c>
      <c r="B96" s="5">
        <v>44000.69583333333</v>
      </c>
      <c r="C96" s="67"/>
    </row>
    <row r="97" ht="15.75" customHeight="1">
      <c r="A97" s="63" t="s">
        <v>5439</v>
      </c>
      <c r="B97" s="5">
        <v>44000.694444444445</v>
      </c>
      <c r="C97" s="67"/>
    </row>
    <row r="98" ht="15.75" customHeight="1">
      <c r="A98" s="63" t="s">
        <v>204</v>
      </c>
      <c r="B98" s="5">
        <v>44000.69236111111</v>
      </c>
      <c r="C98" s="67"/>
    </row>
    <row r="99" ht="15.75" customHeight="1">
      <c r="A99" s="63" t="s">
        <v>169</v>
      </c>
      <c r="B99" s="5">
        <v>44000.69097222222</v>
      </c>
      <c r="C99" s="67"/>
    </row>
    <row r="100" ht="15.75" customHeight="1">
      <c r="A100" s="63" t="s">
        <v>465</v>
      </c>
      <c r="B100" s="5">
        <v>44000.688888888886</v>
      </c>
      <c r="C100" s="67"/>
    </row>
    <row r="101" ht="15.75" customHeight="1">
      <c r="A101" s="63" t="s">
        <v>196</v>
      </c>
      <c r="B101" s="5">
        <v>44000.6875</v>
      </c>
      <c r="C101" s="67"/>
    </row>
    <row r="102" ht="15.75" customHeight="1">
      <c r="A102" s="63" t="s">
        <v>214</v>
      </c>
      <c r="B102" s="5">
        <v>44000.6875</v>
      </c>
      <c r="C102" s="67"/>
    </row>
    <row r="103" ht="15.75" customHeight="1">
      <c r="A103" s="63" t="s">
        <v>159</v>
      </c>
      <c r="B103" s="5">
        <v>44000.686111111114</v>
      </c>
      <c r="C103" s="67"/>
    </row>
    <row r="104" ht="15.75" customHeight="1">
      <c r="A104" s="63" t="s">
        <v>171</v>
      </c>
      <c r="B104" s="5">
        <v>44000.68472222222</v>
      </c>
      <c r="C104" s="67"/>
    </row>
    <row r="105" ht="15.75" customHeight="1">
      <c r="A105" s="63" t="s">
        <v>484</v>
      </c>
      <c r="B105" s="5">
        <v>44000.68472222222</v>
      </c>
      <c r="C105" s="67"/>
    </row>
    <row r="106" ht="15.75" customHeight="1">
      <c r="A106" s="63" t="s">
        <v>475</v>
      </c>
      <c r="B106" s="5">
        <v>44000.68402777778</v>
      </c>
      <c r="C106" s="67"/>
    </row>
    <row r="107" ht="15.75" customHeight="1">
      <c r="A107" s="63" t="s">
        <v>220</v>
      </c>
      <c r="B107" s="5">
        <v>44000.68402777778</v>
      </c>
      <c r="C107" s="67"/>
    </row>
    <row r="108" ht="15.75" customHeight="1">
      <c r="A108" s="63" t="s">
        <v>212</v>
      </c>
      <c r="B108" s="5">
        <v>44000.68263888889</v>
      </c>
      <c r="C108" s="67"/>
    </row>
    <row r="109" ht="15.75" customHeight="1">
      <c r="A109" s="63" t="s">
        <v>496</v>
      </c>
      <c r="B109" s="5">
        <v>43999.55138888889</v>
      </c>
      <c r="C109" s="67"/>
    </row>
    <row r="110" ht="15.75" customHeight="1">
      <c r="A110" s="63" t="s">
        <v>498</v>
      </c>
      <c r="B110" s="5">
        <v>43999.504166666666</v>
      </c>
      <c r="C110" s="67"/>
    </row>
    <row r="111" ht="15.75" customHeight="1">
      <c r="A111" s="63" t="s">
        <v>504</v>
      </c>
      <c r="B111" s="5">
        <v>43998.81041666667</v>
      </c>
      <c r="C111" s="67"/>
    </row>
    <row r="112" ht="15.75" customHeight="1">
      <c r="A112" s="63" t="s">
        <v>121</v>
      </c>
      <c r="B112" s="5">
        <v>43998.78055555555</v>
      </c>
      <c r="C112" s="67"/>
    </row>
    <row r="113" ht="15.75" customHeight="1">
      <c r="A113" s="63" t="s">
        <v>505</v>
      </c>
      <c r="B113" s="5">
        <v>43998.73402777778</v>
      </c>
      <c r="C113" s="67"/>
    </row>
    <row r="114" ht="15.75" customHeight="1">
      <c r="A114" s="63" t="s">
        <v>507</v>
      </c>
      <c r="B114" s="5">
        <v>43998.674305555556</v>
      </c>
      <c r="C114" s="67"/>
    </row>
    <row r="115" ht="15.75" customHeight="1">
      <c r="A115" s="63" t="s">
        <v>499</v>
      </c>
      <c r="B115" s="5">
        <v>43998.47083333333</v>
      </c>
      <c r="C115" s="67"/>
    </row>
    <row r="116" ht="15.75" customHeight="1">
      <c r="A116" s="63" t="s">
        <v>533</v>
      </c>
      <c r="B116" s="5">
        <v>43997.56875</v>
      </c>
      <c r="C116" s="67"/>
    </row>
    <row r="117" ht="15.75" customHeight="1">
      <c r="A117" s="63" t="s">
        <v>222</v>
      </c>
      <c r="B117" s="5">
        <v>43997.32013888889</v>
      </c>
      <c r="C117" s="67"/>
    </row>
    <row r="118" ht="15.75" customHeight="1">
      <c r="A118" s="63" t="s">
        <v>5440</v>
      </c>
      <c r="B118" s="5">
        <v>43996.74652777778</v>
      </c>
      <c r="C118" s="67"/>
    </row>
    <row r="119" ht="15.75" customHeight="1">
      <c r="A119" s="63" t="s">
        <v>576</v>
      </c>
      <c r="B119" s="5">
        <v>43994.53611111111</v>
      </c>
      <c r="C119" s="67"/>
    </row>
    <row r="120" ht="15.75" customHeight="1">
      <c r="A120" s="63" t="s">
        <v>559</v>
      </c>
      <c r="B120" s="5">
        <v>43994.50208333333</v>
      </c>
      <c r="C120" s="67"/>
    </row>
    <row r="121" ht="15.75" customHeight="1">
      <c r="A121" s="63" t="s">
        <v>550</v>
      </c>
      <c r="B121" s="5">
        <v>43994.43958333333</v>
      </c>
      <c r="C121" s="67"/>
    </row>
    <row r="122" ht="15.75" customHeight="1">
      <c r="A122" s="63" t="s">
        <v>585</v>
      </c>
      <c r="B122" s="5">
        <v>43994.41736111111</v>
      </c>
      <c r="C122" s="67"/>
    </row>
    <row r="123" ht="15.75" customHeight="1">
      <c r="A123" s="63" t="s">
        <v>587</v>
      </c>
      <c r="B123" s="5">
        <v>43994.393055555556</v>
      </c>
      <c r="C123" s="67"/>
    </row>
    <row r="124" ht="15.75" customHeight="1">
      <c r="A124" s="63" t="s">
        <v>589</v>
      </c>
      <c r="B124" s="5">
        <v>43994.39236111111</v>
      </c>
      <c r="C124" s="67"/>
    </row>
    <row r="125" ht="15.75" customHeight="1">
      <c r="A125" s="63" t="s">
        <v>621</v>
      </c>
      <c r="B125" s="5">
        <v>43990.56041666667</v>
      </c>
      <c r="C125" s="67"/>
    </row>
    <row r="126" ht="15.75" customHeight="1">
      <c r="A126" s="63" t="s">
        <v>763</v>
      </c>
      <c r="B126" s="5">
        <v>43985.46875</v>
      </c>
      <c r="C126" s="67"/>
    </row>
    <row r="127" ht="15.75" customHeight="1">
      <c r="A127" s="63" t="s">
        <v>791</v>
      </c>
      <c r="B127" s="5">
        <v>43984.43680555555</v>
      </c>
      <c r="C127" s="67"/>
    </row>
    <row r="128" ht="15.75" customHeight="1">
      <c r="A128" s="63" t="s">
        <v>838</v>
      </c>
      <c r="B128" s="5">
        <v>43979.739583333336</v>
      </c>
      <c r="C128" s="67"/>
    </row>
    <row r="129" ht="15.75" customHeight="1">
      <c r="A129" s="63" t="s">
        <v>849</v>
      </c>
      <c r="B129" s="5">
        <v>43979.34166666667</v>
      </c>
      <c r="C129" s="67"/>
    </row>
    <row r="130" ht="15.75" customHeight="1">
      <c r="A130" s="63" t="s">
        <v>865</v>
      </c>
      <c r="B130" s="5">
        <v>43977.73611111111</v>
      </c>
      <c r="C130" s="67"/>
    </row>
    <row r="131" ht="15.75" customHeight="1">
      <c r="A131" s="63" t="s">
        <v>977</v>
      </c>
      <c r="B131" s="5">
        <v>43975.41180555556</v>
      </c>
      <c r="C131" s="67"/>
    </row>
    <row r="132" ht="15.75" customHeight="1">
      <c r="A132" s="63" t="s">
        <v>933</v>
      </c>
      <c r="B132" s="5">
        <v>43974.41180555556</v>
      </c>
      <c r="C132" s="67"/>
    </row>
    <row r="133" ht="15.75" customHeight="1">
      <c r="A133" s="63" t="s">
        <v>1256</v>
      </c>
      <c r="B133" s="5">
        <v>43972.768055555556</v>
      </c>
      <c r="C133" s="67"/>
    </row>
    <row r="134" ht="15.75" customHeight="1">
      <c r="A134" s="63" t="s">
        <v>826</v>
      </c>
      <c r="B134" s="5">
        <v>43972.69236111111</v>
      </c>
      <c r="C134" s="67"/>
    </row>
    <row r="135" ht="15.75" customHeight="1">
      <c r="A135" s="63" t="s">
        <v>5445</v>
      </c>
      <c r="B135" s="5">
        <v>43972.49166666667</v>
      </c>
      <c r="C135" s="67"/>
    </row>
    <row r="136" ht="15.75" customHeight="1">
      <c r="A136" s="63" t="s">
        <v>656</v>
      </c>
      <c r="B136" s="5">
        <v>43972.4625</v>
      </c>
      <c r="C136" s="67"/>
    </row>
    <row r="137" ht="15.75" customHeight="1">
      <c r="A137" s="63" t="s">
        <v>652</v>
      </c>
      <c r="B137" s="5">
        <v>43972.45486111111</v>
      </c>
      <c r="C137" s="67"/>
    </row>
    <row r="138" ht="15.75" customHeight="1">
      <c r="A138" s="63" t="s">
        <v>911</v>
      </c>
      <c r="B138" s="5">
        <v>43972.44027777778</v>
      </c>
      <c r="C138" s="67"/>
    </row>
    <row r="139" ht="15.75" customHeight="1">
      <c r="A139" s="63" t="s">
        <v>663</v>
      </c>
      <c r="B139" s="5">
        <v>43972.43402777778</v>
      </c>
      <c r="C139" s="67"/>
    </row>
    <row r="140" ht="15.75" customHeight="1">
      <c r="A140" s="63" t="s">
        <v>1177</v>
      </c>
      <c r="B140" s="5">
        <v>43972.427777777775</v>
      </c>
      <c r="C140" s="67"/>
    </row>
    <row r="141" ht="15.75" customHeight="1">
      <c r="A141" s="63" t="s">
        <v>1308</v>
      </c>
      <c r="B141" s="5">
        <v>43972.42569444444</v>
      </c>
      <c r="C141" s="67"/>
    </row>
    <row r="142" ht="15.75" customHeight="1">
      <c r="A142" s="63" t="s">
        <v>5447</v>
      </c>
      <c r="B142" s="5">
        <v>43972.42361111111</v>
      </c>
      <c r="C142" s="67"/>
    </row>
    <row r="143" ht="15.75" customHeight="1">
      <c r="A143" s="63" t="s">
        <v>937</v>
      </c>
      <c r="B143" s="5">
        <v>43972.419444444444</v>
      </c>
      <c r="C143" s="67"/>
    </row>
    <row r="144" ht="15.75" customHeight="1">
      <c r="A144" s="63" t="s">
        <v>1318</v>
      </c>
      <c r="B144" s="5">
        <v>43972.413194444445</v>
      </c>
      <c r="C144" s="67"/>
    </row>
    <row r="145" ht="15.75" customHeight="1">
      <c r="A145" s="63" t="s">
        <v>5448</v>
      </c>
      <c r="B145" s="5">
        <v>43972.385416666664</v>
      </c>
      <c r="C145" s="67"/>
    </row>
    <row r="146" ht="15.75" customHeight="1">
      <c r="A146" s="63" t="s">
        <v>1060</v>
      </c>
      <c r="B146" s="5">
        <v>43972.384722222225</v>
      </c>
      <c r="C146" s="67"/>
    </row>
    <row r="147" ht="15.75" customHeight="1">
      <c r="A147" s="63" t="s">
        <v>1328</v>
      </c>
      <c r="B147" s="5">
        <v>43972.384722222225</v>
      </c>
      <c r="C147" s="67"/>
    </row>
    <row r="148" ht="15.75" customHeight="1">
      <c r="A148" s="63" t="s">
        <v>1285</v>
      </c>
      <c r="B148" s="5">
        <v>43972.38263888889</v>
      </c>
      <c r="C148" s="67"/>
    </row>
    <row r="149" ht="15.75" customHeight="1">
      <c r="A149" s="63" t="s">
        <v>5449</v>
      </c>
      <c r="B149" s="5">
        <v>43972.379166666666</v>
      </c>
      <c r="C149" s="67"/>
    </row>
    <row r="150" ht="15.75" customHeight="1">
      <c r="A150" s="63" t="s">
        <v>5450</v>
      </c>
      <c r="B150" s="5">
        <v>43972.365277777775</v>
      </c>
      <c r="C150" s="67"/>
    </row>
    <row r="151" ht="15.75" customHeight="1">
      <c r="A151" s="63" t="s">
        <v>1340</v>
      </c>
      <c r="B151" s="5">
        <v>43971.975694444445</v>
      </c>
      <c r="C151" s="67"/>
    </row>
    <row r="152" ht="15.75" customHeight="1">
      <c r="A152" s="63" t="s">
        <v>842</v>
      </c>
      <c r="B152" s="5">
        <v>43971.961805555555</v>
      </c>
      <c r="C152" s="67"/>
    </row>
    <row r="153" ht="15.75" customHeight="1">
      <c r="A153" s="63" t="s">
        <v>1024</v>
      </c>
      <c r="B153" s="5">
        <v>43971.82361111111</v>
      </c>
      <c r="C153" s="67"/>
    </row>
    <row r="154" ht="15.75" customHeight="1">
      <c r="A154" s="63" t="s">
        <v>1354</v>
      </c>
      <c r="B154" s="5">
        <v>43971.739583333336</v>
      </c>
      <c r="C154" s="67"/>
    </row>
    <row r="155" ht="15.75" customHeight="1">
      <c r="A155" s="63" t="s">
        <v>131</v>
      </c>
      <c r="B155" s="5">
        <v>43971.69652777778</v>
      </c>
      <c r="C155" s="67"/>
    </row>
    <row r="156" ht="15.75" customHeight="1">
      <c r="A156" s="63" t="s">
        <v>5451</v>
      </c>
      <c r="B156" s="5">
        <v>43971.65277777778</v>
      </c>
      <c r="C156" s="67"/>
    </row>
    <row r="157" ht="15.75" customHeight="1">
      <c r="A157" s="63" t="s">
        <v>957</v>
      </c>
      <c r="B157" s="5">
        <v>43971.62708333333</v>
      </c>
      <c r="C157" s="67"/>
    </row>
    <row r="158" ht="15.75" customHeight="1">
      <c r="A158" s="63" t="s">
        <v>1367</v>
      </c>
      <c r="B158" s="5">
        <v>43971.56597222222</v>
      </c>
      <c r="C158" s="67"/>
    </row>
    <row r="159" ht="15.75" customHeight="1">
      <c r="A159" s="63" t="s">
        <v>5452</v>
      </c>
      <c r="B159" s="5">
        <v>43971.52638888889</v>
      </c>
      <c r="C159" s="67"/>
    </row>
    <row r="160" ht="15.75" customHeight="1">
      <c r="A160" s="63" t="s">
        <v>523</v>
      </c>
      <c r="B160" s="5">
        <v>43971.520833333336</v>
      </c>
      <c r="C160" s="67"/>
    </row>
    <row r="161" ht="15.75" customHeight="1">
      <c r="A161" s="63" t="s">
        <v>918</v>
      </c>
      <c r="B161" s="5">
        <v>43971.50208333333</v>
      </c>
      <c r="C161" s="67"/>
    </row>
    <row r="162" ht="15.75" customHeight="1">
      <c r="A162" s="63" t="s">
        <v>1269</v>
      </c>
      <c r="B162" s="5">
        <v>43971.489583333336</v>
      </c>
      <c r="C162" s="67"/>
    </row>
    <row r="163" ht="15.75" customHeight="1">
      <c r="A163" s="63" t="s">
        <v>5453</v>
      </c>
      <c r="B163" s="5">
        <v>43971.47222222222</v>
      </c>
      <c r="C163" s="67"/>
    </row>
    <row r="164" ht="15.75" customHeight="1">
      <c r="A164" s="63" t="s">
        <v>1381</v>
      </c>
      <c r="B164" s="5">
        <v>43971.45486111111</v>
      </c>
      <c r="C164" s="67"/>
    </row>
    <row r="165" ht="15.75" customHeight="1">
      <c r="A165" s="63" t="s">
        <v>45</v>
      </c>
      <c r="B165" s="5">
        <v>43971.43958333333</v>
      </c>
      <c r="C165" s="67"/>
    </row>
    <row r="166" ht="15.75" customHeight="1">
      <c r="A166" s="63" t="s">
        <v>1043</v>
      </c>
      <c r="B166" s="5">
        <v>43971.438888888886</v>
      </c>
      <c r="C166" s="67"/>
    </row>
    <row r="167" ht="15.75" customHeight="1">
      <c r="A167" s="63" t="s">
        <v>1310</v>
      </c>
      <c r="B167" s="5">
        <v>43971.42152777778</v>
      </c>
      <c r="C167" s="67"/>
    </row>
    <row r="168" ht="15.75" customHeight="1">
      <c r="A168" s="63" t="s">
        <v>1229</v>
      </c>
      <c r="B168" s="5">
        <v>43971.41527777778</v>
      </c>
      <c r="C168" s="67"/>
    </row>
    <row r="169" ht="15.75" customHeight="1">
      <c r="A169" s="63" t="s">
        <v>850</v>
      </c>
      <c r="B169" s="5">
        <v>43971.39791666667</v>
      </c>
      <c r="C169" s="67"/>
    </row>
    <row r="170" ht="15.75" customHeight="1">
      <c r="A170" s="63" t="s">
        <v>913</v>
      </c>
      <c r="B170" s="5">
        <v>43971.39444444444</v>
      </c>
      <c r="C170" s="67"/>
    </row>
    <row r="171" ht="15.75" customHeight="1">
      <c r="A171" s="63" t="s">
        <v>1417</v>
      </c>
      <c r="B171" s="5">
        <v>43970.51111111111</v>
      </c>
      <c r="C171" s="67"/>
    </row>
    <row r="172" ht="15.75" customHeight="1">
      <c r="A172" s="63" t="s">
        <v>899</v>
      </c>
      <c r="B172" s="5">
        <v>43970.44097222222</v>
      </c>
      <c r="C172" s="67"/>
    </row>
    <row r="173" ht="15.75" customHeight="1">
      <c r="A173" s="63" t="s">
        <v>935</v>
      </c>
      <c r="B173" s="5">
        <v>43970.430555555555</v>
      </c>
      <c r="C173" s="67"/>
    </row>
    <row r="174" ht="15.75" customHeight="1">
      <c r="A174" s="63" t="s">
        <v>552</v>
      </c>
      <c r="B174" s="5">
        <v>43970.42638888889</v>
      </c>
      <c r="C174" s="67"/>
    </row>
    <row r="175" ht="15.75" customHeight="1">
      <c r="A175" s="63" t="s">
        <v>473</v>
      </c>
      <c r="B175" s="5">
        <v>43970.010416666664</v>
      </c>
      <c r="C175" s="67"/>
    </row>
    <row r="176" ht="15.75" customHeight="1">
      <c r="A176" s="63" t="s">
        <v>1093</v>
      </c>
      <c r="B176" s="5">
        <v>43969.78402777778</v>
      </c>
      <c r="C176" s="67"/>
    </row>
    <row r="177" ht="15.75" customHeight="1">
      <c r="A177" s="63" t="s">
        <v>891</v>
      </c>
      <c r="B177" s="5">
        <v>43969.705555555556</v>
      </c>
      <c r="C177" s="67"/>
    </row>
    <row r="178" ht="15.75" customHeight="1">
      <c r="A178" s="63" t="s">
        <v>5454</v>
      </c>
      <c r="B178" s="5">
        <v>43969.69861111111</v>
      </c>
      <c r="C178" s="67"/>
    </row>
    <row r="179" ht="15.75" customHeight="1">
      <c r="A179" s="63" t="s">
        <v>661</v>
      </c>
      <c r="B179" s="5">
        <v>43969.535416666666</v>
      </c>
      <c r="C179" s="67"/>
    </row>
    <row r="180" ht="15.75" customHeight="1">
      <c r="A180" s="63" t="s">
        <v>5455</v>
      </c>
      <c r="B180" s="5">
        <v>43969.52361111111</v>
      </c>
      <c r="C180" s="67"/>
    </row>
    <row r="181" ht="15.75" customHeight="1">
      <c r="A181" s="63" t="s">
        <v>5456</v>
      </c>
      <c r="B181" s="5">
        <v>43969.51388888889</v>
      </c>
      <c r="C181" s="67"/>
    </row>
    <row r="182" ht="15.75" customHeight="1">
      <c r="A182" s="63" t="s">
        <v>280</v>
      </c>
      <c r="B182" s="5">
        <v>43969.47777777778</v>
      </c>
      <c r="C182" s="67"/>
    </row>
    <row r="183" ht="15.75" customHeight="1">
      <c r="A183" s="63" t="s">
        <v>5457</v>
      </c>
      <c r="B183" s="5">
        <v>43969.475694444445</v>
      </c>
      <c r="C183" s="67"/>
    </row>
    <row r="184" ht="15.75" customHeight="1">
      <c r="A184" s="63" t="s">
        <v>995</v>
      </c>
      <c r="B184" s="5">
        <v>43969.46041666667</v>
      </c>
      <c r="C184" s="67"/>
    </row>
    <row r="185" ht="15.75" customHeight="1">
      <c r="A185" s="63" t="s">
        <v>931</v>
      </c>
      <c r="B185" s="5">
        <v>43969.45763888889</v>
      </c>
      <c r="C185" s="67"/>
    </row>
    <row r="186" ht="15.75" customHeight="1">
      <c r="A186" s="63" t="s">
        <v>1489</v>
      </c>
      <c r="B186" s="5">
        <v>43967.65347222222</v>
      </c>
      <c r="C186" s="67"/>
    </row>
    <row r="187" ht="15.75" customHeight="1">
      <c r="A187" s="63" t="s">
        <v>1170</v>
      </c>
      <c r="B187" s="5">
        <v>43965.39166666667</v>
      </c>
      <c r="C187" s="67"/>
    </row>
    <row r="188" ht="15.75" customHeight="1">
      <c r="A188" s="63" t="s">
        <v>5460</v>
      </c>
      <c r="B188" s="5">
        <v>43962.98055555556</v>
      </c>
      <c r="C188" s="67"/>
    </row>
    <row r="189" ht="15.75" customHeight="1">
      <c r="A189" s="63" t="s">
        <v>1554</v>
      </c>
      <c r="B189" s="5">
        <v>43962.86111111111</v>
      </c>
      <c r="C189" s="67"/>
    </row>
    <row r="190" ht="15.75" customHeight="1">
      <c r="A190" s="63" t="s">
        <v>1565</v>
      </c>
      <c r="B190" s="5">
        <v>43962.44027777778</v>
      </c>
      <c r="C190" s="67"/>
    </row>
    <row r="191" ht="15.75" customHeight="1">
      <c r="A191" s="63" t="s">
        <v>1610</v>
      </c>
      <c r="B191" s="5">
        <v>43959.74166666667</v>
      </c>
      <c r="C191" s="67"/>
    </row>
    <row r="192" ht="15.75" customHeight="1">
      <c r="A192" s="63" t="s">
        <v>1615</v>
      </c>
      <c r="B192" s="5">
        <v>43959.620833333334</v>
      </c>
      <c r="C192" s="67"/>
    </row>
    <row r="193" ht="15.75" customHeight="1">
      <c r="A193" s="63" t="s">
        <v>1636</v>
      </c>
      <c r="B193" s="5">
        <v>43958.81319444445</v>
      </c>
      <c r="C193" s="67"/>
    </row>
    <row r="194" ht="15.75" customHeight="1">
      <c r="A194" s="63" t="s">
        <v>1696</v>
      </c>
      <c r="B194" s="5">
        <v>43956.74791666667</v>
      </c>
      <c r="C194" s="67"/>
    </row>
    <row r="195" ht="15.75" customHeight="1">
      <c r="A195" s="63" t="s">
        <v>1701</v>
      </c>
      <c r="B195" s="5">
        <v>43956.71805555555</v>
      </c>
      <c r="C195" s="67"/>
    </row>
    <row r="196" ht="15.75" customHeight="1">
      <c r="A196" s="63" t="s">
        <v>1709</v>
      </c>
      <c r="B196" s="5">
        <v>43956.53125</v>
      </c>
      <c r="C196" s="67"/>
    </row>
    <row r="197" ht="15.75" customHeight="1">
      <c r="A197" s="63" t="s">
        <v>1653</v>
      </c>
      <c r="B197" s="5">
        <v>43956.45625</v>
      </c>
      <c r="C197" s="67"/>
    </row>
    <row r="198" ht="15.75" customHeight="1">
      <c r="A198" s="63" t="s">
        <v>1712</v>
      </c>
      <c r="B198" s="5">
        <v>43956.419444444444</v>
      </c>
      <c r="C198" s="67"/>
    </row>
    <row r="199" ht="15.75" customHeight="1">
      <c r="A199" s="63" t="s">
        <v>563</v>
      </c>
      <c r="B199" s="5">
        <v>43956.41458333333</v>
      </c>
      <c r="C199" s="67"/>
    </row>
    <row r="200" ht="15.75" customHeight="1">
      <c r="A200" s="63" t="s">
        <v>1726</v>
      </c>
      <c r="B200" s="5">
        <v>43956.28333333333</v>
      </c>
      <c r="C200" s="67"/>
    </row>
    <row r="201" ht="15.75" customHeight="1">
      <c r="A201" s="63" t="s">
        <v>5462</v>
      </c>
      <c r="B201" s="5">
        <v>43955.72083333333</v>
      </c>
      <c r="C201" s="67"/>
    </row>
    <row r="202" ht="15.75" customHeight="1">
      <c r="A202" s="63" t="s">
        <v>1748</v>
      </c>
      <c r="B202" s="5">
        <v>43955.71875</v>
      </c>
      <c r="C202" s="67"/>
    </row>
    <row r="203" ht="15.75" customHeight="1">
      <c r="A203" s="63" t="s">
        <v>1774</v>
      </c>
      <c r="B203" s="5">
        <v>43955.55972222222</v>
      </c>
      <c r="C203" s="67"/>
    </row>
    <row r="204" ht="15.75" customHeight="1">
      <c r="A204" s="63" t="s">
        <v>1500</v>
      </c>
      <c r="B204" s="5">
        <v>43955.506944444445</v>
      </c>
      <c r="C204" s="67"/>
    </row>
    <row r="205" ht="15.75" customHeight="1">
      <c r="A205" s="63" t="s">
        <v>1790</v>
      </c>
      <c r="B205" s="5">
        <v>43955.49166666667</v>
      </c>
      <c r="C205" s="67"/>
    </row>
    <row r="206" ht="15.75" customHeight="1">
      <c r="A206" s="63" t="s">
        <v>518</v>
      </c>
      <c r="B206" s="5">
        <v>43955.42083333333</v>
      </c>
      <c r="C206" s="67"/>
    </row>
    <row r="207" ht="15.75" customHeight="1">
      <c r="A207" s="63" t="s">
        <v>1804</v>
      </c>
      <c r="B207" s="5">
        <v>43955.399305555555</v>
      </c>
      <c r="C207" s="67"/>
    </row>
    <row r="208" ht="15.75" customHeight="1">
      <c r="A208" s="63" t="s">
        <v>1633</v>
      </c>
      <c r="B208" s="5">
        <v>43954.967361111114</v>
      </c>
      <c r="C208" s="67"/>
    </row>
    <row r="209" ht="15.75" customHeight="1">
      <c r="A209" s="63" t="s">
        <v>1886</v>
      </c>
      <c r="B209" s="5">
        <v>43953.44652777778</v>
      </c>
      <c r="C209" s="67"/>
    </row>
    <row r="210" ht="15.75" customHeight="1">
      <c r="A210" s="63" t="s">
        <v>1732</v>
      </c>
      <c r="B210" s="5">
        <v>43953.31319444445</v>
      </c>
      <c r="C210" s="67"/>
    </row>
    <row r="211" ht="15.75" customHeight="1">
      <c r="A211" s="63" t="s">
        <v>1782</v>
      </c>
      <c r="B211" s="5">
        <v>43952.96527777778</v>
      </c>
      <c r="C211" s="67"/>
    </row>
    <row r="212" ht="15.75" customHeight="1">
      <c r="A212" s="63" t="s">
        <v>1894</v>
      </c>
      <c r="B212" s="5">
        <v>43952.95694444444</v>
      </c>
      <c r="C212" s="67"/>
    </row>
    <row r="213" ht="15.75" customHeight="1">
      <c r="A213" s="63" t="s">
        <v>1906</v>
      </c>
      <c r="B213" s="5">
        <v>43952.805555555555</v>
      </c>
      <c r="C213" s="67"/>
    </row>
    <row r="214" ht="15.75" customHeight="1">
      <c r="A214" s="63" t="s">
        <v>1916</v>
      </c>
      <c r="B214" s="5">
        <v>43952.611805555556</v>
      </c>
      <c r="C214" s="67"/>
    </row>
    <row r="215" ht="15.75" customHeight="1">
      <c r="A215" s="63" t="s">
        <v>1923</v>
      </c>
      <c r="B215" s="5">
        <v>43952.51666666667</v>
      </c>
      <c r="C215" s="67"/>
    </row>
    <row r="216" ht="15.75" customHeight="1">
      <c r="A216" s="63" t="s">
        <v>1925</v>
      </c>
      <c r="B216" s="5">
        <v>43952.49722222222</v>
      </c>
      <c r="C216" s="67"/>
    </row>
    <row r="217" ht="15.75" customHeight="1">
      <c r="A217" s="63" t="s">
        <v>1926</v>
      </c>
      <c r="B217" s="5">
        <v>43952.495833333334</v>
      </c>
      <c r="C217" s="67"/>
    </row>
    <row r="218" ht="15.75" customHeight="1">
      <c r="A218" s="63" t="s">
        <v>1939</v>
      </c>
      <c r="B218" s="5">
        <v>43951.978472222225</v>
      </c>
      <c r="C218" s="67"/>
    </row>
    <row r="219" ht="15.75" customHeight="1">
      <c r="A219" s="63" t="s">
        <v>1952</v>
      </c>
      <c r="B219" s="5">
        <v>43951.89513888889</v>
      </c>
      <c r="C219" s="67"/>
    </row>
    <row r="220" ht="15.75" customHeight="1">
      <c r="A220" s="63" t="s">
        <v>1960</v>
      </c>
      <c r="B220" s="5">
        <v>43951.87430555555</v>
      </c>
      <c r="C220" s="67"/>
    </row>
    <row r="221" ht="15.75" customHeight="1">
      <c r="A221" s="63" t="s">
        <v>1745</v>
      </c>
      <c r="B221" s="5">
        <v>43951.81736111111</v>
      </c>
      <c r="C221" s="67"/>
    </row>
    <row r="222" ht="15.75" customHeight="1">
      <c r="A222" s="63" t="s">
        <v>1973</v>
      </c>
      <c r="B222" s="5">
        <v>43951.76388888889</v>
      </c>
      <c r="C222" s="67"/>
    </row>
    <row r="223" ht="15.75" customHeight="1">
      <c r="A223" s="63" t="s">
        <v>1975</v>
      </c>
      <c r="B223" s="5">
        <v>43951.73125</v>
      </c>
      <c r="C223" s="67"/>
    </row>
    <row r="224" ht="15.75" customHeight="1">
      <c r="A224" s="63" t="s">
        <v>1977</v>
      </c>
      <c r="B224" s="5">
        <v>43951.72777777778</v>
      </c>
      <c r="C224" s="67"/>
    </row>
    <row r="225" ht="15.75" customHeight="1">
      <c r="A225" s="63" t="s">
        <v>1985</v>
      </c>
      <c r="B225" s="5">
        <v>43951.67569444444</v>
      </c>
      <c r="C225" s="67"/>
    </row>
    <row r="226" ht="15.75" customHeight="1">
      <c r="A226" s="63" t="s">
        <v>1991</v>
      </c>
      <c r="B226" s="5">
        <v>43951.589583333334</v>
      </c>
      <c r="C226" s="67"/>
    </row>
    <row r="227" ht="15.75" customHeight="1">
      <c r="A227" s="63" t="s">
        <v>1998</v>
      </c>
      <c r="B227" s="5">
        <v>43951.55763888889</v>
      </c>
      <c r="C227" s="67"/>
    </row>
    <row r="228" ht="15.75" customHeight="1">
      <c r="A228" s="63" t="s">
        <v>2005</v>
      </c>
      <c r="B228" s="5">
        <v>43951.53194444445</v>
      </c>
      <c r="C228" s="67"/>
    </row>
    <row r="229" ht="15.75" customHeight="1">
      <c r="A229" s="63" t="s">
        <v>2008</v>
      </c>
      <c r="B229" s="5">
        <v>43951.52291666667</v>
      </c>
      <c r="C229" s="67"/>
    </row>
    <row r="230" ht="15.75" customHeight="1">
      <c r="A230" s="63" t="s">
        <v>617</v>
      </c>
      <c r="B230" s="5">
        <v>43951.506944444445</v>
      </c>
      <c r="C230" s="67"/>
    </row>
    <row r="231" ht="15.75" customHeight="1">
      <c r="A231" s="63" t="s">
        <v>2026</v>
      </c>
      <c r="B231" s="5">
        <v>43951.49652777778</v>
      </c>
      <c r="C231" s="67"/>
    </row>
    <row r="232" ht="15.75" customHeight="1">
      <c r="A232" s="63" t="s">
        <v>2030</v>
      </c>
      <c r="B232" s="5">
        <v>43951.45694444444</v>
      </c>
      <c r="C232" s="67"/>
    </row>
    <row r="233" ht="15.75" customHeight="1">
      <c r="A233" s="63" t="s">
        <v>2040</v>
      </c>
      <c r="B233" s="5">
        <v>43951.425</v>
      </c>
      <c r="C233" s="67"/>
    </row>
    <row r="234" ht="15.75" customHeight="1">
      <c r="A234" s="63" t="s">
        <v>2046</v>
      </c>
      <c r="B234" s="5">
        <v>43951.42152777778</v>
      </c>
      <c r="C234" s="67"/>
    </row>
    <row r="235" ht="15.75" customHeight="1">
      <c r="A235" s="63" t="s">
        <v>2058</v>
      </c>
      <c r="B235" s="5">
        <v>43951.41180555556</v>
      </c>
      <c r="C235" s="67"/>
    </row>
    <row r="236" ht="15.75" customHeight="1">
      <c r="A236" s="63" t="s">
        <v>408</v>
      </c>
      <c r="B236" s="5">
        <v>43951.39513888889</v>
      </c>
      <c r="C236" s="67"/>
    </row>
    <row r="237" ht="15.75" customHeight="1">
      <c r="A237" s="63" t="s">
        <v>2075</v>
      </c>
      <c r="B237" s="5">
        <v>43951.3875</v>
      </c>
      <c r="C237" s="67"/>
    </row>
    <row r="238" ht="15.75" customHeight="1">
      <c r="A238" s="63" t="s">
        <v>1699</v>
      </c>
      <c r="B238" s="5">
        <v>43951.384722222225</v>
      </c>
      <c r="C238" s="67"/>
    </row>
    <row r="239" ht="15.75" customHeight="1">
      <c r="A239" s="63" t="s">
        <v>2086</v>
      </c>
      <c r="B239" s="5">
        <v>43951.37847222222</v>
      </c>
      <c r="C239" s="67"/>
    </row>
    <row r="240" ht="15.75" customHeight="1">
      <c r="A240" s="63" t="s">
        <v>2098</v>
      </c>
      <c r="B240" s="5">
        <v>43951.36875</v>
      </c>
      <c r="C240" s="67"/>
    </row>
    <row r="241" ht="15.75" customHeight="1">
      <c r="A241" s="63" t="s">
        <v>1762</v>
      </c>
      <c r="B241" s="5">
        <v>43951.36597222222</v>
      </c>
      <c r="C241" s="67"/>
    </row>
    <row r="242" ht="15.75" customHeight="1">
      <c r="A242" s="63" t="s">
        <v>2105</v>
      </c>
      <c r="B242" s="5">
        <v>43951.365277777775</v>
      </c>
      <c r="C242" s="67"/>
    </row>
    <row r="243" ht="15.75" customHeight="1">
      <c r="A243" s="63" t="s">
        <v>2107</v>
      </c>
      <c r="B243" s="5">
        <v>43951.361805555556</v>
      </c>
      <c r="C243" s="67"/>
    </row>
    <row r="244" ht="15.75" customHeight="1">
      <c r="A244" s="63" t="s">
        <v>2109</v>
      </c>
      <c r="B244" s="5">
        <v>43951.35972222222</v>
      </c>
      <c r="C244" s="67"/>
    </row>
    <row r="245" ht="15.75" customHeight="1">
      <c r="A245" s="63" t="s">
        <v>2111</v>
      </c>
      <c r="B245" s="5">
        <v>43951.353472222225</v>
      </c>
      <c r="C245" s="67"/>
    </row>
    <row r="246" ht="15.75" customHeight="1">
      <c r="A246" s="63" t="s">
        <v>2122</v>
      </c>
      <c r="B246" s="5">
        <v>43951.334027777775</v>
      </c>
      <c r="C246" s="67"/>
    </row>
    <row r="247" ht="15.75" customHeight="1">
      <c r="A247" s="63" t="s">
        <v>2124</v>
      </c>
      <c r="B247" s="5">
        <v>43951.333333333336</v>
      </c>
      <c r="C247" s="67"/>
    </row>
    <row r="248" ht="15.75" customHeight="1">
      <c r="A248" s="63" t="s">
        <v>2128</v>
      </c>
      <c r="B248" s="5">
        <v>43951.325</v>
      </c>
      <c r="C248" s="67"/>
    </row>
    <row r="249" ht="15.75" customHeight="1">
      <c r="A249" s="63" t="s">
        <v>2130</v>
      </c>
      <c r="B249" s="5">
        <v>43951.322916666664</v>
      </c>
      <c r="C249" s="67"/>
    </row>
    <row r="250" ht="15.75" customHeight="1">
      <c r="A250" s="63" t="s">
        <v>1785</v>
      </c>
      <c r="B250" s="5">
        <v>43951.30347222222</v>
      </c>
      <c r="C250" s="67"/>
    </row>
    <row r="251" ht="15.75" customHeight="1">
      <c r="A251" s="63" t="s">
        <v>2147</v>
      </c>
      <c r="B251" s="5">
        <v>43951.282638888886</v>
      </c>
      <c r="C251" s="67"/>
    </row>
    <row r="252" ht="15.75" customHeight="1">
      <c r="A252" s="63" t="s">
        <v>2149</v>
      </c>
      <c r="B252" s="5">
        <v>43951.275</v>
      </c>
      <c r="C252" s="67"/>
    </row>
    <row r="253" ht="15.75" customHeight="1">
      <c r="A253" s="63" t="s">
        <v>2159</v>
      </c>
      <c r="B253" s="5">
        <v>43951.13611111111</v>
      </c>
      <c r="C253" s="67"/>
    </row>
    <row r="254" ht="15.75" customHeight="1">
      <c r="A254" s="63" t="s">
        <v>2160</v>
      </c>
      <c r="B254" s="5">
        <v>43951.135416666664</v>
      </c>
      <c r="C254" s="67"/>
    </row>
    <row r="255" ht="15.75" customHeight="1">
      <c r="A255" s="63" t="s">
        <v>2168</v>
      </c>
      <c r="B255" s="5">
        <v>43950.998611111114</v>
      </c>
      <c r="C255" s="67"/>
    </row>
    <row r="256" ht="15.75" customHeight="1">
      <c r="A256" s="63" t="s">
        <v>2170</v>
      </c>
      <c r="B256" s="5">
        <v>43950.993055555555</v>
      </c>
      <c r="C256" s="67"/>
    </row>
    <row r="257" ht="15.75" customHeight="1">
      <c r="A257" s="63" t="s">
        <v>2174</v>
      </c>
      <c r="B257" s="5">
        <v>43950.959027777775</v>
      </c>
      <c r="C257" s="67"/>
    </row>
    <row r="258" ht="15.75" customHeight="1">
      <c r="A258" s="63" t="s">
        <v>2186</v>
      </c>
      <c r="B258" s="5">
        <v>43950.90694444445</v>
      </c>
      <c r="C258" s="67"/>
    </row>
    <row r="259" ht="15.75" customHeight="1">
      <c r="A259" s="63" t="s">
        <v>2194</v>
      </c>
      <c r="B259" s="5">
        <v>43950.89375</v>
      </c>
      <c r="C259" s="67"/>
    </row>
    <row r="260" ht="15.75" customHeight="1">
      <c r="A260" s="63" t="s">
        <v>2196</v>
      </c>
      <c r="B260" s="5">
        <v>43950.89097222222</v>
      </c>
      <c r="C260" s="67"/>
    </row>
    <row r="261" ht="15.75" customHeight="1">
      <c r="A261" s="63" t="s">
        <v>2208</v>
      </c>
      <c r="B261" s="5">
        <v>43950.87152777778</v>
      </c>
      <c r="C261" s="67"/>
    </row>
    <row r="262" ht="15.75" customHeight="1">
      <c r="A262" s="63" t="s">
        <v>2215</v>
      </c>
      <c r="B262" s="5">
        <v>43950.853472222225</v>
      </c>
      <c r="C262" s="67"/>
    </row>
    <row r="263" ht="15.75" customHeight="1">
      <c r="A263" s="63" t="s">
        <v>2223</v>
      </c>
      <c r="B263" s="5">
        <v>43950.845138888886</v>
      </c>
      <c r="C263" s="67"/>
    </row>
    <row r="264" ht="15.75" customHeight="1">
      <c r="A264" s="63" t="s">
        <v>2225</v>
      </c>
      <c r="B264" s="5">
        <v>43950.84444444445</v>
      </c>
      <c r="C264" s="67"/>
    </row>
    <row r="265" ht="15.75" customHeight="1">
      <c r="A265" s="63" t="s">
        <v>2221</v>
      </c>
      <c r="B265" s="5">
        <v>43950.84305555555</v>
      </c>
      <c r="C265" s="67"/>
    </row>
    <row r="266" ht="15.75" customHeight="1">
      <c r="A266" s="63" t="s">
        <v>2236</v>
      </c>
      <c r="B266" s="5">
        <v>43950.830555555556</v>
      </c>
      <c r="C266" s="67"/>
    </row>
    <row r="267" ht="15.75" customHeight="1">
      <c r="A267" s="63" t="s">
        <v>2239</v>
      </c>
      <c r="B267" s="5">
        <v>43950.825694444444</v>
      </c>
      <c r="C267" s="67"/>
    </row>
    <row r="268" ht="15.75" customHeight="1">
      <c r="A268" s="63" t="s">
        <v>2247</v>
      </c>
      <c r="B268" s="5">
        <v>43950.81319444445</v>
      </c>
      <c r="C268" s="67"/>
    </row>
    <row r="269" ht="15.75" customHeight="1">
      <c r="A269" s="63" t="s">
        <v>2256</v>
      </c>
      <c r="B269" s="5">
        <v>43950.808333333334</v>
      </c>
      <c r="C269" s="67"/>
    </row>
    <row r="270" ht="15.75" customHeight="1">
      <c r="A270" s="63" t="s">
        <v>2259</v>
      </c>
      <c r="B270" s="5">
        <v>43950.80694444444</v>
      </c>
      <c r="C270" s="67"/>
    </row>
    <row r="271" ht="15.75" customHeight="1">
      <c r="A271" s="63" t="s">
        <v>2267</v>
      </c>
      <c r="B271" s="5">
        <v>43950.80416666667</v>
      </c>
      <c r="C271" s="67"/>
    </row>
    <row r="272" ht="15.75" customHeight="1">
      <c r="A272" s="63" t="s">
        <v>2277</v>
      </c>
      <c r="B272" s="5">
        <v>43950.79027777778</v>
      </c>
      <c r="C272" s="67"/>
    </row>
    <row r="273" ht="15.75" customHeight="1">
      <c r="A273" s="63" t="s">
        <v>2283</v>
      </c>
      <c r="B273" s="5">
        <v>43950.78055555555</v>
      </c>
      <c r="C273" s="67"/>
    </row>
    <row r="274" ht="15.75" customHeight="1">
      <c r="A274" s="63" t="s">
        <v>2284</v>
      </c>
      <c r="B274" s="5">
        <v>43950.779861111114</v>
      </c>
      <c r="C274" s="67"/>
    </row>
    <row r="275" ht="15.75" customHeight="1">
      <c r="A275" s="63" t="s">
        <v>2286</v>
      </c>
      <c r="B275" s="5">
        <v>43950.779861111114</v>
      </c>
      <c r="C275" s="67"/>
    </row>
    <row r="276" ht="15.75" customHeight="1">
      <c r="A276" s="63" t="s">
        <v>2304</v>
      </c>
      <c r="B276" s="5">
        <v>43950.770833333336</v>
      </c>
      <c r="C276" s="67"/>
    </row>
    <row r="277" ht="15.75" customHeight="1">
      <c r="A277" s="63" t="s">
        <v>2310</v>
      </c>
      <c r="B277" s="5">
        <v>43950.76527777778</v>
      </c>
      <c r="C277" s="67"/>
    </row>
    <row r="278" ht="15.75" customHeight="1">
      <c r="A278" s="63" t="s">
        <v>2312</v>
      </c>
      <c r="B278" s="5">
        <v>43950.76458333333</v>
      </c>
      <c r="C278" s="67"/>
    </row>
    <row r="279" ht="15.75" customHeight="1">
      <c r="A279" s="63" t="s">
        <v>2320</v>
      </c>
      <c r="B279" s="5">
        <v>43950.7625</v>
      </c>
      <c r="C279" s="67"/>
    </row>
    <row r="280" ht="15.75" customHeight="1">
      <c r="A280" s="63" t="s">
        <v>7</v>
      </c>
      <c r="B280" s="5">
        <v>43950.760416666664</v>
      </c>
      <c r="C280" s="67"/>
    </row>
    <row r="281" ht="15.75" customHeight="1">
      <c r="A281" s="63" t="s">
        <v>1070</v>
      </c>
      <c r="B281" s="5">
        <v>43950.75277777778</v>
      </c>
      <c r="C281" s="67"/>
    </row>
    <row r="282" ht="15.75" customHeight="1">
      <c r="A282" s="63" t="s">
        <v>2342</v>
      </c>
      <c r="B282" s="5">
        <v>43950.74652777778</v>
      </c>
      <c r="C282" s="67"/>
    </row>
    <row r="283" ht="15.75" customHeight="1">
      <c r="A283" s="63" t="s">
        <v>2360</v>
      </c>
      <c r="B283" s="5">
        <v>43950.739583333336</v>
      </c>
      <c r="C283" s="67"/>
    </row>
    <row r="284" ht="15.75" customHeight="1">
      <c r="A284" s="63" t="s">
        <v>2370</v>
      </c>
      <c r="B284" s="5">
        <v>43950.73055555556</v>
      </c>
      <c r="C284" s="67"/>
    </row>
    <row r="285" ht="15.75" customHeight="1">
      <c r="A285" s="63" t="s">
        <v>2376</v>
      </c>
      <c r="B285" s="5">
        <v>43950.720138888886</v>
      </c>
      <c r="C285" s="67"/>
    </row>
    <row r="286" ht="15.75" customHeight="1">
      <c r="A286" s="63" t="s">
        <v>2382</v>
      </c>
      <c r="B286" s="5">
        <v>43950.7125</v>
      </c>
      <c r="C286" s="67"/>
    </row>
    <row r="287" ht="15.75" customHeight="1">
      <c r="A287" s="63" t="s">
        <v>2389</v>
      </c>
      <c r="B287" s="5">
        <v>43950.71111111111</v>
      </c>
      <c r="C287" s="67"/>
    </row>
    <row r="288" ht="15.75" customHeight="1">
      <c r="A288" s="63" t="s">
        <v>1829</v>
      </c>
      <c r="B288" s="5">
        <v>43950.71041666667</v>
      </c>
      <c r="C288" s="67"/>
    </row>
    <row r="289" ht="15.75" customHeight="1">
      <c r="A289" s="63" t="s">
        <v>480</v>
      </c>
      <c r="B289" s="5">
        <v>43950.709027777775</v>
      </c>
      <c r="C289" s="67"/>
    </row>
    <row r="290" ht="15.75" customHeight="1">
      <c r="A290" s="63" t="s">
        <v>5463</v>
      </c>
      <c r="B290" s="5">
        <v>43950.708333333336</v>
      </c>
      <c r="C290" s="67"/>
    </row>
    <row r="291" ht="15.75" customHeight="1">
      <c r="A291" s="63" t="s">
        <v>2398</v>
      </c>
      <c r="B291" s="5">
        <v>43950.705555555556</v>
      </c>
      <c r="C291" s="67"/>
    </row>
    <row r="292" ht="15.75" customHeight="1">
      <c r="A292" s="63" t="s">
        <v>2400</v>
      </c>
      <c r="B292" s="5">
        <v>43950.705555555556</v>
      </c>
      <c r="C292" s="67"/>
    </row>
    <row r="293" ht="15.75" customHeight="1">
      <c r="A293" s="63" t="s">
        <v>1760</v>
      </c>
      <c r="B293" s="5">
        <v>43950.69930555556</v>
      </c>
      <c r="C293" s="67"/>
    </row>
    <row r="294" ht="15.75" customHeight="1">
      <c r="A294" s="63" t="s">
        <v>2413</v>
      </c>
      <c r="B294" s="5">
        <v>43950.69513888889</v>
      </c>
      <c r="C294" s="67"/>
    </row>
    <row r="295" ht="15.75" customHeight="1">
      <c r="A295" s="63" t="s">
        <v>2415</v>
      </c>
      <c r="B295" s="5">
        <v>43950.691666666666</v>
      </c>
      <c r="C295" s="67"/>
    </row>
    <row r="296" ht="15.75" customHeight="1">
      <c r="A296" s="63" t="s">
        <v>2431</v>
      </c>
      <c r="B296" s="5">
        <v>43950.67847222222</v>
      </c>
      <c r="C296" s="67"/>
    </row>
    <row r="297" ht="15.75" customHeight="1">
      <c r="A297" s="63" t="s">
        <v>2441</v>
      </c>
      <c r="B297" s="5">
        <v>43950.666666666664</v>
      </c>
      <c r="C297" s="67"/>
    </row>
    <row r="298" ht="15.75" customHeight="1">
      <c r="A298" s="63" t="s">
        <v>2447</v>
      </c>
      <c r="B298" s="5">
        <v>43950.66458333333</v>
      </c>
      <c r="C298" s="67"/>
    </row>
    <row r="299" ht="15.75" customHeight="1">
      <c r="A299" s="63" t="s">
        <v>2455</v>
      </c>
      <c r="B299" s="5">
        <v>43950.65555555555</v>
      </c>
      <c r="C299" s="67"/>
    </row>
    <row r="300" ht="15.75" customHeight="1">
      <c r="A300" s="63" t="s">
        <v>2469</v>
      </c>
      <c r="B300" s="5">
        <v>43950.64861111111</v>
      </c>
      <c r="C300" s="67"/>
    </row>
    <row r="301" ht="15.75" customHeight="1">
      <c r="A301" s="63" t="s">
        <v>2489</v>
      </c>
      <c r="B301" s="5">
        <v>43950.62222222222</v>
      </c>
      <c r="C301" s="67"/>
    </row>
    <row r="302" ht="15.75" customHeight="1">
      <c r="A302" s="63" t="s">
        <v>2494</v>
      </c>
      <c r="B302" s="5">
        <v>43950.618055555555</v>
      </c>
      <c r="C302" s="67"/>
    </row>
    <row r="303" ht="15.75" customHeight="1">
      <c r="A303" s="63" t="s">
        <v>2492</v>
      </c>
      <c r="B303" s="5">
        <v>43950.618055555555</v>
      </c>
      <c r="C303" s="67"/>
    </row>
    <row r="304" ht="15.75" customHeight="1">
      <c r="A304" s="63" t="s">
        <v>2499</v>
      </c>
      <c r="B304" s="5">
        <v>43950.60972222222</v>
      </c>
      <c r="C304" s="67"/>
    </row>
    <row r="305" ht="15.75" customHeight="1">
      <c r="A305" s="63" t="s">
        <v>2508</v>
      </c>
      <c r="B305" s="5">
        <v>43950.604166666664</v>
      </c>
      <c r="C305" s="67"/>
    </row>
    <row r="306" ht="15.75" customHeight="1">
      <c r="A306" s="63" t="s">
        <v>2514</v>
      </c>
      <c r="B306" s="5">
        <v>43950.60277777778</v>
      </c>
      <c r="C306" s="67"/>
    </row>
    <row r="307" ht="15.75" customHeight="1">
      <c r="A307" s="63" t="s">
        <v>2526</v>
      </c>
      <c r="B307" s="5">
        <v>43950.58888888889</v>
      </c>
      <c r="C307" s="67"/>
    </row>
    <row r="308" ht="15.75" customHeight="1">
      <c r="A308" s="63" t="s">
        <v>2530</v>
      </c>
      <c r="B308" s="5">
        <v>43950.586805555555</v>
      </c>
      <c r="C308" s="67"/>
    </row>
    <row r="309" ht="15.75" customHeight="1">
      <c r="A309" s="63" t="s">
        <v>2534</v>
      </c>
      <c r="B309" s="5">
        <v>43950.58611111111</v>
      </c>
      <c r="C309" s="67"/>
    </row>
    <row r="310" ht="15.75" customHeight="1">
      <c r="A310" s="63" t="s">
        <v>2540</v>
      </c>
      <c r="B310" s="5">
        <v>43950.58263888889</v>
      </c>
      <c r="C310" s="67"/>
    </row>
    <row r="311" ht="15.75" customHeight="1">
      <c r="A311" s="63" t="s">
        <v>1639</v>
      </c>
      <c r="B311" s="5">
        <v>43950.575</v>
      </c>
      <c r="C311" s="67"/>
    </row>
    <row r="312" ht="15.75" customHeight="1">
      <c r="A312" s="63" t="s">
        <v>2560</v>
      </c>
      <c r="B312" s="5">
        <v>43950.57361111111</v>
      </c>
      <c r="C312" s="67"/>
    </row>
    <row r="313" ht="15.75" customHeight="1">
      <c r="A313" s="63" t="s">
        <v>1707</v>
      </c>
      <c r="B313" s="5">
        <v>43950.57083333333</v>
      </c>
      <c r="C313" s="67"/>
    </row>
    <row r="314" ht="15.75" customHeight="1">
      <c r="A314" s="63" t="s">
        <v>2566</v>
      </c>
      <c r="B314" s="5">
        <v>43950.57083333333</v>
      </c>
      <c r="C314" s="67"/>
    </row>
    <row r="315" ht="15.75" customHeight="1">
      <c r="A315" s="63" t="s">
        <v>2573</v>
      </c>
      <c r="B315" s="5">
        <v>43950.57013888889</v>
      </c>
      <c r="C315" s="67"/>
    </row>
    <row r="316" ht="15.75" customHeight="1">
      <c r="A316" s="63" t="s">
        <v>2571</v>
      </c>
      <c r="B316" s="5">
        <v>43950.57013888889</v>
      </c>
      <c r="C316" s="67"/>
    </row>
    <row r="317" ht="15.75" customHeight="1">
      <c r="A317" s="63" t="s">
        <v>2575</v>
      </c>
      <c r="B317" s="5">
        <v>43950.569444444445</v>
      </c>
      <c r="C317" s="67"/>
    </row>
    <row r="318" ht="15.75" customHeight="1">
      <c r="A318" s="63" t="s">
        <v>1810</v>
      </c>
      <c r="B318" s="5">
        <v>43950.5625</v>
      </c>
      <c r="C318" s="67"/>
    </row>
    <row r="319" ht="15.75" customHeight="1">
      <c r="A319" s="63" t="s">
        <v>2588</v>
      </c>
      <c r="B319" s="5">
        <v>43950.56180555555</v>
      </c>
      <c r="C319" s="67"/>
    </row>
    <row r="320" ht="15.75" customHeight="1">
      <c r="A320" s="63" t="s">
        <v>2596</v>
      </c>
      <c r="B320" s="5">
        <v>43950.55902777778</v>
      </c>
      <c r="C320" s="67"/>
    </row>
    <row r="321" ht="15.75" customHeight="1">
      <c r="A321" s="63" t="s">
        <v>2633</v>
      </c>
      <c r="B321" s="5">
        <v>43950.54652777778</v>
      </c>
      <c r="C321" s="67"/>
    </row>
    <row r="322" ht="15.75" customHeight="1">
      <c r="A322" s="63" t="s">
        <v>1002</v>
      </c>
      <c r="B322" s="5">
        <v>43950.544444444444</v>
      </c>
      <c r="C322" s="67"/>
    </row>
    <row r="323" ht="15.75" customHeight="1">
      <c r="A323" s="63" t="s">
        <v>2642</v>
      </c>
      <c r="B323" s="5">
        <v>43950.54375</v>
      </c>
      <c r="C323" s="67"/>
    </row>
    <row r="324" ht="15.75" customHeight="1">
      <c r="A324" s="63" t="s">
        <v>2662</v>
      </c>
      <c r="B324" s="5">
        <v>43950.53888888889</v>
      </c>
      <c r="C324" s="67"/>
    </row>
    <row r="325" ht="15.75" customHeight="1">
      <c r="A325" s="63" t="s">
        <v>2658</v>
      </c>
      <c r="B325" s="5">
        <v>43950.53888888889</v>
      </c>
      <c r="C325" s="67"/>
    </row>
    <row r="326" ht="15.75" customHeight="1">
      <c r="A326" s="63" t="s">
        <v>2660</v>
      </c>
      <c r="B326" s="5">
        <v>43950.53888888889</v>
      </c>
      <c r="C326" s="67"/>
    </row>
    <row r="327" ht="15.75" customHeight="1">
      <c r="A327" s="63" t="s">
        <v>2674</v>
      </c>
      <c r="B327" s="5">
        <v>43950.53472222222</v>
      </c>
      <c r="C327" s="67"/>
    </row>
    <row r="328" ht="15.75" customHeight="1">
      <c r="A328" s="63" t="s">
        <v>2676</v>
      </c>
      <c r="B328" s="5">
        <v>43950.53402777778</v>
      </c>
      <c r="C328" s="67"/>
    </row>
    <row r="329" ht="15.75" customHeight="1">
      <c r="A329" s="63" t="s">
        <v>2678</v>
      </c>
      <c r="B329" s="5">
        <v>43950.53402777778</v>
      </c>
      <c r="C329" s="67"/>
    </row>
    <row r="330" ht="15.75" customHeight="1">
      <c r="A330" s="63" t="s">
        <v>357</v>
      </c>
      <c r="B330" s="5">
        <v>43950.53125</v>
      </c>
      <c r="C330" s="67"/>
    </row>
    <row r="331" ht="15.75" customHeight="1">
      <c r="A331" s="63" t="s">
        <v>2693</v>
      </c>
      <c r="B331" s="5">
        <v>43950.52777777778</v>
      </c>
      <c r="C331" s="67"/>
    </row>
    <row r="332" ht="15.75" customHeight="1">
      <c r="A332" s="63" t="s">
        <v>2704</v>
      </c>
      <c r="B332" s="5">
        <v>43950.524305555555</v>
      </c>
      <c r="C332" s="67"/>
    </row>
    <row r="333" ht="15.75" customHeight="1">
      <c r="A333" s="63" t="s">
        <v>2706</v>
      </c>
      <c r="B333" s="5">
        <v>43950.524305555555</v>
      </c>
      <c r="C333" s="67"/>
    </row>
    <row r="334" ht="15.75" customHeight="1">
      <c r="A334" s="63" t="s">
        <v>425</v>
      </c>
      <c r="B334" s="5">
        <v>43950.52361111111</v>
      </c>
      <c r="C334" s="67"/>
    </row>
    <row r="335" ht="15.75" customHeight="1">
      <c r="A335" s="63" t="s">
        <v>2708</v>
      </c>
      <c r="B335" s="5">
        <v>43950.52361111111</v>
      </c>
      <c r="C335" s="67"/>
    </row>
    <row r="336" ht="15.75" customHeight="1">
      <c r="A336" s="63" t="s">
        <v>2717</v>
      </c>
      <c r="B336" s="5">
        <v>43950.521527777775</v>
      </c>
      <c r="C336" s="67"/>
    </row>
    <row r="337" ht="15.75" customHeight="1">
      <c r="A337" s="63" t="s">
        <v>2723</v>
      </c>
      <c r="B337" s="5">
        <v>43950.52013888889</v>
      </c>
      <c r="C337" s="67"/>
    </row>
    <row r="338" ht="15.75" customHeight="1">
      <c r="A338" s="63" t="s">
        <v>2725</v>
      </c>
      <c r="B338" s="5">
        <v>43950.52013888889</v>
      </c>
      <c r="C338" s="67"/>
    </row>
    <row r="339" ht="15.75" customHeight="1">
      <c r="A339" s="63" t="s">
        <v>2727</v>
      </c>
      <c r="B339" s="5">
        <v>43950.51944444444</v>
      </c>
      <c r="C339" s="67"/>
    </row>
    <row r="340" ht="15.75" customHeight="1">
      <c r="A340" s="63" t="s">
        <v>2735</v>
      </c>
      <c r="B340" s="5">
        <v>43950.51736111111</v>
      </c>
      <c r="C340" s="67"/>
    </row>
    <row r="341" ht="15.75" customHeight="1">
      <c r="A341" s="63" t="s">
        <v>2739</v>
      </c>
      <c r="B341" s="5">
        <v>43950.51666666667</v>
      </c>
      <c r="C341" s="67"/>
    </row>
    <row r="342" ht="15.75" customHeight="1">
      <c r="A342" s="63" t="s">
        <v>2750</v>
      </c>
      <c r="B342" s="5">
        <v>43950.513194444444</v>
      </c>
      <c r="C342" s="67"/>
    </row>
    <row r="343" ht="15.75" customHeight="1">
      <c r="A343" s="63" t="s">
        <v>2761</v>
      </c>
      <c r="B343" s="5">
        <v>43950.51180555556</v>
      </c>
      <c r="C343" s="67"/>
    </row>
    <row r="344" ht="15.75" customHeight="1">
      <c r="A344" s="63" t="s">
        <v>1686</v>
      </c>
      <c r="B344" s="5">
        <v>43950.51180555556</v>
      </c>
      <c r="C344" s="67"/>
    </row>
    <row r="345" ht="15.75" customHeight="1">
      <c r="A345" s="63" t="s">
        <v>1816</v>
      </c>
      <c r="B345" s="5">
        <v>43950.50555555556</v>
      </c>
      <c r="C345" s="67"/>
    </row>
    <row r="346" ht="15.75" customHeight="1">
      <c r="A346" s="63" t="s">
        <v>5464</v>
      </c>
      <c r="B346" s="5">
        <v>43950.504166666666</v>
      </c>
      <c r="C346" s="67"/>
    </row>
    <row r="347" ht="15.75" customHeight="1">
      <c r="A347" s="63" t="s">
        <v>1724</v>
      </c>
      <c r="B347" s="5">
        <v>43950.501388888886</v>
      </c>
      <c r="C347" s="67"/>
    </row>
    <row r="348" ht="15.75" customHeight="1">
      <c r="A348" s="63" t="s">
        <v>580</v>
      </c>
      <c r="B348" s="5">
        <v>43950.495833333334</v>
      </c>
      <c r="C348" s="67"/>
    </row>
    <row r="349" ht="15.75" customHeight="1">
      <c r="A349" s="63" t="s">
        <v>2831</v>
      </c>
      <c r="B349" s="5">
        <v>43950.49375</v>
      </c>
      <c r="C349" s="67"/>
    </row>
    <row r="350" ht="15.75" customHeight="1">
      <c r="A350" s="63" t="s">
        <v>694</v>
      </c>
      <c r="B350" s="5">
        <v>43950.490277777775</v>
      </c>
      <c r="C350" s="67"/>
    </row>
    <row r="351" ht="15.75" customHeight="1">
      <c r="A351" s="63" t="s">
        <v>1833</v>
      </c>
      <c r="B351" s="5">
        <v>43950.486805555556</v>
      </c>
      <c r="C351" s="67"/>
    </row>
    <row r="352" ht="15.75" customHeight="1">
      <c r="A352" s="63" t="s">
        <v>2854</v>
      </c>
      <c r="B352" s="5">
        <v>43950.48611111111</v>
      </c>
      <c r="C352" s="67"/>
    </row>
    <row r="353" ht="15.75" customHeight="1">
      <c r="A353" s="63" t="s">
        <v>1566</v>
      </c>
      <c r="B353" s="5">
        <v>43950.48611111111</v>
      </c>
      <c r="C353" s="67"/>
    </row>
    <row r="354" ht="15.75" customHeight="1">
      <c r="A354" s="63" t="s">
        <v>2857</v>
      </c>
      <c r="B354" s="5">
        <v>43950.48472222222</v>
      </c>
      <c r="C354" s="67"/>
    </row>
    <row r="355" ht="15.75" customHeight="1">
      <c r="A355" s="63" t="s">
        <v>2859</v>
      </c>
      <c r="B355" s="5">
        <v>43950.48402777778</v>
      </c>
      <c r="C355" s="67"/>
    </row>
    <row r="356" ht="15.75" customHeight="1">
      <c r="A356" s="63" t="s">
        <v>2864</v>
      </c>
      <c r="B356" s="5">
        <v>43950.48333333333</v>
      </c>
      <c r="C356" s="67"/>
    </row>
    <row r="357" ht="15.75" customHeight="1">
      <c r="A357" s="63" t="s">
        <v>2874</v>
      </c>
      <c r="B357" s="5">
        <v>43950.48055555556</v>
      </c>
      <c r="C357" s="67"/>
    </row>
    <row r="358" ht="15.75" customHeight="1">
      <c r="A358" s="63" t="s">
        <v>1822</v>
      </c>
      <c r="B358" s="5">
        <v>43950.47986111111</v>
      </c>
      <c r="C358" s="67"/>
    </row>
    <row r="359" ht="15.75" customHeight="1">
      <c r="A359" s="63" t="s">
        <v>2878</v>
      </c>
      <c r="B359" s="5">
        <v>43950.47986111111</v>
      </c>
      <c r="C359" s="67"/>
    </row>
    <row r="360" ht="15.75" customHeight="1">
      <c r="A360" s="63" t="s">
        <v>2891</v>
      </c>
      <c r="B360" s="5">
        <v>43950.47777777778</v>
      </c>
      <c r="C360" s="67"/>
    </row>
    <row r="361" ht="15.75" customHeight="1">
      <c r="A361" s="63" t="s">
        <v>2897</v>
      </c>
      <c r="B361" s="5">
        <v>43950.47777777778</v>
      </c>
      <c r="C361" s="67"/>
    </row>
    <row r="362" ht="15.75" customHeight="1">
      <c r="A362" s="63" t="s">
        <v>2904</v>
      </c>
      <c r="B362" s="5">
        <v>43950.47638888889</v>
      </c>
      <c r="C362" s="67"/>
    </row>
    <row r="363" ht="15.75" customHeight="1">
      <c r="A363" s="63" t="s">
        <v>2912</v>
      </c>
      <c r="B363" s="5">
        <v>43950.475694444445</v>
      </c>
      <c r="C363" s="67"/>
    </row>
    <row r="364" ht="15.75" customHeight="1">
      <c r="A364" s="63" t="s">
        <v>1574</v>
      </c>
      <c r="B364" s="5">
        <v>43950.475694444445</v>
      </c>
      <c r="C364" s="67"/>
    </row>
    <row r="365" ht="15.75" customHeight="1">
      <c r="A365" s="63" t="s">
        <v>2924</v>
      </c>
      <c r="B365" s="5">
        <v>43950.472916666666</v>
      </c>
      <c r="C365" s="67"/>
    </row>
    <row r="366" ht="15.75" customHeight="1">
      <c r="A366" s="63" t="s">
        <v>2926</v>
      </c>
      <c r="B366" s="5">
        <v>43950.472916666666</v>
      </c>
      <c r="C366" s="67"/>
    </row>
    <row r="367" ht="15.75" customHeight="1">
      <c r="A367" s="63" t="s">
        <v>2946</v>
      </c>
      <c r="B367" s="5">
        <v>43950.470138888886</v>
      </c>
      <c r="C367" s="67"/>
    </row>
    <row r="368" ht="15.75" customHeight="1">
      <c r="A368" s="63" t="s">
        <v>2952</v>
      </c>
      <c r="B368" s="5">
        <v>43950.46875</v>
      </c>
      <c r="C368" s="67"/>
    </row>
    <row r="369" ht="15.75" customHeight="1">
      <c r="A369" s="63" t="s">
        <v>2958</v>
      </c>
      <c r="B369" s="5">
        <v>43950.46805555555</v>
      </c>
      <c r="C369" s="67"/>
    </row>
    <row r="370" ht="15.75" customHeight="1">
      <c r="A370" s="63" t="s">
        <v>2970</v>
      </c>
      <c r="B370" s="5">
        <v>43950.46666666667</v>
      </c>
      <c r="C370" s="67"/>
    </row>
    <row r="371" ht="15.75" customHeight="1">
      <c r="A371" s="63" t="s">
        <v>2978</v>
      </c>
      <c r="B371" s="5">
        <v>43950.46597222222</v>
      </c>
      <c r="C371" s="67"/>
    </row>
    <row r="372" ht="15.75" customHeight="1">
      <c r="A372" s="63" t="s">
        <v>2981</v>
      </c>
      <c r="B372" s="5">
        <v>43950.464583333334</v>
      </c>
      <c r="C372" s="67"/>
    </row>
    <row r="373" ht="15.75" customHeight="1">
      <c r="A373" s="63" t="s">
        <v>630</v>
      </c>
      <c r="B373" s="5">
        <v>43950.46388888889</v>
      </c>
      <c r="C373" s="67"/>
    </row>
    <row r="374" ht="15.75" customHeight="1">
      <c r="A374" s="63" t="s">
        <v>2999</v>
      </c>
      <c r="B374" s="5">
        <v>43950.4625</v>
      </c>
      <c r="C374" s="67"/>
    </row>
    <row r="375" ht="15.75" customHeight="1">
      <c r="A375" s="63" t="s">
        <v>1800</v>
      </c>
      <c r="B375" s="5">
        <v>43950.4625</v>
      </c>
      <c r="C375" s="67"/>
    </row>
    <row r="376" ht="15.75" customHeight="1">
      <c r="A376" s="63" t="s">
        <v>3012</v>
      </c>
      <c r="B376" s="5">
        <v>43950.461805555555</v>
      </c>
      <c r="C376" s="67"/>
    </row>
    <row r="377" ht="15.75" customHeight="1">
      <c r="A377" s="63" t="s">
        <v>3004</v>
      </c>
      <c r="B377" s="5">
        <v>43950.461805555555</v>
      </c>
      <c r="C377" s="67"/>
    </row>
    <row r="378" ht="15.75" customHeight="1">
      <c r="A378" s="63" t="s">
        <v>1570</v>
      </c>
      <c r="B378" s="5">
        <v>43950.45694444444</v>
      </c>
      <c r="C378" s="67"/>
    </row>
    <row r="379" ht="15.75" customHeight="1">
      <c r="A379" s="63" t="s">
        <v>1788</v>
      </c>
      <c r="B379" s="5">
        <v>43950.45625</v>
      </c>
      <c r="C379" s="67"/>
    </row>
    <row r="380" ht="15.75" customHeight="1">
      <c r="A380" s="63" t="s">
        <v>3056</v>
      </c>
      <c r="B380" s="5">
        <v>43950.45486111111</v>
      </c>
      <c r="C380" s="67"/>
    </row>
    <row r="381" ht="15.75" customHeight="1">
      <c r="A381" s="63" t="s">
        <v>3059</v>
      </c>
      <c r="B381" s="5">
        <v>43950.45347222222</v>
      </c>
      <c r="C381" s="67"/>
    </row>
    <row r="382" ht="15.75" customHeight="1">
      <c r="A382" s="63" t="s">
        <v>1129</v>
      </c>
      <c r="B382" s="5">
        <v>43950.45277777778</v>
      </c>
      <c r="C382" s="67"/>
    </row>
    <row r="383" ht="15.75" customHeight="1">
      <c r="A383" s="63" t="s">
        <v>3095</v>
      </c>
      <c r="B383" s="5">
        <v>43950.45</v>
      </c>
      <c r="C383" s="67"/>
    </row>
    <row r="384" ht="15.75" customHeight="1">
      <c r="A384" s="63" t="s">
        <v>3105</v>
      </c>
      <c r="B384" s="5">
        <v>43950.44930555556</v>
      </c>
      <c r="C384" s="67"/>
    </row>
    <row r="385" ht="15.75" customHeight="1">
      <c r="A385" s="63" t="s">
        <v>3126</v>
      </c>
      <c r="B385" s="5">
        <v>43950.447916666664</v>
      </c>
      <c r="C385" s="67"/>
    </row>
    <row r="386" ht="15.75" customHeight="1">
      <c r="A386" s="63" t="s">
        <v>3137</v>
      </c>
      <c r="B386" s="5">
        <v>43950.44652777778</v>
      </c>
      <c r="C386" s="67"/>
    </row>
    <row r="387" ht="15.75" customHeight="1">
      <c r="A387" s="63" t="s">
        <v>1808</v>
      </c>
      <c r="B387" s="5">
        <v>43950.44583333333</v>
      </c>
      <c r="C387" s="67"/>
    </row>
    <row r="388" ht="15.75" customHeight="1">
      <c r="A388" s="63" t="s">
        <v>3151</v>
      </c>
      <c r="B388" s="5">
        <v>43950.444444444445</v>
      </c>
      <c r="C388" s="67"/>
    </row>
    <row r="389" ht="15.75" customHeight="1">
      <c r="A389" s="63" t="s">
        <v>3168</v>
      </c>
      <c r="B389" s="5">
        <v>43950.44305555556</v>
      </c>
      <c r="C389" s="67"/>
    </row>
    <row r="390" ht="15.75" customHeight="1">
      <c r="A390" s="63" t="s">
        <v>3178</v>
      </c>
      <c r="B390" s="5">
        <v>43950.441666666666</v>
      </c>
      <c r="C390" s="67"/>
    </row>
    <row r="391" ht="15.75" customHeight="1">
      <c r="A391" s="63" t="s">
        <v>1797</v>
      </c>
      <c r="B391" s="5">
        <v>43950.441666666666</v>
      </c>
      <c r="C391" s="67"/>
    </row>
    <row r="392" ht="15.75" customHeight="1">
      <c r="A392" s="63" t="s">
        <v>3191</v>
      </c>
      <c r="B392" s="5">
        <v>43950.44097222222</v>
      </c>
      <c r="C392" s="67"/>
    </row>
    <row r="393" ht="15.75" customHeight="1">
      <c r="A393" s="63" t="s">
        <v>3203</v>
      </c>
      <c r="B393" s="5">
        <v>43950.43958333333</v>
      </c>
      <c r="C393" s="67"/>
    </row>
    <row r="394" ht="15.75" customHeight="1">
      <c r="A394" s="63" t="s">
        <v>3223</v>
      </c>
      <c r="B394" s="5">
        <v>43950.438888888886</v>
      </c>
      <c r="C394" s="67"/>
    </row>
    <row r="395" ht="15.75" customHeight="1">
      <c r="A395" s="63" t="s">
        <v>3221</v>
      </c>
      <c r="B395" s="5">
        <v>43950.438888888886</v>
      </c>
      <c r="C395" s="67"/>
    </row>
    <row r="396" ht="15.75" customHeight="1">
      <c r="A396" s="63" t="s">
        <v>1758</v>
      </c>
      <c r="B396" s="5">
        <v>43950.43819444445</v>
      </c>
      <c r="C396" s="67"/>
    </row>
    <row r="397" ht="15.75" customHeight="1">
      <c r="A397" s="63" t="s">
        <v>3245</v>
      </c>
      <c r="B397" s="5">
        <v>43950.436111111114</v>
      </c>
      <c r="C397" s="67"/>
    </row>
    <row r="398" ht="15.75" customHeight="1">
      <c r="A398" s="63" t="s">
        <v>3249</v>
      </c>
      <c r="B398" s="5">
        <v>43950.436111111114</v>
      </c>
      <c r="C398" s="67"/>
    </row>
    <row r="399" ht="15.75" customHeight="1">
      <c r="A399" s="63" t="s">
        <v>3253</v>
      </c>
      <c r="B399" s="5">
        <v>43950.43541666667</v>
      </c>
      <c r="C399" s="67"/>
    </row>
    <row r="400" ht="15.75" customHeight="1">
      <c r="A400" s="63" t="s">
        <v>3280</v>
      </c>
      <c r="B400" s="5">
        <v>43950.43402777778</v>
      </c>
      <c r="C400" s="67"/>
    </row>
    <row r="401" ht="15.75" customHeight="1">
      <c r="A401" s="63" t="s">
        <v>3268</v>
      </c>
      <c r="B401" s="5">
        <v>43950.43402777778</v>
      </c>
      <c r="C401" s="67"/>
    </row>
    <row r="402" ht="15.75" customHeight="1">
      <c r="A402" s="63" t="s">
        <v>3295</v>
      </c>
      <c r="B402" s="5">
        <v>43950.43263888889</v>
      </c>
      <c r="C402" s="67"/>
    </row>
    <row r="403" ht="15.75" customHeight="1">
      <c r="A403" s="63" t="s">
        <v>3297</v>
      </c>
      <c r="B403" s="5">
        <v>43950.43263888889</v>
      </c>
      <c r="C403" s="67"/>
    </row>
    <row r="404" ht="15.75" customHeight="1">
      <c r="A404" s="63" t="s">
        <v>3301</v>
      </c>
      <c r="B404" s="5">
        <v>43950.43194444444</v>
      </c>
      <c r="C404" s="67"/>
    </row>
    <row r="405" ht="15.75" customHeight="1">
      <c r="A405" s="63" t="s">
        <v>3307</v>
      </c>
      <c r="B405" s="5">
        <v>43950.43194444444</v>
      </c>
      <c r="C405" s="67"/>
    </row>
    <row r="406" ht="15.75" customHeight="1">
      <c r="A406" s="63" t="s">
        <v>3329</v>
      </c>
      <c r="B406" s="5">
        <v>43950.43125</v>
      </c>
      <c r="C406" s="67"/>
    </row>
    <row r="407" ht="15.75" customHeight="1">
      <c r="A407" s="63" t="s">
        <v>3338</v>
      </c>
      <c r="B407" s="5">
        <v>43950.43125</v>
      </c>
      <c r="C407" s="67"/>
    </row>
    <row r="408" ht="15.75" customHeight="1">
      <c r="A408" s="63" t="s">
        <v>3327</v>
      </c>
      <c r="B408" s="5">
        <v>43950.43125</v>
      </c>
      <c r="C408" s="67"/>
    </row>
    <row r="409" ht="15.75" customHeight="1">
      <c r="A409" s="63" t="s">
        <v>3353</v>
      </c>
      <c r="B409" s="5">
        <v>43950.42986111111</v>
      </c>
      <c r="C409" s="67"/>
    </row>
    <row r="410" ht="15.75" customHeight="1">
      <c r="A410" s="63" t="s">
        <v>3385</v>
      </c>
      <c r="B410" s="5">
        <v>43950.42847222222</v>
      </c>
      <c r="C410" s="67"/>
    </row>
    <row r="411" ht="15.75" customHeight="1">
      <c r="A411" s="63" t="s">
        <v>3387</v>
      </c>
      <c r="B411" s="5">
        <v>43950.42847222222</v>
      </c>
      <c r="C411" s="67"/>
    </row>
    <row r="412" ht="15.75" customHeight="1">
      <c r="A412" s="63" t="s">
        <v>3397</v>
      </c>
      <c r="B412" s="5">
        <v>43950.427777777775</v>
      </c>
      <c r="C412" s="67"/>
    </row>
    <row r="413" ht="15.75" customHeight="1">
      <c r="A413" s="63" t="s">
        <v>1837</v>
      </c>
      <c r="B413" s="5">
        <v>43950.427777777775</v>
      </c>
      <c r="C413" s="67"/>
    </row>
    <row r="414" ht="15.75" customHeight="1">
      <c r="A414" s="63" t="s">
        <v>3391</v>
      </c>
      <c r="B414" s="5">
        <v>43950.427777777775</v>
      </c>
      <c r="C414" s="67"/>
    </row>
    <row r="415" ht="15.75" customHeight="1">
      <c r="A415" s="63" t="s">
        <v>1737</v>
      </c>
      <c r="B415" s="5">
        <v>43950.427083333336</v>
      </c>
      <c r="C415" s="67"/>
    </row>
    <row r="416" ht="15.75" customHeight="1">
      <c r="A416" s="63" t="s">
        <v>3410</v>
      </c>
      <c r="B416" s="5">
        <v>43950.427083333336</v>
      </c>
      <c r="C416" s="67"/>
    </row>
    <row r="417" ht="15.75" customHeight="1">
      <c r="A417" s="63" t="s">
        <v>3417</v>
      </c>
      <c r="B417" s="5">
        <v>43950.42638888889</v>
      </c>
      <c r="C417" s="67"/>
    </row>
    <row r="418" ht="15.75" customHeight="1">
      <c r="A418" s="63" t="s">
        <v>3421</v>
      </c>
      <c r="B418" s="5">
        <v>43950.42638888889</v>
      </c>
      <c r="C418" s="67"/>
    </row>
    <row r="419" ht="15.75" customHeight="1">
      <c r="A419" s="63" t="s">
        <v>3440</v>
      </c>
      <c r="B419" s="5">
        <v>43950.42569444444</v>
      </c>
      <c r="C419" s="67"/>
    </row>
    <row r="420" ht="15.75" customHeight="1">
      <c r="A420" s="63" t="s">
        <v>3483</v>
      </c>
      <c r="B420" s="5">
        <v>43950.42361111111</v>
      </c>
      <c r="C420" s="67"/>
    </row>
    <row r="421" ht="15.75" customHeight="1">
      <c r="A421" s="63" t="s">
        <v>3520</v>
      </c>
      <c r="B421" s="5">
        <v>43950.42222222222</v>
      </c>
      <c r="C421" s="67"/>
    </row>
    <row r="422" ht="15.75" customHeight="1">
      <c r="A422" s="63" t="s">
        <v>3522</v>
      </c>
      <c r="B422" s="5">
        <v>43950.42222222222</v>
      </c>
      <c r="C422" s="67"/>
    </row>
    <row r="423" ht="15.75" customHeight="1">
      <c r="A423" s="63" t="s">
        <v>3543</v>
      </c>
      <c r="B423" s="5">
        <v>43950.42222222222</v>
      </c>
      <c r="C423" s="67"/>
    </row>
    <row r="424" ht="15.75" customHeight="1">
      <c r="A424" s="63" t="s">
        <v>3561</v>
      </c>
      <c r="B424" s="5">
        <v>43950.41736111111</v>
      </c>
      <c r="C424" s="67"/>
    </row>
    <row r="425" ht="15.75" customHeight="1">
      <c r="A425" s="63" t="s">
        <v>3563</v>
      </c>
      <c r="B425" s="5">
        <v>43950.356944444444</v>
      </c>
      <c r="C425" s="67"/>
    </row>
    <row r="426" ht="15.75" customHeight="1">
      <c r="A426" s="63" t="s">
        <v>3567</v>
      </c>
      <c r="B426" s="5">
        <v>43949.83888888889</v>
      </c>
      <c r="C426" s="67"/>
    </row>
    <row r="427" ht="15.75" customHeight="1">
      <c r="A427" s="63" t="s">
        <v>3568</v>
      </c>
      <c r="B427" s="5">
        <v>43949.768055555556</v>
      </c>
      <c r="C427" s="67"/>
    </row>
    <row r="428" ht="15.75" customHeight="1">
      <c r="A428" s="63" t="s">
        <v>3570</v>
      </c>
      <c r="B428" s="5">
        <v>43949.76388888889</v>
      </c>
      <c r="C428" s="67"/>
    </row>
    <row r="429" ht="15.75" customHeight="1">
      <c r="A429" s="63" t="s">
        <v>1919</v>
      </c>
      <c r="B429" s="5">
        <v>43949.57083333333</v>
      </c>
      <c r="C429" s="67"/>
    </row>
    <row r="430" ht="15.75" customHeight="1">
      <c r="A430" s="63" t="s">
        <v>3573</v>
      </c>
      <c r="B430" s="5">
        <v>43949.56458333333</v>
      </c>
      <c r="C430" s="67"/>
    </row>
    <row r="431" ht="15.75" customHeight="1">
      <c r="A431" s="63" t="s">
        <v>2649</v>
      </c>
      <c r="B431" s="5">
        <v>43949.43402777778</v>
      </c>
      <c r="C431" s="67"/>
    </row>
    <row r="432" ht="15.75" customHeight="1">
      <c r="A432" s="63" t="s">
        <v>2884</v>
      </c>
      <c r="B432" s="5">
        <v>43949.37777777778</v>
      </c>
      <c r="C432" s="67"/>
    </row>
    <row r="433" ht="15.75" customHeight="1">
      <c r="A433" s="63" t="s">
        <v>3582</v>
      </c>
      <c r="B433" s="5">
        <v>43948.896527777775</v>
      </c>
      <c r="C433" s="67"/>
    </row>
    <row r="434" ht="15.75" customHeight="1">
      <c r="A434" s="63" t="s">
        <v>3583</v>
      </c>
      <c r="B434" s="5">
        <v>43948.88680555556</v>
      </c>
      <c r="C434" s="67"/>
    </row>
    <row r="435" ht="15.75" customHeight="1">
      <c r="A435" s="63" t="s">
        <v>3587</v>
      </c>
      <c r="B435" s="5">
        <v>43948.81319444445</v>
      </c>
      <c r="C435" s="67"/>
    </row>
    <row r="436" ht="15.75" customHeight="1">
      <c r="A436" s="63" t="s">
        <v>3591</v>
      </c>
      <c r="B436" s="5">
        <v>43948.72430555556</v>
      </c>
      <c r="C436" s="67"/>
    </row>
    <row r="437" ht="15.75" customHeight="1">
      <c r="A437" s="63" t="s">
        <v>3592</v>
      </c>
      <c r="B437" s="5">
        <v>43948.720138888886</v>
      </c>
      <c r="C437" s="67"/>
    </row>
    <row r="438" ht="15.75" customHeight="1">
      <c r="A438" s="63" t="s">
        <v>3598</v>
      </c>
      <c r="B438" s="5">
        <v>43948.60833333333</v>
      </c>
      <c r="C438" s="67"/>
    </row>
    <row r="439" ht="15.75" customHeight="1">
      <c r="A439" s="63" t="s">
        <v>3602</v>
      </c>
      <c r="B439" s="5">
        <v>43948.569444444445</v>
      </c>
      <c r="C439" s="67"/>
    </row>
    <row r="440" ht="15.75" customHeight="1">
      <c r="A440" s="63" t="s">
        <v>3604</v>
      </c>
      <c r="B440" s="5">
        <v>43948.527083333334</v>
      </c>
      <c r="C440" s="67"/>
    </row>
    <row r="441" ht="15.75" customHeight="1">
      <c r="A441" s="63" t="s">
        <v>3605</v>
      </c>
      <c r="B441" s="5">
        <v>43948.506944444445</v>
      </c>
      <c r="C441" s="67"/>
    </row>
    <row r="442" ht="15.75" customHeight="1">
      <c r="A442" s="63" t="s">
        <v>3634</v>
      </c>
      <c r="B442" s="5">
        <v>43948.38263888889</v>
      </c>
      <c r="C442" s="67"/>
    </row>
    <row r="443" ht="15.75" customHeight="1">
      <c r="A443" s="63" t="s">
        <v>3647</v>
      </c>
      <c r="B443" s="5">
        <v>43948.34930555556</v>
      </c>
      <c r="C443" s="67"/>
    </row>
    <row r="444" ht="15.75" customHeight="1">
      <c r="A444" s="63" t="s">
        <v>3656</v>
      </c>
      <c r="B444" s="5">
        <v>43948.135416666664</v>
      </c>
      <c r="C444" s="67"/>
    </row>
    <row r="445" ht="15.75" customHeight="1">
      <c r="A445" s="63" t="s">
        <v>3657</v>
      </c>
      <c r="B445" s="5">
        <v>43947.873611111114</v>
      </c>
      <c r="C445" s="67"/>
    </row>
    <row r="446" ht="15.75" customHeight="1">
      <c r="A446" s="63" t="s">
        <v>3660</v>
      </c>
      <c r="B446" s="5">
        <v>43947.8</v>
      </c>
      <c r="C446" s="67"/>
    </row>
    <row r="447" ht="15.75" customHeight="1">
      <c r="A447" s="63" t="s">
        <v>3661</v>
      </c>
      <c r="B447" s="5">
        <v>43947.78472222222</v>
      </c>
      <c r="C447" s="67"/>
    </row>
    <row r="448" ht="15.75" customHeight="1">
      <c r="A448" s="63" t="s">
        <v>655</v>
      </c>
      <c r="B448" s="5">
        <v>43947.76736111111</v>
      </c>
      <c r="C448" s="67"/>
    </row>
    <row r="449" ht="15.75" customHeight="1">
      <c r="A449" s="63" t="s">
        <v>3663</v>
      </c>
      <c r="B449" s="5">
        <v>43947.49513888889</v>
      </c>
      <c r="C449" s="67"/>
    </row>
    <row r="450" ht="15.75" customHeight="1">
      <c r="A450" s="63" t="s">
        <v>3664</v>
      </c>
      <c r="B450" s="5">
        <v>43947.354166666664</v>
      </c>
      <c r="C450" s="67"/>
    </row>
    <row r="451" ht="15.75" customHeight="1">
      <c r="A451" s="63" t="s">
        <v>1750</v>
      </c>
      <c r="B451" s="5">
        <v>43946.67291666667</v>
      </c>
      <c r="C451" s="67"/>
    </row>
    <row r="452" ht="15.75" customHeight="1">
      <c r="A452" s="63" t="s">
        <v>3670</v>
      </c>
      <c r="B452" s="5">
        <v>43946.66736111111</v>
      </c>
      <c r="C452" s="67"/>
    </row>
    <row r="453" ht="15.75" customHeight="1">
      <c r="A453" s="63" t="s">
        <v>3675</v>
      </c>
      <c r="B453" s="5">
        <v>43946.635416666664</v>
      </c>
      <c r="C453" s="67"/>
    </row>
    <row r="454" ht="15.75" customHeight="1">
      <c r="A454" s="63" t="s">
        <v>3321</v>
      </c>
      <c r="B454" s="5">
        <v>43946.510416666664</v>
      </c>
      <c r="C454" s="67"/>
    </row>
    <row r="455" ht="15.75" customHeight="1">
      <c r="A455" s="63" t="s">
        <v>3677</v>
      </c>
      <c r="B455" s="5">
        <v>43946.489583333336</v>
      </c>
      <c r="C455" s="67"/>
    </row>
    <row r="456" ht="15.75" customHeight="1">
      <c r="A456" s="63" t="s">
        <v>3678</v>
      </c>
      <c r="B456" s="5">
        <v>43946.48333333333</v>
      </c>
      <c r="C456" s="67"/>
    </row>
    <row r="457" ht="15.75" customHeight="1">
      <c r="A457" s="63" t="s">
        <v>3682</v>
      </c>
      <c r="B457" s="5">
        <v>43945.77361111111</v>
      </c>
      <c r="C457" s="67"/>
    </row>
    <row r="458" ht="15.75" customHeight="1">
      <c r="A458" s="63" t="s">
        <v>3694</v>
      </c>
      <c r="B458" s="5">
        <v>43945.722916666666</v>
      </c>
      <c r="C458" s="67"/>
    </row>
    <row r="459" ht="15.75" customHeight="1">
      <c r="A459" s="63" t="s">
        <v>3697</v>
      </c>
      <c r="B459" s="5">
        <v>43945.65694444445</v>
      </c>
      <c r="C459" s="67"/>
    </row>
    <row r="460" ht="15.75" customHeight="1">
      <c r="A460" s="63" t="s">
        <v>3698</v>
      </c>
      <c r="B460" s="5">
        <v>43945.63402777778</v>
      </c>
      <c r="C460" s="67"/>
    </row>
    <row r="461" ht="15.75" customHeight="1">
      <c r="A461" s="63" t="s">
        <v>2598</v>
      </c>
      <c r="B461" s="5">
        <v>43945.50902777778</v>
      </c>
      <c r="C461" s="67"/>
    </row>
    <row r="462" ht="15.75" customHeight="1">
      <c r="A462" s="63" t="s">
        <v>1462</v>
      </c>
      <c r="B462" s="5">
        <v>43945.39722222222</v>
      </c>
      <c r="C462" s="67"/>
    </row>
    <row r="463" ht="15.75" customHeight="1">
      <c r="A463" s="63" t="s">
        <v>412</v>
      </c>
      <c r="B463" s="5">
        <v>43945.396527777775</v>
      </c>
      <c r="C463" s="67"/>
    </row>
    <row r="464" ht="15.75" customHeight="1">
      <c r="A464" s="63" t="s">
        <v>3701</v>
      </c>
      <c r="B464" s="5">
        <v>43945.38888888889</v>
      </c>
      <c r="C464" s="67"/>
    </row>
    <row r="465" ht="15.75" customHeight="1">
      <c r="A465" s="63" t="s">
        <v>3703</v>
      </c>
      <c r="B465" s="5">
        <v>43945.342361111114</v>
      </c>
      <c r="C465" s="67"/>
    </row>
    <row r="466" ht="15.75" customHeight="1">
      <c r="A466" s="63" t="s">
        <v>1264</v>
      </c>
      <c r="B466" s="5">
        <v>43945.34097222222</v>
      </c>
      <c r="C466" s="67"/>
    </row>
    <row r="467" ht="15.75" customHeight="1">
      <c r="A467" s="63" t="s">
        <v>1839</v>
      </c>
      <c r="B467" s="5">
        <v>43945.34027777778</v>
      </c>
      <c r="C467" s="67"/>
    </row>
    <row r="468" ht="15.75" customHeight="1">
      <c r="A468" s="63" t="s">
        <v>3707</v>
      </c>
      <c r="B468" s="5">
        <v>43945.22361111111</v>
      </c>
      <c r="C468" s="67"/>
    </row>
    <row r="469" ht="15.75" customHeight="1">
      <c r="A469" s="63" t="s">
        <v>3708</v>
      </c>
      <c r="B469" s="5">
        <v>43945.00902777778</v>
      </c>
      <c r="C469" s="67"/>
    </row>
    <row r="470" ht="15.75" customHeight="1">
      <c r="A470" s="63" t="s">
        <v>3710</v>
      </c>
      <c r="B470" s="5">
        <v>43944.95625</v>
      </c>
      <c r="C470" s="67"/>
    </row>
    <row r="471" ht="15.75" customHeight="1">
      <c r="A471" s="63" t="s">
        <v>3621</v>
      </c>
      <c r="B471" s="5">
        <v>43944.93263888889</v>
      </c>
      <c r="C471" s="67"/>
    </row>
    <row r="472" ht="15.75" customHeight="1">
      <c r="A472" s="63" t="s">
        <v>3711</v>
      </c>
      <c r="B472" s="5">
        <v>43944.927777777775</v>
      </c>
      <c r="C472" s="67"/>
    </row>
    <row r="473" ht="15.75" customHeight="1">
      <c r="A473" s="63" t="s">
        <v>3713</v>
      </c>
      <c r="B473" s="5">
        <v>43944.88888888889</v>
      </c>
      <c r="C473" s="67"/>
    </row>
    <row r="474" ht="15.75" customHeight="1">
      <c r="A474" s="63" t="s">
        <v>2782</v>
      </c>
      <c r="B474" s="5">
        <v>43944.885416666664</v>
      </c>
      <c r="C474" s="67"/>
    </row>
    <row r="475" ht="15.75" customHeight="1">
      <c r="A475" s="63" t="s">
        <v>3617</v>
      </c>
      <c r="B475" s="5">
        <v>43944.88125</v>
      </c>
      <c r="C475" s="67"/>
    </row>
    <row r="476" ht="15.75" customHeight="1">
      <c r="A476" s="63" t="s">
        <v>3714</v>
      </c>
      <c r="B476" s="5">
        <v>43944.87847222222</v>
      </c>
      <c r="C476" s="67"/>
    </row>
    <row r="477" ht="15.75" customHeight="1">
      <c r="A477" s="63" t="s">
        <v>3715</v>
      </c>
      <c r="B477" s="5">
        <v>43944.85833333333</v>
      </c>
      <c r="C477" s="67"/>
    </row>
    <row r="478" ht="15.75" customHeight="1">
      <c r="A478" s="63" t="s">
        <v>512</v>
      </c>
      <c r="B478" s="5">
        <v>43944.83125</v>
      </c>
      <c r="C478" s="67"/>
    </row>
    <row r="479" ht="15.75" customHeight="1">
      <c r="A479" s="63" t="s">
        <v>3716</v>
      </c>
      <c r="B479" s="5">
        <v>43944.82847222222</v>
      </c>
      <c r="C479" s="67"/>
    </row>
    <row r="480" ht="15.75" customHeight="1">
      <c r="A480" s="63" t="s">
        <v>3638</v>
      </c>
      <c r="B480" s="5">
        <v>43944.79791666667</v>
      </c>
      <c r="C480" s="67"/>
    </row>
    <row r="481" ht="15.75" customHeight="1">
      <c r="A481" s="63" t="s">
        <v>3193</v>
      </c>
      <c r="B481" s="5">
        <v>43944.777083333334</v>
      </c>
      <c r="C481" s="67"/>
    </row>
    <row r="482" ht="15.75" customHeight="1">
      <c r="A482" s="63" t="s">
        <v>3721</v>
      </c>
      <c r="B482" s="5">
        <v>43944.77569444444</v>
      </c>
      <c r="C482" s="67"/>
    </row>
    <row r="483" ht="15.75" customHeight="1">
      <c r="A483" s="63" t="s">
        <v>3722</v>
      </c>
      <c r="B483" s="5">
        <v>43944.775</v>
      </c>
      <c r="C483" s="67"/>
    </row>
    <row r="484" ht="15.75" customHeight="1">
      <c r="A484" s="63" t="s">
        <v>3036</v>
      </c>
      <c r="B484" s="5">
        <v>43944.77361111111</v>
      </c>
      <c r="C484" s="67"/>
    </row>
    <row r="485" ht="15.75" customHeight="1">
      <c r="A485" s="63" t="s">
        <v>3723</v>
      </c>
      <c r="B485" s="5">
        <v>43944.77291666667</v>
      </c>
      <c r="C485" s="67"/>
    </row>
    <row r="486" ht="15.75" customHeight="1">
      <c r="A486" s="63" t="s">
        <v>3726</v>
      </c>
      <c r="B486" s="5">
        <v>43944.77222222222</v>
      </c>
      <c r="C486" s="67"/>
    </row>
    <row r="487" ht="15.75" customHeight="1">
      <c r="A487" s="63" t="s">
        <v>3727</v>
      </c>
      <c r="B487" s="5">
        <v>43944.77222222222</v>
      </c>
      <c r="C487" s="67"/>
    </row>
    <row r="488" ht="15.75" customHeight="1">
      <c r="A488" s="63" t="s">
        <v>3734</v>
      </c>
      <c r="B488" s="5">
        <v>43944.77222222222</v>
      </c>
      <c r="C488" s="67"/>
    </row>
    <row r="489" ht="15.75" customHeight="1">
      <c r="A489" s="63" t="s">
        <v>3729</v>
      </c>
      <c r="B489" s="5">
        <v>43944.77222222222</v>
      </c>
      <c r="C489" s="67"/>
    </row>
    <row r="490" ht="15.75" customHeight="1">
      <c r="A490" s="63" t="s">
        <v>3728</v>
      </c>
      <c r="B490" s="5">
        <v>43944.77222222222</v>
      </c>
      <c r="C490" s="67"/>
    </row>
    <row r="491" ht="15.75" customHeight="1">
      <c r="A491" s="63" t="s">
        <v>3732</v>
      </c>
      <c r="B491" s="5">
        <v>43944.77222222222</v>
      </c>
      <c r="C491" s="67"/>
    </row>
    <row r="492" ht="15.75" customHeight="1">
      <c r="A492" s="63" t="s">
        <v>3736</v>
      </c>
      <c r="B492" s="5">
        <v>43944.77222222222</v>
      </c>
      <c r="C492" s="67"/>
    </row>
    <row r="493" ht="15.75" customHeight="1">
      <c r="A493" s="63" t="s">
        <v>3738</v>
      </c>
      <c r="B493" s="5">
        <v>43944.77222222222</v>
      </c>
      <c r="C493" s="67"/>
    </row>
    <row r="494" ht="15.75" customHeight="1">
      <c r="A494" s="63" t="s">
        <v>3737</v>
      </c>
      <c r="B494" s="5">
        <v>43944.77222222222</v>
      </c>
      <c r="C494" s="67"/>
    </row>
    <row r="495" ht="15.75" customHeight="1">
      <c r="A495" s="63" t="s">
        <v>3239</v>
      </c>
      <c r="B495" s="5">
        <v>43944.77222222222</v>
      </c>
      <c r="C495" s="67"/>
    </row>
    <row r="496" ht="15.75" customHeight="1">
      <c r="A496" s="63" t="s">
        <v>3740</v>
      </c>
      <c r="B496" s="5">
        <v>43944.77222222222</v>
      </c>
      <c r="C496" s="67"/>
    </row>
    <row r="497" ht="15.75" customHeight="1">
      <c r="A497" s="63" t="s">
        <v>3730</v>
      </c>
      <c r="B497" s="5">
        <v>43944.77222222222</v>
      </c>
      <c r="C497" s="67"/>
    </row>
    <row r="498" ht="15.75" customHeight="1">
      <c r="A498" s="63" t="s">
        <v>3725</v>
      </c>
      <c r="B498" s="5">
        <v>43944.77222222222</v>
      </c>
      <c r="C498" s="67"/>
    </row>
    <row r="499" ht="15.75" customHeight="1">
      <c r="A499" s="63" t="s">
        <v>3733</v>
      </c>
      <c r="B499" s="5">
        <v>43944.77222222222</v>
      </c>
      <c r="C499" s="67"/>
    </row>
    <row r="500" ht="15.75" customHeight="1">
      <c r="A500" s="63" t="s">
        <v>2234</v>
      </c>
      <c r="B500" s="5">
        <v>43944.77222222222</v>
      </c>
      <c r="C500" s="67"/>
    </row>
    <row r="501" ht="15.75" customHeight="1">
      <c r="A501" s="63" t="s">
        <v>3742</v>
      </c>
      <c r="B501" s="5">
        <v>43944.771527777775</v>
      </c>
      <c r="C501" s="67"/>
    </row>
    <row r="502" ht="15.75" customHeight="1">
      <c r="A502" s="63" t="s">
        <v>3750</v>
      </c>
      <c r="B502" s="5">
        <v>43944.771527777775</v>
      </c>
      <c r="C502" s="67"/>
    </row>
    <row r="503" ht="15.75" customHeight="1">
      <c r="A503" s="63" t="s">
        <v>3599</v>
      </c>
      <c r="B503" s="5">
        <v>43944.771527777775</v>
      </c>
      <c r="C503" s="67"/>
    </row>
    <row r="504" ht="15.75" customHeight="1">
      <c r="A504" s="63" t="s">
        <v>2102</v>
      </c>
      <c r="B504" s="5">
        <v>43944.771527777775</v>
      </c>
      <c r="C504" s="67"/>
    </row>
    <row r="505" ht="15.75" customHeight="1">
      <c r="A505" s="63" t="s">
        <v>3747</v>
      </c>
      <c r="B505" s="5">
        <v>43944.771527777775</v>
      </c>
      <c r="C505" s="67"/>
    </row>
    <row r="506" ht="15.75" customHeight="1">
      <c r="A506" s="63" t="s">
        <v>3481</v>
      </c>
      <c r="B506" s="5">
        <v>43944.771527777775</v>
      </c>
      <c r="C506" s="67"/>
    </row>
    <row r="507" ht="15.75" customHeight="1">
      <c r="A507" s="63" t="s">
        <v>3744</v>
      </c>
      <c r="B507" s="5">
        <v>43944.771527777775</v>
      </c>
      <c r="C507" s="67"/>
    </row>
    <row r="508" ht="15.75" customHeight="1">
      <c r="A508" s="63" t="s">
        <v>3724</v>
      </c>
      <c r="B508" s="5">
        <v>43944.771527777775</v>
      </c>
      <c r="C508" s="67"/>
    </row>
    <row r="509" ht="15.75" customHeight="1">
      <c r="A509" s="63" t="s">
        <v>3749</v>
      </c>
      <c r="B509" s="5">
        <v>43944.771527777775</v>
      </c>
      <c r="C509" s="67"/>
    </row>
    <row r="510" ht="15.75" customHeight="1">
      <c r="A510" s="63" t="s">
        <v>1691</v>
      </c>
      <c r="B510" s="5">
        <v>43944.771527777775</v>
      </c>
      <c r="C510" s="67"/>
    </row>
    <row r="511" ht="15.75" customHeight="1">
      <c r="A511" s="63" t="s">
        <v>3610</v>
      </c>
      <c r="B511" s="5">
        <v>43944.771527777775</v>
      </c>
      <c r="C511" s="67"/>
    </row>
    <row r="512" ht="15.75" customHeight="1">
      <c r="A512" s="63" t="s">
        <v>3748</v>
      </c>
      <c r="B512" s="5">
        <v>43944.771527777775</v>
      </c>
      <c r="C512" s="67"/>
    </row>
    <row r="513" ht="15.75" customHeight="1">
      <c r="A513" s="63" t="s">
        <v>3606</v>
      </c>
      <c r="B513" s="5">
        <v>43944.771527777775</v>
      </c>
      <c r="C513" s="67"/>
    </row>
    <row r="514" ht="15.75" customHeight="1">
      <c r="A514" s="63" t="s">
        <v>3743</v>
      </c>
      <c r="B514" s="5">
        <v>43944.771527777775</v>
      </c>
      <c r="C514" s="67"/>
    </row>
    <row r="515" ht="15.75" customHeight="1">
      <c r="A515" s="63" t="s">
        <v>3575</v>
      </c>
      <c r="B515" s="5">
        <v>43944.771527777775</v>
      </c>
      <c r="C515" s="67"/>
    </row>
    <row r="516" ht="15.75" customHeight="1">
      <c r="A516" s="63" t="s">
        <v>3735</v>
      </c>
      <c r="B516" s="5">
        <v>43944.771527777775</v>
      </c>
      <c r="C516" s="67"/>
    </row>
    <row r="517" ht="15.75" customHeight="1">
      <c r="A517" s="63" t="s">
        <v>3746</v>
      </c>
      <c r="B517" s="5">
        <v>43944.76388888889</v>
      </c>
      <c r="C517" s="67"/>
    </row>
    <row r="518" ht="15.75" customHeight="1">
      <c r="A518" s="63" t="s">
        <v>3760</v>
      </c>
      <c r="B518" s="5">
        <v>43944.75555555556</v>
      </c>
      <c r="C518" s="67"/>
    </row>
    <row r="519" ht="15.75" customHeight="1">
      <c r="A519" s="63" t="s">
        <v>1850</v>
      </c>
      <c r="B519" s="5">
        <v>43944.74444444444</v>
      </c>
      <c r="C519" s="67"/>
    </row>
    <row r="520" ht="15.75" customHeight="1">
      <c r="A520" s="63" t="s">
        <v>3626</v>
      </c>
      <c r="B520" s="5">
        <v>43944.74444444444</v>
      </c>
      <c r="C520" s="67"/>
    </row>
    <row r="521" ht="15.75" customHeight="1">
      <c r="A521" s="63" t="s">
        <v>3762</v>
      </c>
      <c r="B521" s="5">
        <v>43944.73541666667</v>
      </c>
      <c r="C521" s="67"/>
    </row>
    <row r="522" ht="15.75" customHeight="1">
      <c r="A522" s="63" t="s">
        <v>3589</v>
      </c>
      <c r="B522" s="5">
        <v>43944.73333333333</v>
      </c>
      <c r="C522" s="67"/>
    </row>
    <row r="523" ht="15.75" customHeight="1">
      <c r="A523" s="63" t="s">
        <v>3767</v>
      </c>
      <c r="B523" s="5">
        <v>43944.73055555556</v>
      </c>
      <c r="C523" s="67"/>
    </row>
    <row r="524" ht="15.75" customHeight="1">
      <c r="A524" s="63" t="s">
        <v>3775</v>
      </c>
      <c r="B524" s="5">
        <v>43944.728472222225</v>
      </c>
      <c r="C524" s="67"/>
    </row>
    <row r="525" ht="15.75" customHeight="1">
      <c r="A525" s="63" t="s">
        <v>3349</v>
      </c>
      <c r="B525" s="5">
        <v>43944.728472222225</v>
      </c>
      <c r="C525" s="67"/>
    </row>
    <row r="526" ht="15.75" customHeight="1">
      <c r="A526" s="63" t="s">
        <v>3780</v>
      </c>
      <c r="B526" s="5">
        <v>43944.72777777778</v>
      </c>
      <c r="C526" s="67"/>
    </row>
    <row r="527" ht="15.75" customHeight="1">
      <c r="A527" s="63" t="s">
        <v>3779</v>
      </c>
      <c r="B527" s="5">
        <v>43944.72708333333</v>
      </c>
      <c r="C527" s="67"/>
    </row>
    <row r="528" ht="15.75" customHeight="1">
      <c r="A528" s="63" t="s">
        <v>3608</v>
      </c>
      <c r="B528" s="5">
        <v>43944.72708333333</v>
      </c>
      <c r="C528" s="67"/>
    </row>
    <row r="529" ht="15.75" customHeight="1">
      <c r="A529" s="63" t="s">
        <v>1621</v>
      </c>
      <c r="B529" s="5">
        <v>43944.72708333333</v>
      </c>
      <c r="C529" s="67"/>
    </row>
    <row r="530" ht="15.75" customHeight="1">
      <c r="A530" s="63" t="s">
        <v>3624</v>
      </c>
      <c r="B530" s="5">
        <v>43944.72708333333</v>
      </c>
      <c r="C530" s="67"/>
    </row>
    <row r="531" ht="15.75" customHeight="1">
      <c r="A531" s="63" t="s">
        <v>3778</v>
      </c>
      <c r="B531" s="5">
        <v>43944.72708333333</v>
      </c>
      <c r="C531" s="67"/>
    </row>
    <row r="532" ht="15.75" customHeight="1">
      <c r="A532" s="63" t="s">
        <v>3785</v>
      </c>
      <c r="B532" s="5">
        <v>43944.725694444445</v>
      </c>
      <c r="C532" s="67"/>
    </row>
    <row r="533" ht="15.75" customHeight="1">
      <c r="A533" s="63" t="s">
        <v>3578</v>
      </c>
      <c r="B533" s="5">
        <v>43944.725</v>
      </c>
      <c r="C533" s="67"/>
    </row>
    <row r="534" ht="15.75" customHeight="1">
      <c r="A534" s="63" t="s">
        <v>3786</v>
      </c>
      <c r="B534" s="5">
        <v>43944.725</v>
      </c>
      <c r="C534" s="67"/>
    </row>
    <row r="535" ht="15.75" customHeight="1">
      <c r="A535" s="63" t="s">
        <v>3788</v>
      </c>
      <c r="B535" s="5">
        <v>43944.72430555556</v>
      </c>
      <c r="C535" s="67"/>
    </row>
    <row r="536" ht="15.75" customHeight="1">
      <c r="A536" s="63" t="s">
        <v>3764</v>
      </c>
      <c r="B536" s="5">
        <v>43944.72430555556</v>
      </c>
      <c r="C536" s="67"/>
    </row>
    <row r="537" ht="15.75" customHeight="1">
      <c r="A537" s="63" t="s">
        <v>3776</v>
      </c>
      <c r="B537" s="5">
        <v>43944.72430555556</v>
      </c>
      <c r="C537" s="67"/>
    </row>
    <row r="538" ht="15.75" customHeight="1">
      <c r="A538" s="63" t="s">
        <v>3752</v>
      </c>
      <c r="B538" s="5">
        <v>43944.72430555556</v>
      </c>
      <c r="C538" s="67"/>
    </row>
    <row r="539" ht="15.75" customHeight="1">
      <c r="A539" s="63" t="s">
        <v>3649</v>
      </c>
      <c r="B539" s="5">
        <v>43944.72430555556</v>
      </c>
      <c r="C539" s="67"/>
    </row>
    <row r="540" ht="15.75" customHeight="1">
      <c r="A540" s="63" t="s">
        <v>3794</v>
      </c>
      <c r="B540" s="5">
        <v>43944.72361111111</v>
      </c>
      <c r="C540" s="67"/>
    </row>
    <row r="541" ht="15.75" customHeight="1">
      <c r="A541" s="63" t="s">
        <v>3790</v>
      </c>
      <c r="B541" s="5">
        <v>43944.72361111111</v>
      </c>
      <c r="C541" s="67"/>
    </row>
    <row r="542" ht="15.75" customHeight="1">
      <c r="A542" s="63" t="s">
        <v>3793</v>
      </c>
      <c r="B542" s="5">
        <v>43944.72361111111</v>
      </c>
      <c r="C542" s="67"/>
    </row>
    <row r="543" ht="15.75" customHeight="1">
      <c r="A543" s="63" t="s">
        <v>970</v>
      </c>
      <c r="B543" s="5">
        <v>43944.72361111111</v>
      </c>
      <c r="C543" s="67"/>
    </row>
    <row r="544" ht="15.75" customHeight="1">
      <c r="A544" s="63" t="s">
        <v>3796</v>
      </c>
      <c r="B544" s="5">
        <v>43944.72361111111</v>
      </c>
      <c r="C544" s="67"/>
    </row>
    <row r="545" ht="15.75" customHeight="1">
      <c r="A545" s="63" t="s">
        <v>2445</v>
      </c>
      <c r="B545" s="5">
        <v>43944.72361111111</v>
      </c>
      <c r="C545" s="67"/>
    </row>
    <row r="546" ht="15.75" customHeight="1">
      <c r="A546" s="63" t="s">
        <v>3792</v>
      </c>
      <c r="B546" s="5">
        <v>43944.72361111111</v>
      </c>
      <c r="C546" s="67"/>
    </row>
    <row r="547" ht="15.75" customHeight="1">
      <c r="A547" s="63" t="s">
        <v>3797</v>
      </c>
      <c r="B547" s="5">
        <v>43944.722916666666</v>
      </c>
      <c r="C547" s="67"/>
    </row>
    <row r="548" ht="15.75" customHeight="1">
      <c r="A548" s="63" t="s">
        <v>3795</v>
      </c>
      <c r="B548" s="5">
        <v>43944.72222222222</v>
      </c>
      <c r="C548" s="67"/>
    </row>
    <row r="549" ht="15.75" customHeight="1">
      <c r="A549" s="63" t="s">
        <v>3803</v>
      </c>
      <c r="B549" s="5">
        <v>43944.714583333334</v>
      </c>
      <c r="C549" s="67"/>
    </row>
    <row r="550" ht="15.75" customHeight="1">
      <c r="A550" s="63" t="s">
        <v>3770</v>
      </c>
      <c r="B550" s="5">
        <v>43944.71388888889</v>
      </c>
      <c r="C550" s="67"/>
    </row>
    <row r="551" ht="15.75" customHeight="1">
      <c r="A551" s="63" t="s">
        <v>2439</v>
      </c>
      <c r="B551" s="5">
        <v>43944.71319444444</v>
      </c>
      <c r="C551" s="67"/>
    </row>
    <row r="552" ht="15.75" customHeight="1">
      <c r="A552" s="63" t="s">
        <v>3631</v>
      </c>
      <c r="B552" s="5">
        <v>43944.71319444444</v>
      </c>
      <c r="C552" s="67"/>
    </row>
    <row r="553" ht="15.75" customHeight="1">
      <c r="A553" s="63" t="s">
        <v>3595</v>
      </c>
      <c r="B553" s="5">
        <v>43944.7125</v>
      </c>
      <c r="C553" s="67"/>
    </row>
    <row r="554" ht="15.75" customHeight="1">
      <c r="A554" s="63" t="s">
        <v>3805</v>
      </c>
      <c r="B554" s="5">
        <v>43944.7125</v>
      </c>
      <c r="C554" s="67"/>
    </row>
    <row r="555" ht="15.75" customHeight="1">
      <c r="A555" s="63" t="s">
        <v>3783</v>
      </c>
      <c r="B555" s="5">
        <v>43944.7125</v>
      </c>
      <c r="C555" s="67"/>
    </row>
    <row r="556" ht="15.75" customHeight="1">
      <c r="A556" s="63" t="s">
        <v>1987</v>
      </c>
      <c r="B556" s="5">
        <v>43944.7125</v>
      </c>
      <c r="C556" s="67"/>
    </row>
    <row r="557" ht="15.75" customHeight="1">
      <c r="A557" s="63" t="s">
        <v>3804</v>
      </c>
      <c r="B557" s="5">
        <v>43944.7125</v>
      </c>
      <c r="C557" s="67"/>
    </row>
    <row r="558" ht="15.75" customHeight="1">
      <c r="A558" s="63" t="s">
        <v>3808</v>
      </c>
      <c r="B558" s="5">
        <v>43944.7125</v>
      </c>
      <c r="C558" s="67"/>
    </row>
    <row r="559" ht="15.75" customHeight="1">
      <c r="A559" s="63" t="s">
        <v>3642</v>
      </c>
      <c r="B559" s="5">
        <v>43944.7125</v>
      </c>
      <c r="C559" s="67"/>
    </row>
    <row r="560" ht="15.75" customHeight="1">
      <c r="A560" s="63" t="s">
        <v>3645</v>
      </c>
      <c r="B560" s="5">
        <v>43944.7125</v>
      </c>
      <c r="C560" s="67"/>
    </row>
    <row r="561" ht="15.75" customHeight="1">
      <c r="A561" s="63" t="s">
        <v>3640</v>
      </c>
      <c r="B561" s="5">
        <v>43944.7125</v>
      </c>
      <c r="C561" s="67"/>
    </row>
    <row r="562" ht="15.75" customHeight="1">
      <c r="A562" s="63" t="s">
        <v>3820</v>
      </c>
      <c r="B562" s="5">
        <v>43944.711805555555</v>
      </c>
      <c r="C562" s="67"/>
    </row>
    <row r="563" ht="15.75" customHeight="1">
      <c r="A563" s="63" t="s">
        <v>3809</v>
      </c>
      <c r="B563" s="5">
        <v>43944.711805555555</v>
      </c>
      <c r="C563" s="67"/>
    </row>
    <row r="564" ht="15.75" customHeight="1">
      <c r="A564" s="63" t="s">
        <v>3814</v>
      </c>
      <c r="B564" s="5">
        <v>43944.711805555555</v>
      </c>
      <c r="C564" s="67"/>
    </row>
    <row r="565" ht="15.75" customHeight="1">
      <c r="A565" s="63" t="s">
        <v>3807</v>
      </c>
      <c r="B565" s="5">
        <v>43944.711805555555</v>
      </c>
      <c r="C565" s="67"/>
    </row>
    <row r="566" ht="15.75" customHeight="1">
      <c r="A566" s="63" t="s">
        <v>3806</v>
      </c>
      <c r="B566" s="5">
        <v>43944.711805555555</v>
      </c>
      <c r="C566" s="67"/>
    </row>
    <row r="567" ht="15.75" customHeight="1">
      <c r="A567" s="63" t="s">
        <v>3593</v>
      </c>
      <c r="B567" s="5">
        <v>43944.711805555555</v>
      </c>
      <c r="C567" s="67"/>
    </row>
    <row r="568" ht="15.75" customHeight="1">
      <c r="A568" s="63" t="s">
        <v>3811</v>
      </c>
      <c r="B568" s="5">
        <v>43944.711805555555</v>
      </c>
      <c r="C568" s="67"/>
    </row>
    <row r="569" ht="15.75" customHeight="1">
      <c r="A569" s="63" t="s">
        <v>3613</v>
      </c>
      <c r="B569" s="5">
        <v>43944.711805555555</v>
      </c>
      <c r="C569" s="67"/>
    </row>
    <row r="570" ht="15.75" customHeight="1">
      <c r="A570" s="63" t="s">
        <v>3769</v>
      </c>
      <c r="B570" s="5">
        <v>43944.709027777775</v>
      </c>
      <c r="C570" s="67"/>
    </row>
    <row r="571" ht="15.75" customHeight="1">
      <c r="A571" s="63" t="s">
        <v>3821</v>
      </c>
      <c r="B571" s="5">
        <v>43944.709027777775</v>
      </c>
      <c r="C571" s="67"/>
    </row>
    <row r="572" ht="15.75" customHeight="1">
      <c r="A572" s="63" t="s">
        <v>3825</v>
      </c>
      <c r="B572" s="5">
        <v>43944.708333333336</v>
      </c>
      <c r="C572" s="67"/>
    </row>
    <row r="573" ht="15.75" customHeight="1">
      <c r="A573" s="63" t="s">
        <v>3819</v>
      </c>
      <c r="B573" s="5">
        <v>43944.708333333336</v>
      </c>
      <c r="C573" s="67"/>
    </row>
    <row r="574" ht="15.75" customHeight="1">
      <c r="A574" s="63" t="s">
        <v>3784</v>
      </c>
      <c r="B574" s="5">
        <v>43944.708333333336</v>
      </c>
      <c r="C574" s="67"/>
    </row>
    <row r="575" ht="15.75" customHeight="1">
      <c r="A575" s="63" t="s">
        <v>3782</v>
      </c>
      <c r="B575" s="5">
        <v>43944.708333333336</v>
      </c>
      <c r="C575" s="67"/>
    </row>
    <row r="576" ht="15.75" customHeight="1">
      <c r="A576" s="63" t="s">
        <v>3812</v>
      </c>
      <c r="B576" s="5">
        <v>43944.708333333336</v>
      </c>
      <c r="C576" s="67"/>
    </row>
    <row r="577" ht="15.75" customHeight="1">
      <c r="A577" s="63" t="s">
        <v>3751</v>
      </c>
      <c r="B577" s="5">
        <v>43944.70763888889</v>
      </c>
      <c r="C577" s="67"/>
    </row>
    <row r="578" ht="15.75" customHeight="1">
      <c r="A578" s="63" t="s">
        <v>3826</v>
      </c>
      <c r="B578" s="5">
        <v>43944.70763888889</v>
      </c>
      <c r="C578" s="67"/>
    </row>
    <row r="579" ht="15.75" customHeight="1">
      <c r="A579" s="63" t="s">
        <v>3829</v>
      </c>
      <c r="B579" s="5">
        <v>43944.70694444444</v>
      </c>
      <c r="C579" s="67"/>
    </row>
    <row r="580" ht="15.75" customHeight="1">
      <c r="A580" s="63" t="s">
        <v>3830</v>
      </c>
      <c r="B580" s="5">
        <v>43944.70416666667</v>
      </c>
      <c r="C580" s="67"/>
    </row>
    <row r="581" ht="15.75" customHeight="1">
      <c r="A581" s="63" t="s">
        <v>2007</v>
      </c>
      <c r="B581" s="5">
        <v>43944.70208333333</v>
      </c>
      <c r="C581" s="67"/>
    </row>
    <row r="582" ht="15.75" customHeight="1">
      <c r="A582" s="63" t="s">
        <v>3195</v>
      </c>
      <c r="B582" s="5">
        <v>43944.69861111111</v>
      </c>
      <c r="C582" s="67"/>
    </row>
    <row r="583" ht="15.75" customHeight="1">
      <c r="A583" s="63" t="s">
        <v>3833</v>
      </c>
      <c r="B583" s="5">
        <v>43944.697916666664</v>
      </c>
      <c r="C583" s="67"/>
    </row>
    <row r="584" ht="15.75" customHeight="1">
      <c r="A584" s="63" t="s">
        <v>3753</v>
      </c>
      <c r="B584" s="5">
        <v>43944.697916666664</v>
      </c>
      <c r="C584" s="67"/>
    </row>
    <row r="585" ht="15.75" customHeight="1">
      <c r="A585" s="63" t="s">
        <v>732</v>
      </c>
      <c r="B585" s="5">
        <v>43944.697916666664</v>
      </c>
      <c r="C585" s="67"/>
    </row>
    <row r="586" ht="15.75" customHeight="1">
      <c r="A586" s="63" t="s">
        <v>3831</v>
      </c>
      <c r="B586" s="5">
        <v>43944.697916666664</v>
      </c>
      <c r="C586" s="67"/>
    </row>
    <row r="587" ht="15.75" customHeight="1">
      <c r="A587" s="63" t="s">
        <v>3530</v>
      </c>
      <c r="B587" s="5">
        <v>43944.697916666664</v>
      </c>
      <c r="C587" s="67"/>
    </row>
    <row r="588" ht="15.75" customHeight="1">
      <c r="A588" s="63" t="s">
        <v>3832</v>
      </c>
      <c r="B588" s="5">
        <v>43944.697916666664</v>
      </c>
      <c r="C588" s="67"/>
    </row>
    <row r="589" ht="15.75" customHeight="1">
      <c r="A589" s="63" t="s">
        <v>2906</v>
      </c>
      <c r="B589" s="5">
        <v>43944.697916666664</v>
      </c>
      <c r="C589" s="67"/>
    </row>
    <row r="590" ht="15.75" customHeight="1">
      <c r="A590" s="63" t="s">
        <v>3798</v>
      </c>
      <c r="B590" s="5">
        <v>43944.697916666664</v>
      </c>
      <c r="C590" s="67"/>
    </row>
    <row r="591" ht="15.75" customHeight="1">
      <c r="A591" s="63" t="s">
        <v>3818</v>
      </c>
      <c r="B591" s="5">
        <v>43944.697916666664</v>
      </c>
      <c r="C591" s="67"/>
    </row>
    <row r="592" ht="15.75" customHeight="1">
      <c r="A592" s="63" t="s">
        <v>3837</v>
      </c>
      <c r="B592" s="5">
        <v>43944.697222222225</v>
      </c>
      <c r="C592" s="67"/>
    </row>
    <row r="593" ht="15.75" customHeight="1">
      <c r="A593" s="63" t="s">
        <v>3774</v>
      </c>
      <c r="B593" s="5">
        <v>43944.697222222225</v>
      </c>
      <c r="C593" s="67"/>
    </row>
    <row r="594" ht="15.75" customHeight="1">
      <c r="A594" s="63" t="s">
        <v>3754</v>
      </c>
      <c r="B594" s="5">
        <v>43944.697222222225</v>
      </c>
      <c r="C594" s="67"/>
    </row>
    <row r="595" ht="15.75" customHeight="1">
      <c r="A595" s="63" t="s">
        <v>3839</v>
      </c>
      <c r="B595" s="5">
        <v>43944.69652777778</v>
      </c>
      <c r="C595" s="67"/>
    </row>
    <row r="596" ht="15.75" customHeight="1">
      <c r="A596" s="63" t="s">
        <v>3840</v>
      </c>
      <c r="B596" s="5">
        <v>43944.657638888886</v>
      </c>
      <c r="C596" s="67"/>
    </row>
    <row r="597" ht="15.75" customHeight="1">
      <c r="A597" s="63" t="s">
        <v>3842</v>
      </c>
      <c r="B597" s="5">
        <v>43944.62430555555</v>
      </c>
      <c r="C597" s="67"/>
    </row>
    <row r="598" ht="15.75" customHeight="1">
      <c r="A598" s="63" t="s">
        <v>2501</v>
      </c>
      <c r="B598" s="5">
        <v>43944.572222222225</v>
      </c>
      <c r="C598" s="67"/>
    </row>
    <row r="599" ht="15.75" customHeight="1">
      <c r="A599" s="63" t="s">
        <v>94</v>
      </c>
      <c r="B599" s="5">
        <v>43944.365277777775</v>
      </c>
      <c r="C599" s="67"/>
    </row>
    <row r="600" ht="15.75" customHeight="1">
      <c r="A600" s="63" t="s">
        <v>3845</v>
      </c>
      <c r="B600" s="5">
        <v>43944.34930555556</v>
      </c>
      <c r="C600" s="67"/>
    </row>
    <row r="601" ht="15.75" customHeight="1">
      <c r="A601" s="63" t="s">
        <v>3847</v>
      </c>
      <c r="B601" s="5">
        <v>43944.23611111111</v>
      </c>
      <c r="C601" s="67"/>
    </row>
    <row r="602" ht="15.75" customHeight="1">
      <c r="A602" s="63" t="s">
        <v>3848</v>
      </c>
      <c r="B602" s="5">
        <v>43943.80972222222</v>
      </c>
      <c r="C602" s="67"/>
    </row>
    <row r="603" ht="15.75" customHeight="1">
      <c r="A603" s="63" t="s">
        <v>1508</v>
      </c>
      <c r="B603" s="5">
        <v>43943.7</v>
      </c>
      <c r="C603" s="67"/>
    </row>
    <row r="604" ht="15.75" customHeight="1">
      <c r="A604" s="63" t="s">
        <v>3850</v>
      </c>
      <c r="B604" s="5">
        <v>43943.53680555556</v>
      </c>
      <c r="C604" s="67"/>
    </row>
    <row r="605" ht="15.75" customHeight="1">
      <c r="A605" s="63" t="s">
        <v>2889</v>
      </c>
      <c r="B605" s="5">
        <v>43943.40416666667</v>
      </c>
      <c r="C605" s="67"/>
    </row>
    <row r="606" ht="15.75" customHeight="1">
      <c r="A606" s="63" t="s">
        <v>3854</v>
      </c>
      <c r="B606" s="5">
        <v>43943.025</v>
      </c>
      <c r="C606" s="67"/>
    </row>
    <row r="607" ht="15.75" customHeight="1">
      <c r="A607" s="63" t="s">
        <v>3855</v>
      </c>
      <c r="B607" s="5">
        <v>43942.97361111111</v>
      </c>
      <c r="C607" s="67"/>
    </row>
    <row r="608" ht="15.75" customHeight="1">
      <c r="A608" s="63" t="s">
        <v>270</v>
      </c>
      <c r="B608" s="5">
        <v>43942.96875</v>
      </c>
      <c r="C608" s="67"/>
    </row>
    <row r="609" ht="15.75" customHeight="1">
      <c r="A609" s="63" t="s">
        <v>3766</v>
      </c>
      <c r="B609" s="5">
        <v>43942.868055555555</v>
      </c>
      <c r="C609" s="67"/>
    </row>
    <row r="610" ht="15.75" customHeight="1">
      <c r="A610" s="63" t="s">
        <v>3859</v>
      </c>
      <c r="B610" s="5">
        <v>43942.75625</v>
      </c>
      <c r="C610" s="67"/>
    </row>
    <row r="611" ht="15.75" customHeight="1">
      <c r="A611" s="63" t="s">
        <v>3862</v>
      </c>
      <c r="B611" s="5">
        <v>43942.75486111111</v>
      </c>
      <c r="C611" s="67"/>
    </row>
    <row r="612" ht="15.75" customHeight="1">
      <c r="A612" s="63" t="s">
        <v>3863</v>
      </c>
      <c r="B612" s="5">
        <v>43942.69583333333</v>
      </c>
      <c r="C612" s="67"/>
    </row>
    <row r="613" ht="15.75" customHeight="1">
      <c r="A613" s="63" t="s">
        <v>336</v>
      </c>
      <c r="B613" s="5">
        <v>43942.42569444444</v>
      </c>
      <c r="C613" s="67"/>
    </row>
    <row r="614" ht="15.75" customHeight="1">
      <c r="A614" s="63" t="s">
        <v>3705</v>
      </c>
      <c r="B614" s="5">
        <v>43942.35486111111</v>
      </c>
      <c r="C614" s="67"/>
    </row>
    <row r="615" ht="15.75" customHeight="1">
      <c r="A615" s="63" t="s">
        <v>818</v>
      </c>
      <c r="B615" s="5">
        <v>43942.27222222222</v>
      </c>
      <c r="C615" s="67"/>
    </row>
    <row r="616" ht="15.75" customHeight="1">
      <c r="A616" s="63" t="s">
        <v>3865</v>
      </c>
      <c r="B616" s="5">
        <v>43942.14166666667</v>
      </c>
      <c r="C616" s="67"/>
    </row>
    <row r="617" ht="15.75" customHeight="1">
      <c r="A617" s="63" t="s">
        <v>3867</v>
      </c>
      <c r="B617" s="5">
        <v>43941.91875</v>
      </c>
      <c r="C617" s="67"/>
    </row>
    <row r="618" ht="15.75" customHeight="1">
      <c r="A618" s="63" t="s">
        <v>3870</v>
      </c>
      <c r="B618" s="5">
        <v>43941.82083333333</v>
      </c>
      <c r="C618" s="67"/>
    </row>
    <row r="619" ht="15.75" customHeight="1">
      <c r="A619" s="63" t="s">
        <v>2685</v>
      </c>
      <c r="B619" s="5">
        <v>43941.75347222222</v>
      </c>
      <c r="C619" s="67"/>
    </row>
    <row r="620" ht="15.75" customHeight="1">
      <c r="A620" s="63" t="s">
        <v>927</v>
      </c>
      <c r="B620" s="5">
        <v>43941.73402777778</v>
      </c>
      <c r="C620" s="67"/>
    </row>
    <row r="621" ht="15.75" customHeight="1">
      <c r="A621" s="63" t="s">
        <v>3876</v>
      </c>
      <c r="B621" s="5">
        <v>43941.552777777775</v>
      </c>
      <c r="C621" s="67"/>
    </row>
    <row r="622" ht="15.75" customHeight="1">
      <c r="A622" s="63" t="s">
        <v>3877</v>
      </c>
      <c r="B622" s="5">
        <v>43941.46388888889</v>
      </c>
      <c r="C622" s="67"/>
    </row>
    <row r="623" ht="15.75" customHeight="1">
      <c r="A623" s="63" t="s">
        <v>3881</v>
      </c>
      <c r="B623" s="5">
        <v>43941.06458333333</v>
      </c>
      <c r="C623" s="67"/>
    </row>
    <row r="624" ht="15.75" customHeight="1">
      <c r="A624" s="63" t="s">
        <v>3889</v>
      </c>
      <c r="B624" s="5">
        <v>43940.62777777778</v>
      </c>
      <c r="C624" s="67"/>
    </row>
    <row r="625" ht="15.75" customHeight="1">
      <c r="A625" s="63" t="s">
        <v>3890</v>
      </c>
      <c r="B625" s="5">
        <v>43940.49722222222</v>
      </c>
      <c r="C625" s="67"/>
    </row>
    <row r="626" ht="15.75" customHeight="1">
      <c r="A626" s="63" t="s">
        <v>3891</v>
      </c>
      <c r="B626" s="5">
        <v>43940.39166666667</v>
      </c>
      <c r="C626" s="67"/>
    </row>
    <row r="627" ht="15.75" customHeight="1">
      <c r="A627" s="63" t="s">
        <v>3893</v>
      </c>
      <c r="B627" s="5">
        <v>43940.376388888886</v>
      </c>
      <c r="C627" s="67"/>
    </row>
    <row r="628" ht="15.75" customHeight="1">
      <c r="A628" s="63" t="s">
        <v>3895</v>
      </c>
      <c r="B628" s="5">
        <v>43939.83541666667</v>
      </c>
      <c r="C628" s="67"/>
    </row>
    <row r="629" ht="15.75" customHeight="1">
      <c r="A629" s="63" t="s">
        <v>3896</v>
      </c>
      <c r="B629" s="5">
        <v>43939.66111111111</v>
      </c>
      <c r="C629" s="67"/>
    </row>
    <row r="630" ht="15.75" customHeight="1">
      <c r="A630" s="63" t="s">
        <v>3897</v>
      </c>
      <c r="B630" s="5">
        <v>43939.277083333334</v>
      </c>
      <c r="C630" s="67"/>
    </row>
    <row r="631" ht="15.75" customHeight="1">
      <c r="A631" s="63" t="s">
        <v>3898</v>
      </c>
      <c r="B631" s="5">
        <v>43939.032638888886</v>
      </c>
      <c r="C631" s="67"/>
    </row>
    <row r="632" ht="15.75" customHeight="1">
      <c r="A632" s="63" t="s">
        <v>5465</v>
      </c>
      <c r="B632" s="5">
        <v>43938.896527777775</v>
      </c>
      <c r="C632" s="67"/>
    </row>
    <row r="633" ht="15.75" customHeight="1">
      <c r="A633" s="63" t="s">
        <v>3901</v>
      </c>
      <c r="B633" s="5">
        <v>43938.842361111114</v>
      </c>
      <c r="C633" s="67"/>
    </row>
    <row r="634" ht="15.75" customHeight="1">
      <c r="A634" s="63" t="s">
        <v>3902</v>
      </c>
      <c r="B634" s="5">
        <v>43938.67916666667</v>
      </c>
      <c r="C634" s="67"/>
    </row>
    <row r="635" ht="15.75" customHeight="1">
      <c r="A635" s="63" t="s">
        <v>3908</v>
      </c>
      <c r="B635" s="5">
        <v>43938.365277777775</v>
      </c>
      <c r="C635" s="67"/>
    </row>
    <row r="636" ht="15.75" customHeight="1">
      <c r="A636" s="63" t="s">
        <v>3904</v>
      </c>
      <c r="B636" s="5">
        <v>43938.339583333334</v>
      </c>
      <c r="C636" s="67"/>
    </row>
    <row r="637" ht="15.75" customHeight="1">
      <c r="A637" s="63" t="s">
        <v>3910</v>
      </c>
      <c r="B637" s="5">
        <v>43937.868055555555</v>
      </c>
      <c r="C637" s="67"/>
    </row>
    <row r="638" ht="15.75" customHeight="1">
      <c r="A638" s="63" t="s">
        <v>3912</v>
      </c>
      <c r="B638" s="5">
        <v>43937.73888888889</v>
      </c>
      <c r="C638" s="67"/>
    </row>
    <row r="639" ht="15.75" customHeight="1">
      <c r="A639" s="63" t="s">
        <v>3914</v>
      </c>
      <c r="B639" s="5">
        <v>43937.70972222222</v>
      </c>
      <c r="C639" s="67"/>
    </row>
    <row r="640" ht="15.75" customHeight="1">
      <c r="A640" s="63" t="s">
        <v>3917</v>
      </c>
      <c r="B640" s="5">
        <v>43937.525</v>
      </c>
      <c r="C640" s="67"/>
    </row>
    <row r="641" ht="15.75" customHeight="1">
      <c r="A641" s="63" t="s">
        <v>3918</v>
      </c>
      <c r="B641" s="5">
        <v>43937.48402777778</v>
      </c>
      <c r="C641" s="67"/>
    </row>
    <row r="642" ht="15.75" customHeight="1">
      <c r="A642" s="63" t="s">
        <v>3920</v>
      </c>
      <c r="B642" s="5">
        <v>43937.481944444444</v>
      </c>
      <c r="C642" s="67"/>
    </row>
    <row r="643" ht="15.75" customHeight="1">
      <c r="A643" s="63" t="s">
        <v>725</v>
      </c>
      <c r="B643" s="5">
        <v>43937.461805555555</v>
      </c>
      <c r="C643" s="67"/>
    </row>
    <row r="644" ht="15.75" customHeight="1">
      <c r="A644" s="63" t="s">
        <v>3923</v>
      </c>
      <c r="B644" s="5">
        <v>43937.376388888886</v>
      </c>
      <c r="C644" s="67"/>
    </row>
    <row r="645" ht="15.75" customHeight="1">
      <c r="A645" s="63" t="s">
        <v>3926</v>
      </c>
      <c r="B645" s="5">
        <v>43936.708333333336</v>
      </c>
      <c r="C645" s="67"/>
    </row>
    <row r="646" ht="15.75" customHeight="1">
      <c r="A646" s="63" t="s">
        <v>2635</v>
      </c>
      <c r="B646" s="5">
        <v>43936.54305555556</v>
      </c>
      <c r="C646" s="67"/>
    </row>
    <row r="647" ht="15.75" customHeight="1">
      <c r="A647" s="63" t="s">
        <v>5466</v>
      </c>
      <c r="B647" s="5">
        <v>43936.44513888889</v>
      </c>
      <c r="C647" s="67"/>
    </row>
    <row r="648" ht="15.75" customHeight="1">
      <c r="A648" s="63" t="s">
        <v>3929</v>
      </c>
      <c r="B648" s="5">
        <v>43936.427083333336</v>
      </c>
      <c r="C648" s="67"/>
    </row>
    <row r="649" ht="15.75" customHeight="1">
      <c r="A649" s="63" t="s">
        <v>3931</v>
      </c>
      <c r="B649" s="5">
        <v>43936.37430555555</v>
      </c>
      <c r="C649" s="67"/>
    </row>
    <row r="650" ht="15.75" customHeight="1">
      <c r="A650" s="63" t="s">
        <v>3932</v>
      </c>
      <c r="B650" s="5">
        <v>43935.975694444445</v>
      </c>
      <c r="C650" s="67"/>
    </row>
    <row r="651" ht="15.75" customHeight="1">
      <c r="A651" s="63" t="s">
        <v>3934</v>
      </c>
      <c r="B651" s="5">
        <v>43935.78055555555</v>
      </c>
      <c r="C651" s="67"/>
    </row>
    <row r="652" ht="15.75" customHeight="1">
      <c r="A652" s="63" t="s">
        <v>3936</v>
      </c>
      <c r="B652" s="5">
        <v>43935.7625</v>
      </c>
      <c r="C652" s="67"/>
    </row>
    <row r="653" ht="15.75" customHeight="1">
      <c r="A653" s="63" t="s">
        <v>3937</v>
      </c>
      <c r="B653" s="5">
        <v>43935.74444444444</v>
      </c>
      <c r="C653" s="67"/>
    </row>
    <row r="654" ht="15.75" customHeight="1">
      <c r="A654" s="63" t="s">
        <v>3938</v>
      </c>
      <c r="B654" s="5">
        <v>43935.32013888889</v>
      </c>
      <c r="C654" s="67"/>
    </row>
    <row r="655" ht="15.75" customHeight="1">
      <c r="A655" s="63" t="s">
        <v>3939</v>
      </c>
      <c r="B655" s="5">
        <v>43934.94236111111</v>
      </c>
      <c r="C655" s="67"/>
    </row>
    <row r="656" ht="15.75" customHeight="1">
      <c r="A656" s="63" t="s">
        <v>3941</v>
      </c>
      <c r="B656" s="5">
        <v>43934.794444444444</v>
      </c>
      <c r="C656" s="67"/>
    </row>
    <row r="657" ht="15.75" customHeight="1">
      <c r="A657" s="63" t="s">
        <v>3849</v>
      </c>
      <c r="B657" s="5">
        <v>43934.410416666666</v>
      </c>
      <c r="C657" s="67"/>
    </row>
    <row r="658" ht="15.75" customHeight="1">
      <c r="A658" s="63" t="s">
        <v>3555</v>
      </c>
      <c r="B658" s="5">
        <v>43934.18472222222</v>
      </c>
      <c r="C658" s="67"/>
    </row>
    <row r="659" ht="15.75" customHeight="1">
      <c r="A659" s="63" t="s">
        <v>3948</v>
      </c>
      <c r="B659" s="5">
        <v>43934.07361111111</v>
      </c>
      <c r="C659" s="67"/>
    </row>
    <row r="660" ht="15.75" customHeight="1">
      <c r="A660" s="63" t="s">
        <v>1436</v>
      </c>
      <c r="B660" s="5">
        <v>43933.86597222222</v>
      </c>
      <c r="C660" s="67"/>
    </row>
    <row r="661" ht="15.75" customHeight="1">
      <c r="A661" s="63" t="s">
        <v>3949</v>
      </c>
      <c r="B661" s="5">
        <v>43933.652083333334</v>
      </c>
      <c r="C661" s="67"/>
    </row>
    <row r="662" ht="15.75" customHeight="1">
      <c r="A662" s="63" t="s">
        <v>3954</v>
      </c>
      <c r="B662" s="5">
        <v>43933.49791666667</v>
      </c>
      <c r="C662" s="67"/>
    </row>
    <row r="663" ht="15.75" customHeight="1">
      <c r="A663" s="63" t="s">
        <v>5467</v>
      </c>
      <c r="B663" s="5">
        <v>43933.45972222222</v>
      </c>
      <c r="C663" s="67"/>
    </row>
    <row r="664" ht="15.75" customHeight="1">
      <c r="A664" s="63" t="s">
        <v>3956</v>
      </c>
      <c r="B664" s="5">
        <v>43933.28472222222</v>
      </c>
      <c r="C664" s="67"/>
    </row>
    <row r="665" ht="15.75" customHeight="1">
      <c r="A665" s="63" t="s">
        <v>3957</v>
      </c>
      <c r="B665" s="5">
        <v>43933.0875</v>
      </c>
      <c r="C665" s="67"/>
    </row>
    <row r="666" ht="15.75" customHeight="1">
      <c r="A666" s="63" t="s">
        <v>3959</v>
      </c>
      <c r="B666" s="5">
        <v>43932.884722222225</v>
      </c>
      <c r="C666" s="67"/>
    </row>
    <row r="667" ht="15.75" customHeight="1">
      <c r="A667" s="63" t="s">
        <v>2088</v>
      </c>
      <c r="B667" s="5">
        <v>43932.82152777778</v>
      </c>
      <c r="C667" s="67"/>
    </row>
    <row r="668" ht="15.75" customHeight="1">
      <c r="A668" s="63" t="s">
        <v>3960</v>
      </c>
      <c r="B668" s="5">
        <v>43932.62777777778</v>
      </c>
      <c r="C668" s="67"/>
    </row>
    <row r="669" ht="15.75" customHeight="1">
      <c r="A669" s="63" t="s">
        <v>3961</v>
      </c>
      <c r="B669" s="5">
        <v>43932.5625</v>
      </c>
      <c r="C669" s="67"/>
    </row>
    <row r="670" ht="15.75" customHeight="1">
      <c r="A670" s="63" t="s">
        <v>3962</v>
      </c>
      <c r="B670" s="5">
        <v>43932.50277777778</v>
      </c>
      <c r="C670" s="67"/>
    </row>
    <row r="671" ht="15.75" customHeight="1">
      <c r="A671" s="63" t="s">
        <v>3963</v>
      </c>
      <c r="B671" s="5">
        <v>43932.09722222222</v>
      </c>
      <c r="C671" s="67"/>
    </row>
    <row r="672" ht="15.75" customHeight="1">
      <c r="A672" s="63" t="s">
        <v>3964</v>
      </c>
      <c r="B672" s="5">
        <v>43932.09583333333</v>
      </c>
      <c r="C672" s="67"/>
    </row>
    <row r="673" ht="15.75" customHeight="1">
      <c r="A673" s="63" t="s">
        <v>3944</v>
      </c>
      <c r="B673" s="5">
        <v>43931.78194444445</v>
      </c>
      <c r="C673" s="67"/>
    </row>
    <row r="674" ht="15.75" customHeight="1">
      <c r="A674" s="63" t="s">
        <v>3969</v>
      </c>
      <c r="B674" s="5">
        <v>43931.76597222222</v>
      </c>
      <c r="C674" s="67"/>
    </row>
    <row r="675" ht="15.75" customHeight="1">
      <c r="A675" s="63" t="s">
        <v>3970</v>
      </c>
      <c r="B675" s="5">
        <v>43931.62847222222</v>
      </c>
      <c r="C675" s="67"/>
    </row>
    <row r="676" ht="15.75" customHeight="1">
      <c r="A676" s="63" t="s">
        <v>3972</v>
      </c>
      <c r="B676" s="5">
        <v>43931.575</v>
      </c>
      <c r="C676" s="67"/>
    </row>
    <row r="677" ht="15.75" customHeight="1">
      <c r="A677" s="63" t="s">
        <v>3967</v>
      </c>
      <c r="B677" s="5">
        <v>43931.56180555555</v>
      </c>
      <c r="C677" s="67"/>
    </row>
    <row r="678" ht="15.75" customHeight="1">
      <c r="A678" s="63" t="s">
        <v>3975</v>
      </c>
      <c r="B678" s="5">
        <v>43931.552777777775</v>
      </c>
      <c r="C678" s="67"/>
    </row>
    <row r="679" ht="15.75" customHeight="1">
      <c r="A679" s="63" t="s">
        <v>3976</v>
      </c>
      <c r="B679" s="5">
        <v>43931.04513888889</v>
      </c>
      <c r="C679" s="67"/>
    </row>
    <row r="680" ht="15.75" customHeight="1">
      <c r="A680" s="63" t="s">
        <v>3977</v>
      </c>
      <c r="B680" s="5">
        <v>43930.99722222222</v>
      </c>
      <c r="C680" s="67"/>
    </row>
    <row r="681" ht="15.75" customHeight="1">
      <c r="A681" s="63" t="s">
        <v>2180</v>
      </c>
      <c r="B681" s="5">
        <v>43930.89861111111</v>
      </c>
      <c r="C681" s="67"/>
    </row>
    <row r="682" ht="15.75" customHeight="1">
      <c r="A682" s="63" t="s">
        <v>3978</v>
      </c>
      <c r="B682" s="5">
        <v>43930.74513888889</v>
      </c>
      <c r="C682" s="67"/>
    </row>
    <row r="683" ht="15.75" customHeight="1">
      <c r="A683" s="63" t="s">
        <v>3979</v>
      </c>
      <c r="B683" s="5">
        <v>43930.55694444444</v>
      </c>
      <c r="C683" s="67"/>
    </row>
    <row r="684" ht="15.75" customHeight="1">
      <c r="A684" s="63" t="s">
        <v>3381</v>
      </c>
      <c r="B684" s="5">
        <v>43930.42291666667</v>
      </c>
      <c r="C684" s="67"/>
    </row>
    <row r="685" ht="15.75" customHeight="1">
      <c r="A685" s="63" t="s">
        <v>3983</v>
      </c>
      <c r="B685" s="5">
        <v>43930.395833333336</v>
      </c>
      <c r="C685" s="67"/>
    </row>
    <row r="686" ht="15.75" customHeight="1">
      <c r="A686" s="63" t="s">
        <v>3984</v>
      </c>
      <c r="B686" s="5">
        <v>43930.37152777778</v>
      </c>
      <c r="C686" s="67"/>
    </row>
    <row r="687" ht="15.75" customHeight="1">
      <c r="A687" s="63" t="s">
        <v>3985</v>
      </c>
      <c r="B687" s="5">
        <v>43930.05625</v>
      </c>
      <c r="C687" s="67"/>
    </row>
    <row r="688" ht="15.75" customHeight="1">
      <c r="A688" s="63" t="s">
        <v>3986</v>
      </c>
      <c r="B688" s="5">
        <v>43930.05347222222</v>
      </c>
      <c r="C688" s="67"/>
    </row>
    <row r="689" ht="15.75" customHeight="1">
      <c r="A689" s="63" t="s">
        <v>3988</v>
      </c>
      <c r="B689" s="5">
        <v>43930.00763888889</v>
      </c>
      <c r="C689" s="67"/>
    </row>
    <row r="690" ht="15.75" customHeight="1">
      <c r="A690" s="63" t="s">
        <v>543</v>
      </c>
      <c r="B690" s="5">
        <v>43929.97152777778</v>
      </c>
      <c r="C690" s="67"/>
    </row>
    <row r="691" ht="15.75" customHeight="1">
      <c r="A691" s="63" t="s">
        <v>3990</v>
      </c>
      <c r="B691" s="5">
        <v>43929.95347222222</v>
      </c>
      <c r="C691" s="67"/>
    </row>
    <row r="692" ht="15.75" customHeight="1">
      <c r="A692" s="63" t="s">
        <v>3992</v>
      </c>
      <c r="B692" s="5">
        <v>43929.92638888889</v>
      </c>
      <c r="C692" s="67"/>
    </row>
    <row r="693" ht="15.75" customHeight="1">
      <c r="A693" s="63" t="s">
        <v>3994</v>
      </c>
      <c r="B693" s="5">
        <v>43929.819444444445</v>
      </c>
      <c r="C693" s="67"/>
    </row>
    <row r="694" ht="15.75" customHeight="1">
      <c r="A694" s="63" t="s">
        <v>1814</v>
      </c>
      <c r="B694" s="5">
        <v>43929.76875</v>
      </c>
      <c r="C694" s="67"/>
    </row>
    <row r="695" ht="15.75" customHeight="1">
      <c r="A695" s="63" t="s">
        <v>3982</v>
      </c>
      <c r="B695" s="5">
        <v>43929.58611111111</v>
      </c>
      <c r="C695" s="67"/>
    </row>
    <row r="696" ht="15.75" customHeight="1">
      <c r="A696" s="63" t="s">
        <v>3997</v>
      </c>
      <c r="B696" s="5">
        <v>43929.580555555556</v>
      </c>
      <c r="C696" s="67"/>
    </row>
    <row r="697" ht="15.75" customHeight="1">
      <c r="A697" s="63" t="s">
        <v>669</v>
      </c>
      <c r="B697" s="5">
        <v>43929.51111111111</v>
      </c>
      <c r="C697" s="67"/>
    </row>
    <row r="698" ht="15.75" customHeight="1">
      <c r="A698" s="63" t="s">
        <v>3998</v>
      </c>
      <c r="B698" s="5">
        <v>43929.50763888889</v>
      </c>
      <c r="C698" s="67"/>
    </row>
    <row r="699" ht="15.75" customHeight="1">
      <c r="A699" s="63" t="s">
        <v>3999</v>
      </c>
      <c r="B699" s="5">
        <v>43929.45972222222</v>
      </c>
      <c r="C699" s="67"/>
    </row>
    <row r="700" ht="15.75" customHeight="1">
      <c r="A700" s="63" t="s">
        <v>684</v>
      </c>
      <c r="B700" s="5">
        <v>43929.433333333334</v>
      </c>
      <c r="C700" s="67"/>
    </row>
    <row r="701" ht="15.75" customHeight="1">
      <c r="A701" s="63" t="s">
        <v>4001</v>
      </c>
      <c r="B701" s="5">
        <v>43929.38263888889</v>
      </c>
      <c r="C701" s="67"/>
    </row>
    <row r="702" ht="15.75" customHeight="1">
      <c r="A702" s="63" t="s">
        <v>4002</v>
      </c>
      <c r="B702" s="5">
        <v>43929.05486111111</v>
      </c>
      <c r="C702" s="67"/>
    </row>
    <row r="703" ht="15.75" customHeight="1">
      <c r="A703" s="63" t="s">
        <v>570</v>
      </c>
      <c r="B703" s="5">
        <v>43928.904861111114</v>
      </c>
      <c r="C703" s="67"/>
    </row>
    <row r="704" ht="15.75" customHeight="1">
      <c r="A704" s="63" t="s">
        <v>4006</v>
      </c>
      <c r="B704" s="5">
        <v>43928.71388888889</v>
      </c>
      <c r="C704" s="67"/>
    </row>
    <row r="705" ht="15.75" customHeight="1">
      <c r="A705" s="63" t="s">
        <v>5468</v>
      </c>
      <c r="B705" s="5">
        <v>43928.56527777778</v>
      </c>
      <c r="C705" s="67"/>
    </row>
    <row r="706" ht="15.75" customHeight="1">
      <c r="A706" s="63" t="s">
        <v>4013</v>
      </c>
      <c r="B706" s="5">
        <v>43928.55347222222</v>
      </c>
      <c r="C706" s="67"/>
    </row>
    <row r="707" ht="15.75" customHeight="1">
      <c r="A707" s="63" t="s">
        <v>2938</v>
      </c>
      <c r="B707" s="5">
        <v>43928.55138888889</v>
      </c>
      <c r="C707" s="67"/>
    </row>
    <row r="708" ht="15.75" customHeight="1">
      <c r="A708" s="63" t="s">
        <v>1423</v>
      </c>
      <c r="B708" s="5">
        <v>43928.441666666666</v>
      </c>
      <c r="C708" s="67"/>
    </row>
    <row r="709" ht="15.75" customHeight="1">
      <c r="A709" s="63" t="s">
        <v>3580</v>
      </c>
      <c r="B709" s="5">
        <v>43928.41805555556</v>
      </c>
      <c r="C709" s="67"/>
    </row>
    <row r="710" ht="15.75" customHeight="1">
      <c r="A710" s="63" t="s">
        <v>1678</v>
      </c>
      <c r="B710" s="5">
        <v>43928.393055555556</v>
      </c>
      <c r="C710" s="67"/>
    </row>
    <row r="711" ht="15.75" customHeight="1">
      <c r="A711" s="63" t="s">
        <v>2921</v>
      </c>
      <c r="B711" s="5">
        <v>43928.38958333333</v>
      </c>
      <c r="C711" s="67"/>
    </row>
    <row r="712" ht="15.75" customHeight="1">
      <c r="A712" s="63" t="s">
        <v>4017</v>
      </c>
      <c r="B712" s="5">
        <v>43928.05069444444</v>
      </c>
      <c r="C712" s="67"/>
    </row>
    <row r="713" ht="15.75" customHeight="1">
      <c r="A713" s="63" t="s">
        <v>4019</v>
      </c>
      <c r="B713" s="5">
        <v>43928.04722222222</v>
      </c>
      <c r="C713" s="67"/>
    </row>
    <row r="714" ht="15.75" customHeight="1">
      <c r="A714" s="63" t="s">
        <v>4023</v>
      </c>
      <c r="B714" s="5">
        <v>43927.82708333333</v>
      </c>
      <c r="C714" s="67"/>
    </row>
    <row r="715" ht="15.75" customHeight="1">
      <c r="A715" s="63" t="s">
        <v>4026</v>
      </c>
      <c r="B715" s="5">
        <v>43927.76527777778</v>
      </c>
      <c r="C715" s="67"/>
    </row>
    <row r="716" ht="15.75" customHeight="1">
      <c r="A716" s="63" t="s">
        <v>4028</v>
      </c>
      <c r="B716" s="5">
        <v>43927.67847222222</v>
      </c>
      <c r="C716" s="67"/>
    </row>
    <row r="717" ht="15.75" customHeight="1">
      <c r="A717" s="63" t="s">
        <v>1519</v>
      </c>
      <c r="B717" s="5">
        <v>43927.606944444444</v>
      </c>
      <c r="C717" s="67"/>
    </row>
    <row r="718" ht="15.75" customHeight="1">
      <c r="A718" s="63" t="s">
        <v>4032</v>
      </c>
      <c r="B718" s="5">
        <v>43927.54791666667</v>
      </c>
      <c r="C718" s="67"/>
    </row>
    <row r="719" ht="15.75" customHeight="1">
      <c r="A719" s="63" t="s">
        <v>4034</v>
      </c>
      <c r="B719" s="5">
        <v>43927.54513888889</v>
      </c>
      <c r="C719" s="67"/>
    </row>
    <row r="720" ht="15.75" customHeight="1">
      <c r="A720" s="63" t="s">
        <v>4041</v>
      </c>
      <c r="B720" s="5">
        <v>43927.38333333333</v>
      </c>
      <c r="C720" s="67"/>
    </row>
    <row r="721" ht="15.75" customHeight="1">
      <c r="A721" s="63" t="s">
        <v>4042</v>
      </c>
      <c r="B721" s="5">
        <v>43927.36388888889</v>
      </c>
      <c r="C721" s="67"/>
    </row>
    <row r="722" ht="15.75" customHeight="1">
      <c r="A722" s="63" t="s">
        <v>4043</v>
      </c>
      <c r="B722" s="5">
        <v>43926.645833333336</v>
      </c>
      <c r="C722" s="67"/>
    </row>
    <row r="723" ht="15.75" customHeight="1">
      <c r="A723" s="63" t="s">
        <v>4044</v>
      </c>
      <c r="B723" s="5">
        <v>43926.59305555555</v>
      </c>
      <c r="C723" s="67"/>
    </row>
    <row r="724" ht="15.75" customHeight="1">
      <c r="A724" s="63" t="s">
        <v>4046</v>
      </c>
      <c r="B724" s="5">
        <v>43926.575</v>
      </c>
      <c r="C724" s="67"/>
    </row>
    <row r="725" ht="15.75" customHeight="1">
      <c r="A725" s="63" t="s">
        <v>4047</v>
      </c>
      <c r="B725" s="5">
        <v>43926.5125</v>
      </c>
      <c r="C725" s="67"/>
    </row>
    <row r="726" ht="15.75" customHeight="1">
      <c r="A726" s="63" t="s">
        <v>4048</v>
      </c>
      <c r="B726" s="5">
        <v>43926.025</v>
      </c>
      <c r="C726" s="67"/>
    </row>
    <row r="727" ht="15.75" customHeight="1">
      <c r="A727" s="63" t="s">
        <v>4049</v>
      </c>
      <c r="B727" s="5">
        <v>43925.947916666664</v>
      </c>
      <c r="C727" s="67"/>
    </row>
    <row r="728" ht="15.75" customHeight="1">
      <c r="A728" s="63" t="s">
        <v>4051</v>
      </c>
      <c r="B728" s="5">
        <v>43925.72152777778</v>
      </c>
      <c r="C728" s="67"/>
    </row>
    <row r="729" ht="15.75" customHeight="1">
      <c r="A729" s="63" t="s">
        <v>4052</v>
      </c>
      <c r="B729" s="5">
        <v>43925.69861111111</v>
      </c>
      <c r="C729" s="67"/>
    </row>
    <row r="730" ht="15.75" customHeight="1">
      <c r="A730" s="63" t="s">
        <v>3966</v>
      </c>
      <c r="B730" s="5">
        <v>43925.64513888889</v>
      </c>
      <c r="C730" s="67"/>
    </row>
    <row r="731" ht="15.75" customHeight="1">
      <c r="A731" s="63" t="s">
        <v>4053</v>
      </c>
      <c r="B731" s="5">
        <v>43925.61388888889</v>
      </c>
      <c r="C731" s="67"/>
    </row>
    <row r="732" ht="15.75" customHeight="1">
      <c r="A732" s="63" t="s">
        <v>4054</v>
      </c>
      <c r="B732" s="5">
        <v>43925.10833333333</v>
      </c>
      <c r="C732" s="67"/>
    </row>
    <row r="733" ht="15.75" customHeight="1">
      <c r="A733" s="63" t="s">
        <v>599</v>
      </c>
      <c r="B733" s="5">
        <v>43924.947222222225</v>
      </c>
      <c r="C733" s="67"/>
    </row>
    <row r="734" ht="15.75" customHeight="1">
      <c r="A734" s="63" t="s">
        <v>4056</v>
      </c>
      <c r="B734" s="5">
        <v>43924.87430555555</v>
      </c>
      <c r="C734" s="67"/>
    </row>
    <row r="735" ht="15.75" customHeight="1">
      <c r="A735" s="63" t="s">
        <v>4057</v>
      </c>
      <c r="B735" s="5">
        <v>43924.861805555556</v>
      </c>
      <c r="C735" s="67"/>
    </row>
    <row r="736" ht="15.75" customHeight="1">
      <c r="A736" s="63" t="s">
        <v>4058</v>
      </c>
      <c r="B736" s="5">
        <v>43924.84861111111</v>
      </c>
      <c r="C736" s="67"/>
    </row>
    <row r="737" ht="15.75" customHeight="1">
      <c r="A737" s="63" t="s">
        <v>4059</v>
      </c>
      <c r="B737" s="5">
        <v>43924.70625</v>
      </c>
      <c r="C737" s="67"/>
    </row>
    <row r="738" ht="15.75" customHeight="1">
      <c r="A738" s="63" t="s">
        <v>4060</v>
      </c>
      <c r="B738" s="5">
        <v>43924.66875</v>
      </c>
      <c r="C738" s="67"/>
    </row>
    <row r="739" ht="15.75" customHeight="1">
      <c r="A739" s="63" t="s">
        <v>4061</v>
      </c>
      <c r="B739" s="5">
        <v>43924.62569444445</v>
      </c>
      <c r="C739" s="67"/>
    </row>
    <row r="740" ht="15.75" customHeight="1">
      <c r="A740" s="63" t="s">
        <v>4064</v>
      </c>
      <c r="B740" s="5">
        <v>43924.583333333336</v>
      </c>
      <c r="C740" s="67"/>
    </row>
    <row r="741" ht="15.75" customHeight="1">
      <c r="A741" s="63" t="s">
        <v>4050</v>
      </c>
      <c r="B741" s="5">
        <v>43924.486805555556</v>
      </c>
      <c r="C741" s="67"/>
    </row>
    <row r="742" ht="15.75" customHeight="1">
      <c r="A742" s="63" t="s">
        <v>4066</v>
      </c>
      <c r="B742" s="5">
        <v>43924.47361111111</v>
      </c>
      <c r="C742" s="67"/>
    </row>
    <row r="743" ht="15.75" customHeight="1">
      <c r="A743" s="63" t="s">
        <v>4070</v>
      </c>
      <c r="B743" s="5">
        <v>43924.43472222222</v>
      </c>
      <c r="C743" s="67"/>
    </row>
    <row r="744" ht="15.75" customHeight="1">
      <c r="A744" s="63" t="s">
        <v>4071</v>
      </c>
      <c r="B744" s="5">
        <v>43924.381944444445</v>
      </c>
      <c r="C744" s="67"/>
    </row>
    <row r="745" ht="15.75" customHeight="1">
      <c r="A745" s="63" t="s">
        <v>4075</v>
      </c>
      <c r="B745" s="5">
        <v>43924.01736111111</v>
      </c>
      <c r="C745" s="67"/>
    </row>
    <row r="746" ht="15.75" customHeight="1">
      <c r="A746" s="63" t="s">
        <v>4078</v>
      </c>
      <c r="B746" s="5">
        <v>43923.916666666664</v>
      </c>
      <c r="C746" s="67"/>
    </row>
    <row r="747" ht="15.75" customHeight="1">
      <c r="A747" s="63" t="s">
        <v>4079</v>
      </c>
      <c r="B747" s="5">
        <v>43923.78888888889</v>
      </c>
      <c r="C747" s="67"/>
    </row>
    <row r="748" ht="15.75" customHeight="1">
      <c r="A748" s="63" t="s">
        <v>4080</v>
      </c>
      <c r="B748" s="5">
        <v>43923.78333333333</v>
      </c>
      <c r="C748" s="67"/>
    </row>
    <row r="749" ht="15.75" customHeight="1">
      <c r="A749" s="63" t="s">
        <v>4083</v>
      </c>
      <c r="B749" s="5">
        <v>43923.645833333336</v>
      </c>
      <c r="C749" s="67"/>
    </row>
    <row r="750" ht="15.75" customHeight="1">
      <c r="A750" s="63" t="s">
        <v>4084</v>
      </c>
      <c r="B750" s="5">
        <v>43923.555555555555</v>
      </c>
      <c r="C750" s="67"/>
    </row>
    <row r="751" ht="15.75" customHeight="1">
      <c r="A751" s="63" t="s">
        <v>4086</v>
      </c>
      <c r="B751" s="5">
        <v>43923.509722222225</v>
      </c>
      <c r="C751" s="67"/>
    </row>
    <row r="752" ht="15.75" customHeight="1">
      <c r="A752" s="63" t="s">
        <v>5469</v>
      </c>
      <c r="B752" s="5">
        <v>43923.48888888889</v>
      </c>
      <c r="C752" s="67"/>
    </row>
    <row r="753" ht="15.75" customHeight="1">
      <c r="A753" s="63" t="s">
        <v>383</v>
      </c>
      <c r="B753" s="5">
        <v>43923.481944444444</v>
      </c>
      <c r="C753" s="67"/>
    </row>
    <row r="754" ht="15.75" customHeight="1">
      <c r="A754" s="63" t="s">
        <v>4088</v>
      </c>
      <c r="B754" s="5">
        <v>43923.32013888889</v>
      </c>
      <c r="C754" s="67"/>
    </row>
    <row r="755" ht="15.75" customHeight="1">
      <c r="A755" s="63" t="s">
        <v>3872</v>
      </c>
      <c r="B755" s="5">
        <v>43923.07847222222</v>
      </c>
      <c r="C755" s="67"/>
    </row>
    <row r="756" ht="15.75" customHeight="1">
      <c r="A756" s="63" t="s">
        <v>4090</v>
      </c>
      <c r="B756" s="5">
        <v>43922.99375</v>
      </c>
      <c r="C756" s="67"/>
    </row>
    <row r="757" ht="15.75" customHeight="1">
      <c r="A757" s="63" t="s">
        <v>4091</v>
      </c>
      <c r="B757" s="5">
        <v>43922.90555555555</v>
      </c>
      <c r="C757" s="67"/>
    </row>
    <row r="758" ht="15.75" customHeight="1">
      <c r="A758" s="63" t="s">
        <v>4092</v>
      </c>
      <c r="B758" s="5">
        <v>43922.89166666667</v>
      </c>
      <c r="C758" s="67"/>
    </row>
    <row r="759" ht="15.75" customHeight="1">
      <c r="A759" s="63" t="s">
        <v>4094</v>
      </c>
      <c r="B759" s="5">
        <v>43922.76180555556</v>
      </c>
      <c r="C759" s="67"/>
    </row>
    <row r="760" ht="15.75" customHeight="1">
      <c r="A760" s="63" t="s">
        <v>4096</v>
      </c>
      <c r="B760" s="5">
        <v>43922.751388888886</v>
      </c>
      <c r="C760" s="67"/>
    </row>
    <row r="761" ht="15.75" customHeight="1">
      <c r="A761" s="63" t="s">
        <v>4098</v>
      </c>
      <c r="B761" s="5">
        <v>43922.743055555555</v>
      </c>
      <c r="C761" s="67"/>
    </row>
    <row r="762" ht="15.75" customHeight="1">
      <c r="A762" s="63" t="s">
        <v>4099</v>
      </c>
      <c r="B762" s="5">
        <v>43922.73263888889</v>
      </c>
      <c r="C762" s="67"/>
    </row>
    <row r="763" ht="15.75" customHeight="1">
      <c r="A763" s="63" t="s">
        <v>4101</v>
      </c>
      <c r="B763" s="5">
        <v>43922.725694444445</v>
      </c>
      <c r="C763" s="67"/>
    </row>
    <row r="764" ht="15.75" customHeight="1">
      <c r="A764" s="63" t="s">
        <v>4103</v>
      </c>
      <c r="B764" s="5">
        <v>43922.62013888889</v>
      </c>
      <c r="C764" s="67"/>
    </row>
    <row r="765" ht="15.75" customHeight="1">
      <c r="A765" s="63" t="s">
        <v>4105</v>
      </c>
      <c r="B765" s="5">
        <v>43922.54236111111</v>
      </c>
      <c r="C765" s="67"/>
    </row>
    <row r="766" ht="15.75" customHeight="1">
      <c r="A766" s="63" t="s">
        <v>4106</v>
      </c>
      <c r="B766" s="5">
        <v>43922.53611111111</v>
      </c>
      <c r="C766" s="67"/>
    </row>
    <row r="767" ht="15.75" customHeight="1">
      <c r="A767" s="63" t="s">
        <v>3205</v>
      </c>
      <c r="B767" s="5">
        <v>43922.49236111111</v>
      </c>
      <c r="C767" s="67"/>
    </row>
    <row r="768" ht="15.75" customHeight="1">
      <c r="A768" s="63" t="s">
        <v>4112</v>
      </c>
      <c r="B768" s="5">
        <v>43922.396527777775</v>
      </c>
      <c r="C768" s="67"/>
    </row>
    <row r="769" ht="15.75" customHeight="1">
      <c r="A769" s="63" t="s">
        <v>3861</v>
      </c>
      <c r="B769" s="5">
        <v>43922.004166666666</v>
      </c>
      <c r="C769" s="67"/>
    </row>
    <row r="770" ht="15.75" customHeight="1">
      <c r="A770" s="63" t="s">
        <v>4113</v>
      </c>
      <c r="B770" s="5">
        <v>43921.990277777775</v>
      </c>
      <c r="C770" s="67"/>
    </row>
    <row r="771" ht="15.75" customHeight="1">
      <c r="A771" s="63" t="s">
        <v>3942</v>
      </c>
      <c r="B771" s="5">
        <v>43921.89097222222</v>
      </c>
      <c r="C771" s="67"/>
    </row>
    <row r="772" ht="15.75" customHeight="1">
      <c r="A772" s="63" t="s">
        <v>5470</v>
      </c>
      <c r="B772" s="5">
        <v>43921.81458333333</v>
      </c>
      <c r="C772" s="67"/>
    </row>
    <row r="773" ht="15.75" customHeight="1">
      <c r="A773" s="63" t="s">
        <v>4068</v>
      </c>
      <c r="B773" s="5">
        <v>43921.76875</v>
      </c>
      <c r="C773" s="67"/>
    </row>
    <row r="774" ht="15.75" customHeight="1">
      <c r="A774" s="63" t="s">
        <v>4118</v>
      </c>
      <c r="B774" s="5">
        <v>43921.64513888889</v>
      </c>
      <c r="C774" s="67"/>
    </row>
    <row r="775" ht="15.75" customHeight="1">
      <c r="A775" s="63" t="s">
        <v>385</v>
      </c>
      <c r="B775" s="5">
        <v>43921.395833333336</v>
      </c>
      <c r="C775" s="67"/>
    </row>
    <row r="776" ht="15.75" customHeight="1">
      <c r="A776" s="63" t="s">
        <v>4123</v>
      </c>
      <c r="B776" s="5">
        <v>43921.37777777778</v>
      </c>
      <c r="C776" s="67"/>
    </row>
    <row r="777" ht="15.75" customHeight="1">
      <c r="A777" s="63" t="s">
        <v>3564</v>
      </c>
      <c r="B777" s="5">
        <v>43920.99513888889</v>
      </c>
      <c r="C777" s="67"/>
    </row>
    <row r="778" ht="15.75" customHeight="1">
      <c r="A778" s="63" t="s">
        <v>4127</v>
      </c>
      <c r="B778" s="5">
        <v>43920.76180555556</v>
      </c>
      <c r="C778" s="67"/>
    </row>
    <row r="779" ht="15.75" customHeight="1">
      <c r="A779" s="63" t="s">
        <v>4128</v>
      </c>
      <c r="B779" s="5">
        <v>43920.751388888886</v>
      </c>
      <c r="C779" s="67"/>
    </row>
    <row r="780" ht="15.75" customHeight="1">
      <c r="A780" s="63" t="s">
        <v>716</v>
      </c>
      <c r="B780" s="5">
        <v>43920.68402777778</v>
      </c>
      <c r="C780" s="67"/>
    </row>
    <row r="781" ht="15.75" customHeight="1">
      <c r="A781" s="63" t="s">
        <v>4131</v>
      </c>
      <c r="B781" s="5">
        <v>43920.66388888889</v>
      </c>
      <c r="C781" s="67"/>
    </row>
    <row r="782" ht="15.75" customHeight="1">
      <c r="A782" s="63" t="s">
        <v>4133</v>
      </c>
      <c r="B782" s="5">
        <v>43920.61388888889</v>
      </c>
      <c r="C782" s="67"/>
    </row>
    <row r="783" ht="15.75" customHeight="1">
      <c r="A783" s="63" t="s">
        <v>244</v>
      </c>
      <c r="B783" s="5">
        <v>43920.49652777778</v>
      </c>
      <c r="C783" s="67"/>
    </row>
    <row r="784" ht="15.75" customHeight="1">
      <c r="A784" s="63" t="s">
        <v>2689</v>
      </c>
      <c r="B784" s="5">
        <v>43920.48888888889</v>
      </c>
      <c r="C784" s="67"/>
    </row>
    <row r="785" ht="15.75" customHeight="1">
      <c r="A785" s="63" t="s">
        <v>4141</v>
      </c>
      <c r="B785" s="5">
        <v>43920.39722222222</v>
      </c>
      <c r="C785" s="67"/>
    </row>
    <row r="786" ht="15.75" customHeight="1">
      <c r="A786" s="63" t="s">
        <v>5471</v>
      </c>
      <c r="B786" s="5">
        <v>43920.35902777778</v>
      </c>
      <c r="C786" s="67"/>
    </row>
    <row r="787" ht="15.75" customHeight="1">
      <c r="A787" s="63" t="s">
        <v>5472</v>
      </c>
      <c r="B787" s="5">
        <v>43920.024305555555</v>
      </c>
      <c r="C787" s="67"/>
    </row>
    <row r="788" ht="15.75" customHeight="1">
      <c r="A788" s="63" t="s">
        <v>5473</v>
      </c>
      <c r="B788" s="5">
        <v>43919.888194444444</v>
      </c>
      <c r="C788" s="67"/>
    </row>
    <row r="789" ht="15.75" customHeight="1">
      <c r="A789" s="63" t="s">
        <v>5474</v>
      </c>
      <c r="B789" s="5">
        <v>43919.78888888889</v>
      </c>
      <c r="C789" s="67"/>
    </row>
    <row r="790" ht="15.75" customHeight="1">
      <c r="A790" s="63" t="s">
        <v>5475</v>
      </c>
      <c r="B790" s="5">
        <v>43919.75</v>
      </c>
      <c r="C790" s="67"/>
    </row>
    <row r="791" ht="15.75" customHeight="1">
      <c r="A791" s="63" t="s">
        <v>4145</v>
      </c>
      <c r="B791" s="5">
        <v>43919.72777777778</v>
      </c>
      <c r="C791" s="67"/>
    </row>
    <row r="792" ht="15.75" customHeight="1">
      <c r="A792" s="63" t="s">
        <v>5476</v>
      </c>
      <c r="B792" s="5">
        <v>43919.67361111111</v>
      </c>
      <c r="C792" s="67"/>
    </row>
    <row r="793" ht="15.75" customHeight="1">
      <c r="A793" s="63" t="s">
        <v>1030</v>
      </c>
      <c r="B793" s="5">
        <v>43919.62847222222</v>
      </c>
      <c r="C793" s="67"/>
    </row>
    <row r="794" ht="15.75" customHeight="1">
      <c r="A794" s="63" t="s">
        <v>5477</v>
      </c>
      <c r="B794" s="5">
        <v>43919.58541666667</v>
      </c>
      <c r="C794" s="67"/>
    </row>
    <row r="795" ht="15.75" customHeight="1">
      <c r="A795" s="63" t="s">
        <v>4146</v>
      </c>
      <c r="B795" s="5">
        <v>43919.1875</v>
      </c>
      <c r="C795" s="67"/>
    </row>
    <row r="796" ht="15.75" customHeight="1">
      <c r="A796" s="63" t="s">
        <v>4147</v>
      </c>
      <c r="B796" s="5">
        <v>43919.001388888886</v>
      </c>
      <c r="C796" s="67"/>
    </row>
    <row r="797" ht="15.75" customHeight="1">
      <c r="A797" s="63" t="s">
        <v>2995</v>
      </c>
      <c r="B797" s="5">
        <v>43918.92013888889</v>
      </c>
      <c r="C797" s="67"/>
    </row>
    <row r="798" ht="15.75" customHeight="1">
      <c r="A798" s="63" t="s">
        <v>5478</v>
      </c>
      <c r="B798" s="5">
        <v>43918.89027777778</v>
      </c>
      <c r="C798" s="67"/>
    </row>
    <row r="799" ht="15.75" customHeight="1">
      <c r="A799" s="63" t="s">
        <v>3584</v>
      </c>
      <c r="B799" s="5">
        <v>43918.77916666667</v>
      </c>
      <c r="C799" s="67"/>
    </row>
    <row r="800" ht="15.75" customHeight="1">
      <c r="A800" s="63" t="s">
        <v>5479</v>
      </c>
      <c r="B800" s="5">
        <v>43918.674305555556</v>
      </c>
      <c r="C800" s="67"/>
    </row>
    <row r="801" ht="15.75" customHeight="1">
      <c r="A801" s="63" t="s">
        <v>5480</v>
      </c>
      <c r="B801" s="5">
        <v>43918.64791666667</v>
      </c>
      <c r="C801" s="67"/>
    </row>
    <row r="802" ht="15.75" customHeight="1">
      <c r="A802" s="63" t="s">
        <v>5481</v>
      </c>
      <c r="B802" s="5">
        <v>43918.611805555556</v>
      </c>
      <c r="C802" s="67"/>
    </row>
    <row r="803" ht="15.75" customHeight="1">
      <c r="A803" s="63" t="s">
        <v>5482</v>
      </c>
      <c r="B803" s="5">
        <v>43918.57986111111</v>
      </c>
      <c r="C803" s="67"/>
    </row>
    <row r="804" ht="15.75" customHeight="1">
      <c r="A804" s="63" t="s">
        <v>4149</v>
      </c>
      <c r="B804" s="5">
        <v>43918.15347222222</v>
      </c>
      <c r="C804" s="67"/>
    </row>
    <row r="805" ht="15.75" customHeight="1">
      <c r="A805" s="63" t="s">
        <v>1971</v>
      </c>
      <c r="B805" s="5">
        <v>43917.90138888889</v>
      </c>
      <c r="C805" s="67"/>
    </row>
    <row r="806" ht="15.75" customHeight="1">
      <c r="A806" s="63" t="s">
        <v>4158</v>
      </c>
      <c r="B806" s="5">
        <v>43917.811111111114</v>
      </c>
      <c r="C806" s="67"/>
    </row>
    <row r="807" ht="15.75" customHeight="1">
      <c r="A807" s="63" t="s">
        <v>578</v>
      </c>
      <c r="B807" s="5">
        <v>43917.521527777775</v>
      </c>
      <c r="C807" s="67"/>
    </row>
    <row r="808" ht="15.75" customHeight="1">
      <c r="A808" s="63" t="s">
        <v>5483</v>
      </c>
      <c r="B808" s="5">
        <v>43917.521527777775</v>
      </c>
      <c r="C808" s="67"/>
    </row>
    <row r="809" ht="15.75" customHeight="1">
      <c r="A809" s="63" t="s">
        <v>730</v>
      </c>
      <c r="B809" s="5">
        <v>43917.509722222225</v>
      </c>
      <c r="C809" s="67"/>
    </row>
    <row r="810" ht="15.75" customHeight="1">
      <c r="A810" s="63" t="s">
        <v>5484</v>
      </c>
      <c r="B810" s="5">
        <v>43917.475</v>
      </c>
      <c r="C810" s="67"/>
    </row>
    <row r="811" ht="15.75" customHeight="1">
      <c r="A811" s="63" t="s">
        <v>4040</v>
      </c>
      <c r="B811" s="5">
        <v>43917.40555555555</v>
      </c>
      <c r="C811" s="67"/>
    </row>
    <row r="812" ht="15.75" customHeight="1">
      <c r="A812" s="63" t="s">
        <v>4119</v>
      </c>
      <c r="B812" s="5">
        <v>43917.384722222225</v>
      </c>
      <c r="C812" s="67"/>
    </row>
    <row r="813" ht="15.75" customHeight="1">
      <c r="A813" s="63" t="s">
        <v>548</v>
      </c>
      <c r="B813" s="5">
        <v>43917.35625</v>
      </c>
      <c r="C813" s="67"/>
    </row>
    <row r="814" ht="15.75" customHeight="1">
      <c r="A814" s="63" t="s">
        <v>5485</v>
      </c>
      <c r="B814" s="5">
        <v>43917.30972222222</v>
      </c>
      <c r="C814" s="67"/>
    </row>
    <row r="815" ht="15.75" customHeight="1">
      <c r="A815" s="63" t="s">
        <v>795</v>
      </c>
      <c r="B815" s="5">
        <v>43917.03402777778</v>
      </c>
      <c r="C815" s="67"/>
    </row>
    <row r="816" ht="15.75" customHeight="1">
      <c r="A816" s="63" t="s">
        <v>3950</v>
      </c>
      <c r="B816" s="5">
        <v>43917.03333333333</v>
      </c>
      <c r="C816" s="67"/>
    </row>
    <row r="817" ht="15.75" customHeight="1">
      <c r="A817" s="63" t="s">
        <v>713</v>
      </c>
      <c r="B817" s="5">
        <v>43916.99722222222</v>
      </c>
      <c r="C817" s="67"/>
    </row>
    <row r="818" ht="15.75" customHeight="1">
      <c r="A818" s="63" t="s">
        <v>256</v>
      </c>
      <c r="B818" s="5">
        <v>43916.90069444444</v>
      </c>
      <c r="C818" s="67"/>
    </row>
    <row r="819" ht="15.75" customHeight="1">
      <c r="A819" s="63" t="s">
        <v>515</v>
      </c>
      <c r="B819" s="5">
        <v>43916.89236111111</v>
      </c>
      <c r="C819" s="67"/>
    </row>
    <row r="820" ht="15.75" customHeight="1">
      <c r="A820" s="63" t="s">
        <v>5486</v>
      </c>
      <c r="B820" s="5">
        <v>43916.88263888889</v>
      </c>
      <c r="C820" s="67"/>
    </row>
    <row r="821" ht="15.75" customHeight="1">
      <c r="A821" s="63" t="s">
        <v>686</v>
      </c>
      <c r="B821" s="5">
        <v>43916.850694444445</v>
      </c>
      <c r="C821" s="67"/>
    </row>
    <row r="822" ht="15.75" customHeight="1">
      <c r="A822" s="63" t="s">
        <v>2600</v>
      </c>
      <c r="B822" s="5">
        <v>43916.845138888886</v>
      </c>
      <c r="C822" s="67"/>
    </row>
    <row r="823" ht="15.75" customHeight="1">
      <c r="A823" s="63" t="s">
        <v>729</v>
      </c>
      <c r="B823" s="5">
        <v>43916.799305555556</v>
      </c>
      <c r="C823" s="67"/>
    </row>
    <row r="824" ht="15.75" customHeight="1">
      <c r="A824" s="63" t="s">
        <v>5487</v>
      </c>
      <c r="B824" s="5">
        <v>43916.75555555556</v>
      </c>
      <c r="C824" s="67"/>
    </row>
    <row r="825" ht="15.75" customHeight="1">
      <c r="A825" s="63" t="s">
        <v>3856</v>
      </c>
      <c r="B825" s="5">
        <v>43916.74444444444</v>
      </c>
      <c r="C825" s="67"/>
    </row>
    <row r="826" ht="15.75" customHeight="1">
      <c r="A826" s="63" t="s">
        <v>4179</v>
      </c>
      <c r="B826" s="5">
        <v>43916.71111111111</v>
      </c>
      <c r="C826" s="67"/>
    </row>
    <row r="827" ht="15.75" customHeight="1">
      <c r="A827" s="63" t="s">
        <v>5488</v>
      </c>
      <c r="B827" s="5">
        <v>43916.70763888889</v>
      </c>
      <c r="C827" s="67"/>
    </row>
    <row r="828" ht="15.75" customHeight="1">
      <c r="A828" s="63" t="s">
        <v>682</v>
      </c>
      <c r="B828" s="5">
        <v>43916.69027777778</v>
      </c>
      <c r="C828" s="67"/>
    </row>
    <row r="829" ht="15.75" customHeight="1">
      <c r="A829" s="63" t="s">
        <v>528</v>
      </c>
      <c r="B829" s="5">
        <v>43916.6875</v>
      </c>
      <c r="C829" s="67"/>
    </row>
    <row r="830" ht="15.75" customHeight="1">
      <c r="A830" s="63" t="s">
        <v>2212</v>
      </c>
      <c r="B830" s="5">
        <v>43916.67847222222</v>
      </c>
      <c r="C830" s="67"/>
    </row>
    <row r="831" ht="15.75" customHeight="1">
      <c r="A831" s="63" t="s">
        <v>1957</v>
      </c>
      <c r="B831" s="5">
        <v>43916.677777777775</v>
      </c>
      <c r="C831" s="67"/>
    </row>
    <row r="832" ht="15.75" customHeight="1">
      <c r="A832" s="63" t="s">
        <v>4129</v>
      </c>
      <c r="B832" s="5">
        <v>43916.67152777778</v>
      </c>
      <c r="C832" s="67"/>
    </row>
    <row r="833" ht="15.75" customHeight="1">
      <c r="A833" s="63" t="s">
        <v>3686</v>
      </c>
      <c r="B833" s="5">
        <v>43916.66805555556</v>
      </c>
      <c r="C833" s="67"/>
    </row>
    <row r="834" ht="15.75" customHeight="1">
      <c r="A834" s="63" t="s">
        <v>530</v>
      </c>
      <c r="B834" s="5">
        <v>43916.66388888889</v>
      </c>
      <c r="C834" s="67"/>
    </row>
    <row r="835" ht="15.75" customHeight="1">
      <c r="A835" s="63" t="s">
        <v>329</v>
      </c>
      <c r="B835" s="5">
        <v>43916.663194444445</v>
      </c>
      <c r="C835" s="67"/>
    </row>
    <row r="836" ht="15.75" customHeight="1">
      <c r="A836" s="63" t="s">
        <v>538</v>
      </c>
      <c r="B836" s="5">
        <v>43916.657638888886</v>
      </c>
      <c r="C836" s="67"/>
    </row>
    <row r="837" ht="15.75" customHeight="1">
      <c r="A837" s="63" t="s">
        <v>5489</v>
      </c>
      <c r="B837" s="5">
        <v>43916.646527777775</v>
      </c>
      <c r="C837" s="67"/>
    </row>
    <row r="838" ht="15.75" customHeight="1">
      <c r="A838" s="63" t="s">
        <v>5490</v>
      </c>
      <c r="B838" s="5">
        <v>43916.49652777778</v>
      </c>
      <c r="C838" s="67"/>
    </row>
    <row r="839" ht="15.75" customHeight="1">
      <c r="A839" s="63" t="s">
        <v>4154</v>
      </c>
      <c r="B839" s="5">
        <v>43916.495833333334</v>
      </c>
      <c r="C839" s="67"/>
    </row>
    <row r="840" ht="15.75" customHeight="1">
      <c r="A840" s="63" t="s">
        <v>5491</v>
      </c>
      <c r="B840" s="5">
        <v>43916.37013888889</v>
      </c>
      <c r="C840" s="67"/>
    </row>
    <row r="841" ht="15.75" customHeight="1">
      <c r="A841" s="63" t="s">
        <v>5492</v>
      </c>
      <c r="B841" s="5">
        <v>43916.34305555555</v>
      </c>
      <c r="C841" s="67"/>
    </row>
    <row r="842" ht="15.75" customHeight="1">
      <c r="A842" s="63" t="s">
        <v>5493</v>
      </c>
      <c r="B842" s="5">
        <v>43916.02013888889</v>
      </c>
      <c r="C842" s="67"/>
    </row>
    <row r="843" ht="15.75" customHeight="1">
      <c r="A843" s="63" t="s">
        <v>5494</v>
      </c>
      <c r="B843" s="5">
        <v>43916.01736111111</v>
      </c>
      <c r="C843" s="67"/>
    </row>
    <row r="844" ht="15.75" customHeight="1">
      <c r="A844" s="63" t="s">
        <v>4198</v>
      </c>
      <c r="B844" s="5">
        <v>43916.00486111111</v>
      </c>
      <c r="C844" s="67"/>
    </row>
    <row r="845" ht="15.75" customHeight="1">
      <c r="A845" s="63" t="s">
        <v>4218</v>
      </c>
      <c r="B845" s="5">
        <v>43915.739583333336</v>
      </c>
      <c r="C845" s="67"/>
    </row>
    <row r="846" ht="15.75" customHeight="1">
      <c r="A846" s="63" t="s">
        <v>4225</v>
      </c>
      <c r="B846" s="5">
        <v>43915.72083333333</v>
      </c>
      <c r="C846" s="67"/>
    </row>
    <row r="847" ht="15.75" customHeight="1">
      <c r="A847" s="63" t="s">
        <v>4228</v>
      </c>
      <c r="B847" s="5">
        <v>43915.70694444444</v>
      </c>
      <c r="C847" s="67"/>
    </row>
    <row r="848" ht="15.75" customHeight="1">
      <c r="A848" s="63" t="s">
        <v>4237</v>
      </c>
      <c r="B848" s="5">
        <v>43915.688888888886</v>
      </c>
      <c r="C848" s="67"/>
    </row>
    <row r="849" ht="15.75" customHeight="1">
      <c r="A849" s="63" t="s">
        <v>4241</v>
      </c>
      <c r="B849" s="5">
        <v>43915.645833333336</v>
      </c>
      <c r="C849" s="67"/>
    </row>
    <row r="850" ht="15.75" customHeight="1">
      <c r="A850" s="63" t="s">
        <v>5495</v>
      </c>
      <c r="B850" s="5">
        <v>43915.56597222222</v>
      </c>
      <c r="C850" s="67"/>
    </row>
    <row r="851" ht="15.75" customHeight="1">
      <c r="A851" s="63" t="s">
        <v>4258</v>
      </c>
      <c r="B851" s="5">
        <v>43915.46944444445</v>
      </c>
      <c r="C851" s="67"/>
    </row>
    <row r="852" ht="15.75" customHeight="1">
      <c r="A852" s="63" t="s">
        <v>4263</v>
      </c>
      <c r="B852" s="5">
        <v>43915.45</v>
      </c>
      <c r="C852" s="67"/>
    </row>
    <row r="853" ht="15.75" customHeight="1">
      <c r="A853" s="63" t="s">
        <v>4268</v>
      </c>
      <c r="B853" s="5">
        <v>43915.36736111111</v>
      </c>
      <c r="C853" s="67"/>
    </row>
    <row r="854" ht="15.75" customHeight="1">
      <c r="A854" s="63" t="s">
        <v>4270</v>
      </c>
      <c r="B854" s="5">
        <v>43915.330555555556</v>
      </c>
      <c r="C854" s="67"/>
    </row>
    <row r="855" ht="15.75" customHeight="1">
      <c r="A855" s="63" t="s">
        <v>4278</v>
      </c>
      <c r="B855" s="5">
        <v>43914.97361111111</v>
      </c>
      <c r="C855" s="67"/>
    </row>
    <row r="856" ht="15.75" customHeight="1">
      <c r="A856" s="63" t="s">
        <v>4284</v>
      </c>
      <c r="B856" s="5">
        <v>43914.95277777778</v>
      </c>
      <c r="C856" s="67"/>
    </row>
    <row r="857" ht="15.75" customHeight="1">
      <c r="A857" s="63" t="s">
        <v>5496</v>
      </c>
      <c r="B857" s="5">
        <v>43914.893055555556</v>
      </c>
      <c r="C857" s="67"/>
    </row>
    <row r="858" ht="15.75" customHeight="1">
      <c r="A858" s="63" t="s">
        <v>5497</v>
      </c>
      <c r="B858" s="5">
        <v>43914.84444444445</v>
      </c>
      <c r="C858" s="67"/>
    </row>
    <row r="859" ht="15.75" customHeight="1">
      <c r="A859" s="63" t="s">
        <v>4310</v>
      </c>
      <c r="B859" s="5">
        <v>43914.83472222222</v>
      </c>
      <c r="C859" s="67"/>
    </row>
    <row r="860" ht="15.75" customHeight="1">
      <c r="A860" s="63" t="s">
        <v>4312</v>
      </c>
      <c r="B860" s="5">
        <v>43914.83194444444</v>
      </c>
      <c r="C860" s="67"/>
    </row>
    <row r="861" ht="15.75" customHeight="1">
      <c r="A861" s="63" t="s">
        <v>3719</v>
      </c>
      <c r="B861" s="5">
        <v>43914.777083333334</v>
      </c>
      <c r="C861" s="67"/>
    </row>
    <row r="862" ht="15.75" customHeight="1">
      <c r="A862" s="63" t="s">
        <v>4331</v>
      </c>
      <c r="B862" s="5">
        <v>43914.74375</v>
      </c>
      <c r="C862" s="67"/>
    </row>
    <row r="863" ht="15.75" customHeight="1">
      <c r="A863" s="63" t="s">
        <v>4345</v>
      </c>
      <c r="B863" s="5">
        <v>43914.7</v>
      </c>
      <c r="C863" s="67"/>
    </row>
    <row r="864" ht="15.75" customHeight="1">
      <c r="A864" s="63" t="s">
        <v>4354</v>
      </c>
      <c r="B864" s="5">
        <v>43914.66111111111</v>
      </c>
      <c r="C864" s="67"/>
    </row>
    <row r="865" ht="15.75" customHeight="1">
      <c r="A865" s="63" t="s">
        <v>4376</v>
      </c>
      <c r="B865" s="5">
        <v>43914.59305555555</v>
      </c>
      <c r="C865" s="67"/>
    </row>
    <row r="866" ht="15.75" customHeight="1">
      <c r="A866" s="63" t="s">
        <v>4381</v>
      </c>
      <c r="B866" s="5">
        <v>43914.575694444444</v>
      </c>
      <c r="C866" s="67"/>
    </row>
    <row r="867" ht="15.75" customHeight="1">
      <c r="A867" s="63" t="s">
        <v>5498</v>
      </c>
      <c r="B867" s="5">
        <v>43914.57430555556</v>
      </c>
      <c r="C867" s="67"/>
    </row>
    <row r="868" ht="15.75" customHeight="1">
      <c r="A868" s="63" t="s">
        <v>5499</v>
      </c>
      <c r="B868" s="5">
        <v>43914.55486111111</v>
      </c>
      <c r="C868" s="67"/>
    </row>
    <row r="869" ht="15.75" customHeight="1">
      <c r="A869" s="63" t="s">
        <v>4395</v>
      </c>
      <c r="B869" s="5">
        <v>43914.54722222222</v>
      </c>
      <c r="C869" s="67"/>
    </row>
    <row r="870" ht="15.75" customHeight="1">
      <c r="A870" s="63" t="s">
        <v>4408</v>
      </c>
      <c r="B870" s="5">
        <v>43914.53680555556</v>
      </c>
      <c r="C870" s="67"/>
    </row>
    <row r="871" ht="15.75" customHeight="1">
      <c r="A871" s="63" t="s">
        <v>4415</v>
      </c>
      <c r="B871" s="5">
        <v>43914.53125</v>
      </c>
      <c r="C871" s="67"/>
    </row>
    <row r="872" ht="15.75" customHeight="1">
      <c r="A872" s="63" t="s">
        <v>4015</v>
      </c>
      <c r="B872" s="5">
        <v>43914.52291666667</v>
      </c>
      <c r="C872" s="67"/>
    </row>
    <row r="873" ht="15.75" customHeight="1">
      <c r="A873" s="63" t="s">
        <v>4073</v>
      </c>
      <c r="B873" s="5">
        <v>43914.51666666667</v>
      </c>
      <c r="C873" s="67"/>
    </row>
    <row r="874" ht="15.75" customHeight="1">
      <c r="A874" s="63" t="s">
        <v>4467</v>
      </c>
      <c r="B874" s="5">
        <v>43914.49930555555</v>
      </c>
      <c r="C874" s="67"/>
    </row>
    <row r="875" ht="15.75" customHeight="1">
      <c r="A875" s="63" t="s">
        <v>4471</v>
      </c>
      <c r="B875" s="5">
        <v>43914.49722222222</v>
      </c>
      <c r="C875" s="67"/>
    </row>
    <row r="876" ht="15.75" customHeight="1">
      <c r="A876" s="63" t="s">
        <v>5500</v>
      </c>
      <c r="B876" s="5">
        <v>43914.44583333333</v>
      </c>
      <c r="C876" s="67"/>
    </row>
    <row r="877" ht="15.75" customHeight="1">
      <c r="A877" s="63" t="s">
        <v>5501</v>
      </c>
      <c r="B877" s="5">
        <v>43914.00347222222</v>
      </c>
      <c r="C877" s="67"/>
    </row>
    <row r="878" ht="15.75" customHeight="1">
      <c r="A878" s="63" t="s">
        <v>5502</v>
      </c>
      <c r="B878" s="5">
        <v>43913.990277777775</v>
      </c>
      <c r="C878" s="67"/>
    </row>
    <row r="879" ht="15.75" customHeight="1">
      <c r="A879" s="63" t="s">
        <v>2245</v>
      </c>
      <c r="B879" s="5">
        <v>43913.85902777778</v>
      </c>
      <c r="C879" s="67"/>
    </row>
    <row r="880" ht="15.75" customHeight="1">
      <c r="A880" s="63" t="s">
        <v>5503</v>
      </c>
      <c r="B880" s="5">
        <v>43913.76736111111</v>
      </c>
      <c r="C880" s="67"/>
    </row>
    <row r="881" ht="15.75" customHeight="1">
      <c r="A881" s="63" t="s">
        <v>5504</v>
      </c>
      <c r="B881" s="5">
        <v>43913.71944444445</v>
      </c>
      <c r="C881" s="67"/>
    </row>
    <row r="882" ht="15.75" customHeight="1">
      <c r="A882" s="63" t="s">
        <v>5505</v>
      </c>
      <c r="B882" s="5">
        <v>43913.70763888889</v>
      </c>
      <c r="C882" s="67"/>
    </row>
    <row r="883" ht="15.75" customHeight="1">
      <c r="A883" s="63" t="s">
        <v>3218</v>
      </c>
      <c r="B883" s="5">
        <v>43913.64236111111</v>
      </c>
      <c r="C883" s="67"/>
    </row>
    <row r="884" ht="15.75" customHeight="1">
      <c r="A884" s="63" t="s">
        <v>5506</v>
      </c>
      <c r="B884" s="5">
        <v>43913.47361111111</v>
      </c>
      <c r="C884" s="67"/>
    </row>
    <row r="885" ht="15.75" customHeight="1">
      <c r="A885" s="63" t="s">
        <v>5507</v>
      </c>
      <c r="B885" s="5">
        <v>43912.87986111111</v>
      </c>
      <c r="C885" s="67"/>
    </row>
    <row r="886" ht="15.75" customHeight="1">
      <c r="A886" s="63" t="s">
        <v>4358</v>
      </c>
      <c r="B886" s="5">
        <v>43912.44652777778</v>
      </c>
      <c r="C886" s="67"/>
    </row>
    <row r="887" ht="15.75" customHeight="1">
      <c r="A887" s="63" t="s">
        <v>5508</v>
      </c>
      <c r="B887" s="5">
        <v>43911.98611111111</v>
      </c>
      <c r="C887" s="67"/>
    </row>
    <row r="888" ht="15.75" customHeight="1">
      <c r="A888" s="63" t="s">
        <v>4038</v>
      </c>
      <c r="B888" s="5">
        <v>43911.915972222225</v>
      </c>
      <c r="C888" s="67"/>
    </row>
    <row r="889" ht="15.75" customHeight="1">
      <c r="A889" s="63" t="s">
        <v>5509</v>
      </c>
      <c r="B889" s="5">
        <v>43911.58263888889</v>
      </c>
      <c r="C889" s="67"/>
    </row>
    <row r="890" ht="15.75" customHeight="1">
      <c r="A890" s="63" t="s">
        <v>5510</v>
      </c>
      <c r="B890" s="5">
        <v>43911.52569444444</v>
      </c>
      <c r="C890" s="67"/>
    </row>
    <row r="891" ht="15.75" customHeight="1">
      <c r="A891" s="63" t="s">
        <v>5511</v>
      </c>
      <c r="B891" s="5">
        <v>43911.38402777778</v>
      </c>
      <c r="C891" s="67"/>
    </row>
    <row r="892" ht="15.75" customHeight="1">
      <c r="A892" s="63" t="s">
        <v>5512</v>
      </c>
      <c r="B892" s="5">
        <v>43911.381944444445</v>
      </c>
      <c r="C892" s="67"/>
    </row>
    <row r="893" ht="15.75" customHeight="1">
      <c r="A893" s="63" t="s">
        <v>5513</v>
      </c>
      <c r="B893" s="5">
        <v>43911.34375</v>
      </c>
      <c r="C893" s="67"/>
    </row>
    <row r="894" ht="15.75" customHeight="1">
      <c r="A894" s="63" t="s">
        <v>2618</v>
      </c>
      <c r="B894" s="5">
        <v>43911.00486111111</v>
      </c>
      <c r="C894" s="67"/>
    </row>
    <row r="895" ht="15.75" customHeight="1">
      <c r="A895" s="63" t="s">
        <v>4553</v>
      </c>
      <c r="B895" s="5">
        <v>43910.65625</v>
      </c>
      <c r="C895" s="67"/>
    </row>
    <row r="896" ht="15.75" customHeight="1">
      <c r="A896" s="63" t="s">
        <v>5514</v>
      </c>
      <c r="B896" s="5">
        <v>43910.60763888889</v>
      </c>
      <c r="C896" s="67"/>
    </row>
    <row r="897" ht="15.75" customHeight="1">
      <c r="A897" s="63" t="s">
        <v>4556</v>
      </c>
      <c r="B897" s="5">
        <v>43910.59305555555</v>
      </c>
      <c r="C897" s="67"/>
    </row>
    <row r="898" ht="15.75" customHeight="1">
      <c r="A898" s="63" t="s">
        <v>4557</v>
      </c>
      <c r="B898" s="5">
        <v>43910.56736111111</v>
      </c>
      <c r="C898" s="67"/>
    </row>
    <row r="899" ht="15.75" customHeight="1">
      <c r="A899" s="63" t="s">
        <v>4559</v>
      </c>
      <c r="B899" s="5">
        <v>43910.51597222222</v>
      </c>
      <c r="C899" s="67"/>
    </row>
    <row r="900" ht="15.75" customHeight="1">
      <c r="A900" s="63" t="s">
        <v>5515</v>
      </c>
      <c r="B900" s="5">
        <v>43909.73402777778</v>
      </c>
      <c r="C900" s="67"/>
    </row>
    <row r="901" ht="15.75" customHeight="1">
      <c r="A901" s="63" t="s">
        <v>5516</v>
      </c>
      <c r="B901" s="5">
        <v>43909.56180555555</v>
      </c>
      <c r="C901" s="67"/>
    </row>
    <row r="902" ht="15.75" customHeight="1">
      <c r="A902" s="63" t="s">
        <v>4560</v>
      </c>
      <c r="B902" s="5">
        <v>43909.34375</v>
      </c>
      <c r="C902" s="67"/>
    </row>
    <row r="903" ht="15.75" customHeight="1">
      <c r="A903" s="63" t="s">
        <v>5517</v>
      </c>
      <c r="B903" s="5">
        <v>43909.31041666667</v>
      </c>
      <c r="C903" s="67"/>
    </row>
    <row r="904" ht="15.75" customHeight="1">
      <c r="A904" s="63" t="s">
        <v>966</v>
      </c>
      <c r="B904" s="5">
        <v>43908.748611111114</v>
      </c>
      <c r="C904" s="67"/>
    </row>
    <row r="905" ht="15.75" customHeight="1">
      <c r="A905" s="63" t="s">
        <v>5518</v>
      </c>
      <c r="B905" s="5">
        <v>43908.586805555555</v>
      </c>
      <c r="C905" s="67"/>
    </row>
    <row r="906" ht="15.75" customHeight="1">
      <c r="A906" s="63" t="s">
        <v>4567</v>
      </c>
      <c r="B906" s="5">
        <v>43907.75347222222</v>
      </c>
      <c r="C906" s="67"/>
    </row>
    <row r="907" ht="15.75" customHeight="1">
      <c r="A907" s="63" t="s">
        <v>5519</v>
      </c>
      <c r="B907" s="5">
        <v>43907.70763888889</v>
      </c>
      <c r="C907" s="67"/>
    </row>
    <row r="908" ht="15.75" customHeight="1">
      <c r="A908" s="63" t="s">
        <v>5520</v>
      </c>
      <c r="B908" s="5">
        <v>43907.631944444445</v>
      </c>
      <c r="C908" s="67"/>
    </row>
    <row r="909" ht="15.75" customHeight="1">
      <c r="A909" s="63" t="s">
        <v>4569</v>
      </c>
      <c r="B909" s="5">
        <v>43907.618055555555</v>
      </c>
      <c r="C909" s="67"/>
    </row>
    <row r="910" ht="15.75" customHeight="1">
      <c r="A910" s="63" t="s">
        <v>4552</v>
      </c>
      <c r="B910" s="5">
        <v>43907.459027777775</v>
      </c>
      <c r="C910" s="67"/>
    </row>
    <row r="911" ht="15.75" customHeight="1">
      <c r="A911" s="63" t="s">
        <v>4571</v>
      </c>
      <c r="B911" s="5">
        <v>43907.43472222222</v>
      </c>
      <c r="C911" s="67"/>
    </row>
    <row r="912" ht="15.75" customHeight="1">
      <c r="A912" s="63" t="s">
        <v>4572</v>
      </c>
      <c r="B912" s="5">
        <v>43907.42847222222</v>
      </c>
      <c r="C912" s="67"/>
    </row>
    <row r="913" ht="15.75" customHeight="1">
      <c r="A913" s="63" t="s">
        <v>741</v>
      </c>
      <c r="B913" s="5">
        <v>43907.425</v>
      </c>
      <c r="C913" s="67"/>
    </row>
    <row r="914" ht="15.75" customHeight="1">
      <c r="A914" s="63" t="s">
        <v>4573</v>
      </c>
      <c r="B914" s="5">
        <v>43907.39027777778</v>
      </c>
      <c r="C914" s="67"/>
    </row>
    <row r="915" ht="15.75" customHeight="1">
      <c r="A915" s="63" t="s">
        <v>4576</v>
      </c>
      <c r="B915" s="5">
        <v>43907.025</v>
      </c>
      <c r="C915" s="67"/>
    </row>
    <row r="916" ht="15.75" customHeight="1">
      <c r="A916" s="63" t="s">
        <v>5521</v>
      </c>
      <c r="B916" s="5">
        <v>43906.785416666666</v>
      </c>
      <c r="C916" s="67"/>
    </row>
    <row r="917" ht="15.75" customHeight="1">
      <c r="A917" s="63" t="s">
        <v>4181</v>
      </c>
      <c r="B917" s="5">
        <v>43906.472916666666</v>
      </c>
      <c r="C917" s="67"/>
    </row>
    <row r="918" ht="15.75" customHeight="1">
      <c r="A918" s="63" t="s">
        <v>4584</v>
      </c>
      <c r="B918" s="5">
        <v>43906.42986111111</v>
      </c>
      <c r="C918" s="67"/>
    </row>
    <row r="919" ht="15.75" customHeight="1">
      <c r="A919" s="63" t="s">
        <v>5522</v>
      </c>
      <c r="B919" s="5">
        <v>43906.28888888889</v>
      </c>
      <c r="C919" s="67"/>
    </row>
    <row r="920" ht="15.75" customHeight="1">
      <c r="A920" s="63" t="s">
        <v>5523</v>
      </c>
      <c r="B920" s="5">
        <v>43906.18125</v>
      </c>
      <c r="C920" s="67"/>
    </row>
    <row r="921" ht="15.75" customHeight="1">
      <c r="A921" s="63" t="s">
        <v>5524</v>
      </c>
      <c r="B921" s="5">
        <v>43905.9875</v>
      </c>
      <c r="C921" s="67"/>
    </row>
    <row r="922" ht="15.75" customHeight="1">
      <c r="A922" s="63" t="s">
        <v>5525</v>
      </c>
      <c r="B922" s="5">
        <v>43905.97222222222</v>
      </c>
      <c r="C922" s="67"/>
    </row>
    <row r="923" ht="15.75" customHeight="1">
      <c r="A923" s="63" t="s">
        <v>5526</v>
      </c>
      <c r="B923" s="5">
        <v>43905.80347222222</v>
      </c>
      <c r="C923" s="67"/>
    </row>
    <row r="924" ht="15.75" customHeight="1">
      <c r="A924" s="63" t="s">
        <v>5527</v>
      </c>
      <c r="B924" s="5">
        <v>43905.717361111114</v>
      </c>
      <c r="C924" s="67"/>
    </row>
    <row r="925" ht="15.75" customHeight="1">
      <c r="A925" s="63" t="s">
        <v>5528</v>
      </c>
      <c r="B925" s="5">
        <v>43905.538194444445</v>
      </c>
      <c r="C925" s="67"/>
    </row>
    <row r="926" ht="15.75" customHeight="1">
      <c r="A926" s="63" t="s">
        <v>4574</v>
      </c>
      <c r="B926" s="5">
        <v>43905.01944444444</v>
      </c>
      <c r="C926" s="67"/>
    </row>
    <row r="927" ht="15.75" customHeight="1">
      <c r="A927" s="63" t="s">
        <v>5529</v>
      </c>
      <c r="B927" s="5">
        <v>43904.811111111114</v>
      </c>
      <c r="C927" s="67"/>
    </row>
    <row r="928" ht="15.75" customHeight="1">
      <c r="A928" s="63" t="s">
        <v>5530</v>
      </c>
      <c r="B928" s="5">
        <v>43904.80625</v>
      </c>
      <c r="C928" s="67"/>
    </row>
    <row r="929" ht="15.75" customHeight="1">
      <c r="A929" s="63" t="s">
        <v>5531</v>
      </c>
      <c r="B929" s="5">
        <v>43904.802777777775</v>
      </c>
      <c r="C929" s="67"/>
    </row>
    <row r="930" ht="15.75" customHeight="1">
      <c r="A930" s="63" t="s">
        <v>3813</v>
      </c>
      <c r="B930" s="5">
        <v>43904.79583333333</v>
      </c>
      <c r="C930" s="67"/>
    </row>
    <row r="931" ht="15.75" customHeight="1">
      <c r="A931" s="63" t="s">
        <v>5532</v>
      </c>
      <c r="B931" s="5">
        <v>43904.61111111111</v>
      </c>
      <c r="C931" s="67"/>
    </row>
    <row r="932" ht="15.75" customHeight="1">
      <c r="A932" s="63" t="s">
        <v>3097</v>
      </c>
      <c r="B932" s="5">
        <v>43903.93402777778</v>
      </c>
      <c r="C932" s="67"/>
    </row>
    <row r="933" ht="15.75" customHeight="1">
      <c r="A933" s="63" t="s">
        <v>5533</v>
      </c>
      <c r="B933" s="5">
        <v>43903.89513888889</v>
      </c>
      <c r="C933" s="67"/>
    </row>
    <row r="934" ht="15.75" customHeight="1">
      <c r="A934" s="63" t="s">
        <v>2060</v>
      </c>
      <c r="B934" s="5">
        <v>43903.592361111114</v>
      </c>
      <c r="C934" s="67"/>
    </row>
    <row r="935" ht="15.75" customHeight="1">
      <c r="A935" s="63" t="s">
        <v>2153</v>
      </c>
      <c r="B935" s="5">
        <v>43903.575694444444</v>
      </c>
      <c r="C935" s="67"/>
    </row>
    <row r="936" ht="15.75" customHeight="1">
      <c r="A936" s="63" t="s">
        <v>3755</v>
      </c>
      <c r="B936" s="5">
        <v>43903.53472222222</v>
      </c>
      <c r="C936" s="67"/>
    </row>
    <row r="937" ht="15.75" customHeight="1">
      <c r="A937" s="63" t="s">
        <v>4593</v>
      </c>
      <c r="B937" s="5">
        <v>43903.532638888886</v>
      </c>
      <c r="C937" s="67"/>
    </row>
    <row r="938" ht="15.75" customHeight="1">
      <c r="A938" s="63" t="s">
        <v>5534</v>
      </c>
      <c r="B938" s="5">
        <v>43903.35277777778</v>
      </c>
      <c r="C938" s="67"/>
    </row>
    <row r="939" ht="15.75" customHeight="1">
      <c r="A939" s="63" t="s">
        <v>4597</v>
      </c>
      <c r="B939" s="5">
        <v>43903.254166666666</v>
      </c>
      <c r="C939" s="67"/>
    </row>
    <row r="940" ht="15.75" customHeight="1">
      <c r="A940" s="63" t="s">
        <v>1344</v>
      </c>
      <c r="B940" s="5">
        <v>43903.032638888886</v>
      </c>
      <c r="C940" s="67"/>
    </row>
    <row r="941" ht="15.75" customHeight="1">
      <c r="A941" s="63" t="s">
        <v>5535</v>
      </c>
      <c r="B941" s="5">
        <v>43902.56736111111</v>
      </c>
      <c r="C941" s="67"/>
    </row>
    <row r="942" ht="15.75" customHeight="1">
      <c r="A942" s="63" t="s">
        <v>4192</v>
      </c>
      <c r="B942" s="5">
        <v>43902.47361111111</v>
      </c>
      <c r="C942" s="67"/>
    </row>
    <row r="943" ht="15.75" customHeight="1">
      <c r="A943" s="63" t="s">
        <v>4606</v>
      </c>
      <c r="B943" s="5">
        <v>43902.410416666666</v>
      </c>
      <c r="C943" s="67"/>
    </row>
    <row r="944" ht="15.75" customHeight="1">
      <c r="A944" s="63" t="s">
        <v>4607</v>
      </c>
      <c r="B944" s="5">
        <v>43902.01597222222</v>
      </c>
      <c r="C944" s="67"/>
    </row>
    <row r="945" ht="15.75" customHeight="1">
      <c r="A945" s="63" t="s">
        <v>5536</v>
      </c>
      <c r="B945" s="5">
        <v>43901.86111111111</v>
      </c>
      <c r="C945" s="67"/>
    </row>
    <row r="946" ht="15.75" customHeight="1">
      <c r="A946" s="63" t="s">
        <v>4004</v>
      </c>
      <c r="B946" s="5">
        <v>43901.79722222222</v>
      </c>
      <c r="C946" s="67"/>
    </row>
    <row r="947" ht="15.75" customHeight="1">
      <c r="A947" s="63" t="s">
        <v>4612</v>
      </c>
      <c r="B947" s="5">
        <v>43901.64097222222</v>
      </c>
      <c r="C947" s="67"/>
    </row>
    <row r="948" ht="15.75" customHeight="1">
      <c r="A948" s="63" t="s">
        <v>1162</v>
      </c>
      <c r="B948" s="5">
        <v>43901.60833333333</v>
      </c>
      <c r="C948" s="67"/>
    </row>
    <row r="949" ht="15.75" customHeight="1">
      <c r="A949" s="63" t="s">
        <v>1238</v>
      </c>
      <c r="B949" s="5">
        <v>43901.49791666667</v>
      </c>
      <c r="C949" s="67"/>
    </row>
    <row r="950" ht="15.75" customHeight="1">
      <c r="A950" s="63" t="s">
        <v>5537</v>
      </c>
      <c r="B950" s="5">
        <v>43901.37152777778</v>
      </c>
      <c r="C950" s="67"/>
    </row>
    <row r="951" ht="15.75" customHeight="1">
      <c r="A951" s="63" t="s">
        <v>4622</v>
      </c>
      <c r="B951" s="5">
        <v>43901.25763888889</v>
      </c>
      <c r="C951" s="67"/>
    </row>
    <row r="952" ht="15.75" customHeight="1">
      <c r="A952" s="63" t="s">
        <v>5538</v>
      </c>
      <c r="B952" s="5">
        <v>43901.0125</v>
      </c>
      <c r="C952" s="67"/>
    </row>
    <row r="953" ht="15.75" customHeight="1">
      <c r="A953" s="63" t="s">
        <v>4542</v>
      </c>
      <c r="B953" s="5">
        <v>43900.81736111111</v>
      </c>
      <c r="C953" s="67"/>
    </row>
    <row r="954" ht="15.75" customHeight="1">
      <c r="A954" s="63" t="s">
        <v>4625</v>
      </c>
      <c r="B954" s="5">
        <v>43900.71111111111</v>
      </c>
      <c r="C954" s="67"/>
    </row>
    <row r="955" ht="15.75" customHeight="1">
      <c r="A955" s="63" t="s">
        <v>4626</v>
      </c>
      <c r="B955" s="5">
        <v>43900.69652777778</v>
      </c>
      <c r="C955" s="67"/>
    </row>
    <row r="956" ht="15.75" customHeight="1">
      <c r="A956" s="63" t="s">
        <v>4627</v>
      </c>
      <c r="B956" s="5">
        <v>43900.53333333333</v>
      </c>
      <c r="C956" s="67"/>
    </row>
    <row r="957" ht="15.75" customHeight="1">
      <c r="A957" s="63" t="s">
        <v>4628</v>
      </c>
      <c r="B957" s="5">
        <v>43900.501388888886</v>
      </c>
      <c r="C957" s="67"/>
    </row>
    <row r="958" ht="15.75" customHeight="1">
      <c r="A958" s="63" t="s">
        <v>5539</v>
      </c>
      <c r="B958" s="5">
        <v>43900.404861111114</v>
      </c>
      <c r="C958" s="67"/>
    </row>
    <row r="959" ht="15.75" customHeight="1">
      <c r="A959" s="63" t="s">
        <v>5540</v>
      </c>
      <c r="B959" s="5">
        <v>43900.40347222222</v>
      </c>
      <c r="C959" s="67"/>
    </row>
    <row r="960" ht="15.75" customHeight="1">
      <c r="A960" s="63" t="s">
        <v>4595</v>
      </c>
      <c r="B960" s="5">
        <v>43900.385416666664</v>
      </c>
      <c r="C960" s="67"/>
    </row>
    <row r="961" ht="15.75" customHeight="1">
      <c r="A961" s="63" t="s">
        <v>4634</v>
      </c>
      <c r="B961" s="5">
        <v>43900.17013888889</v>
      </c>
      <c r="C961" s="67"/>
    </row>
    <row r="962" ht="15.75" customHeight="1">
      <c r="A962" s="63" t="s">
        <v>5541</v>
      </c>
      <c r="B962" s="5">
        <v>43900.03888888889</v>
      </c>
      <c r="C962" s="67"/>
    </row>
    <row r="963" ht="15.75" customHeight="1">
      <c r="A963" s="63" t="s">
        <v>5542</v>
      </c>
      <c r="B963" s="5">
        <v>43899.86319444444</v>
      </c>
      <c r="C963" s="67"/>
    </row>
    <row r="964" ht="15.75" customHeight="1">
      <c r="A964" s="63" t="s">
        <v>272</v>
      </c>
      <c r="B964" s="5">
        <v>43899.854166666664</v>
      </c>
      <c r="C964" s="67"/>
    </row>
    <row r="965" ht="15.75" customHeight="1">
      <c r="A965" s="63" t="s">
        <v>4637</v>
      </c>
      <c r="B965" s="5">
        <v>43899.850694444445</v>
      </c>
      <c r="C965" s="67"/>
    </row>
    <row r="966" ht="15.75" customHeight="1">
      <c r="A966" s="63" t="s">
        <v>5543</v>
      </c>
      <c r="B966" s="5">
        <v>43899.68680555555</v>
      </c>
      <c r="C966" s="67"/>
    </row>
    <row r="967" ht="15.75" customHeight="1">
      <c r="A967" s="63" t="s">
        <v>5544</v>
      </c>
      <c r="B967" s="5">
        <v>43899.60625</v>
      </c>
      <c r="C967" s="67"/>
    </row>
    <row r="968" ht="15.75" customHeight="1">
      <c r="A968" s="63" t="s">
        <v>5545</v>
      </c>
      <c r="B968" s="5">
        <v>43899.552083333336</v>
      </c>
      <c r="C968" s="67"/>
    </row>
    <row r="969" ht="15.75" customHeight="1">
      <c r="A969" s="63" t="s">
        <v>68</v>
      </c>
      <c r="B969" s="5">
        <v>43899.472916666666</v>
      </c>
      <c r="C969" s="67"/>
    </row>
    <row r="970" ht="15.75" customHeight="1">
      <c r="A970" s="63" t="s">
        <v>4656</v>
      </c>
      <c r="B970" s="5">
        <v>43899.350694444445</v>
      </c>
      <c r="C970" s="67"/>
    </row>
    <row r="971" ht="15.75" customHeight="1">
      <c r="A971" s="63" t="s">
        <v>5546</v>
      </c>
      <c r="B971" s="5">
        <v>43898.82152777778</v>
      </c>
      <c r="C971" s="67"/>
    </row>
    <row r="972" ht="15.75" customHeight="1">
      <c r="A972" s="63" t="s">
        <v>4636</v>
      </c>
      <c r="B972" s="5">
        <v>43898.774305555555</v>
      </c>
      <c r="C972" s="67"/>
    </row>
    <row r="973" ht="15.75" customHeight="1">
      <c r="A973" s="63" t="s">
        <v>5547</v>
      </c>
      <c r="B973" s="5">
        <v>43898.72986111111</v>
      </c>
      <c r="C973" s="67"/>
    </row>
    <row r="974" ht="15.75" customHeight="1">
      <c r="A974" s="63" t="s">
        <v>5548</v>
      </c>
      <c r="B974" s="5">
        <v>43898.597916666666</v>
      </c>
      <c r="C974" s="67"/>
    </row>
    <row r="975" ht="15.75" customHeight="1">
      <c r="A975" s="63" t="s">
        <v>5549</v>
      </c>
      <c r="B975" s="5">
        <v>43898.458333333336</v>
      </c>
      <c r="C975" s="67"/>
    </row>
    <row r="976" ht="15.75" customHeight="1">
      <c r="A976" s="63" t="s">
        <v>4616</v>
      </c>
      <c r="B976" s="5">
        <v>43898.254166666666</v>
      </c>
      <c r="C976" s="67"/>
    </row>
    <row r="977" ht="15.75" customHeight="1">
      <c r="A977" s="63" t="s">
        <v>5550</v>
      </c>
      <c r="B977" s="5">
        <v>43898.044444444444</v>
      </c>
      <c r="C977" s="67"/>
    </row>
    <row r="978" ht="15.75" customHeight="1">
      <c r="A978" s="63" t="s">
        <v>5551</v>
      </c>
      <c r="B978" s="5">
        <v>43897.63680555556</v>
      </c>
      <c r="C978" s="67"/>
    </row>
    <row r="979" ht="15.75" customHeight="1">
      <c r="A979" s="63" t="s">
        <v>4664</v>
      </c>
      <c r="B979" s="5">
        <v>43897.39166666667</v>
      </c>
      <c r="C979" s="67"/>
    </row>
    <row r="980" ht="15.75" customHeight="1">
      <c r="A980" s="63" t="s">
        <v>5552</v>
      </c>
      <c r="B980" s="5">
        <v>43897.37986111111</v>
      </c>
      <c r="C980" s="67"/>
    </row>
    <row r="981" ht="15.75" customHeight="1">
      <c r="A981" s="63" t="s">
        <v>5553</v>
      </c>
      <c r="B981" s="5">
        <v>43897.08472222222</v>
      </c>
      <c r="C981" s="67"/>
    </row>
    <row r="982" ht="15.75" customHeight="1">
      <c r="A982" s="63" t="s">
        <v>5554</v>
      </c>
      <c r="B982" s="5">
        <v>43896.76875</v>
      </c>
      <c r="C982" s="67"/>
    </row>
    <row r="983" ht="15.75" customHeight="1">
      <c r="A983" s="63" t="s">
        <v>680</v>
      </c>
      <c r="B983" s="5">
        <v>43896.68472222222</v>
      </c>
      <c r="C983" s="67"/>
    </row>
    <row r="984" ht="15.75" customHeight="1">
      <c r="A984" s="63" t="s">
        <v>5555</v>
      </c>
      <c r="B984" s="5">
        <v>43896.46944444445</v>
      </c>
      <c r="C984" s="67"/>
    </row>
    <row r="985" ht="15.75" customHeight="1">
      <c r="A985" s="63" t="s">
        <v>4673</v>
      </c>
      <c r="B985" s="5">
        <v>43896.43541666667</v>
      </c>
      <c r="C985" s="67"/>
    </row>
    <row r="986" ht="15.75" customHeight="1">
      <c r="A986" s="63" t="s">
        <v>3468</v>
      </c>
      <c r="B986" s="5">
        <v>43896.402083333334</v>
      </c>
      <c r="C986" s="67"/>
    </row>
    <row r="987" ht="15.75" customHeight="1">
      <c r="A987" s="63" t="s">
        <v>5556</v>
      </c>
      <c r="B987" s="5">
        <v>43896.319444444445</v>
      </c>
      <c r="C987" s="67"/>
    </row>
    <row r="988" ht="15.75" customHeight="1">
      <c r="A988" s="63" t="s">
        <v>4681</v>
      </c>
      <c r="B988" s="5">
        <v>43896.31875</v>
      </c>
      <c r="C988" s="67"/>
    </row>
    <row r="989" ht="15.75" customHeight="1">
      <c r="A989" s="63" t="s">
        <v>4683</v>
      </c>
      <c r="B989" s="5">
        <v>43896.16458333333</v>
      </c>
      <c r="C989" s="67"/>
    </row>
    <row r="990" ht="15.75" customHeight="1">
      <c r="A990" s="63" t="s">
        <v>4685</v>
      </c>
      <c r="B990" s="5">
        <v>43895.990277777775</v>
      </c>
      <c r="C990" s="67"/>
    </row>
    <row r="991" ht="15.75" customHeight="1">
      <c r="A991" s="63" t="s">
        <v>4600</v>
      </c>
      <c r="B991" s="5">
        <v>43895.91527777778</v>
      </c>
      <c r="C991" s="67"/>
    </row>
    <row r="992" ht="15.75" customHeight="1">
      <c r="A992" s="63" t="s">
        <v>5557</v>
      </c>
      <c r="B992" s="5">
        <v>43895.813888888886</v>
      </c>
      <c r="C992" s="67"/>
    </row>
    <row r="993" ht="15.75" customHeight="1">
      <c r="A993" s="63" t="s">
        <v>4689</v>
      </c>
      <c r="B993" s="5">
        <v>43895.720138888886</v>
      </c>
      <c r="C993" s="67"/>
    </row>
    <row r="994" ht="15.75" customHeight="1">
      <c r="A994" s="63" t="s">
        <v>1779</v>
      </c>
      <c r="B994" s="5">
        <v>43895.59444444445</v>
      </c>
      <c r="C994" s="67"/>
    </row>
    <row r="995" ht="15.75" customHeight="1">
      <c r="A995" s="63" t="s">
        <v>4116</v>
      </c>
      <c r="B995" s="5">
        <v>43895.50625</v>
      </c>
      <c r="C995" s="67"/>
    </row>
    <row r="996" ht="15.75" customHeight="1">
      <c r="A996" s="63" t="s">
        <v>4695</v>
      </c>
      <c r="B996" s="5">
        <v>43895.49722222222</v>
      </c>
      <c r="C996" s="67"/>
    </row>
    <row r="997" ht="15.75" customHeight="1">
      <c r="A997" s="63" t="s">
        <v>2546</v>
      </c>
      <c r="B997" s="5">
        <v>43895.48819444444</v>
      </c>
      <c r="C997" s="67"/>
    </row>
    <row r="998" ht="15.75" customHeight="1">
      <c r="A998" s="63" t="s">
        <v>986</v>
      </c>
      <c r="B998" s="5">
        <v>43895.470138888886</v>
      </c>
      <c r="C998" s="67"/>
    </row>
    <row r="999" ht="15.75" customHeight="1">
      <c r="A999" s="63" t="s">
        <v>5558</v>
      </c>
      <c r="B999" s="5">
        <v>43895.41805555556</v>
      </c>
      <c r="C999" s="67"/>
    </row>
    <row r="1000" ht="15.75" customHeight="1">
      <c r="A1000" s="63" t="s">
        <v>4537</v>
      </c>
      <c r="B1000" s="5">
        <v>43895.38611111111</v>
      </c>
      <c r="C1000" s="67"/>
    </row>
    <row r="1001" ht="15.75" customHeight="1">
      <c r="A1001" s="63" t="s">
        <v>5559</v>
      </c>
      <c r="B1001" s="5">
        <v>43895.384722222225</v>
      </c>
      <c r="C1001" s="67"/>
    </row>
    <row r="1002" ht="15.75" customHeight="1">
      <c r="A1002" s="63" t="s">
        <v>4721</v>
      </c>
      <c r="B1002" s="5">
        <v>43895.345138888886</v>
      </c>
      <c r="C1002" s="67"/>
    </row>
    <row r="1003" ht="15.75" customHeight="1">
      <c r="A1003" s="63" t="s">
        <v>5560</v>
      </c>
      <c r="B1003" s="5">
        <v>43895.322222222225</v>
      </c>
      <c r="C1003" s="67"/>
    </row>
    <row r="1004" ht="15.75" customHeight="1">
      <c r="A1004" s="63" t="s">
        <v>5561</v>
      </c>
      <c r="B1004" s="5">
        <v>43895.04305555556</v>
      </c>
      <c r="C1004" s="67"/>
    </row>
    <row r="1005" ht="15.75" customHeight="1">
      <c r="A1005" s="63" t="s">
        <v>4725</v>
      </c>
      <c r="B1005" s="5">
        <v>43895.03055555555</v>
      </c>
      <c r="C1005" s="67"/>
    </row>
    <row r="1006" ht="15.75" customHeight="1">
      <c r="A1006" s="63" t="s">
        <v>5562</v>
      </c>
      <c r="B1006" s="5">
        <v>43894.79791666667</v>
      </c>
      <c r="C1006" s="67"/>
    </row>
    <row r="1007" ht="15.75" customHeight="1">
      <c r="A1007" s="63" t="s">
        <v>723</v>
      </c>
      <c r="B1007" s="5">
        <v>43894.71111111111</v>
      </c>
      <c r="C1007" s="67"/>
    </row>
    <row r="1008" ht="15.75" customHeight="1">
      <c r="A1008" s="63" t="s">
        <v>4732</v>
      </c>
      <c r="B1008" s="5">
        <v>43894.53472222222</v>
      </c>
      <c r="C1008" s="67"/>
    </row>
    <row r="1009" ht="15.75" customHeight="1">
      <c r="A1009" s="63" t="s">
        <v>5563</v>
      </c>
      <c r="B1009" s="5">
        <v>43894.521527777775</v>
      </c>
      <c r="C1009" s="67"/>
    </row>
    <row r="1010" ht="15.75" customHeight="1">
      <c r="A1010" s="63" t="s">
        <v>4729</v>
      </c>
      <c r="B1010" s="5">
        <v>43894.50902777778</v>
      </c>
      <c r="C1010" s="67"/>
    </row>
    <row r="1011" ht="15.75" customHeight="1">
      <c r="A1011" s="63" t="s">
        <v>4741</v>
      </c>
      <c r="B1011" s="5">
        <v>43894.45</v>
      </c>
      <c r="C1011" s="67"/>
    </row>
    <row r="1012" ht="15.75" customHeight="1">
      <c r="A1012" s="63" t="s">
        <v>4745</v>
      </c>
      <c r="B1012" s="5">
        <v>43894.388194444444</v>
      </c>
      <c r="C1012" s="67"/>
    </row>
    <row r="1013" ht="15.75" customHeight="1">
      <c r="A1013" s="63" t="s">
        <v>5564</v>
      </c>
      <c r="B1013" s="5">
        <v>43893.853472222225</v>
      </c>
      <c r="C1013" s="67"/>
    </row>
    <row r="1014" ht="15.75" customHeight="1">
      <c r="A1014" s="63" t="s">
        <v>4764</v>
      </c>
      <c r="B1014" s="5">
        <v>43893.70416666667</v>
      </c>
      <c r="C1014" s="67"/>
    </row>
    <row r="1015" ht="15.75" customHeight="1">
      <c r="A1015" s="63" t="s">
        <v>2833</v>
      </c>
      <c r="B1015" s="5">
        <v>43893.64861111111</v>
      </c>
      <c r="C1015" s="67"/>
    </row>
    <row r="1016" ht="15.75" customHeight="1">
      <c r="A1016" s="63" t="s">
        <v>4784</v>
      </c>
      <c r="B1016" s="5">
        <v>43893.58125</v>
      </c>
      <c r="C1016" s="67"/>
    </row>
    <row r="1017" ht="15.75" customHeight="1">
      <c r="A1017" s="63" t="s">
        <v>4806</v>
      </c>
      <c r="B1017" s="5">
        <v>43893.532638888886</v>
      </c>
      <c r="C1017" s="67"/>
    </row>
    <row r="1018" ht="15.75" customHeight="1">
      <c r="A1018" s="63" t="s">
        <v>4665</v>
      </c>
      <c r="B1018" s="5">
        <v>43893.47708333333</v>
      </c>
      <c r="C1018" s="67"/>
    </row>
    <row r="1019" ht="15.75" customHeight="1">
      <c r="A1019" s="63" t="s">
        <v>332</v>
      </c>
      <c r="B1019" s="5">
        <v>43893.46875</v>
      </c>
      <c r="C1019" s="67"/>
    </row>
    <row r="1020" ht="15.75" customHeight="1">
      <c r="A1020" s="63" t="s">
        <v>4846</v>
      </c>
      <c r="B1020" s="5">
        <v>43893.45416666667</v>
      </c>
      <c r="C1020" s="67"/>
    </row>
    <row r="1021" ht="15.75" customHeight="1">
      <c r="A1021" s="63" t="s">
        <v>4848</v>
      </c>
      <c r="B1021" s="5">
        <v>43893.42986111111</v>
      </c>
      <c r="C1021" s="67"/>
    </row>
    <row r="1022" ht="15.75" customHeight="1">
      <c r="A1022" s="63" t="s">
        <v>4854</v>
      </c>
      <c r="B1022" s="5">
        <v>43893.39722222222</v>
      </c>
      <c r="C1022" s="67"/>
    </row>
    <row r="1023" ht="15.75" customHeight="1">
      <c r="A1023" s="63" t="s">
        <v>4140</v>
      </c>
      <c r="B1023" s="5">
        <v>43893.35625</v>
      </c>
      <c r="C1023" s="67"/>
    </row>
    <row r="1024" ht="15.75" customHeight="1">
      <c r="A1024" s="63" t="s">
        <v>5565</v>
      </c>
      <c r="B1024" s="5">
        <v>43893.35</v>
      </c>
      <c r="C1024" s="67"/>
    </row>
    <row r="1025" ht="15.75" customHeight="1">
      <c r="A1025" s="63" t="s">
        <v>5566</v>
      </c>
      <c r="B1025" s="5">
        <v>43893.29375</v>
      </c>
      <c r="C1025" s="67"/>
    </row>
    <row r="1026" ht="15.75" customHeight="1">
      <c r="A1026" s="63" t="s">
        <v>4582</v>
      </c>
      <c r="B1026" s="5">
        <v>43892.924305555556</v>
      </c>
      <c r="C1026" s="67"/>
    </row>
    <row r="1027" ht="15.75" customHeight="1">
      <c r="A1027" s="63" t="s">
        <v>4860</v>
      </c>
      <c r="B1027" s="5">
        <v>43892.88333333333</v>
      </c>
      <c r="C1027" s="67"/>
    </row>
    <row r="1028" ht="15.75" customHeight="1">
      <c r="A1028" s="63" t="s">
        <v>4861</v>
      </c>
      <c r="B1028" s="5">
        <v>43892.84861111111</v>
      </c>
      <c r="C1028" s="67"/>
    </row>
    <row r="1029" ht="15.75" customHeight="1">
      <c r="A1029" s="63" t="s">
        <v>4862</v>
      </c>
      <c r="B1029" s="5">
        <v>43892.83611111111</v>
      </c>
      <c r="C1029" s="67"/>
    </row>
    <row r="1030" ht="15.75" customHeight="1">
      <c r="A1030" s="63" t="s">
        <v>5567</v>
      </c>
      <c r="B1030" s="5">
        <v>43892.80347222222</v>
      </c>
      <c r="C1030" s="67"/>
    </row>
    <row r="1031" ht="15.75" customHeight="1">
      <c r="A1031" s="63" t="s">
        <v>5568</v>
      </c>
      <c r="B1031" s="5">
        <v>43892.711805555555</v>
      </c>
      <c r="C1031" s="67"/>
    </row>
    <row r="1032" ht="15.75" customHeight="1">
      <c r="A1032" s="63" t="s">
        <v>5569</v>
      </c>
      <c r="B1032" s="5">
        <v>43892.57777777778</v>
      </c>
      <c r="C1032" s="67"/>
    </row>
    <row r="1033" ht="15.75" customHeight="1">
      <c r="A1033" s="63" t="s">
        <v>1989</v>
      </c>
      <c r="B1033" s="5">
        <v>43892.50555555556</v>
      </c>
      <c r="C1033" s="67"/>
    </row>
    <row r="1034" ht="15.75" customHeight="1">
      <c r="A1034" s="63" t="s">
        <v>5570</v>
      </c>
      <c r="B1034" s="5">
        <v>43892.479166666664</v>
      </c>
      <c r="C1034" s="67"/>
    </row>
    <row r="1035" ht="15.75" customHeight="1">
      <c r="A1035" s="63" t="s">
        <v>4868</v>
      </c>
      <c r="B1035" s="5">
        <v>43892.45277777778</v>
      </c>
      <c r="C1035" s="67"/>
    </row>
    <row r="1036" ht="15.75" customHeight="1">
      <c r="A1036" s="63" t="s">
        <v>4601</v>
      </c>
      <c r="B1036" s="5">
        <v>43891.816666666666</v>
      </c>
      <c r="C1036" s="67"/>
    </row>
    <row r="1037" ht="15.75" customHeight="1">
      <c r="A1037" s="63" t="s">
        <v>5571</v>
      </c>
      <c r="B1037" s="5">
        <v>43891.70625</v>
      </c>
      <c r="C1037" s="67"/>
    </row>
    <row r="1038" ht="15.75" customHeight="1">
      <c r="A1038" s="63" t="s">
        <v>5572</v>
      </c>
      <c r="B1038" s="5">
        <v>43891.680555555555</v>
      </c>
      <c r="C1038" s="67"/>
    </row>
    <row r="1039" ht="15.75" customHeight="1">
      <c r="A1039" s="63" t="s">
        <v>5573</v>
      </c>
      <c r="B1039" s="5">
        <v>43891.575</v>
      </c>
      <c r="C1039" s="67"/>
    </row>
    <row r="1040" ht="15.75" customHeight="1">
      <c r="A1040" s="63" t="s">
        <v>4870</v>
      </c>
      <c r="B1040" s="5">
        <v>43891.12430555555</v>
      </c>
      <c r="C1040" s="67"/>
    </row>
    <row r="1041" ht="15.75" customHeight="1">
      <c r="A1041" s="63" t="s">
        <v>5574</v>
      </c>
      <c r="B1041" s="5">
        <v>43890.79583333333</v>
      </c>
      <c r="C1041" s="67"/>
    </row>
    <row r="1042" ht="15.75" customHeight="1">
      <c r="A1042" s="63" t="s">
        <v>5575</v>
      </c>
      <c r="B1042" s="5">
        <v>43890.76388888889</v>
      </c>
      <c r="C1042" s="67"/>
    </row>
    <row r="1043" ht="15.75" customHeight="1">
      <c r="A1043" s="63" t="s">
        <v>4871</v>
      </c>
      <c r="B1043" s="5">
        <v>43890.586805555555</v>
      </c>
      <c r="C1043" s="67"/>
    </row>
    <row r="1044" ht="15.75" customHeight="1">
      <c r="A1044" s="63" t="s">
        <v>2366</v>
      </c>
      <c r="B1044" s="5">
        <v>43890.45972222222</v>
      </c>
      <c r="C1044" s="67"/>
    </row>
    <row r="1045" ht="15.75" customHeight="1">
      <c r="A1045" s="63" t="s">
        <v>1276</v>
      </c>
      <c r="B1045" s="5">
        <v>43890.42222222222</v>
      </c>
      <c r="C1045" s="67"/>
    </row>
    <row r="1046" ht="15.75" customHeight="1">
      <c r="A1046" s="63" t="s">
        <v>5576</v>
      </c>
      <c r="B1046" s="5">
        <v>43890.28472222222</v>
      </c>
      <c r="C1046" s="67"/>
    </row>
    <row r="1047" ht="15.75" customHeight="1">
      <c r="A1047" s="63" t="s">
        <v>5577</v>
      </c>
      <c r="B1047" s="5">
        <v>43889.85138888889</v>
      </c>
      <c r="C1047" s="67"/>
    </row>
    <row r="1048" ht="15.75" customHeight="1">
      <c r="A1048" s="63" t="s">
        <v>5578</v>
      </c>
      <c r="B1048" s="5">
        <v>43889.674305555556</v>
      </c>
      <c r="C1048" s="67"/>
    </row>
    <row r="1049" ht="15.75" customHeight="1">
      <c r="A1049" s="63" t="s">
        <v>4875</v>
      </c>
      <c r="B1049" s="5">
        <v>43889.62430555555</v>
      </c>
      <c r="C1049" s="67"/>
    </row>
    <row r="1050" ht="15.75" customHeight="1">
      <c r="A1050" s="63" t="s">
        <v>5579</v>
      </c>
      <c r="B1050" s="5">
        <v>43889.56458333333</v>
      </c>
      <c r="C1050" s="67"/>
    </row>
    <row r="1051" ht="15.75" customHeight="1">
      <c r="A1051" s="63" t="s">
        <v>2094</v>
      </c>
      <c r="B1051" s="5">
        <v>43889.56458333333</v>
      </c>
      <c r="C1051" s="67"/>
    </row>
    <row r="1052" ht="15.75" customHeight="1">
      <c r="A1052" s="63" t="s">
        <v>4877</v>
      </c>
      <c r="B1052" s="5">
        <v>43889.00347222222</v>
      </c>
      <c r="C1052" s="67"/>
    </row>
    <row r="1053" ht="15.75" customHeight="1">
      <c r="A1053" s="63" t="s">
        <v>5580</v>
      </c>
      <c r="B1053" s="5">
        <v>43888.99652777778</v>
      </c>
      <c r="C1053" s="67"/>
    </row>
    <row r="1054" ht="15.75" customHeight="1">
      <c r="A1054" s="63" t="s">
        <v>5581</v>
      </c>
      <c r="B1054" s="5">
        <v>43888.92569444444</v>
      </c>
      <c r="C1054" s="67"/>
    </row>
    <row r="1055" ht="15.75" customHeight="1">
      <c r="A1055" s="63" t="s">
        <v>5582</v>
      </c>
      <c r="B1055" s="5">
        <v>43888.916666666664</v>
      </c>
      <c r="C1055" s="67"/>
    </row>
    <row r="1056" ht="15.75" customHeight="1">
      <c r="A1056" s="63" t="s">
        <v>5583</v>
      </c>
      <c r="B1056" s="5">
        <v>43888.88888888889</v>
      </c>
      <c r="C1056" s="67"/>
    </row>
    <row r="1057" ht="15.75" customHeight="1">
      <c r="A1057" s="63" t="s">
        <v>4880</v>
      </c>
      <c r="B1057" s="5">
        <v>43888.80902777778</v>
      </c>
      <c r="C1057" s="67"/>
    </row>
    <row r="1058" ht="15.75" customHeight="1">
      <c r="A1058" s="63" t="s">
        <v>4882</v>
      </c>
      <c r="B1058" s="5">
        <v>43888.62222222222</v>
      </c>
      <c r="C1058" s="67"/>
    </row>
    <row r="1059" ht="15.75" customHeight="1">
      <c r="A1059" s="63" t="s">
        <v>5584</v>
      </c>
      <c r="B1059" s="5">
        <v>43888.52361111111</v>
      </c>
      <c r="C1059" s="67"/>
    </row>
    <row r="1060" ht="15.75" customHeight="1">
      <c r="A1060" s="63" t="s">
        <v>5585</v>
      </c>
      <c r="B1060" s="5">
        <v>43888.430555555555</v>
      </c>
      <c r="C1060" s="67"/>
    </row>
    <row r="1061" ht="15.75" customHeight="1">
      <c r="A1061" s="63" t="s">
        <v>4885</v>
      </c>
      <c r="B1061" s="5">
        <v>43888.42361111111</v>
      </c>
      <c r="C1061" s="67"/>
    </row>
    <row r="1062" ht="15.75" customHeight="1">
      <c r="A1062" s="63" t="s">
        <v>4821</v>
      </c>
      <c r="B1062" s="5">
        <v>43888.379166666666</v>
      </c>
      <c r="C1062" s="67"/>
    </row>
    <row r="1063" ht="15.75" customHeight="1">
      <c r="A1063" s="63" t="s">
        <v>5586</v>
      </c>
      <c r="B1063" s="5">
        <v>43888.356944444444</v>
      </c>
      <c r="C1063" s="67"/>
    </row>
    <row r="1064" ht="15.75" customHeight="1">
      <c r="A1064" s="63" t="s">
        <v>5587</v>
      </c>
      <c r="B1064" s="5">
        <v>43888.34652777778</v>
      </c>
      <c r="C1064" s="67"/>
    </row>
    <row r="1065" ht="15.75" customHeight="1">
      <c r="A1065" s="63" t="s">
        <v>4890</v>
      </c>
      <c r="B1065" s="5">
        <v>43888.333333333336</v>
      </c>
      <c r="C1065" s="67"/>
    </row>
    <row r="1066" ht="15.75" customHeight="1">
      <c r="A1066" s="63" t="s">
        <v>4893</v>
      </c>
      <c r="B1066" s="5">
        <v>43887.75208333333</v>
      </c>
      <c r="C1066" s="67"/>
    </row>
    <row r="1067" ht="15.75" customHeight="1">
      <c r="A1067" s="63" t="s">
        <v>5588</v>
      </c>
      <c r="B1067" s="5">
        <v>43887.58888888889</v>
      </c>
      <c r="C1067" s="67"/>
    </row>
    <row r="1068" ht="15.75" customHeight="1">
      <c r="A1068" s="63" t="s">
        <v>4894</v>
      </c>
      <c r="B1068" s="5">
        <v>43887.552083333336</v>
      </c>
      <c r="C1068" s="67"/>
    </row>
    <row r="1069" ht="15.75" customHeight="1">
      <c r="A1069" s="63" t="s">
        <v>3171</v>
      </c>
      <c r="B1069" s="5">
        <v>43887.45486111111</v>
      </c>
      <c r="C1069" s="67"/>
    </row>
    <row r="1070" ht="15.75" customHeight="1">
      <c r="A1070" s="63" t="s">
        <v>2279</v>
      </c>
      <c r="B1070" s="5">
        <v>43887.42152777778</v>
      </c>
      <c r="C1070" s="67"/>
    </row>
    <row r="1071" ht="15.75" customHeight="1">
      <c r="A1071" s="63" t="s">
        <v>2771</v>
      </c>
      <c r="B1071" s="5">
        <v>43887.36319444444</v>
      </c>
      <c r="C1071" s="67"/>
    </row>
    <row r="1072" ht="15.75" customHeight="1">
      <c r="A1072" s="63" t="s">
        <v>4898</v>
      </c>
      <c r="B1072" s="5">
        <v>43887.018055555556</v>
      </c>
      <c r="C1072" s="67"/>
    </row>
    <row r="1073" ht="15.75" customHeight="1">
      <c r="A1073" s="63" t="s">
        <v>5589</v>
      </c>
      <c r="B1073" s="5">
        <v>43886.970138888886</v>
      </c>
      <c r="C1073" s="67"/>
    </row>
    <row r="1074" ht="15.75" customHeight="1">
      <c r="A1074" s="63" t="s">
        <v>5590</v>
      </c>
      <c r="B1074" s="5">
        <v>43886.81180555555</v>
      </c>
      <c r="C1074" s="67"/>
    </row>
    <row r="1075" ht="15.75" customHeight="1">
      <c r="A1075" s="63" t="s">
        <v>4901</v>
      </c>
      <c r="B1075" s="5">
        <v>43886.76736111111</v>
      </c>
      <c r="C1075" s="67"/>
    </row>
    <row r="1076" ht="15.75" customHeight="1">
      <c r="A1076" s="63" t="s">
        <v>5591</v>
      </c>
      <c r="B1076" s="5">
        <v>43886.740277777775</v>
      </c>
      <c r="C1076" s="67"/>
    </row>
    <row r="1077" ht="15.75" customHeight="1">
      <c r="A1077" s="63" t="s">
        <v>5592</v>
      </c>
      <c r="B1077" s="5">
        <v>43886.73611111111</v>
      </c>
      <c r="C1077" s="67"/>
    </row>
    <row r="1078" ht="15.75" customHeight="1">
      <c r="A1078" s="63" t="s">
        <v>1950</v>
      </c>
      <c r="B1078" s="5">
        <v>43886.64166666667</v>
      </c>
      <c r="C1078" s="67"/>
    </row>
    <row r="1079" ht="15.75" customHeight="1">
      <c r="A1079" s="63" t="s">
        <v>4902</v>
      </c>
      <c r="B1079" s="5">
        <v>43886.57013888889</v>
      </c>
      <c r="C1079" s="67"/>
    </row>
    <row r="1080" ht="15.75" customHeight="1">
      <c r="A1080" s="63" t="s">
        <v>4876</v>
      </c>
      <c r="B1080" s="5">
        <v>43886.49444444444</v>
      </c>
      <c r="C1080" s="67"/>
    </row>
    <row r="1081" ht="15.75" customHeight="1">
      <c r="A1081" s="63" t="s">
        <v>4905</v>
      </c>
      <c r="B1081" s="5">
        <v>43886.376388888886</v>
      </c>
      <c r="C1081" s="67"/>
    </row>
    <row r="1082" ht="15.75" customHeight="1">
      <c r="A1082" s="63" t="s">
        <v>5593</v>
      </c>
      <c r="B1082" s="5">
        <v>43886.302777777775</v>
      </c>
      <c r="C1082" s="67"/>
    </row>
    <row r="1083" ht="15.75" customHeight="1">
      <c r="A1083" s="63" t="s">
        <v>4908</v>
      </c>
      <c r="B1083" s="5">
        <v>43885.97361111111</v>
      </c>
      <c r="C1083" s="67"/>
    </row>
    <row r="1084" ht="15.75" customHeight="1">
      <c r="A1084" s="63" t="s">
        <v>4852</v>
      </c>
      <c r="B1084" s="5">
        <v>43885.67013888889</v>
      </c>
      <c r="C1084" s="67"/>
    </row>
    <row r="1085" ht="15.75" customHeight="1">
      <c r="A1085" s="63" t="s">
        <v>5594</v>
      </c>
      <c r="B1085" s="5">
        <v>43885.65555555555</v>
      </c>
      <c r="C1085" s="67"/>
    </row>
    <row r="1086" ht="15.75" customHeight="1">
      <c r="A1086" s="63" t="s">
        <v>5595</v>
      </c>
      <c r="B1086" s="5">
        <v>43885.61111111111</v>
      </c>
      <c r="C1086" s="67"/>
    </row>
    <row r="1087" ht="15.75" customHeight="1">
      <c r="A1087" s="63" t="s">
        <v>4909</v>
      </c>
      <c r="B1087" s="5">
        <v>43885.60208333333</v>
      </c>
      <c r="C1087" s="67"/>
    </row>
    <row r="1088" ht="15.75" customHeight="1">
      <c r="A1088" s="63" t="s">
        <v>4910</v>
      </c>
      <c r="B1088" s="5">
        <v>43885.54861111111</v>
      </c>
      <c r="C1088" s="67"/>
    </row>
    <row r="1089" ht="15.75" customHeight="1">
      <c r="A1089" s="63" t="s">
        <v>5596</v>
      </c>
      <c r="B1089" s="5">
        <v>43885.53958333333</v>
      </c>
      <c r="C1089" s="67"/>
    </row>
    <row r="1090" ht="15.75" customHeight="1">
      <c r="A1090" s="63" t="s">
        <v>4912</v>
      </c>
      <c r="B1090" s="5">
        <v>43885.47361111111</v>
      </c>
      <c r="C1090" s="67"/>
    </row>
    <row r="1091" ht="15.75" customHeight="1">
      <c r="A1091" s="63" t="s">
        <v>5755</v>
      </c>
      <c r="B1091" s="5">
        <v>43885.39722222222</v>
      </c>
      <c r="C1091" s="67"/>
    </row>
    <row r="1092" ht="15.75" customHeight="1">
      <c r="A1092" s="63" t="s">
        <v>4915</v>
      </c>
      <c r="B1092" s="5">
        <v>43885.32152777778</v>
      </c>
      <c r="C1092" s="67"/>
    </row>
    <row r="1093" ht="15.75" customHeight="1">
      <c r="A1093" s="63" t="s">
        <v>4917</v>
      </c>
      <c r="B1093" s="5">
        <v>43885.29027777778</v>
      </c>
      <c r="C1093" s="67"/>
    </row>
    <row r="1094" ht="15.75" customHeight="1">
      <c r="A1094" s="63" t="s">
        <v>5597</v>
      </c>
      <c r="B1094" s="5">
        <v>43885.27013888889</v>
      </c>
      <c r="C1094" s="67"/>
    </row>
    <row r="1095" ht="15.75" customHeight="1">
      <c r="A1095" s="63" t="s">
        <v>4918</v>
      </c>
      <c r="B1095" s="5">
        <v>43885.03055555555</v>
      </c>
      <c r="C1095" s="67"/>
    </row>
    <row r="1096" ht="15.75" customHeight="1">
      <c r="A1096" s="63" t="s">
        <v>4920</v>
      </c>
      <c r="B1096" s="5">
        <v>43884.90833333333</v>
      </c>
      <c r="C1096" s="67"/>
    </row>
    <row r="1097" ht="15.75" customHeight="1">
      <c r="A1097" s="63" t="s">
        <v>4921</v>
      </c>
      <c r="B1097" s="5">
        <v>43884.85277777778</v>
      </c>
      <c r="C1097" s="67"/>
    </row>
    <row r="1098" ht="15.75" customHeight="1">
      <c r="A1098" s="63" t="s">
        <v>5598</v>
      </c>
      <c r="B1098" s="5">
        <v>43884.025</v>
      </c>
      <c r="C1098" s="67"/>
    </row>
    <row r="1099" ht="15.75" customHeight="1">
      <c r="A1099" s="63" t="s">
        <v>4922</v>
      </c>
      <c r="B1099" s="5">
        <v>43883.839583333334</v>
      </c>
      <c r="C1099" s="67"/>
    </row>
    <row r="1100" ht="15.75" customHeight="1">
      <c r="A1100" s="63" t="s">
        <v>4761</v>
      </c>
      <c r="B1100" s="5">
        <v>43883.68472222222</v>
      </c>
      <c r="C1100" s="67"/>
    </row>
    <row r="1101" ht="15.75" customHeight="1">
      <c r="A1101" s="63" t="s">
        <v>5599</v>
      </c>
      <c r="B1101" s="5">
        <v>43883.68402777778</v>
      </c>
      <c r="C1101" s="67"/>
    </row>
    <row r="1102" ht="15.75" customHeight="1">
      <c r="A1102" s="63" t="s">
        <v>5600</v>
      </c>
      <c r="B1102" s="5">
        <v>43883.63958333333</v>
      </c>
      <c r="C1102" s="67"/>
    </row>
    <row r="1103" ht="15.75" customHeight="1">
      <c r="A1103" s="63" t="s">
        <v>5601</v>
      </c>
      <c r="B1103" s="5">
        <v>43883.57361111111</v>
      </c>
      <c r="C1103" s="67"/>
    </row>
    <row r="1104" ht="15.75" customHeight="1">
      <c r="A1104" s="63" t="s">
        <v>5602</v>
      </c>
      <c r="B1104" s="5">
        <v>43883.319444444445</v>
      </c>
      <c r="C1104" s="67"/>
    </row>
    <row r="1105" ht="15.75" customHeight="1">
      <c r="A1105" s="63" t="s">
        <v>4923</v>
      </c>
      <c r="B1105" s="5">
        <v>43883.13125</v>
      </c>
      <c r="C1105" s="67"/>
    </row>
    <row r="1106" ht="15.75" customHeight="1">
      <c r="A1106" s="63" t="s">
        <v>4924</v>
      </c>
      <c r="B1106" s="5">
        <v>43883.115277777775</v>
      </c>
      <c r="C1106" s="67"/>
    </row>
    <row r="1107" ht="15.75" customHeight="1">
      <c r="A1107" s="63" t="s">
        <v>1150</v>
      </c>
      <c r="B1107" s="5">
        <v>43882.74444444444</v>
      </c>
      <c r="C1107" s="67"/>
    </row>
    <row r="1108" ht="15.75" customHeight="1">
      <c r="A1108" s="63" t="s">
        <v>5603</v>
      </c>
      <c r="B1108" s="5">
        <v>43882.722916666666</v>
      </c>
      <c r="C1108" s="67"/>
    </row>
    <row r="1109" ht="15.75" customHeight="1">
      <c r="A1109" s="63" t="s">
        <v>4926</v>
      </c>
      <c r="B1109" s="5">
        <v>43882.697222222225</v>
      </c>
      <c r="C1109" s="67"/>
    </row>
    <row r="1110" ht="15.75" customHeight="1">
      <c r="A1110" s="63" t="s">
        <v>5604</v>
      </c>
      <c r="B1110" s="5">
        <v>43882.67847222222</v>
      </c>
      <c r="C1110" s="67"/>
    </row>
    <row r="1111" ht="15.75" customHeight="1">
      <c r="A1111" s="63" t="s">
        <v>5605</v>
      </c>
      <c r="B1111" s="5">
        <v>43882.67361111111</v>
      </c>
      <c r="C1111" s="67"/>
    </row>
    <row r="1112" ht="15.75" customHeight="1">
      <c r="A1112" s="63" t="s">
        <v>5606</v>
      </c>
      <c r="B1112" s="5">
        <v>43882.666666666664</v>
      </c>
      <c r="C1112" s="67"/>
    </row>
    <row r="1113" ht="15.75" customHeight="1">
      <c r="A1113" s="63" t="s">
        <v>310</v>
      </c>
      <c r="B1113" s="5">
        <v>43882.55069444444</v>
      </c>
      <c r="C1113" s="67"/>
    </row>
    <row r="1114" ht="15.75" customHeight="1">
      <c r="A1114" s="63" t="s">
        <v>4934</v>
      </c>
      <c r="B1114" s="5">
        <v>43882.345138888886</v>
      </c>
      <c r="C1114" s="67"/>
    </row>
    <row r="1115" ht="15.75" customHeight="1">
      <c r="A1115" s="63" t="s">
        <v>4387</v>
      </c>
      <c r="B1115" s="5">
        <v>43882.32152777778</v>
      </c>
      <c r="C1115" s="67"/>
    </row>
    <row r="1116" ht="15.75" customHeight="1">
      <c r="A1116" s="63" t="s">
        <v>4937</v>
      </c>
      <c r="B1116" s="5">
        <v>43881.97708333333</v>
      </c>
      <c r="C1116" s="67"/>
    </row>
    <row r="1117" ht="15.75" customHeight="1">
      <c r="A1117" s="63" t="s">
        <v>1768</v>
      </c>
      <c r="B1117" s="5">
        <v>43881.907638888886</v>
      </c>
      <c r="C1117" s="67"/>
    </row>
    <row r="1118" ht="15.75" customHeight="1">
      <c r="A1118" s="63" t="s">
        <v>5607</v>
      </c>
      <c r="B1118" s="5">
        <v>43881.561111111114</v>
      </c>
      <c r="C1118" s="67"/>
    </row>
    <row r="1119" ht="15.75" customHeight="1">
      <c r="A1119" s="63" t="s">
        <v>4939</v>
      </c>
      <c r="B1119" s="5">
        <v>43881.52013888889</v>
      </c>
      <c r="C1119" s="67"/>
    </row>
    <row r="1120" ht="15.75" customHeight="1">
      <c r="A1120" s="63" t="s">
        <v>619</v>
      </c>
      <c r="B1120" s="5">
        <v>43881.470138888886</v>
      </c>
      <c r="C1120" s="67"/>
    </row>
    <row r="1121" ht="15.75" customHeight="1">
      <c r="A1121" s="63" t="s">
        <v>5608</v>
      </c>
      <c r="B1121" s="5">
        <v>43880.85625</v>
      </c>
      <c r="C1121" s="67"/>
    </row>
    <row r="1122" ht="15.75" customHeight="1">
      <c r="A1122" s="63" t="s">
        <v>4945</v>
      </c>
      <c r="B1122" s="5">
        <v>43880.811111111114</v>
      </c>
      <c r="C1122" s="67"/>
    </row>
    <row r="1123" ht="15.75" customHeight="1">
      <c r="A1123" s="63" t="s">
        <v>4946</v>
      </c>
      <c r="B1123" s="5">
        <v>43880.71527777778</v>
      </c>
      <c r="C1123" s="67"/>
    </row>
    <row r="1124" ht="15.75" customHeight="1">
      <c r="A1124" s="63" t="s">
        <v>5609</v>
      </c>
      <c r="B1124" s="5">
        <v>43880.65625</v>
      </c>
      <c r="C1124" s="67"/>
    </row>
    <row r="1125" ht="15.75" customHeight="1">
      <c r="A1125" s="63" t="s">
        <v>4949</v>
      </c>
      <c r="B1125" s="5">
        <v>43880.57916666667</v>
      </c>
      <c r="C1125" s="67"/>
    </row>
    <row r="1126" ht="15.75" customHeight="1">
      <c r="A1126" s="63" t="s">
        <v>4950</v>
      </c>
      <c r="B1126" s="5">
        <v>43880.57083333333</v>
      </c>
      <c r="C1126" s="67"/>
    </row>
    <row r="1127" ht="15.75" customHeight="1">
      <c r="A1127" s="63" t="s">
        <v>4953</v>
      </c>
      <c r="B1127" s="5">
        <v>43879.947916666664</v>
      </c>
      <c r="C1127" s="67"/>
    </row>
    <row r="1128" ht="15.75" customHeight="1">
      <c r="A1128" s="63" t="s">
        <v>5610</v>
      </c>
      <c r="B1128" s="5">
        <v>43879.865277777775</v>
      </c>
      <c r="C1128" s="67"/>
    </row>
    <row r="1129" ht="15.75" customHeight="1">
      <c r="A1129" s="63" t="s">
        <v>4954</v>
      </c>
      <c r="B1129" s="5">
        <v>43879.865277777775</v>
      </c>
      <c r="C1129" s="67"/>
    </row>
    <row r="1130" ht="15.75" customHeight="1">
      <c r="A1130" s="63" t="s">
        <v>4957</v>
      </c>
      <c r="B1130" s="5">
        <v>43879.711805555555</v>
      </c>
      <c r="C1130" s="67"/>
    </row>
    <row r="1131" ht="15.75" customHeight="1">
      <c r="A1131" s="63" t="s">
        <v>4959</v>
      </c>
      <c r="B1131" s="5">
        <v>43879.663194444445</v>
      </c>
      <c r="C1131" s="67"/>
    </row>
    <row r="1132" ht="15.75" customHeight="1">
      <c r="A1132" s="63" t="s">
        <v>4960</v>
      </c>
      <c r="B1132" s="5">
        <v>43879.55763888889</v>
      </c>
      <c r="C1132" s="67"/>
    </row>
    <row r="1133" ht="15.75" customHeight="1">
      <c r="A1133" s="63" t="s">
        <v>5611</v>
      </c>
      <c r="B1133" s="5">
        <v>43879.50069444445</v>
      </c>
      <c r="C1133" s="67"/>
    </row>
    <row r="1134" ht="15.75" customHeight="1">
      <c r="A1134" s="63" t="s">
        <v>4962</v>
      </c>
      <c r="B1134" s="5">
        <v>43879.47777777778</v>
      </c>
      <c r="C1134" s="67"/>
    </row>
    <row r="1135" ht="15.75" customHeight="1">
      <c r="A1135" s="63" t="s">
        <v>3118</v>
      </c>
      <c r="B1135" s="5">
        <v>43879.464583333334</v>
      </c>
      <c r="C1135" s="67"/>
    </row>
    <row r="1136" ht="15.75" customHeight="1">
      <c r="A1136" s="63" t="s">
        <v>4965</v>
      </c>
      <c r="B1136" s="5">
        <v>43879.413194444445</v>
      </c>
      <c r="C1136" s="67"/>
    </row>
    <row r="1137" ht="15.75" customHeight="1">
      <c r="A1137" s="63" t="s">
        <v>5612</v>
      </c>
      <c r="B1137" s="5">
        <v>43878.78055555555</v>
      </c>
      <c r="C1137" s="67"/>
    </row>
    <row r="1138" ht="15.75" customHeight="1">
      <c r="A1138" s="63" t="s">
        <v>4970</v>
      </c>
      <c r="B1138" s="5">
        <v>43878.77361111111</v>
      </c>
      <c r="C1138" s="67"/>
    </row>
    <row r="1139" ht="15.75" customHeight="1">
      <c r="A1139" s="63" t="s">
        <v>1638</v>
      </c>
      <c r="B1139" s="5">
        <v>43878.711805555555</v>
      </c>
      <c r="C1139" s="67"/>
    </row>
    <row r="1140" ht="15.75" customHeight="1">
      <c r="A1140" s="63" t="s">
        <v>4020</v>
      </c>
      <c r="B1140" s="5">
        <v>43878.6625</v>
      </c>
      <c r="C1140" s="67"/>
    </row>
    <row r="1141" ht="15.75" customHeight="1">
      <c r="A1141" s="63" t="s">
        <v>5613</v>
      </c>
      <c r="B1141" s="5">
        <v>43878.63402777778</v>
      </c>
      <c r="C1141" s="67"/>
    </row>
    <row r="1142" ht="15.75" customHeight="1">
      <c r="A1142" s="63" t="s">
        <v>4972</v>
      </c>
      <c r="B1142" s="5">
        <v>43878.51875</v>
      </c>
      <c r="C1142" s="67"/>
    </row>
    <row r="1143" ht="15.75" customHeight="1">
      <c r="A1143" s="63" t="s">
        <v>3928</v>
      </c>
      <c r="B1143" s="5">
        <v>43878.45486111111</v>
      </c>
      <c r="C1143" s="67"/>
    </row>
    <row r="1144" ht="15.75" customHeight="1">
      <c r="A1144" s="63" t="s">
        <v>3208</v>
      </c>
      <c r="B1144" s="5">
        <v>43878.43472222222</v>
      </c>
      <c r="C1144" s="67"/>
    </row>
    <row r="1145" ht="15.75" customHeight="1">
      <c r="A1145" s="63" t="s">
        <v>4977</v>
      </c>
      <c r="B1145" s="5">
        <v>43878.427777777775</v>
      </c>
      <c r="C1145" s="67"/>
    </row>
    <row r="1146" ht="15.75" customHeight="1">
      <c r="A1146" s="63" t="s">
        <v>4911</v>
      </c>
      <c r="B1146" s="5">
        <v>43878.4</v>
      </c>
      <c r="C1146" s="67"/>
    </row>
    <row r="1147" ht="15.75" customHeight="1">
      <c r="A1147" s="63" t="s">
        <v>4981</v>
      </c>
      <c r="B1147" s="5">
        <v>43878.36875</v>
      </c>
      <c r="C1147" s="67"/>
    </row>
    <row r="1148" ht="15.75" customHeight="1">
      <c r="A1148" s="63" t="s">
        <v>2378</v>
      </c>
      <c r="B1148" s="5">
        <v>43878.33611111111</v>
      </c>
      <c r="C1148" s="67"/>
    </row>
    <row r="1149" ht="15.75" customHeight="1">
      <c r="A1149" s="63" t="s">
        <v>4986</v>
      </c>
      <c r="B1149" s="5">
        <v>43878.21875</v>
      </c>
      <c r="C1149" s="67"/>
    </row>
    <row r="1150" ht="15.75" customHeight="1">
      <c r="A1150" s="63" t="s">
        <v>4987</v>
      </c>
      <c r="B1150" s="5">
        <v>43877.854166666664</v>
      </c>
      <c r="C1150" s="67"/>
    </row>
    <row r="1151" ht="15.75" customHeight="1">
      <c r="A1151" s="63" t="s">
        <v>4988</v>
      </c>
      <c r="B1151" s="5">
        <v>43877.82847222222</v>
      </c>
      <c r="C1151" s="67"/>
    </row>
    <row r="1152" ht="15.75" customHeight="1">
      <c r="A1152" s="63" t="s">
        <v>4989</v>
      </c>
      <c r="B1152" s="5">
        <v>43877.78611111111</v>
      </c>
      <c r="C1152" s="67"/>
    </row>
    <row r="1153" ht="15.75" customHeight="1">
      <c r="A1153" s="63" t="s">
        <v>5756</v>
      </c>
      <c r="B1153" s="5">
        <v>43877.77777777778</v>
      </c>
      <c r="C1153" s="67"/>
    </row>
    <row r="1154" ht="15.75" customHeight="1">
      <c r="A1154" s="63" t="s">
        <v>4990</v>
      </c>
      <c r="B1154" s="5">
        <v>43877.73541666667</v>
      </c>
      <c r="C1154" s="67"/>
    </row>
    <row r="1155" ht="15.75" customHeight="1">
      <c r="A1155" s="63" t="s">
        <v>4995</v>
      </c>
      <c r="B1155" s="5">
        <v>43877.510416666664</v>
      </c>
      <c r="C1155" s="67"/>
    </row>
    <row r="1156" ht="15.75" customHeight="1">
      <c r="A1156" s="63" t="s">
        <v>5614</v>
      </c>
      <c r="B1156" s="5">
        <v>43877.42361111111</v>
      </c>
      <c r="C1156" s="67"/>
    </row>
    <row r="1157" ht="15.75" customHeight="1">
      <c r="A1157" s="63" t="s">
        <v>4997</v>
      </c>
      <c r="B1157" s="5">
        <v>43877.388194444444</v>
      </c>
      <c r="C1157" s="67"/>
    </row>
    <row r="1158" ht="15.75" customHeight="1">
      <c r="A1158" s="63" t="s">
        <v>5615</v>
      </c>
      <c r="B1158" s="5">
        <v>43876.92222222222</v>
      </c>
      <c r="C1158" s="67"/>
    </row>
    <row r="1159" ht="15.75" customHeight="1">
      <c r="A1159" s="63" t="s">
        <v>3230</v>
      </c>
      <c r="B1159" s="5">
        <v>43876.865277777775</v>
      </c>
      <c r="C1159" s="67"/>
    </row>
    <row r="1160" ht="15.75" customHeight="1">
      <c r="A1160" s="63" t="s">
        <v>5000</v>
      </c>
      <c r="B1160" s="5">
        <v>43876.805555555555</v>
      </c>
      <c r="C1160" s="67"/>
    </row>
    <row r="1161" ht="15.75" customHeight="1">
      <c r="A1161" s="63" t="s">
        <v>5001</v>
      </c>
      <c r="B1161" s="5">
        <v>43876.575</v>
      </c>
      <c r="C1161" s="67"/>
    </row>
    <row r="1162" ht="15.75" customHeight="1">
      <c r="A1162" s="63" t="s">
        <v>5003</v>
      </c>
      <c r="B1162" s="5">
        <v>43876.54652777778</v>
      </c>
      <c r="C1162" s="67"/>
    </row>
    <row r="1163" ht="15.75" customHeight="1">
      <c r="A1163" s="63" t="s">
        <v>5616</v>
      </c>
      <c r="B1163" s="5">
        <v>43876.52569444444</v>
      </c>
      <c r="C1163" s="67"/>
    </row>
    <row r="1164" ht="15.75" customHeight="1">
      <c r="A1164" s="63" t="s">
        <v>4826</v>
      </c>
      <c r="B1164" s="5">
        <v>43876.44027777778</v>
      </c>
      <c r="C1164" s="67"/>
    </row>
    <row r="1165" ht="15.75" customHeight="1">
      <c r="A1165" s="63" t="s">
        <v>5617</v>
      </c>
      <c r="B1165" s="5">
        <v>43876.399305555555</v>
      </c>
      <c r="C1165" s="67"/>
    </row>
    <row r="1166" ht="15.75" customHeight="1">
      <c r="A1166" s="63" t="s">
        <v>5004</v>
      </c>
      <c r="B1166" s="5">
        <v>43876.350694444445</v>
      </c>
      <c r="C1166" s="67"/>
    </row>
    <row r="1167" ht="15.75" customHeight="1">
      <c r="A1167" s="63" t="s">
        <v>5618</v>
      </c>
      <c r="B1167" s="5">
        <v>43876.07430555556</v>
      </c>
      <c r="C1167" s="67"/>
    </row>
    <row r="1168" ht="15.75" customHeight="1">
      <c r="A1168" s="63" t="s">
        <v>5619</v>
      </c>
      <c r="B1168" s="5">
        <v>43875.99652777778</v>
      </c>
      <c r="C1168" s="67"/>
    </row>
    <row r="1169" ht="15.75" customHeight="1">
      <c r="A1169" s="63" t="s">
        <v>5005</v>
      </c>
      <c r="B1169" s="5">
        <v>43875.888194444444</v>
      </c>
      <c r="C1169" s="67"/>
    </row>
    <row r="1170" ht="15.75" customHeight="1">
      <c r="A1170" s="63" t="s">
        <v>5620</v>
      </c>
      <c r="B1170" s="5">
        <v>43875.8875</v>
      </c>
      <c r="C1170" s="67"/>
    </row>
    <row r="1171" ht="15.75" customHeight="1">
      <c r="A1171" s="63" t="s">
        <v>5006</v>
      </c>
      <c r="B1171" s="5">
        <v>43875.80763888889</v>
      </c>
      <c r="C1171" s="67"/>
    </row>
    <row r="1172" ht="15.75" customHeight="1">
      <c r="A1172" s="63" t="s">
        <v>4952</v>
      </c>
      <c r="B1172" s="5">
        <v>43875.72777777778</v>
      </c>
      <c r="C1172" s="67"/>
    </row>
    <row r="1173" ht="15.75" customHeight="1">
      <c r="A1173" s="63" t="s">
        <v>5621</v>
      </c>
      <c r="B1173" s="5">
        <v>43875.55</v>
      </c>
      <c r="C1173" s="67"/>
    </row>
    <row r="1174" ht="15.75" customHeight="1">
      <c r="A1174" s="63" t="s">
        <v>5010</v>
      </c>
      <c r="B1174" s="5">
        <v>43875.53472222222</v>
      </c>
      <c r="C1174" s="67"/>
    </row>
    <row r="1175" ht="15.75" customHeight="1">
      <c r="A1175" s="63" t="s">
        <v>5011</v>
      </c>
      <c r="B1175" s="5">
        <v>43875.50902777778</v>
      </c>
      <c r="C1175" s="67"/>
    </row>
    <row r="1176" ht="15.75" customHeight="1">
      <c r="A1176" s="63" t="s">
        <v>3309</v>
      </c>
      <c r="B1176" s="5">
        <v>43875.49097222222</v>
      </c>
      <c r="C1176" s="67"/>
    </row>
    <row r="1177" ht="15.75" customHeight="1">
      <c r="A1177" s="63" t="s">
        <v>5012</v>
      </c>
      <c r="B1177" s="5">
        <v>43875.47708333333</v>
      </c>
      <c r="C1177" s="67"/>
    </row>
    <row r="1178" ht="15.75" customHeight="1">
      <c r="A1178" s="63" t="s">
        <v>5014</v>
      </c>
      <c r="B1178" s="5">
        <v>43875.464583333334</v>
      </c>
      <c r="C1178" s="67"/>
    </row>
    <row r="1179" ht="15.75" customHeight="1">
      <c r="A1179" s="63" t="s">
        <v>5622</v>
      </c>
      <c r="B1179" s="5">
        <v>43875.45277777778</v>
      </c>
      <c r="C1179" s="67"/>
    </row>
    <row r="1180" ht="15.75" customHeight="1">
      <c r="A1180" s="63" t="s">
        <v>5623</v>
      </c>
      <c r="B1180" s="5">
        <v>43875.39861111111</v>
      </c>
      <c r="C1180" s="67"/>
    </row>
    <row r="1181" ht="15.75" customHeight="1">
      <c r="A1181" s="63" t="s">
        <v>5019</v>
      </c>
      <c r="B1181" s="5">
        <v>43875.34097222222</v>
      </c>
      <c r="C1181" s="67"/>
    </row>
    <row r="1182" ht="15.75" customHeight="1">
      <c r="A1182" s="63" t="s">
        <v>5624</v>
      </c>
      <c r="B1182" s="5">
        <v>43875.32916666667</v>
      </c>
      <c r="C1182" s="67"/>
    </row>
    <row r="1183" ht="15.75" customHeight="1">
      <c r="A1183" s="63" t="s">
        <v>1503</v>
      </c>
      <c r="B1183" s="5">
        <v>43874.96666666667</v>
      </c>
      <c r="C1183" s="67"/>
    </row>
    <row r="1184" ht="15.75" customHeight="1">
      <c r="A1184" s="63" t="s">
        <v>5625</v>
      </c>
      <c r="B1184" s="5">
        <v>43874.95208333333</v>
      </c>
      <c r="C1184" s="67"/>
    </row>
    <row r="1185" ht="15.75" customHeight="1">
      <c r="A1185" s="63" t="s">
        <v>5626</v>
      </c>
      <c r="B1185" s="5">
        <v>43874.92986111111</v>
      </c>
      <c r="C1185" s="67"/>
    </row>
    <row r="1186" ht="15.75" customHeight="1">
      <c r="A1186" s="63" t="s">
        <v>5021</v>
      </c>
      <c r="B1186" s="5">
        <v>43874.868055555555</v>
      </c>
      <c r="C1186" s="67"/>
    </row>
    <row r="1187" ht="15.75" customHeight="1">
      <c r="A1187" s="63" t="s">
        <v>4973</v>
      </c>
      <c r="B1187" s="5">
        <v>43874.83263888889</v>
      </c>
      <c r="C1187" s="67"/>
    </row>
    <row r="1188" ht="15.75" customHeight="1">
      <c r="A1188" s="63" t="s">
        <v>5022</v>
      </c>
      <c r="B1188" s="5">
        <v>43874.80138888889</v>
      </c>
      <c r="C1188" s="67"/>
    </row>
    <row r="1189" ht="15.75" customHeight="1">
      <c r="A1189" s="63" t="s">
        <v>767</v>
      </c>
      <c r="B1189" s="5">
        <v>43874.77638888889</v>
      </c>
      <c r="C1189" s="67"/>
    </row>
    <row r="1190" ht="15.75" customHeight="1">
      <c r="A1190" s="63" t="s">
        <v>5627</v>
      </c>
      <c r="B1190" s="5">
        <v>43874.60486111111</v>
      </c>
      <c r="C1190" s="67"/>
    </row>
    <row r="1191" ht="15.75" customHeight="1">
      <c r="A1191" s="63" t="s">
        <v>5023</v>
      </c>
      <c r="B1191" s="5">
        <v>43874.56805555556</v>
      </c>
      <c r="C1191" s="67"/>
    </row>
    <row r="1192" ht="15.75" customHeight="1">
      <c r="A1192" s="63" t="s">
        <v>1127</v>
      </c>
      <c r="B1192" s="5">
        <v>43874.52361111111</v>
      </c>
      <c r="C1192" s="67"/>
    </row>
    <row r="1193" ht="15.75" customHeight="1">
      <c r="A1193" s="63" t="s">
        <v>5025</v>
      </c>
      <c r="B1193" s="5">
        <v>43874.51666666667</v>
      </c>
      <c r="C1193" s="67"/>
    </row>
    <row r="1194" ht="15.75" customHeight="1">
      <c r="A1194" s="63" t="s">
        <v>5024</v>
      </c>
      <c r="B1194" s="5">
        <v>43874.51527777778</v>
      </c>
      <c r="C1194" s="67"/>
    </row>
    <row r="1195" ht="15.75" customHeight="1">
      <c r="A1195" s="63" t="s">
        <v>2151</v>
      </c>
      <c r="B1195" s="5">
        <v>43874.28194444445</v>
      </c>
      <c r="C1195" s="67"/>
    </row>
    <row r="1196" ht="15.75" customHeight="1">
      <c r="A1196" s="63" t="s">
        <v>4943</v>
      </c>
      <c r="B1196" s="5">
        <v>43873.93125</v>
      </c>
      <c r="C1196" s="67"/>
    </row>
    <row r="1197" ht="15.75" customHeight="1">
      <c r="A1197" s="63" t="s">
        <v>5029</v>
      </c>
      <c r="B1197" s="5">
        <v>43873.86666666667</v>
      </c>
      <c r="C1197" s="67"/>
    </row>
    <row r="1198" ht="15.75" customHeight="1">
      <c r="A1198" s="63" t="s">
        <v>5030</v>
      </c>
      <c r="B1198" s="5">
        <v>43873.856944444444</v>
      </c>
      <c r="C1198" s="67"/>
    </row>
    <row r="1199" ht="15.75" customHeight="1">
      <c r="A1199" s="63" t="s">
        <v>5031</v>
      </c>
      <c r="B1199" s="5">
        <v>43873.62847222222</v>
      </c>
      <c r="C1199" s="67"/>
    </row>
    <row r="1200" ht="15.75" customHeight="1">
      <c r="A1200" s="63" t="s">
        <v>5032</v>
      </c>
      <c r="B1200" s="5">
        <v>43873.60277777778</v>
      </c>
      <c r="C1200" s="67"/>
    </row>
    <row r="1201" ht="15.75" customHeight="1">
      <c r="A1201" s="63" t="s">
        <v>5628</v>
      </c>
      <c r="B1201" s="5">
        <v>43873.58263888889</v>
      </c>
      <c r="C1201" s="67"/>
    </row>
    <row r="1202" ht="15.75" customHeight="1">
      <c r="A1202" s="63" t="s">
        <v>5033</v>
      </c>
      <c r="B1202" s="5">
        <v>43873.55972222222</v>
      </c>
      <c r="C1202" s="67"/>
    </row>
    <row r="1203" ht="15.75" customHeight="1">
      <c r="A1203" s="63" t="s">
        <v>5034</v>
      </c>
      <c r="B1203" s="5">
        <v>43873.49930555555</v>
      </c>
      <c r="C1203" s="67"/>
    </row>
    <row r="1204" ht="15.75" customHeight="1">
      <c r="A1204" s="63" t="s">
        <v>5035</v>
      </c>
      <c r="B1204" s="5">
        <v>43873.42916666667</v>
      </c>
      <c r="C1204" s="67"/>
    </row>
    <row r="1205" ht="15.75" customHeight="1">
      <c r="A1205" s="63" t="s">
        <v>5036</v>
      </c>
      <c r="B1205" s="5">
        <v>43873.28472222222</v>
      </c>
      <c r="C1205" s="67"/>
    </row>
    <row r="1206" ht="15.75" customHeight="1">
      <c r="A1206" s="63" t="s">
        <v>5037</v>
      </c>
      <c r="B1206" s="5">
        <v>43873.03402777778</v>
      </c>
      <c r="C1206" s="67"/>
    </row>
    <row r="1207" ht="15.75" customHeight="1">
      <c r="A1207" s="63" t="s">
        <v>5038</v>
      </c>
      <c r="B1207" s="5">
        <v>43872.92291666667</v>
      </c>
      <c r="C1207" s="67"/>
    </row>
    <row r="1208" ht="15.75" customHeight="1">
      <c r="A1208" s="63" t="s">
        <v>2219</v>
      </c>
      <c r="B1208" s="5">
        <v>43872.78611111111</v>
      </c>
      <c r="C1208" s="67"/>
    </row>
    <row r="1209" ht="15.75" customHeight="1">
      <c r="A1209" s="63" t="s">
        <v>5039</v>
      </c>
      <c r="B1209" s="5">
        <v>43872.74166666667</v>
      </c>
      <c r="C1209" s="67"/>
    </row>
    <row r="1210" ht="15.75" customHeight="1">
      <c r="A1210" s="63" t="s">
        <v>5040</v>
      </c>
      <c r="B1210" s="5">
        <v>43872.711805555555</v>
      </c>
      <c r="C1210" s="67"/>
    </row>
    <row r="1211" ht="15.75" customHeight="1">
      <c r="A1211" s="63" t="s">
        <v>5041</v>
      </c>
      <c r="B1211" s="5">
        <v>43872.68680555555</v>
      </c>
      <c r="C1211" s="67"/>
    </row>
    <row r="1212" ht="15.75" customHeight="1">
      <c r="A1212" s="63" t="s">
        <v>3299</v>
      </c>
      <c r="B1212" s="5">
        <v>43872.62708333333</v>
      </c>
      <c r="C1212" s="67"/>
    </row>
    <row r="1213" ht="15.75" customHeight="1">
      <c r="A1213" s="63" t="s">
        <v>4544</v>
      </c>
      <c r="B1213" s="5">
        <v>43872.62152777778</v>
      </c>
      <c r="C1213" s="67"/>
    </row>
    <row r="1214" ht="15.75" customHeight="1">
      <c r="A1214" s="63" t="s">
        <v>5629</v>
      </c>
      <c r="B1214" s="5">
        <v>43872.59652777778</v>
      </c>
      <c r="C1214" s="67"/>
    </row>
    <row r="1215" ht="15.75" customHeight="1">
      <c r="A1215" s="63" t="s">
        <v>5630</v>
      </c>
      <c r="B1215" s="5">
        <v>43872.538194444445</v>
      </c>
      <c r="C1215" s="67"/>
    </row>
    <row r="1216" ht="15.75" customHeight="1">
      <c r="A1216" s="63" t="s">
        <v>5042</v>
      </c>
      <c r="B1216" s="5">
        <v>43872.52638888889</v>
      </c>
      <c r="C1216" s="67"/>
    </row>
    <row r="1217" ht="15.75" customHeight="1">
      <c r="A1217" s="63" t="s">
        <v>4699</v>
      </c>
      <c r="B1217" s="5">
        <v>43872.4625</v>
      </c>
      <c r="C1217" s="67"/>
    </row>
    <row r="1218" ht="15.75" customHeight="1">
      <c r="A1218" s="63" t="s">
        <v>3241</v>
      </c>
      <c r="B1218" s="5">
        <v>43872.4125</v>
      </c>
      <c r="C1218" s="67"/>
    </row>
    <row r="1219" ht="15.75" customHeight="1">
      <c r="A1219" s="63" t="s">
        <v>3868</v>
      </c>
      <c r="B1219" s="5">
        <v>43872.402083333334</v>
      </c>
      <c r="C1219" s="67"/>
    </row>
    <row r="1220" ht="15.75" customHeight="1">
      <c r="A1220" s="63" t="s">
        <v>1928</v>
      </c>
      <c r="B1220" s="5">
        <v>43871.927083333336</v>
      </c>
      <c r="C1220" s="67"/>
    </row>
    <row r="1221" ht="15.75" customHeight="1">
      <c r="A1221" s="63" t="s">
        <v>5045</v>
      </c>
      <c r="B1221" s="5">
        <v>43871.90347222222</v>
      </c>
      <c r="C1221" s="67"/>
    </row>
    <row r="1222" ht="15.75" customHeight="1">
      <c r="A1222" s="63" t="s">
        <v>1593</v>
      </c>
      <c r="B1222" s="5">
        <v>43871.569444444445</v>
      </c>
      <c r="C1222" s="67"/>
    </row>
    <row r="1223" ht="15.75" customHeight="1">
      <c r="A1223" s="63" t="s">
        <v>5049</v>
      </c>
      <c r="B1223" s="5">
        <v>43871.549305555556</v>
      </c>
      <c r="C1223" s="67"/>
    </row>
    <row r="1224" ht="15.75" customHeight="1">
      <c r="A1224" s="63" t="s">
        <v>4156</v>
      </c>
      <c r="B1224" s="5">
        <v>43871.46111111111</v>
      </c>
      <c r="C1224" s="67"/>
    </row>
    <row r="1225" ht="15.75" customHeight="1">
      <c r="A1225" s="63" t="s">
        <v>574</v>
      </c>
      <c r="B1225" s="5">
        <v>43871.39236111111</v>
      </c>
      <c r="C1225" s="67"/>
    </row>
    <row r="1226" ht="15.75" customHeight="1">
      <c r="A1226" s="63" t="s">
        <v>5054</v>
      </c>
      <c r="B1226" s="5">
        <v>43870.95416666667</v>
      </c>
      <c r="C1226" s="67"/>
    </row>
    <row r="1227" ht="15.75" customHeight="1">
      <c r="A1227" s="63" t="s">
        <v>5055</v>
      </c>
      <c r="B1227" s="5">
        <v>43870.91111111111</v>
      </c>
      <c r="C1227" s="67"/>
    </row>
    <row r="1228" ht="15.75" customHeight="1">
      <c r="A1228" s="63" t="s">
        <v>5057</v>
      </c>
      <c r="B1228" s="5">
        <v>43870.873611111114</v>
      </c>
      <c r="C1228" s="67"/>
    </row>
    <row r="1229" ht="15.75" customHeight="1">
      <c r="A1229" s="63" t="s">
        <v>5631</v>
      </c>
      <c r="B1229" s="5">
        <v>43870.82152777778</v>
      </c>
      <c r="C1229" s="67"/>
    </row>
    <row r="1230" ht="15.75" customHeight="1">
      <c r="A1230" s="63" t="s">
        <v>5058</v>
      </c>
      <c r="B1230" s="5">
        <v>43870.66805555556</v>
      </c>
      <c r="C1230" s="67"/>
    </row>
    <row r="1231" ht="15.75" customHeight="1">
      <c r="A1231" s="63" t="s">
        <v>5060</v>
      </c>
      <c r="B1231" s="5">
        <v>43870.399305555555</v>
      </c>
      <c r="C1231" s="67"/>
    </row>
    <row r="1232" ht="15.75" customHeight="1">
      <c r="A1232" s="63" t="s">
        <v>5632</v>
      </c>
      <c r="B1232" s="5">
        <v>43869.853472222225</v>
      </c>
      <c r="C1232" s="67"/>
    </row>
    <row r="1233" ht="15.75" customHeight="1">
      <c r="A1233" s="63" t="s">
        <v>5633</v>
      </c>
      <c r="B1233" s="5">
        <v>43869.78888888889</v>
      </c>
      <c r="C1233" s="67"/>
    </row>
    <row r="1234" ht="15.75" customHeight="1">
      <c r="A1234" s="63" t="s">
        <v>4548</v>
      </c>
      <c r="B1234" s="5">
        <v>43869.75555555556</v>
      </c>
      <c r="C1234" s="67"/>
    </row>
    <row r="1235" ht="15.75" customHeight="1">
      <c r="A1235" s="63" t="s">
        <v>5634</v>
      </c>
      <c r="B1235" s="5">
        <v>43869.56041666667</v>
      </c>
      <c r="C1235" s="67"/>
    </row>
    <row r="1236" ht="15.75" customHeight="1">
      <c r="A1236" s="63" t="s">
        <v>2754</v>
      </c>
      <c r="B1236" s="5">
        <v>43869.43541666667</v>
      </c>
      <c r="C1236" s="67"/>
    </row>
    <row r="1237" ht="15.75" customHeight="1">
      <c r="A1237" s="63" t="s">
        <v>5061</v>
      </c>
      <c r="B1237" s="5">
        <v>43869.32152777778</v>
      </c>
      <c r="C1237" s="67"/>
    </row>
    <row r="1238" ht="15.75" customHeight="1">
      <c r="A1238" s="63" t="s">
        <v>5063</v>
      </c>
      <c r="B1238" s="5">
        <v>43868.947222222225</v>
      </c>
      <c r="C1238" s="67"/>
    </row>
    <row r="1239" ht="15.75" customHeight="1">
      <c r="A1239" s="63" t="s">
        <v>5067</v>
      </c>
      <c r="B1239" s="5">
        <v>43868.56319444445</v>
      </c>
      <c r="C1239" s="67"/>
    </row>
    <row r="1240" ht="15.75" customHeight="1">
      <c r="A1240" s="63" t="s">
        <v>5635</v>
      </c>
      <c r="B1240" s="5">
        <v>43868.54861111111</v>
      </c>
      <c r="C1240" s="67"/>
    </row>
    <row r="1241" ht="15.75" customHeight="1">
      <c r="A1241" s="63" t="s">
        <v>1714</v>
      </c>
      <c r="B1241" s="5">
        <v>43868.40347222222</v>
      </c>
      <c r="C1241" s="67"/>
    </row>
    <row r="1242" ht="15.75" customHeight="1">
      <c r="A1242" s="63" t="s">
        <v>5071</v>
      </c>
      <c r="B1242" s="5">
        <v>43868.365277777775</v>
      </c>
      <c r="C1242" s="67"/>
    </row>
    <row r="1243" ht="15.75" customHeight="1">
      <c r="A1243" s="63" t="s">
        <v>5072</v>
      </c>
      <c r="B1243" s="5">
        <v>43868.05416666667</v>
      </c>
      <c r="C1243" s="67"/>
    </row>
    <row r="1244" ht="15.75" customHeight="1">
      <c r="A1244" s="63" t="s">
        <v>4598</v>
      </c>
      <c r="B1244" s="5">
        <v>43867.975694444445</v>
      </c>
      <c r="C1244" s="67"/>
    </row>
    <row r="1245" ht="15.75" customHeight="1">
      <c r="A1245" s="63" t="s">
        <v>4244</v>
      </c>
      <c r="B1245" s="5">
        <v>43867.91111111111</v>
      </c>
      <c r="C1245" s="67"/>
    </row>
    <row r="1246" ht="15.75" customHeight="1">
      <c r="A1246" s="63" t="s">
        <v>5636</v>
      </c>
      <c r="B1246" s="5">
        <v>43867.84444444445</v>
      </c>
      <c r="C1246" s="67"/>
    </row>
    <row r="1247" ht="15.75" customHeight="1">
      <c r="A1247" s="63" t="s">
        <v>4820</v>
      </c>
      <c r="B1247" s="5">
        <v>43867.81041666667</v>
      </c>
      <c r="C1247" s="67"/>
    </row>
    <row r="1248" ht="15.75" customHeight="1">
      <c r="A1248" s="63" t="s">
        <v>4609</v>
      </c>
      <c r="B1248" s="5">
        <v>43867.69583333333</v>
      </c>
      <c r="C1248" s="67"/>
    </row>
    <row r="1249" ht="15.75" customHeight="1">
      <c r="A1249" s="63" t="s">
        <v>5074</v>
      </c>
      <c r="B1249" s="5">
        <v>43867.597916666666</v>
      </c>
      <c r="C1249" s="67"/>
    </row>
    <row r="1250" ht="15.75" customHeight="1">
      <c r="A1250" s="63" t="s">
        <v>4697</v>
      </c>
      <c r="B1250" s="5">
        <v>43867.45763888889</v>
      </c>
      <c r="C1250" s="67"/>
    </row>
    <row r="1251" ht="15.75" customHeight="1">
      <c r="A1251" s="63" t="s">
        <v>4788</v>
      </c>
      <c r="B1251" s="5">
        <v>43867.45347222222</v>
      </c>
      <c r="C1251" s="67"/>
    </row>
    <row r="1252" ht="15.75" customHeight="1">
      <c r="A1252" s="63" t="s">
        <v>3367</v>
      </c>
      <c r="B1252" s="5">
        <v>43867.41875</v>
      </c>
      <c r="C1252" s="67"/>
    </row>
    <row r="1253" ht="15.75" customHeight="1">
      <c r="A1253" s="63" t="s">
        <v>4650</v>
      </c>
      <c r="B1253" s="5">
        <v>43867.37430555555</v>
      </c>
      <c r="C1253" s="67"/>
    </row>
    <row r="1254" ht="15.75" customHeight="1">
      <c r="A1254" s="63" t="s">
        <v>5637</v>
      </c>
      <c r="B1254" s="5">
        <v>43867.025</v>
      </c>
      <c r="C1254" s="67"/>
    </row>
    <row r="1255" ht="15.75" customHeight="1">
      <c r="A1255" s="63" t="s">
        <v>1138</v>
      </c>
      <c r="B1255" s="5">
        <v>43866.89791666667</v>
      </c>
      <c r="C1255" s="67"/>
    </row>
    <row r="1256" ht="15.75" customHeight="1">
      <c r="A1256" s="63" t="s">
        <v>5638</v>
      </c>
      <c r="B1256" s="5">
        <v>43866.82847222222</v>
      </c>
      <c r="C1256" s="67"/>
    </row>
    <row r="1257" ht="15.75" customHeight="1">
      <c r="A1257" s="63" t="s">
        <v>5639</v>
      </c>
      <c r="B1257" s="5">
        <v>43866.73541666667</v>
      </c>
      <c r="C1257" s="67"/>
    </row>
    <row r="1258" ht="15.75" customHeight="1">
      <c r="A1258" s="63" t="s">
        <v>830</v>
      </c>
      <c r="B1258" s="5">
        <v>43866.61041666667</v>
      </c>
      <c r="C1258" s="67"/>
    </row>
    <row r="1259" ht="15.75" customHeight="1">
      <c r="A1259" s="63" t="s">
        <v>3062</v>
      </c>
      <c r="B1259" s="5">
        <v>43866.520833333336</v>
      </c>
      <c r="C1259" s="67"/>
    </row>
    <row r="1260" ht="15.75" customHeight="1">
      <c r="A1260" s="63" t="s">
        <v>398</v>
      </c>
      <c r="B1260" s="5">
        <v>43866.40416666667</v>
      </c>
      <c r="C1260" s="67"/>
    </row>
    <row r="1261" ht="15.75" customHeight="1">
      <c r="A1261" s="63" t="s">
        <v>5640</v>
      </c>
      <c r="B1261" s="5">
        <v>43866.39722222222</v>
      </c>
      <c r="C1261" s="67"/>
    </row>
    <row r="1262" ht="15.75" customHeight="1">
      <c r="A1262" s="63" t="s">
        <v>5015</v>
      </c>
      <c r="B1262" s="5">
        <v>43866.36041666667</v>
      </c>
      <c r="C1262" s="67"/>
    </row>
    <row r="1263" ht="15.75" customHeight="1">
      <c r="A1263" s="63" t="s">
        <v>5641</v>
      </c>
      <c r="B1263" s="5">
        <v>43866.35555555556</v>
      </c>
      <c r="C1263" s="67"/>
    </row>
    <row r="1264" ht="15.75" customHeight="1">
      <c r="A1264" s="63" t="s">
        <v>5642</v>
      </c>
      <c r="B1264" s="5">
        <v>43866.31319444445</v>
      </c>
      <c r="C1264" s="67"/>
    </row>
    <row r="1265" ht="15.75" customHeight="1">
      <c r="A1265" s="63" t="s">
        <v>5095</v>
      </c>
      <c r="B1265" s="5">
        <v>43865.92569444444</v>
      </c>
      <c r="C1265" s="67"/>
    </row>
    <row r="1266" ht="15.75" customHeight="1">
      <c r="A1266" s="63" t="s">
        <v>742</v>
      </c>
      <c r="B1266" s="5">
        <v>43865.81180555555</v>
      </c>
      <c r="C1266" s="67"/>
    </row>
    <row r="1267" ht="15.75" customHeight="1">
      <c r="A1267" s="63" t="s">
        <v>5052</v>
      </c>
      <c r="B1267" s="5">
        <v>43865.75833333333</v>
      </c>
      <c r="C1267" s="67"/>
    </row>
    <row r="1268" ht="15.75" customHeight="1">
      <c r="A1268" s="63" t="s">
        <v>4808</v>
      </c>
      <c r="B1268" s="5">
        <v>43865.71666666667</v>
      </c>
      <c r="C1268" s="67"/>
    </row>
    <row r="1269" ht="15.75" customHeight="1">
      <c r="A1269" s="63" t="s">
        <v>5643</v>
      </c>
      <c r="B1269" s="5">
        <v>43865.64722222222</v>
      </c>
      <c r="C1269" s="67"/>
    </row>
    <row r="1270" ht="15.75" customHeight="1">
      <c r="A1270" s="63" t="s">
        <v>5644</v>
      </c>
      <c r="B1270" s="5">
        <v>43865.64444444444</v>
      </c>
      <c r="C1270" s="67"/>
    </row>
    <row r="1271" ht="15.75" customHeight="1">
      <c r="A1271" s="63" t="s">
        <v>5645</v>
      </c>
      <c r="B1271" s="5">
        <v>43865.62847222222</v>
      </c>
      <c r="C1271" s="67"/>
    </row>
    <row r="1272" ht="15.75" customHeight="1">
      <c r="A1272" s="63" t="s">
        <v>5646</v>
      </c>
      <c r="B1272" s="5">
        <v>43865.61944444444</v>
      </c>
      <c r="C1272" s="67"/>
    </row>
    <row r="1273" ht="15.75" customHeight="1">
      <c r="A1273" s="63" t="s">
        <v>5099</v>
      </c>
      <c r="B1273" s="5">
        <v>43865.52569444444</v>
      </c>
      <c r="C1273" s="67"/>
    </row>
    <row r="1274" ht="15.75" customHeight="1">
      <c r="A1274" s="63" t="s">
        <v>3444</v>
      </c>
      <c r="B1274" s="5">
        <v>43865.46388888889</v>
      </c>
      <c r="C1274" s="67"/>
    </row>
    <row r="1275" ht="15.75" customHeight="1">
      <c r="A1275" s="63" t="s">
        <v>1648</v>
      </c>
      <c r="B1275" s="5">
        <v>43865.46319444444</v>
      </c>
      <c r="C1275" s="67"/>
    </row>
    <row r="1276" ht="15.75" customHeight="1">
      <c r="A1276" s="63" t="s">
        <v>616</v>
      </c>
      <c r="B1276" s="5">
        <v>43865.46041666667</v>
      </c>
      <c r="C1276" s="67"/>
    </row>
    <row r="1277" ht="15.75" customHeight="1">
      <c r="A1277" s="63" t="s">
        <v>2394</v>
      </c>
      <c r="B1277" s="5">
        <v>43865.438888888886</v>
      </c>
      <c r="C1277" s="67"/>
    </row>
    <row r="1278" ht="15.75" customHeight="1">
      <c r="A1278" s="63" t="s">
        <v>1710</v>
      </c>
      <c r="B1278" s="5">
        <v>43865.36319444444</v>
      </c>
      <c r="C1278" s="67"/>
    </row>
    <row r="1279" ht="15.75" customHeight="1">
      <c r="A1279" s="63" t="s">
        <v>1304</v>
      </c>
      <c r="B1279" s="5">
        <v>43865.36041666667</v>
      </c>
      <c r="C1279" s="67"/>
    </row>
    <row r="1280" ht="15.75" customHeight="1">
      <c r="A1280" s="63" t="s">
        <v>5017</v>
      </c>
      <c r="B1280" s="5">
        <v>43865.07986111111</v>
      </c>
      <c r="C1280" s="67"/>
    </row>
    <row r="1281" ht="15.75" customHeight="1">
      <c r="A1281" s="63" t="s">
        <v>2314</v>
      </c>
      <c r="B1281" s="5">
        <v>43864.9</v>
      </c>
      <c r="C1281" s="67"/>
    </row>
    <row r="1282" ht="15.75" customHeight="1">
      <c r="A1282" s="63" t="s">
        <v>1192</v>
      </c>
      <c r="B1282" s="5">
        <v>43864.64166666667</v>
      </c>
      <c r="C1282" s="67"/>
    </row>
    <row r="1283" ht="15.75" customHeight="1">
      <c r="A1283" s="63" t="s">
        <v>4716</v>
      </c>
      <c r="B1283" s="5">
        <v>43864.64027777778</v>
      </c>
      <c r="C1283" s="67"/>
    </row>
    <row r="1284" ht="15.75" customHeight="1">
      <c r="A1284" s="63" t="s">
        <v>4816</v>
      </c>
      <c r="B1284" s="5">
        <v>43864.455555555556</v>
      </c>
      <c r="C1284" s="67"/>
    </row>
    <row r="1285" ht="15.75" customHeight="1">
      <c r="A1285" s="63" t="s">
        <v>5108</v>
      </c>
      <c r="B1285" s="5">
        <v>43864.44236111111</v>
      </c>
      <c r="C1285" s="67"/>
    </row>
    <row r="1286" ht="15.75" customHeight="1">
      <c r="A1286" s="63" t="s">
        <v>5647</v>
      </c>
      <c r="B1286" s="5">
        <v>43863.915972222225</v>
      </c>
      <c r="C1286" s="67"/>
    </row>
    <row r="1287" ht="15.75" customHeight="1">
      <c r="A1287" s="63" t="s">
        <v>5648</v>
      </c>
      <c r="B1287" s="5">
        <v>43863.80069444444</v>
      </c>
      <c r="C1287" s="67"/>
    </row>
    <row r="1288" ht="15.75" customHeight="1">
      <c r="A1288" s="63" t="s">
        <v>5111</v>
      </c>
      <c r="B1288" s="5">
        <v>43863.79027777778</v>
      </c>
      <c r="C1288" s="67"/>
    </row>
    <row r="1289" ht="15.75" customHeight="1">
      <c r="A1289" s="63" t="s">
        <v>5649</v>
      </c>
      <c r="B1289" s="5">
        <v>43863.72430555556</v>
      </c>
      <c r="C1289" s="67"/>
    </row>
    <row r="1290" ht="15.75" customHeight="1">
      <c r="A1290" s="63" t="s">
        <v>5650</v>
      </c>
      <c r="B1290" s="5">
        <v>43863.53055555555</v>
      </c>
      <c r="C1290" s="67"/>
    </row>
    <row r="1291" ht="15.75" customHeight="1">
      <c r="A1291" s="63" t="s">
        <v>5651</v>
      </c>
      <c r="B1291" s="5">
        <v>43863.13611111111</v>
      </c>
      <c r="C1291" s="67"/>
    </row>
    <row r="1292" ht="15.75" customHeight="1">
      <c r="A1292" s="63" t="s">
        <v>4772</v>
      </c>
      <c r="B1292" s="5">
        <v>43863.09097222222</v>
      </c>
      <c r="C1292" s="67"/>
    </row>
    <row r="1293" ht="15.75" customHeight="1">
      <c r="A1293" s="63" t="s">
        <v>5652</v>
      </c>
      <c r="B1293" s="5">
        <v>43862.990277777775</v>
      </c>
      <c r="C1293" s="67"/>
    </row>
    <row r="1294" ht="15.75" customHeight="1">
      <c r="A1294" s="63" t="s">
        <v>5653</v>
      </c>
      <c r="B1294" s="5">
        <v>43862.86041666667</v>
      </c>
      <c r="C1294" s="67"/>
    </row>
    <row r="1295" ht="15.75" customHeight="1">
      <c r="A1295" s="63" t="s">
        <v>5654</v>
      </c>
      <c r="B1295" s="5">
        <v>43862.854166666664</v>
      </c>
      <c r="C1295" s="67"/>
    </row>
    <row r="1296" ht="15.75" customHeight="1">
      <c r="A1296" s="63" t="s">
        <v>5655</v>
      </c>
      <c r="B1296" s="5">
        <v>43862.623611111114</v>
      </c>
      <c r="C1296" s="67"/>
    </row>
    <row r="1297" ht="15.75" customHeight="1">
      <c r="A1297" s="63" t="s">
        <v>5656</v>
      </c>
      <c r="B1297" s="5">
        <v>43862.600694444445</v>
      </c>
      <c r="C1297" s="67"/>
    </row>
    <row r="1298" ht="15.75" customHeight="1">
      <c r="A1298" s="63" t="s">
        <v>5115</v>
      </c>
      <c r="B1298" s="5">
        <v>43862.535416666666</v>
      </c>
      <c r="C1298" s="67"/>
    </row>
    <row r="1299" ht="15.75" customHeight="1">
      <c r="A1299" s="63" t="s">
        <v>5657</v>
      </c>
      <c r="B1299" s="5">
        <v>43862.461805555555</v>
      </c>
      <c r="C1299" s="67"/>
    </row>
    <row r="1300" ht="15.75" customHeight="1">
      <c r="A1300" s="63" t="s">
        <v>5658</v>
      </c>
      <c r="B1300" s="5">
        <v>43862.111805555556</v>
      </c>
      <c r="C1300" s="67"/>
    </row>
    <row r="1301" ht="15.75" customHeight="1">
      <c r="A1301" s="63" t="s">
        <v>5659</v>
      </c>
      <c r="B1301" s="5">
        <v>43861.81527777778</v>
      </c>
      <c r="C1301" s="67"/>
    </row>
    <row r="1302" ht="15.75" customHeight="1">
      <c r="A1302" s="63" t="s">
        <v>5120</v>
      </c>
      <c r="B1302" s="5">
        <v>43861.77847222222</v>
      </c>
      <c r="C1302" s="67"/>
    </row>
    <row r="1303" ht="15.75" customHeight="1">
      <c r="A1303" s="63" t="s">
        <v>5121</v>
      </c>
      <c r="B1303" s="5">
        <v>43861.70486111111</v>
      </c>
      <c r="C1303" s="67"/>
    </row>
    <row r="1304" ht="15.75" customHeight="1">
      <c r="A1304" s="63" t="s">
        <v>5122</v>
      </c>
      <c r="B1304" s="5">
        <v>43861.70138888889</v>
      </c>
      <c r="C1304" s="67"/>
    </row>
    <row r="1305" ht="15.75" customHeight="1">
      <c r="A1305" s="63" t="s">
        <v>3379</v>
      </c>
      <c r="B1305" s="5">
        <v>43861.677777777775</v>
      </c>
      <c r="C1305" s="67"/>
    </row>
    <row r="1306" ht="15.75" customHeight="1">
      <c r="A1306" s="63" t="s">
        <v>5050</v>
      </c>
      <c r="B1306" s="5">
        <v>43860.868055555555</v>
      </c>
      <c r="C1306" s="67"/>
    </row>
    <row r="1307" ht="15.75" customHeight="1">
      <c r="A1307" s="63" t="s">
        <v>4872</v>
      </c>
      <c r="B1307" s="5">
        <v>43860.77777777778</v>
      </c>
      <c r="C1307" s="67"/>
    </row>
    <row r="1308" ht="15.75" customHeight="1">
      <c r="A1308" s="63" t="s">
        <v>5126</v>
      </c>
      <c r="B1308" s="5">
        <v>43860.740277777775</v>
      </c>
      <c r="C1308" s="67"/>
    </row>
    <row r="1309" ht="15.75" customHeight="1">
      <c r="A1309" s="63" t="s">
        <v>5127</v>
      </c>
      <c r="B1309" s="5">
        <v>43860.555555555555</v>
      </c>
      <c r="C1309" s="67"/>
    </row>
    <row r="1310" ht="15.75" customHeight="1">
      <c r="A1310" s="63" t="s">
        <v>2066</v>
      </c>
      <c r="B1310" s="5">
        <v>43860.450694444444</v>
      </c>
      <c r="C1310" s="67"/>
    </row>
    <row r="1311" ht="15.75" customHeight="1">
      <c r="A1311" s="63" t="s">
        <v>5660</v>
      </c>
      <c r="B1311" s="5">
        <v>43860.01736111111</v>
      </c>
      <c r="C1311" s="67"/>
    </row>
    <row r="1312" ht="15.75" customHeight="1">
      <c r="A1312" s="63" t="s">
        <v>5132</v>
      </c>
      <c r="B1312" s="5">
        <v>43859.95277777778</v>
      </c>
      <c r="C1312" s="67"/>
    </row>
    <row r="1313" ht="15.75" customHeight="1">
      <c r="A1313" s="63" t="s">
        <v>5131</v>
      </c>
      <c r="B1313" s="5">
        <v>43859.89097222222</v>
      </c>
      <c r="C1313" s="67"/>
    </row>
    <row r="1314" ht="15.75" customHeight="1">
      <c r="A1314" s="63" t="s">
        <v>5133</v>
      </c>
      <c r="B1314" s="5">
        <v>43859.839583333334</v>
      </c>
      <c r="C1314" s="67"/>
    </row>
    <row r="1315" ht="15.75" customHeight="1">
      <c r="A1315" s="63" t="s">
        <v>611</v>
      </c>
      <c r="B1315" s="5">
        <v>43859.78888888889</v>
      </c>
      <c r="C1315" s="67"/>
    </row>
    <row r="1316" ht="15.75" customHeight="1">
      <c r="A1316" s="63" t="s">
        <v>5661</v>
      </c>
      <c r="B1316" s="5">
        <v>43859.74444444444</v>
      </c>
      <c r="C1316" s="67"/>
    </row>
    <row r="1317" ht="15.75" customHeight="1">
      <c r="A1317" s="63" t="s">
        <v>5662</v>
      </c>
      <c r="B1317" s="5">
        <v>43859.73402777778</v>
      </c>
      <c r="C1317" s="67"/>
    </row>
    <row r="1318" ht="15.75" customHeight="1">
      <c r="A1318" s="63" t="s">
        <v>5663</v>
      </c>
      <c r="B1318" s="5">
        <v>43859.69652777778</v>
      </c>
      <c r="C1318" s="67"/>
    </row>
    <row r="1319" ht="15.75" customHeight="1">
      <c r="A1319" s="63" t="s">
        <v>5664</v>
      </c>
      <c r="B1319" s="5">
        <v>43859.62569444445</v>
      </c>
      <c r="C1319" s="67"/>
    </row>
    <row r="1320" ht="15.75" customHeight="1">
      <c r="A1320" s="63" t="s">
        <v>1820</v>
      </c>
      <c r="B1320" s="5">
        <v>43859.56180555555</v>
      </c>
      <c r="C1320" s="67"/>
    </row>
    <row r="1321" ht="15.75" customHeight="1">
      <c r="A1321" s="63" t="s">
        <v>5081</v>
      </c>
      <c r="B1321" s="5">
        <v>43859.498611111114</v>
      </c>
      <c r="C1321" s="67"/>
    </row>
    <row r="1322" ht="15.75" customHeight="1">
      <c r="A1322" s="63" t="s">
        <v>461</v>
      </c>
      <c r="B1322" s="5">
        <v>43859.41388888889</v>
      </c>
      <c r="C1322" s="67"/>
    </row>
    <row r="1323" ht="15.75" customHeight="1">
      <c r="A1323" s="63" t="s">
        <v>5135</v>
      </c>
      <c r="B1323" s="5">
        <v>43859.41388888889</v>
      </c>
      <c r="C1323" s="67"/>
    </row>
    <row r="1324" ht="15.75" customHeight="1">
      <c r="A1324" s="63" t="s">
        <v>5665</v>
      </c>
      <c r="B1324" s="5">
        <v>43859.375</v>
      </c>
      <c r="C1324" s="67"/>
    </row>
    <row r="1325" ht="15.75" customHeight="1">
      <c r="A1325" s="63" t="s">
        <v>5666</v>
      </c>
      <c r="B1325" s="5">
        <v>43858.79513888889</v>
      </c>
      <c r="C1325" s="67"/>
    </row>
    <row r="1326" ht="15.75" customHeight="1">
      <c r="A1326" s="63" t="s">
        <v>5667</v>
      </c>
      <c r="B1326" s="5">
        <v>43858.666666666664</v>
      </c>
      <c r="C1326" s="67"/>
    </row>
    <row r="1327" ht="15.75" customHeight="1">
      <c r="A1327" s="63" t="s">
        <v>5668</v>
      </c>
      <c r="B1327" s="5">
        <v>43858.64861111111</v>
      </c>
      <c r="C1327" s="67"/>
    </row>
    <row r="1328" ht="15.75" customHeight="1">
      <c r="A1328" s="63" t="s">
        <v>5136</v>
      </c>
      <c r="B1328" s="5">
        <v>43858.57638888889</v>
      </c>
      <c r="C1328" s="67"/>
    </row>
    <row r="1329" ht="15.75" customHeight="1">
      <c r="A1329" s="63" t="s">
        <v>5139</v>
      </c>
      <c r="B1329" s="5">
        <v>43858.47638888889</v>
      </c>
      <c r="C1329" s="67"/>
    </row>
    <row r="1330" ht="15.75" customHeight="1">
      <c r="A1330" s="63" t="s">
        <v>5669</v>
      </c>
      <c r="B1330" s="5">
        <v>43858.29583333333</v>
      </c>
      <c r="C1330" s="67"/>
    </row>
    <row r="1331" ht="15.75" customHeight="1">
      <c r="A1331" s="63" t="s">
        <v>5670</v>
      </c>
      <c r="B1331" s="5">
        <v>43857.907638888886</v>
      </c>
      <c r="C1331" s="67"/>
    </row>
    <row r="1332" ht="15.75" customHeight="1">
      <c r="A1332" s="63" t="s">
        <v>5671</v>
      </c>
      <c r="B1332" s="5">
        <v>43857.836805555555</v>
      </c>
      <c r="C1332" s="67"/>
    </row>
    <row r="1333" ht="15.75" customHeight="1">
      <c r="A1333" s="63" t="s">
        <v>5672</v>
      </c>
      <c r="B1333" s="5">
        <v>43857.78611111111</v>
      </c>
      <c r="C1333" s="67"/>
    </row>
    <row r="1334" ht="15.75" customHeight="1">
      <c r="A1334" s="63" t="s">
        <v>5143</v>
      </c>
      <c r="B1334" s="5">
        <v>43857.606944444444</v>
      </c>
      <c r="C1334" s="67"/>
    </row>
    <row r="1335" ht="15.75" customHeight="1">
      <c r="A1335" s="63" t="s">
        <v>1209</v>
      </c>
      <c r="B1335" s="5">
        <v>43857.600694444445</v>
      </c>
      <c r="C1335" s="67"/>
    </row>
    <row r="1336" ht="15.75" customHeight="1">
      <c r="A1336" s="63" t="s">
        <v>5147</v>
      </c>
      <c r="B1336" s="5">
        <v>43857.55347222222</v>
      </c>
      <c r="C1336" s="67"/>
    </row>
    <row r="1337" ht="15.75" customHeight="1">
      <c r="A1337" s="63" t="s">
        <v>5151</v>
      </c>
      <c r="B1337" s="5">
        <v>43857.430555555555</v>
      </c>
      <c r="C1337" s="67"/>
    </row>
    <row r="1338" ht="15.75" customHeight="1">
      <c r="A1338" s="63" t="s">
        <v>909</v>
      </c>
      <c r="B1338" s="5">
        <v>43857.399305555555</v>
      </c>
      <c r="C1338" s="67"/>
    </row>
    <row r="1339" ht="15.75" customHeight="1">
      <c r="A1339" s="63" t="s">
        <v>2374</v>
      </c>
      <c r="B1339" s="5">
        <v>43856.944444444445</v>
      </c>
      <c r="C1339" s="67"/>
    </row>
    <row r="1340" ht="15.75" customHeight="1">
      <c r="A1340" s="63" t="s">
        <v>3133</v>
      </c>
      <c r="B1340" s="5">
        <v>43856.899305555555</v>
      </c>
      <c r="C1340" s="67"/>
    </row>
    <row r="1341" ht="15.75" customHeight="1">
      <c r="A1341" s="63" t="s">
        <v>5156</v>
      </c>
      <c r="B1341" s="5">
        <v>43856.89375</v>
      </c>
      <c r="C1341" s="67"/>
    </row>
    <row r="1342" ht="15.75" customHeight="1">
      <c r="A1342" s="63" t="s">
        <v>5757</v>
      </c>
      <c r="B1342" s="5">
        <v>43856.822222222225</v>
      </c>
      <c r="C1342" s="67"/>
    </row>
    <row r="1343" ht="15.75" customHeight="1">
      <c r="A1343" s="63" t="s">
        <v>5673</v>
      </c>
      <c r="B1343" s="5">
        <v>43856.65416666667</v>
      </c>
      <c r="C1343" s="67"/>
    </row>
    <row r="1344" ht="15.75" customHeight="1">
      <c r="A1344" s="63" t="s">
        <v>5674</v>
      </c>
      <c r="B1344" s="5">
        <v>43856.5375</v>
      </c>
      <c r="C1344" s="67"/>
    </row>
    <row r="1345" ht="15.75" customHeight="1">
      <c r="A1345" s="63" t="s">
        <v>5064</v>
      </c>
      <c r="B1345" s="5">
        <v>43856.47222222222</v>
      </c>
      <c r="C1345" s="67"/>
    </row>
    <row r="1346" ht="15.75" customHeight="1">
      <c r="A1346" s="63" t="s">
        <v>5675</v>
      </c>
      <c r="B1346" s="5">
        <v>43856.024305555555</v>
      </c>
      <c r="C1346" s="67"/>
    </row>
    <row r="1347" ht="15.75" customHeight="1">
      <c r="A1347" s="63" t="s">
        <v>5676</v>
      </c>
      <c r="B1347" s="5">
        <v>43855.78194444445</v>
      </c>
      <c r="C1347" s="67"/>
    </row>
    <row r="1348" ht="15.75" customHeight="1">
      <c r="A1348" s="63" t="s">
        <v>4324</v>
      </c>
      <c r="B1348" s="5">
        <v>43855.76527777778</v>
      </c>
      <c r="C1348" s="67"/>
    </row>
    <row r="1349" ht="15.75" customHeight="1">
      <c r="A1349" s="63" t="s">
        <v>2014</v>
      </c>
      <c r="B1349" s="5">
        <v>43855.64166666667</v>
      </c>
      <c r="C1349" s="67"/>
    </row>
    <row r="1350" ht="15.75" customHeight="1">
      <c r="A1350" s="63" t="s">
        <v>719</v>
      </c>
      <c r="B1350" s="5">
        <v>43854.93125</v>
      </c>
      <c r="C1350" s="67"/>
    </row>
    <row r="1351" ht="15.75" customHeight="1">
      <c r="A1351" s="63" t="s">
        <v>5161</v>
      </c>
      <c r="B1351" s="5">
        <v>43854.78402777778</v>
      </c>
      <c r="C1351" s="67"/>
    </row>
    <row r="1352" ht="15.75" customHeight="1">
      <c r="A1352" s="63" t="s">
        <v>5162</v>
      </c>
      <c r="B1352" s="5">
        <v>43854.78333333333</v>
      </c>
      <c r="C1352" s="67"/>
    </row>
    <row r="1353" ht="15.75" customHeight="1">
      <c r="A1353" s="63" t="s">
        <v>5677</v>
      </c>
      <c r="B1353" s="5">
        <v>43854.63263888889</v>
      </c>
      <c r="C1353" s="67"/>
    </row>
    <row r="1354" ht="15.75" customHeight="1">
      <c r="A1354" s="63" t="s">
        <v>5163</v>
      </c>
      <c r="B1354" s="5">
        <v>43854.518055555556</v>
      </c>
      <c r="C1354" s="67"/>
    </row>
    <row r="1355" ht="15.75" customHeight="1">
      <c r="A1355" s="63" t="s">
        <v>5164</v>
      </c>
      <c r="B1355" s="5">
        <v>43854.427777777775</v>
      </c>
      <c r="C1355" s="67"/>
    </row>
    <row r="1356" ht="15.75" customHeight="1">
      <c r="A1356" s="63" t="s">
        <v>5678</v>
      </c>
      <c r="B1356" s="5">
        <v>43854.29513888889</v>
      </c>
      <c r="C1356" s="67"/>
    </row>
    <row r="1357" ht="15.75" customHeight="1">
      <c r="A1357" s="63" t="s">
        <v>4027</v>
      </c>
      <c r="B1357" s="5">
        <v>43853.95694444444</v>
      </c>
      <c r="C1357" s="67"/>
    </row>
    <row r="1358" ht="15.75" customHeight="1">
      <c r="A1358" s="63" t="s">
        <v>5679</v>
      </c>
      <c r="B1358" s="5">
        <v>43853.82152777778</v>
      </c>
      <c r="C1358" s="67"/>
    </row>
    <row r="1359" ht="15.75" customHeight="1">
      <c r="A1359" s="63" t="s">
        <v>5680</v>
      </c>
      <c r="B1359" s="5">
        <v>43853.80486111111</v>
      </c>
      <c r="C1359" s="67"/>
    </row>
    <row r="1360" ht="15.75" customHeight="1">
      <c r="A1360" s="63" t="s">
        <v>5681</v>
      </c>
      <c r="B1360" s="5">
        <v>43853.76666666667</v>
      </c>
      <c r="C1360" s="67"/>
    </row>
    <row r="1361" ht="15.75" customHeight="1">
      <c r="A1361" s="63" t="s">
        <v>5166</v>
      </c>
      <c r="B1361" s="5">
        <v>43853.74652777778</v>
      </c>
      <c r="C1361" s="67"/>
    </row>
    <row r="1362" ht="15.75" customHeight="1">
      <c r="A1362" s="63" t="s">
        <v>3406</v>
      </c>
      <c r="B1362" s="5">
        <v>43853.48333333333</v>
      </c>
      <c r="C1362" s="67"/>
    </row>
    <row r="1363" ht="15.75" customHeight="1">
      <c r="A1363" s="63" t="s">
        <v>5128</v>
      </c>
      <c r="B1363" s="5">
        <v>43853.01180555556</v>
      </c>
      <c r="C1363" s="67"/>
    </row>
    <row r="1364" ht="15.75" customHeight="1">
      <c r="A1364" s="63" t="s">
        <v>5682</v>
      </c>
      <c r="B1364" s="5">
        <v>43852.90555555555</v>
      </c>
      <c r="C1364" s="67"/>
    </row>
    <row r="1365" ht="15.75" customHeight="1">
      <c r="A1365" s="63" t="s">
        <v>5116</v>
      </c>
      <c r="B1365" s="5">
        <v>43852.87986111111</v>
      </c>
      <c r="C1365" s="67"/>
    </row>
    <row r="1366" ht="15.75" customHeight="1">
      <c r="A1366" s="63" t="s">
        <v>5172</v>
      </c>
      <c r="B1366" s="5">
        <v>43852.760416666664</v>
      </c>
      <c r="C1366" s="67"/>
    </row>
    <row r="1367" ht="15.75" customHeight="1">
      <c r="A1367" s="63" t="s">
        <v>5683</v>
      </c>
      <c r="B1367" s="5">
        <v>43852.73611111111</v>
      </c>
      <c r="C1367" s="67"/>
    </row>
    <row r="1368" ht="15.75" customHeight="1">
      <c r="A1368" s="63" t="s">
        <v>4657</v>
      </c>
      <c r="B1368" s="5">
        <v>43852.626388888886</v>
      </c>
      <c r="C1368" s="67"/>
    </row>
    <row r="1369" ht="15.75" customHeight="1">
      <c r="A1369" s="63" t="s">
        <v>3916</v>
      </c>
      <c r="B1369" s="5">
        <v>43852.56180555555</v>
      </c>
      <c r="C1369" s="67"/>
    </row>
    <row r="1370" ht="15.75" customHeight="1">
      <c r="A1370" s="63" t="s">
        <v>5178</v>
      </c>
      <c r="B1370" s="5">
        <v>43852.44652777778</v>
      </c>
      <c r="C1370" s="67"/>
    </row>
    <row r="1371" ht="15.75" customHeight="1">
      <c r="A1371" s="63" t="s">
        <v>5102</v>
      </c>
      <c r="B1371" s="5">
        <v>43852.32708333333</v>
      </c>
      <c r="C1371" s="67"/>
    </row>
    <row r="1372" ht="15.75" customHeight="1">
      <c r="A1372" s="63" t="s">
        <v>5179</v>
      </c>
      <c r="B1372" s="5">
        <v>43851.95694444444</v>
      </c>
      <c r="C1372" s="67"/>
    </row>
    <row r="1373" ht="15.75" customHeight="1">
      <c r="A1373" s="63" t="s">
        <v>5684</v>
      </c>
      <c r="B1373" s="5">
        <v>43851.94097222222</v>
      </c>
      <c r="C1373" s="67"/>
    </row>
    <row r="1374" ht="15.75" customHeight="1">
      <c r="A1374" s="63" t="s">
        <v>5685</v>
      </c>
      <c r="B1374" s="5">
        <v>43851.83611111111</v>
      </c>
      <c r="C1374" s="67"/>
    </row>
    <row r="1375" ht="15.75" customHeight="1">
      <c r="A1375" s="63" t="s">
        <v>5686</v>
      </c>
      <c r="B1375" s="5">
        <v>43851.80902777778</v>
      </c>
      <c r="C1375" s="67"/>
    </row>
    <row r="1376" ht="15.75" customHeight="1">
      <c r="A1376" s="63" t="s">
        <v>5180</v>
      </c>
      <c r="B1376" s="5">
        <v>43851.805555555555</v>
      </c>
      <c r="C1376" s="67"/>
    </row>
    <row r="1377" ht="15.75" customHeight="1">
      <c r="A1377" s="63" t="s">
        <v>1498</v>
      </c>
      <c r="B1377" s="5">
        <v>43851.756944444445</v>
      </c>
      <c r="C1377" s="67"/>
    </row>
    <row r="1378" ht="15.75" customHeight="1">
      <c r="A1378" s="63" t="s">
        <v>5183</v>
      </c>
      <c r="B1378" s="5">
        <v>43851.66458333333</v>
      </c>
      <c r="C1378" s="67"/>
    </row>
    <row r="1379" ht="15.75" customHeight="1">
      <c r="A1379" s="63" t="s">
        <v>4983</v>
      </c>
      <c r="B1379" s="5">
        <v>43851.45972222222</v>
      </c>
      <c r="C1379" s="67"/>
    </row>
    <row r="1380" ht="15.75" customHeight="1">
      <c r="A1380" s="63" t="s">
        <v>5187</v>
      </c>
      <c r="B1380" s="5">
        <v>43850.85625</v>
      </c>
      <c r="C1380" s="67"/>
    </row>
    <row r="1381" ht="15.75" customHeight="1">
      <c r="A1381" s="63" t="s">
        <v>404</v>
      </c>
      <c r="B1381" s="5">
        <v>43850.52291666667</v>
      </c>
      <c r="C1381" s="67"/>
    </row>
    <row r="1382" ht="15.75" customHeight="1">
      <c r="A1382" s="63" t="s">
        <v>5167</v>
      </c>
      <c r="B1382" s="5">
        <v>43850.38055555556</v>
      </c>
      <c r="C1382" s="67"/>
    </row>
    <row r="1383" ht="15.75" customHeight="1">
      <c r="A1383" s="63" t="s">
        <v>5687</v>
      </c>
      <c r="B1383" s="5">
        <v>43849.657638888886</v>
      </c>
      <c r="C1383" s="67"/>
    </row>
    <row r="1384" ht="15.75" customHeight="1">
      <c r="A1384" s="63" t="s">
        <v>3869</v>
      </c>
      <c r="B1384" s="5">
        <v>43849.57847222222</v>
      </c>
      <c r="C1384" s="67"/>
    </row>
    <row r="1385" ht="15.75" customHeight="1">
      <c r="A1385" s="63" t="s">
        <v>5688</v>
      </c>
      <c r="B1385" s="5">
        <v>43849.42222222222</v>
      </c>
      <c r="C1385" s="67"/>
    </row>
    <row r="1386" ht="15.75" customHeight="1">
      <c r="A1386" s="63" t="s">
        <v>5689</v>
      </c>
      <c r="B1386" s="5">
        <v>43848.96944444445</v>
      </c>
      <c r="C1386" s="67"/>
    </row>
    <row r="1387" ht="15.75" customHeight="1">
      <c r="A1387" s="63" t="s">
        <v>5137</v>
      </c>
      <c r="B1387" s="5">
        <v>43848.82986111111</v>
      </c>
      <c r="C1387" s="67"/>
    </row>
    <row r="1388" ht="15.75" customHeight="1">
      <c r="A1388" s="63" t="s">
        <v>5690</v>
      </c>
      <c r="B1388" s="5">
        <v>43848.705555555556</v>
      </c>
      <c r="C1388" s="67"/>
    </row>
    <row r="1389" ht="15.75" customHeight="1">
      <c r="A1389" s="63" t="s">
        <v>5691</v>
      </c>
      <c r="B1389" s="5">
        <v>43847.84027777778</v>
      </c>
      <c r="C1389" s="67"/>
    </row>
    <row r="1390" ht="15.75" customHeight="1">
      <c r="A1390" s="63" t="s">
        <v>5199</v>
      </c>
      <c r="B1390" s="5">
        <v>43847.760416666664</v>
      </c>
      <c r="C1390" s="67"/>
    </row>
    <row r="1391" ht="15.75" customHeight="1">
      <c r="A1391" s="63" t="s">
        <v>5692</v>
      </c>
      <c r="B1391" s="5">
        <v>43847.75625</v>
      </c>
      <c r="C1391" s="67"/>
    </row>
    <row r="1392" ht="15.75" customHeight="1">
      <c r="A1392" s="63" t="s">
        <v>5694</v>
      </c>
      <c r="B1392" s="5">
        <v>43847.643055555556</v>
      </c>
      <c r="C1392" s="67"/>
    </row>
    <row r="1393" ht="15.75" customHeight="1">
      <c r="A1393" s="63" t="s">
        <v>4239</v>
      </c>
      <c r="B1393" s="5">
        <v>43847.643055555556</v>
      </c>
      <c r="C1393" s="67"/>
    </row>
    <row r="1394" ht="15.75" customHeight="1">
      <c r="A1394" s="63" t="s">
        <v>5693</v>
      </c>
      <c r="B1394" s="5">
        <v>43847.643055555556</v>
      </c>
      <c r="C1394" s="67"/>
    </row>
    <row r="1395" ht="15.75" customHeight="1">
      <c r="A1395" s="63" t="s">
        <v>5695</v>
      </c>
      <c r="B1395" s="5">
        <v>43847.643055555556</v>
      </c>
      <c r="C1395" s="67"/>
    </row>
    <row r="1396" ht="15.75" customHeight="1">
      <c r="A1396" s="63" t="s">
        <v>5202</v>
      </c>
      <c r="B1396" s="5">
        <v>43847.55694444444</v>
      </c>
      <c r="C1396" s="67"/>
    </row>
    <row r="1397" ht="15.75" customHeight="1">
      <c r="A1397" s="63" t="s">
        <v>2140</v>
      </c>
      <c r="B1397" s="5">
        <v>43847.356944444444</v>
      </c>
      <c r="C1397" s="67"/>
    </row>
    <row r="1398" ht="15.75" customHeight="1">
      <c r="A1398" s="63" t="s">
        <v>5696</v>
      </c>
      <c r="B1398" s="5">
        <v>43847.32361111111</v>
      </c>
      <c r="C1398" s="67"/>
    </row>
    <row r="1399" ht="15.75" customHeight="1">
      <c r="A1399" s="63" t="s">
        <v>5206</v>
      </c>
      <c r="B1399" s="5">
        <v>43846.72777777778</v>
      </c>
      <c r="C1399" s="67"/>
    </row>
    <row r="1400" ht="15.75" customHeight="1">
      <c r="A1400" s="63" t="s">
        <v>5073</v>
      </c>
      <c r="B1400" s="5">
        <v>43846.638194444444</v>
      </c>
      <c r="C1400" s="67"/>
    </row>
    <row r="1401" ht="15.75" customHeight="1">
      <c r="A1401" s="63" t="s">
        <v>2479</v>
      </c>
      <c r="B1401" s="5">
        <v>43846.61666666667</v>
      </c>
      <c r="C1401" s="67"/>
    </row>
    <row r="1402" ht="15.75" customHeight="1">
      <c r="A1402" s="63" t="s">
        <v>5697</v>
      </c>
      <c r="B1402" s="5">
        <v>43846.518055555556</v>
      </c>
      <c r="C1402" s="67"/>
    </row>
    <row r="1403" ht="15.75" customHeight="1">
      <c r="A1403" s="63" t="s">
        <v>5698</v>
      </c>
      <c r="B1403" s="5">
        <v>43846.34166666667</v>
      </c>
      <c r="C1403" s="67"/>
    </row>
    <row r="1404" ht="15.75" customHeight="1">
      <c r="A1404" s="63" t="s">
        <v>1908</v>
      </c>
      <c r="B1404" s="5">
        <v>43845.924305555556</v>
      </c>
      <c r="C1404" s="67"/>
    </row>
    <row r="1405" ht="15.75" customHeight="1">
      <c r="A1405" s="63" t="s">
        <v>5216</v>
      </c>
      <c r="B1405" s="5">
        <v>43845.76666666667</v>
      </c>
      <c r="C1405" s="67"/>
    </row>
    <row r="1406" ht="15.75" customHeight="1">
      <c r="A1406" s="63" t="s">
        <v>5152</v>
      </c>
      <c r="B1406" s="5">
        <v>43845.73611111111</v>
      </c>
      <c r="C1406" s="67"/>
    </row>
    <row r="1407" ht="15.75" customHeight="1">
      <c r="A1407" s="63" t="s">
        <v>5217</v>
      </c>
      <c r="B1407" s="5">
        <v>43845.69930555556</v>
      </c>
      <c r="C1407" s="67"/>
    </row>
    <row r="1408" ht="15.75" customHeight="1">
      <c r="A1408" s="63" t="s">
        <v>5699</v>
      </c>
      <c r="B1408" s="5">
        <v>43845.62569444445</v>
      </c>
      <c r="C1408" s="67"/>
    </row>
    <row r="1409" ht="15.75" customHeight="1">
      <c r="A1409" s="63" t="s">
        <v>5145</v>
      </c>
      <c r="B1409" s="5">
        <v>43845.6125</v>
      </c>
      <c r="C1409" s="67"/>
    </row>
    <row r="1410" ht="15.75" customHeight="1">
      <c r="A1410" s="63" t="s">
        <v>5700</v>
      </c>
      <c r="B1410" s="5">
        <v>43845.56041666667</v>
      </c>
      <c r="C1410" s="67"/>
    </row>
    <row r="1411" ht="15.75" customHeight="1">
      <c r="A1411" s="63" t="s">
        <v>5701</v>
      </c>
      <c r="B1411" s="5">
        <v>43845.43194444444</v>
      </c>
      <c r="C1411" s="67"/>
    </row>
    <row r="1412" ht="15.75" customHeight="1">
      <c r="A1412" s="63" t="s">
        <v>5702</v>
      </c>
      <c r="B1412" s="5">
        <v>43844.981944444444</v>
      </c>
      <c r="C1412" s="67"/>
    </row>
    <row r="1413" ht="15.75" customHeight="1">
      <c r="A1413" s="63" t="s">
        <v>5222</v>
      </c>
      <c r="B1413" s="5">
        <v>43844.72986111111</v>
      </c>
      <c r="C1413" s="67"/>
    </row>
    <row r="1414" ht="15.75" customHeight="1">
      <c r="A1414" s="63" t="s">
        <v>5703</v>
      </c>
      <c r="B1414" s="5">
        <v>43844.569444444445</v>
      </c>
      <c r="C1414" s="67"/>
    </row>
    <row r="1415" ht="15.75" customHeight="1">
      <c r="A1415" s="63" t="s">
        <v>5704</v>
      </c>
      <c r="B1415" s="5">
        <v>43844.52916666667</v>
      </c>
      <c r="C1415" s="67"/>
    </row>
    <row r="1416" ht="15.75" customHeight="1">
      <c r="A1416" s="63" t="s">
        <v>2182</v>
      </c>
      <c r="B1416" s="5">
        <v>43843.88263888889</v>
      </c>
      <c r="C1416" s="67"/>
    </row>
    <row r="1417" ht="15.75" customHeight="1">
      <c r="A1417" s="63" t="s">
        <v>5705</v>
      </c>
      <c r="B1417" s="5">
        <v>43843.873611111114</v>
      </c>
      <c r="C1417" s="67"/>
    </row>
    <row r="1418" ht="15.75" customHeight="1">
      <c r="A1418" s="63" t="s">
        <v>2623</v>
      </c>
      <c r="B1418" s="5">
        <v>43843.853472222225</v>
      </c>
      <c r="C1418" s="67"/>
    </row>
    <row r="1419" ht="15.75" customHeight="1">
      <c r="A1419" s="63" t="s">
        <v>5231</v>
      </c>
      <c r="B1419" s="5">
        <v>43843.76597222222</v>
      </c>
      <c r="C1419" s="67"/>
    </row>
    <row r="1420" ht="15.75" customHeight="1">
      <c r="A1420" s="63" t="s">
        <v>4550</v>
      </c>
      <c r="B1420" s="5">
        <v>43843.748611111114</v>
      </c>
      <c r="C1420" s="67"/>
    </row>
    <row r="1421" ht="15.75" customHeight="1">
      <c r="A1421" s="63" t="s">
        <v>5234</v>
      </c>
      <c r="B1421" s="5">
        <v>43843.6375</v>
      </c>
      <c r="C1421" s="67"/>
    </row>
    <row r="1422" ht="15.75" customHeight="1">
      <c r="A1422" s="63" t="s">
        <v>5706</v>
      </c>
      <c r="B1422" s="5">
        <v>43843.62430555555</v>
      </c>
      <c r="C1422" s="67"/>
    </row>
    <row r="1423" ht="15.75" customHeight="1">
      <c r="A1423" s="63" t="s">
        <v>3355</v>
      </c>
      <c r="B1423" s="5">
        <v>43843.52569444444</v>
      </c>
      <c r="C1423" s="67"/>
    </row>
    <row r="1424" ht="15.75" customHeight="1">
      <c r="A1424" s="63" t="s">
        <v>5707</v>
      </c>
      <c r="B1424" s="5">
        <v>43843.524305555555</v>
      </c>
      <c r="C1424" s="67"/>
    </row>
    <row r="1425" ht="15.75" customHeight="1">
      <c r="A1425" s="63" t="s">
        <v>5239</v>
      </c>
      <c r="B1425" s="5">
        <v>43843.41736111111</v>
      </c>
      <c r="C1425" s="67"/>
    </row>
    <row r="1426" ht="15.75" customHeight="1">
      <c r="A1426" s="63" t="s">
        <v>5242</v>
      </c>
      <c r="B1426" s="5">
        <v>43843.384722222225</v>
      </c>
      <c r="C1426" s="67"/>
    </row>
    <row r="1427" ht="15.75" customHeight="1">
      <c r="A1427" s="63" t="s">
        <v>5708</v>
      </c>
      <c r="B1427" s="5">
        <v>43843.021527777775</v>
      </c>
      <c r="C1427" s="67"/>
    </row>
    <row r="1428" ht="15.75" customHeight="1">
      <c r="A1428" s="63" t="s">
        <v>5709</v>
      </c>
      <c r="B1428" s="5">
        <v>43842.82013888889</v>
      </c>
      <c r="C1428" s="67"/>
    </row>
    <row r="1429" ht="15.75" customHeight="1">
      <c r="A1429" s="63" t="s">
        <v>5710</v>
      </c>
      <c r="B1429" s="5">
        <v>43842.78333333333</v>
      </c>
      <c r="C1429" s="67"/>
    </row>
    <row r="1430" ht="15.75" customHeight="1">
      <c r="A1430" s="63" t="s">
        <v>5711</v>
      </c>
      <c r="B1430" s="5">
        <v>43842.77222222222</v>
      </c>
      <c r="C1430" s="67"/>
    </row>
    <row r="1431" ht="15.75" customHeight="1">
      <c r="A1431" s="63" t="s">
        <v>1452</v>
      </c>
      <c r="B1431" s="5">
        <v>43842.58541666667</v>
      </c>
      <c r="C1431" s="67"/>
    </row>
    <row r="1432" ht="15.75" customHeight="1">
      <c r="A1432" s="63" t="s">
        <v>5712</v>
      </c>
      <c r="B1432" s="5">
        <v>43842.50208333333</v>
      </c>
      <c r="C1432" s="67"/>
    </row>
    <row r="1433" ht="15.75" customHeight="1">
      <c r="A1433" s="63" t="s">
        <v>5244</v>
      </c>
      <c r="B1433" s="5">
        <v>43841.82361111111</v>
      </c>
      <c r="C1433" s="67"/>
    </row>
    <row r="1434" ht="15.75" customHeight="1">
      <c r="A1434" s="63" t="s">
        <v>5713</v>
      </c>
      <c r="B1434" s="5">
        <v>43841.683333333334</v>
      </c>
      <c r="C1434" s="67"/>
    </row>
    <row r="1435" ht="15.75" customHeight="1">
      <c r="A1435" s="63" t="s">
        <v>5714</v>
      </c>
      <c r="B1435" s="5">
        <v>43841.674305555556</v>
      </c>
      <c r="C1435" s="67"/>
    </row>
    <row r="1436" ht="15.75" customHeight="1">
      <c r="A1436" s="63" t="s">
        <v>5715</v>
      </c>
      <c r="B1436" s="5">
        <v>43841.61111111111</v>
      </c>
      <c r="C1436" s="67"/>
    </row>
    <row r="1437" ht="15.75" customHeight="1">
      <c r="A1437" s="63" t="s">
        <v>2437</v>
      </c>
      <c r="B1437" s="5">
        <v>43841.48333333333</v>
      </c>
      <c r="C1437" s="67"/>
    </row>
    <row r="1438" ht="15.75" customHeight="1">
      <c r="A1438" s="63" t="s">
        <v>5716</v>
      </c>
      <c r="B1438" s="5">
        <v>43841.31597222222</v>
      </c>
      <c r="C1438" s="67"/>
    </row>
    <row r="1439" ht="15.75" customHeight="1">
      <c r="A1439" s="63" t="s">
        <v>5245</v>
      </c>
      <c r="B1439" s="5">
        <v>43840.99166666667</v>
      </c>
      <c r="C1439" s="67"/>
    </row>
    <row r="1440" ht="15.75" customHeight="1">
      <c r="A1440" s="63" t="s">
        <v>5717</v>
      </c>
      <c r="B1440" s="5">
        <v>43840.97708333333</v>
      </c>
      <c r="C1440" s="67"/>
    </row>
    <row r="1441" ht="15.75" customHeight="1">
      <c r="A1441" s="63" t="s">
        <v>5718</v>
      </c>
      <c r="B1441" s="5">
        <v>43840.91736111111</v>
      </c>
      <c r="C1441" s="67"/>
    </row>
    <row r="1442" ht="15.75" customHeight="1">
      <c r="A1442" s="63" t="s">
        <v>5719</v>
      </c>
      <c r="B1442" s="5">
        <v>43840.910416666666</v>
      </c>
      <c r="C1442" s="67"/>
    </row>
    <row r="1443" ht="15.75" customHeight="1">
      <c r="A1443" s="63" t="s">
        <v>1964</v>
      </c>
      <c r="B1443" s="5">
        <v>43840.811111111114</v>
      </c>
      <c r="C1443" s="67"/>
    </row>
    <row r="1444" ht="15.75" customHeight="1">
      <c r="A1444" s="63" t="s">
        <v>5720</v>
      </c>
      <c r="B1444" s="5">
        <v>43840.77638888889</v>
      </c>
      <c r="C1444" s="67"/>
    </row>
    <row r="1445" ht="15.75" customHeight="1">
      <c r="A1445" s="63" t="s">
        <v>5721</v>
      </c>
      <c r="B1445" s="5">
        <v>43840.68472222222</v>
      </c>
      <c r="C1445" s="67"/>
    </row>
    <row r="1446" ht="15.75" customHeight="1">
      <c r="A1446" s="63" t="s">
        <v>4679</v>
      </c>
      <c r="B1446" s="5">
        <v>43840.645833333336</v>
      </c>
      <c r="C1446" s="67"/>
    </row>
    <row r="1447" ht="15.75" customHeight="1">
      <c r="A1447" s="63" t="s">
        <v>5248</v>
      </c>
      <c r="B1447" s="5">
        <v>43840.5125</v>
      </c>
      <c r="C1447" s="67"/>
    </row>
    <row r="1448" ht="15.75" customHeight="1">
      <c r="A1448" s="63" t="s">
        <v>5722</v>
      </c>
      <c r="B1448" s="5">
        <v>43840.47986111111</v>
      </c>
      <c r="C1448" s="67"/>
    </row>
    <row r="1449" ht="15.75" customHeight="1">
      <c r="A1449" s="63" t="s">
        <v>5227</v>
      </c>
      <c r="B1449" s="5">
        <v>43840.43194444444</v>
      </c>
      <c r="C1449" s="67"/>
    </row>
    <row r="1450" ht="15.75" customHeight="1">
      <c r="A1450" s="63" t="s">
        <v>5252</v>
      </c>
      <c r="B1450" s="5">
        <v>43839.856944444444</v>
      </c>
      <c r="C1450" s="67"/>
    </row>
    <row r="1451" ht="15.75" customHeight="1">
      <c r="A1451" s="63" t="s">
        <v>5723</v>
      </c>
      <c r="B1451" s="5">
        <v>43839.85138888889</v>
      </c>
      <c r="C1451" s="67"/>
    </row>
    <row r="1452" ht="15.75" customHeight="1">
      <c r="A1452" s="63" t="s">
        <v>5724</v>
      </c>
      <c r="B1452" s="5">
        <v>43839.68472222222</v>
      </c>
      <c r="C1452" s="67"/>
    </row>
    <row r="1453" ht="15.75" customHeight="1">
      <c r="A1453" s="63" t="s">
        <v>5725</v>
      </c>
      <c r="B1453" s="5">
        <v>43839.604166666664</v>
      </c>
      <c r="C1453" s="67"/>
    </row>
    <row r="1454" ht="15.75" customHeight="1">
      <c r="A1454" s="63" t="s">
        <v>610</v>
      </c>
      <c r="B1454" s="5">
        <v>43839.589583333334</v>
      </c>
      <c r="C1454" s="67"/>
    </row>
    <row r="1455" ht="15.75" customHeight="1">
      <c r="A1455" s="63" t="s">
        <v>5258</v>
      </c>
      <c r="B1455" s="5">
        <v>43839.486805555556</v>
      </c>
      <c r="C1455" s="67"/>
    </row>
    <row r="1456" ht="15.75" customHeight="1">
      <c r="A1456" s="63" t="s">
        <v>770</v>
      </c>
      <c r="B1456" s="5">
        <v>43839.41527777778</v>
      </c>
      <c r="C1456" s="67"/>
    </row>
    <row r="1457" ht="15.75" customHeight="1">
      <c r="A1457" s="63" t="s">
        <v>5260</v>
      </c>
      <c r="B1457" s="5">
        <v>43839.407638888886</v>
      </c>
      <c r="C1457" s="67"/>
    </row>
    <row r="1458" ht="15.75" customHeight="1">
      <c r="A1458" s="63" t="s">
        <v>5726</v>
      </c>
      <c r="B1458" s="5">
        <v>43839.38680555556</v>
      </c>
      <c r="C1458" s="67"/>
    </row>
    <row r="1459" ht="15.75" customHeight="1">
      <c r="A1459" s="63" t="s">
        <v>1651</v>
      </c>
      <c r="B1459" s="5">
        <v>43839.316666666666</v>
      </c>
      <c r="C1459" s="67"/>
    </row>
    <row r="1460" ht="15.75" customHeight="1">
      <c r="A1460" s="63" t="s">
        <v>5727</v>
      </c>
      <c r="B1460" s="5">
        <v>43838.85763888889</v>
      </c>
      <c r="C1460" s="67"/>
    </row>
    <row r="1461" ht="15.75" customHeight="1">
      <c r="A1461" s="63" t="s">
        <v>5728</v>
      </c>
      <c r="B1461" s="5">
        <v>43838.816666666666</v>
      </c>
      <c r="C1461" s="67"/>
    </row>
    <row r="1462" ht="15.75" customHeight="1">
      <c r="A1462" s="63" t="s">
        <v>5729</v>
      </c>
      <c r="B1462" s="5">
        <v>43838.714583333334</v>
      </c>
      <c r="C1462" s="67"/>
    </row>
    <row r="1463" ht="15.75" customHeight="1">
      <c r="A1463" s="63" t="s">
        <v>5730</v>
      </c>
      <c r="B1463" s="5">
        <v>43838.63402777778</v>
      </c>
      <c r="C1463" s="67"/>
    </row>
    <row r="1464" ht="15.75" customHeight="1">
      <c r="A1464" s="63" t="s">
        <v>5263</v>
      </c>
      <c r="B1464" s="5">
        <v>43838.5625</v>
      </c>
      <c r="C1464" s="67"/>
    </row>
    <row r="1465" ht="15.75" customHeight="1">
      <c r="A1465" s="63" t="s">
        <v>5264</v>
      </c>
      <c r="B1465" s="5">
        <v>43838.4875</v>
      </c>
      <c r="C1465" s="67"/>
    </row>
    <row r="1466" ht="15.75" customHeight="1">
      <c r="A1466" s="63" t="s">
        <v>5731</v>
      </c>
      <c r="B1466" s="5">
        <v>43838.48611111111</v>
      </c>
      <c r="C1466" s="67"/>
    </row>
    <row r="1467" ht="15.75" customHeight="1">
      <c r="A1467" s="63" t="s">
        <v>5732</v>
      </c>
      <c r="B1467" s="5">
        <v>43838.45138888889</v>
      </c>
      <c r="C1467" s="67"/>
    </row>
    <row r="1468" ht="15.75" customHeight="1">
      <c r="A1468" s="63" t="s">
        <v>5733</v>
      </c>
      <c r="B1468" s="5">
        <v>43838.32847222222</v>
      </c>
      <c r="C1468" s="67"/>
    </row>
    <row r="1469" ht="15.75" customHeight="1">
      <c r="A1469" s="63" t="s">
        <v>5267</v>
      </c>
      <c r="B1469" s="5">
        <v>43837.65694444445</v>
      </c>
      <c r="C1469" s="67"/>
    </row>
    <row r="1470" ht="15.75" customHeight="1">
      <c r="A1470" s="63" t="s">
        <v>5734</v>
      </c>
      <c r="B1470" s="5">
        <v>43837.59444444445</v>
      </c>
      <c r="C1470" s="67"/>
    </row>
    <row r="1471" ht="15.75" customHeight="1">
      <c r="A1471" s="63" t="s">
        <v>5272</v>
      </c>
      <c r="B1471" s="5">
        <v>43837.52291666667</v>
      </c>
      <c r="C1471" s="67"/>
    </row>
    <row r="1472" ht="15.75" customHeight="1">
      <c r="A1472" s="63" t="s">
        <v>5277</v>
      </c>
      <c r="B1472" s="5">
        <v>43837.44375</v>
      </c>
      <c r="C1472" s="67"/>
    </row>
    <row r="1473" ht="15.75" customHeight="1">
      <c r="A1473" s="63" t="s">
        <v>2934</v>
      </c>
      <c r="B1473" s="5">
        <v>43837.4375</v>
      </c>
      <c r="C1473" s="67"/>
    </row>
    <row r="1474" ht="15.75" customHeight="1">
      <c r="A1474" s="63" t="s">
        <v>5287</v>
      </c>
      <c r="B1474" s="5">
        <v>43837.36666666667</v>
      </c>
      <c r="C1474" s="67"/>
    </row>
    <row r="1475" ht="15.75" customHeight="1">
      <c r="A1475" s="63" t="s">
        <v>5735</v>
      </c>
      <c r="B1475" s="5">
        <v>43836.98819444444</v>
      </c>
      <c r="C1475" s="67"/>
    </row>
    <row r="1476" ht="15.75" customHeight="1">
      <c r="A1476" s="63" t="s">
        <v>5736</v>
      </c>
      <c r="B1476" s="5">
        <v>43836.91458333333</v>
      </c>
      <c r="C1476" s="67"/>
    </row>
    <row r="1477" ht="15.75" customHeight="1">
      <c r="A1477" s="63" t="s">
        <v>5290</v>
      </c>
      <c r="B1477" s="5">
        <v>43836.90902777778</v>
      </c>
      <c r="C1477" s="67"/>
    </row>
    <row r="1478" ht="15.75" customHeight="1">
      <c r="A1478" s="63" t="s">
        <v>5737</v>
      </c>
      <c r="B1478" s="5">
        <v>43836.64722222222</v>
      </c>
      <c r="C1478" s="67"/>
    </row>
    <row r="1479" ht="15.75" customHeight="1">
      <c r="A1479" s="63" t="s">
        <v>5738</v>
      </c>
      <c r="B1479" s="5">
        <v>43836.48611111111</v>
      </c>
      <c r="C1479" s="67"/>
    </row>
    <row r="1480" ht="15.75" customHeight="1">
      <c r="A1480" s="63" t="s">
        <v>5739</v>
      </c>
      <c r="B1480" s="5">
        <v>43836.430555555555</v>
      </c>
      <c r="C1480" s="67"/>
    </row>
    <row r="1481" ht="15.75" customHeight="1">
      <c r="A1481" s="63" t="s">
        <v>5740</v>
      </c>
      <c r="B1481" s="5">
        <v>43836.42916666667</v>
      </c>
      <c r="C1481" s="67"/>
    </row>
    <row r="1482" ht="15.75" customHeight="1">
      <c r="A1482" s="63" t="s">
        <v>5297</v>
      </c>
      <c r="B1482" s="5">
        <v>43835.89097222222</v>
      </c>
      <c r="C1482" s="67"/>
    </row>
    <row r="1483" ht="15.75" customHeight="1">
      <c r="A1483" s="63" t="s">
        <v>5741</v>
      </c>
      <c r="B1483" s="5">
        <v>43835.59375</v>
      </c>
      <c r="C1483" s="67"/>
    </row>
    <row r="1484" ht="15.75" customHeight="1">
      <c r="A1484" s="63" t="s">
        <v>5742</v>
      </c>
      <c r="B1484" s="5">
        <v>43835.376388888886</v>
      </c>
      <c r="C1484" s="67"/>
    </row>
    <row r="1485" ht="15.75" customHeight="1">
      <c r="A1485" s="63" t="s">
        <v>5743</v>
      </c>
      <c r="B1485" s="5">
        <v>43835.35833333333</v>
      </c>
      <c r="C1485" s="67"/>
    </row>
    <row r="1486" ht="15.75" customHeight="1">
      <c r="A1486" s="63" t="s">
        <v>5744</v>
      </c>
      <c r="B1486" s="5">
        <v>43835.35833333333</v>
      </c>
      <c r="C1486" s="67"/>
    </row>
    <row r="1487" ht="15.75" customHeight="1">
      <c r="A1487" s="63" t="s">
        <v>5745</v>
      </c>
      <c r="B1487" s="5">
        <v>43834.91736111111</v>
      </c>
      <c r="C1487" s="67"/>
    </row>
    <row r="1488" ht="15.75" customHeight="1">
      <c r="A1488" s="63" t="s">
        <v>4362</v>
      </c>
      <c r="B1488" s="5">
        <v>43834.88402777778</v>
      </c>
      <c r="C1488" s="67"/>
    </row>
    <row r="1489" ht="15.75" customHeight="1">
      <c r="A1489" s="63" t="s">
        <v>5303</v>
      </c>
      <c r="B1489" s="5">
        <v>43834.50486111111</v>
      </c>
      <c r="C1489" s="67"/>
    </row>
    <row r="1490" ht="15.75" customHeight="1">
      <c r="A1490" s="63" t="s">
        <v>5300</v>
      </c>
      <c r="B1490" s="5">
        <v>43834.5</v>
      </c>
      <c r="C1490" s="67"/>
    </row>
    <row r="1491" ht="15.75" customHeight="1">
      <c r="A1491" s="63" t="s">
        <v>5304</v>
      </c>
      <c r="B1491" s="5">
        <v>43834.49652777778</v>
      </c>
      <c r="C1491" s="67"/>
    </row>
    <row r="1492" ht="15.75" customHeight="1">
      <c r="A1492" s="63" t="s">
        <v>5746</v>
      </c>
      <c r="B1492" s="5">
        <v>43834.48333333333</v>
      </c>
      <c r="C1492" s="67"/>
    </row>
    <row r="1493" ht="15.75" customHeight="1">
      <c r="A1493" s="63" t="s">
        <v>5747</v>
      </c>
      <c r="B1493" s="5">
        <v>43834.097916666666</v>
      </c>
      <c r="C1493" s="67"/>
    </row>
    <row r="1494" ht="15.75" customHeight="1">
      <c r="A1494" s="63" t="s">
        <v>5748</v>
      </c>
      <c r="B1494" s="5">
        <v>43834.010416666664</v>
      </c>
      <c r="C1494" s="67"/>
    </row>
    <row r="1495" ht="15.75" customHeight="1">
      <c r="A1495" s="63" t="s">
        <v>5306</v>
      </c>
      <c r="B1495" s="5">
        <v>43833.986805555556</v>
      </c>
      <c r="C1495" s="67"/>
    </row>
    <row r="1496" ht="15.75" customHeight="1">
      <c r="A1496" s="63" t="s">
        <v>5749</v>
      </c>
      <c r="B1496" s="5">
        <v>43833.91527777778</v>
      </c>
      <c r="C1496" s="67"/>
    </row>
    <row r="1497" ht="15.75" customHeight="1">
      <c r="A1497" s="63" t="s">
        <v>5750</v>
      </c>
      <c r="B1497" s="5">
        <v>43833.64375</v>
      </c>
      <c r="C1497" s="67"/>
    </row>
    <row r="1498" ht="15.75" customHeight="1">
      <c r="A1498" s="63" t="s">
        <v>5751</v>
      </c>
      <c r="B1498" s="5">
        <v>43833.54513888889</v>
      </c>
      <c r="C1498" s="67"/>
    </row>
    <row r="1499" ht="15.75" customHeight="1">
      <c r="A1499" s="63" t="s">
        <v>755</v>
      </c>
      <c r="B1499" s="5">
        <v>43833.45416666667</v>
      </c>
      <c r="C1499" s="67"/>
    </row>
    <row r="1500" ht="15.75" customHeight="1">
      <c r="A1500" s="63" t="s">
        <v>5752</v>
      </c>
      <c r="B1500" s="5">
        <v>43833.399305555555</v>
      </c>
      <c r="C1500" s="67"/>
    </row>
    <row r="1501" ht="15.75" customHeight="1">
      <c r="A1501" s="63" t="s">
        <v>5322</v>
      </c>
      <c r="B1501" s="5">
        <v>43833.36944444444</v>
      </c>
      <c r="C1501" s="67"/>
    </row>
    <row r="1502" ht="15.75" customHeight="1">
      <c r="A1502" s="63" t="s">
        <v>5326</v>
      </c>
      <c r="B1502" s="5">
        <v>43833.33541666667</v>
      </c>
      <c r="C1502" s="67"/>
    </row>
    <row r="1503" ht="15.75" customHeight="1">
      <c r="A1503" s="63" t="s">
        <v>5342</v>
      </c>
      <c r="B1503" s="5">
        <v>43832.79652777778</v>
      </c>
      <c r="C1503" s="67"/>
    </row>
    <row r="1504" ht="15.75" customHeight="1">
      <c r="A1504" s="63" t="s">
        <v>5753</v>
      </c>
      <c r="B1504" s="5">
        <v>43832.7875</v>
      </c>
      <c r="C1504" s="67"/>
    </row>
    <row r="1505" ht="15.75" customHeight="1">
      <c r="A1505" s="63" t="s">
        <v>2670</v>
      </c>
      <c r="B1505" s="5">
        <v>43832.68125</v>
      </c>
      <c r="C1505" s="67"/>
    </row>
    <row r="1506" ht="15.75" customHeight="1">
      <c r="A1506" s="63" t="s">
        <v>4252</v>
      </c>
      <c r="B1506" s="5">
        <v>43832.59930555556</v>
      </c>
      <c r="C1506" s="67"/>
    </row>
    <row r="1507" ht="15.75" customHeight="1">
      <c r="A1507" s="63" t="s">
        <v>5323</v>
      </c>
      <c r="B1507" s="5">
        <v>43832.57083333333</v>
      </c>
      <c r="C1507" s="67"/>
    </row>
    <row r="1508" ht="15.75" customHeight="1">
      <c r="A1508" s="63" t="s">
        <v>2806</v>
      </c>
      <c r="B1508" s="5">
        <v>43832.54652777778</v>
      </c>
      <c r="C1508" s="67"/>
    </row>
    <row r="1509" ht="15.75" customHeight="1">
      <c r="A1509" s="63" t="s">
        <v>5375</v>
      </c>
      <c r="B1509" s="5">
        <v>43832.44930555556</v>
      </c>
      <c r="C1509" s="67"/>
    </row>
    <row r="1510" ht="15.75" customHeight="1">
      <c r="A1510" s="63" t="s">
        <v>5754</v>
      </c>
      <c r="B1510" s="5">
        <v>43832.34861111111</v>
      </c>
      <c r="C1510" s="67"/>
    </row>
    <row r="1511" ht="15.75" customHeight="1">
      <c r="A1511" s="63" t="s">
        <v>5758</v>
      </c>
      <c r="B1511" s="5">
        <v>43831.915972222225</v>
      </c>
      <c r="C1511" s="67"/>
    </row>
    <row r="1512" ht="15.75" customHeight="1">
      <c r="A1512" s="63" t="s">
        <v>5759</v>
      </c>
      <c r="B1512" s="5">
        <v>43831.89166666667</v>
      </c>
      <c r="C1512" s="67"/>
    </row>
    <row r="1513" ht="15.75" customHeight="1">
      <c r="A1513" s="63" t="s">
        <v>5760</v>
      </c>
      <c r="B1513" s="5">
        <v>43831.847916666666</v>
      </c>
      <c r="C1513" s="67"/>
    </row>
    <row r="1514" ht="15.75" customHeight="1">
      <c r="A1514" s="63" t="s">
        <v>5761</v>
      </c>
      <c r="B1514" s="5">
        <v>43831.436111111114</v>
      </c>
      <c r="C1514" s="67"/>
    </row>
    <row r="1515" ht="15.75" customHeight="1">
      <c r="A1515" s="65"/>
      <c r="B1515" s="66"/>
    </row>
    <row r="1516" ht="15.75" customHeight="1">
      <c r="A1516" s="65"/>
      <c r="B1516" s="66"/>
    </row>
    <row r="1517" ht="15.75" customHeight="1">
      <c r="A1517" s="65"/>
      <c r="B1517" s="66"/>
    </row>
    <row r="1518" ht="15.75" customHeight="1">
      <c r="A1518" s="65"/>
      <c r="B1518" s="66"/>
    </row>
    <row r="1519" ht="15.75" customHeight="1">
      <c r="A1519" s="65"/>
      <c r="B1519" s="66"/>
    </row>
    <row r="1520" ht="15.75" customHeight="1">
      <c r="A1520" s="65"/>
      <c r="B1520" s="66"/>
    </row>
    <row r="1521" ht="15.75" customHeight="1">
      <c r="A1521" s="65"/>
      <c r="B1521" s="66"/>
    </row>
    <row r="1522" ht="15.75" customHeight="1">
      <c r="A1522" s="65"/>
      <c r="B1522" s="66"/>
    </row>
    <row r="1523" ht="15.75" customHeight="1">
      <c r="A1523" s="65"/>
      <c r="B1523" s="66"/>
    </row>
    <row r="1524" ht="15.75" customHeight="1">
      <c r="A1524" s="65"/>
      <c r="B1524" s="66"/>
    </row>
    <row r="1525" ht="15.75" customHeight="1">
      <c r="A1525" s="65"/>
      <c r="B1525" s="66"/>
    </row>
    <row r="1526" ht="15.75" customHeight="1">
      <c r="A1526" s="65"/>
      <c r="B1526" s="66"/>
    </row>
    <row r="1527" ht="15.75" customHeight="1">
      <c r="A1527" s="65"/>
      <c r="B1527" s="66"/>
    </row>
    <row r="1528" ht="15.75" customHeight="1">
      <c r="A1528" s="65"/>
      <c r="B1528" s="66"/>
    </row>
    <row r="1529" ht="15.75" customHeight="1">
      <c r="A1529" s="65"/>
      <c r="B1529" s="66"/>
    </row>
    <row r="1530" ht="15.75" customHeight="1">
      <c r="A1530" s="65"/>
      <c r="B1530" s="66"/>
    </row>
    <row r="1531" ht="15.75" customHeight="1">
      <c r="A1531" s="65"/>
      <c r="B1531" s="66"/>
    </row>
    <row r="1532" ht="15.75" customHeight="1">
      <c r="A1532" s="65"/>
      <c r="B1532" s="66"/>
    </row>
    <row r="1533" ht="15.75" customHeight="1">
      <c r="A1533" s="65"/>
      <c r="B1533" s="66"/>
    </row>
    <row r="1534" ht="15.75" customHeight="1">
      <c r="A1534" s="65"/>
      <c r="B1534" s="66"/>
    </row>
    <row r="1535" ht="15.75" customHeight="1">
      <c r="A1535" s="65"/>
      <c r="B1535" s="66"/>
    </row>
    <row r="1536" ht="15.75" customHeight="1">
      <c r="A1536" s="65"/>
      <c r="B1536" s="66"/>
    </row>
    <row r="1537" ht="15.75" customHeight="1">
      <c r="A1537" s="65"/>
      <c r="B1537" s="66"/>
    </row>
    <row r="1538" ht="15.75" customHeight="1">
      <c r="A1538" s="65"/>
      <c r="B1538" s="66"/>
    </row>
    <row r="1539" ht="15.75" customHeight="1">
      <c r="A1539" s="65"/>
      <c r="B1539" s="66"/>
    </row>
    <row r="1540" ht="15.75" customHeight="1">
      <c r="A1540" s="65"/>
      <c r="B1540" s="66"/>
    </row>
    <row r="1541" ht="15.75" customHeight="1">
      <c r="A1541" s="65"/>
      <c r="B1541" s="66"/>
    </row>
    <row r="1542" ht="15.75" customHeight="1">
      <c r="A1542" s="65"/>
      <c r="B1542" s="66"/>
    </row>
    <row r="1543" ht="15.75" customHeight="1">
      <c r="A1543" s="65"/>
      <c r="B1543" s="66"/>
    </row>
    <row r="1544" ht="15.75" customHeight="1">
      <c r="A1544" s="65"/>
      <c r="B1544" s="66"/>
    </row>
    <row r="1545" ht="15.75" customHeight="1">
      <c r="A1545" s="65"/>
      <c r="B1545" s="66"/>
    </row>
    <row r="1546" ht="15.75" customHeight="1">
      <c r="A1546" s="65"/>
      <c r="B1546" s="66"/>
    </row>
    <row r="1547" ht="15.75" customHeight="1">
      <c r="A1547" s="65"/>
      <c r="B1547" s="66"/>
    </row>
    <row r="1548" ht="15.75" customHeight="1">
      <c r="A1548" s="65"/>
      <c r="B1548" s="66"/>
    </row>
    <row r="1549" ht="15.75" customHeight="1">
      <c r="A1549" s="65"/>
      <c r="B1549" s="66"/>
    </row>
    <row r="1550" ht="15.75" customHeight="1">
      <c r="A1550" s="65"/>
      <c r="B1550" s="66"/>
    </row>
    <row r="1551" ht="15.75" customHeight="1">
      <c r="A1551" s="65"/>
      <c r="B1551" s="66"/>
    </row>
    <row r="1552" ht="15.75" customHeight="1">
      <c r="A1552" s="65"/>
      <c r="B1552" s="66"/>
    </row>
    <row r="1553" ht="15.75" customHeight="1">
      <c r="A1553" s="65"/>
      <c r="B1553" s="66"/>
    </row>
    <row r="1554" ht="15.75" customHeight="1">
      <c r="A1554" s="65"/>
      <c r="B1554" s="66"/>
    </row>
    <row r="1555" ht="15.75" customHeight="1">
      <c r="A1555" s="65"/>
      <c r="B1555" s="66"/>
    </row>
    <row r="1556" ht="15.75" customHeight="1">
      <c r="A1556" s="65"/>
      <c r="B1556" s="66"/>
    </row>
    <row r="1557" ht="15.75" customHeight="1">
      <c r="A1557" s="65"/>
      <c r="B1557" s="66"/>
    </row>
    <row r="1558" ht="15.75" customHeight="1">
      <c r="A1558" s="65"/>
      <c r="B1558" s="66"/>
    </row>
    <row r="1559" ht="15.75" customHeight="1">
      <c r="A1559" s="65"/>
      <c r="B1559" s="66"/>
    </row>
    <row r="1560" ht="15.75" customHeight="1">
      <c r="A1560" s="65"/>
      <c r="B1560" s="66"/>
    </row>
    <row r="1561" ht="15.75" customHeight="1">
      <c r="A1561" s="65"/>
      <c r="B1561" s="66"/>
    </row>
    <row r="1562" ht="15.75" customHeight="1">
      <c r="A1562" s="65"/>
      <c r="B1562" s="66"/>
    </row>
    <row r="1563" ht="15.75" customHeight="1">
      <c r="A1563" s="65"/>
      <c r="B1563" s="66"/>
    </row>
    <row r="1564" ht="15.75" customHeight="1">
      <c r="A1564" s="65"/>
      <c r="B1564" s="66"/>
    </row>
    <row r="1565" ht="15.75" customHeight="1">
      <c r="A1565" s="65"/>
      <c r="B1565" s="66"/>
    </row>
    <row r="1566" ht="15.75" customHeight="1">
      <c r="A1566" s="65"/>
      <c r="B1566" s="66"/>
    </row>
    <row r="1567" ht="15.75" customHeight="1">
      <c r="A1567" s="65"/>
      <c r="B1567" s="66"/>
    </row>
    <row r="1568" ht="15.75" customHeight="1">
      <c r="A1568" s="65"/>
      <c r="B1568" s="66"/>
    </row>
    <row r="1569" ht="15.75" customHeight="1">
      <c r="A1569" s="65"/>
      <c r="B1569" s="66"/>
    </row>
    <row r="1570" ht="15.75" customHeight="1">
      <c r="A1570" s="65"/>
      <c r="B1570" s="66"/>
    </row>
    <row r="1571" ht="15.75" customHeight="1">
      <c r="A1571" s="65"/>
      <c r="B1571" s="66"/>
    </row>
    <row r="1572" ht="15.75" customHeight="1">
      <c r="A1572" s="65"/>
      <c r="B1572" s="66"/>
    </row>
    <row r="1573" ht="15.75" customHeight="1">
      <c r="A1573" s="65"/>
      <c r="B1573" s="66"/>
    </row>
    <row r="1574" ht="15.75" customHeight="1">
      <c r="A1574" s="65"/>
      <c r="B1574" s="66"/>
    </row>
    <row r="1575" ht="15.75" customHeight="1">
      <c r="A1575" s="65"/>
      <c r="B1575" s="66"/>
    </row>
    <row r="1576" ht="15.75" customHeight="1">
      <c r="A1576" s="65"/>
      <c r="B1576" s="66"/>
    </row>
    <row r="1577" ht="15.75" customHeight="1">
      <c r="A1577" s="65"/>
      <c r="B1577" s="66"/>
    </row>
    <row r="1578" ht="15.75" customHeight="1">
      <c r="A1578" s="65"/>
      <c r="B1578" s="66"/>
    </row>
    <row r="1579" ht="15.75" customHeight="1">
      <c r="A1579" s="65"/>
      <c r="B1579" s="66"/>
    </row>
    <row r="1580" ht="15.75" customHeight="1">
      <c r="A1580" s="65"/>
      <c r="B1580" s="66"/>
    </row>
    <row r="1581" ht="15.75" customHeight="1">
      <c r="A1581" s="65"/>
      <c r="B1581" s="66"/>
    </row>
    <row r="1582" ht="15.75" customHeight="1">
      <c r="A1582" s="65"/>
      <c r="B1582" s="66"/>
    </row>
    <row r="1583" ht="15.75" customHeight="1">
      <c r="A1583" s="65"/>
      <c r="B1583" s="66"/>
    </row>
    <row r="1584" ht="15.75" customHeight="1">
      <c r="A1584" s="65"/>
      <c r="B1584" s="66"/>
    </row>
    <row r="1585" ht="15.75" customHeight="1">
      <c r="A1585" s="65"/>
      <c r="B1585" s="66"/>
    </row>
    <row r="1586" ht="15.75" customHeight="1">
      <c r="A1586" s="65"/>
      <c r="B1586" s="66"/>
    </row>
    <row r="1587" ht="15.75" customHeight="1">
      <c r="A1587" s="65"/>
      <c r="B1587" s="66"/>
    </row>
    <row r="1588" ht="15.75" customHeight="1">
      <c r="A1588" s="65"/>
      <c r="B1588" s="66"/>
    </row>
    <row r="1589" ht="15.75" customHeight="1">
      <c r="A1589" s="65"/>
      <c r="B1589" s="66"/>
    </row>
    <row r="1590" ht="15.75" customHeight="1">
      <c r="A1590" s="65"/>
      <c r="B1590" s="66"/>
    </row>
    <row r="1591" ht="15.75" customHeight="1">
      <c r="A1591" s="65"/>
      <c r="B1591" s="66"/>
    </row>
    <row r="1592" ht="15.75" customHeight="1">
      <c r="A1592" s="65"/>
      <c r="B1592" s="66"/>
    </row>
    <row r="1593" ht="15.75" customHeight="1">
      <c r="A1593" s="65"/>
      <c r="B1593" s="66"/>
    </row>
    <row r="1594" ht="15.75" customHeight="1">
      <c r="A1594" s="65"/>
      <c r="B1594" s="66"/>
    </row>
    <row r="1595" ht="15.75" customHeight="1">
      <c r="A1595" s="65"/>
      <c r="B1595" s="66"/>
    </row>
    <row r="1596" ht="15.75" customHeight="1">
      <c r="A1596" s="65"/>
      <c r="B1596" s="66"/>
    </row>
    <row r="1597" ht="15.75" customHeight="1">
      <c r="A1597" s="65"/>
      <c r="B1597" s="66"/>
    </row>
    <row r="1598" ht="15.75" customHeight="1">
      <c r="A1598" s="65"/>
      <c r="B1598" s="66"/>
    </row>
    <row r="1599" ht="15.75" customHeight="1">
      <c r="A1599" s="65"/>
      <c r="B1599" s="66"/>
    </row>
    <row r="1600" ht="15.75" customHeight="1">
      <c r="A1600" s="65"/>
      <c r="B1600" s="66"/>
    </row>
    <row r="1601" ht="15.75" customHeight="1">
      <c r="A1601" s="65"/>
      <c r="B1601" s="66"/>
    </row>
    <row r="1602" ht="15.75" customHeight="1">
      <c r="A1602" s="65"/>
      <c r="B1602" s="66"/>
    </row>
    <row r="1603" ht="15.75" customHeight="1">
      <c r="A1603" s="65"/>
      <c r="B1603" s="66"/>
    </row>
    <row r="1604" ht="15.75" customHeight="1">
      <c r="A1604" s="65"/>
      <c r="B1604" s="66"/>
    </row>
    <row r="1605" ht="15.75" customHeight="1">
      <c r="A1605" s="65"/>
      <c r="B1605" s="66"/>
    </row>
    <row r="1606" ht="15.75" customHeight="1">
      <c r="A1606" s="65"/>
      <c r="B1606" s="66"/>
    </row>
    <row r="1607" ht="15.75" customHeight="1">
      <c r="A1607" s="65"/>
      <c r="B1607" s="66"/>
    </row>
    <row r="1608" ht="15.75" customHeight="1">
      <c r="A1608" s="65"/>
      <c r="B1608" s="66"/>
    </row>
    <row r="1609" ht="15.75" customHeight="1">
      <c r="A1609" s="65"/>
      <c r="B1609" s="66"/>
    </row>
    <row r="1610" ht="15.75" customHeight="1">
      <c r="A1610" s="65"/>
      <c r="B1610" s="66"/>
    </row>
    <row r="1611" ht="15.75" customHeight="1">
      <c r="A1611" s="65"/>
      <c r="B1611" s="66"/>
    </row>
    <row r="1612" ht="15.75" customHeight="1">
      <c r="A1612" s="65"/>
      <c r="B1612" s="66"/>
    </row>
    <row r="1613" ht="15.75" customHeight="1">
      <c r="A1613" s="65"/>
      <c r="B1613" s="66"/>
    </row>
    <row r="1614" ht="15.75" customHeight="1">
      <c r="A1614" s="65"/>
      <c r="B1614" s="66"/>
    </row>
    <row r="1615" ht="15.75" customHeight="1">
      <c r="A1615" s="65"/>
      <c r="B1615" s="66"/>
    </row>
    <row r="1616" ht="15.75" customHeight="1">
      <c r="A1616" s="65"/>
      <c r="B1616" s="66"/>
    </row>
    <row r="1617" ht="15.75" customHeight="1">
      <c r="A1617" s="65"/>
      <c r="B1617" s="66"/>
    </row>
    <row r="1618" ht="15.75" customHeight="1">
      <c r="A1618" s="65"/>
      <c r="B1618" s="66"/>
    </row>
    <row r="1619" ht="15.75" customHeight="1">
      <c r="A1619" s="65"/>
      <c r="B1619" s="66"/>
    </row>
    <row r="1620" ht="15.75" customHeight="1">
      <c r="A1620" s="65"/>
      <c r="B1620" s="66"/>
    </row>
    <row r="1621" ht="15.75" customHeight="1">
      <c r="A1621" s="65"/>
      <c r="B1621" s="66"/>
    </row>
    <row r="1622" ht="15.75" customHeight="1">
      <c r="A1622" s="65"/>
      <c r="B1622" s="66"/>
    </row>
    <row r="1623" ht="15.75" customHeight="1">
      <c r="A1623" s="65"/>
      <c r="B1623" s="66"/>
    </row>
    <row r="1624" ht="15.75" customHeight="1">
      <c r="A1624" s="65"/>
      <c r="B1624" s="66"/>
    </row>
    <row r="1625" ht="15.75" customHeight="1">
      <c r="A1625" s="65"/>
      <c r="B1625" s="66"/>
    </row>
    <row r="1626" ht="15.75" customHeight="1">
      <c r="A1626" s="65"/>
      <c r="B1626" s="66"/>
    </row>
    <row r="1627" ht="15.75" customHeight="1">
      <c r="A1627" s="65"/>
      <c r="B1627" s="66"/>
    </row>
    <row r="1628" ht="15.75" customHeight="1">
      <c r="A1628" s="65"/>
      <c r="B1628" s="66"/>
    </row>
    <row r="1629" ht="15.75" customHeight="1">
      <c r="A1629" s="65"/>
      <c r="B1629" s="66"/>
    </row>
    <row r="1630" ht="15.75" customHeight="1">
      <c r="A1630" s="65"/>
      <c r="B1630" s="66"/>
    </row>
    <row r="1631" ht="15.75" customHeight="1">
      <c r="A1631" s="65"/>
      <c r="B1631" s="66"/>
    </row>
    <row r="1632" ht="15.75" customHeight="1">
      <c r="A1632" s="65"/>
      <c r="B1632" s="66"/>
    </row>
    <row r="1633" ht="15.75" customHeight="1">
      <c r="A1633" s="65"/>
      <c r="B1633" s="66"/>
    </row>
    <row r="1634" ht="15.75" customHeight="1">
      <c r="A1634" s="65"/>
      <c r="B1634" s="66"/>
    </row>
    <row r="1635" ht="15.75" customHeight="1">
      <c r="A1635" s="65"/>
      <c r="B1635" s="66"/>
    </row>
    <row r="1636" ht="15.75" customHeight="1">
      <c r="A1636" s="65"/>
      <c r="B1636" s="66"/>
    </row>
    <row r="1637" ht="15.75" customHeight="1">
      <c r="A1637" s="65"/>
      <c r="B1637" s="66"/>
    </row>
    <row r="1638" ht="15.75" customHeight="1">
      <c r="A1638" s="65"/>
      <c r="B1638" s="66"/>
    </row>
    <row r="1639" ht="15.75" customHeight="1">
      <c r="A1639" s="65"/>
      <c r="B1639" s="66"/>
    </row>
    <row r="1640" ht="15.75" customHeight="1">
      <c r="A1640" s="65"/>
      <c r="B1640" s="66"/>
    </row>
    <row r="1641" ht="15.75" customHeight="1">
      <c r="A1641" s="65"/>
      <c r="B1641" s="66"/>
    </row>
    <row r="1642" ht="15.75" customHeight="1">
      <c r="A1642" s="65"/>
      <c r="B1642" s="66"/>
    </row>
    <row r="1643" ht="15.75" customHeight="1">
      <c r="A1643" s="65"/>
      <c r="B1643" s="66"/>
    </row>
    <row r="1644" ht="15.75" customHeight="1">
      <c r="A1644" s="65"/>
      <c r="B1644" s="66"/>
    </row>
    <row r="1645" ht="15.75" customHeight="1">
      <c r="A1645" s="65"/>
      <c r="B1645" s="66"/>
    </row>
    <row r="1646" ht="15.75" customHeight="1">
      <c r="A1646" s="65"/>
      <c r="B1646" s="66"/>
    </row>
    <row r="1647" ht="15.75" customHeight="1">
      <c r="A1647" s="65"/>
      <c r="B1647" s="66"/>
    </row>
    <row r="1648" ht="15.75" customHeight="1">
      <c r="A1648" s="65"/>
      <c r="B1648" s="66"/>
    </row>
    <row r="1649" ht="15.75" customHeight="1">
      <c r="A1649" s="65"/>
      <c r="B1649" s="66"/>
    </row>
    <row r="1650" ht="15.75" customHeight="1">
      <c r="A1650" s="65"/>
      <c r="B1650" s="66"/>
    </row>
    <row r="1651" ht="15.75" customHeight="1">
      <c r="A1651" s="65"/>
      <c r="B1651" s="66"/>
    </row>
    <row r="1652" ht="15.75" customHeight="1">
      <c r="A1652" s="65"/>
      <c r="B1652" s="66"/>
    </row>
    <row r="1653" ht="15.75" customHeight="1">
      <c r="A1653" s="65"/>
      <c r="B1653" s="66"/>
    </row>
    <row r="1654" ht="15.75" customHeight="1">
      <c r="A1654" s="65"/>
      <c r="B1654" s="66"/>
    </row>
    <row r="1655" ht="15.75" customHeight="1">
      <c r="A1655" s="65"/>
      <c r="B1655" s="66"/>
    </row>
    <row r="1656" ht="15.75" customHeight="1">
      <c r="A1656" s="65"/>
      <c r="B1656" s="66"/>
    </row>
    <row r="1657" ht="15.75" customHeight="1">
      <c r="A1657" s="65"/>
      <c r="B1657" s="66"/>
    </row>
    <row r="1658" ht="15.75" customHeight="1">
      <c r="A1658" s="65"/>
      <c r="B1658" s="66"/>
    </row>
    <row r="1659" ht="15.75" customHeight="1">
      <c r="A1659" s="65"/>
      <c r="B1659" s="66"/>
    </row>
    <row r="1660" ht="15.75" customHeight="1">
      <c r="A1660" s="65"/>
      <c r="B1660" s="66"/>
    </row>
    <row r="1661" ht="15.75" customHeight="1">
      <c r="A1661" s="65"/>
      <c r="B1661" s="66"/>
    </row>
    <row r="1662" ht="15.75" customHeight="1">
      <c r="A1662" s="65"/>
      <c r="B1662" s="66"/>
    </row>
    <row r="1663" ht="15.75" customHeight="1">
      <c r="A1663" s="65"/>
      <c r="B1663" s="66"/>
    </row>
    <row r="1664" ht="15.75" customHeight="1">
      <c r="A1664" s="65"/>
      <c r="B1664" s="66"/>
    </row>
    <row r="1665" ht="15.75" customHeight="1">
      <c r="A1665" s="65"/>
      <c r="B1665" s="66"/>
    </row>
    <row r="1666" ht="15.75" customHeight="1">
      <c r="A1666" s="65"/>
      <c r="B1666" s="66"/>
    </row>
    <row r="1667" ht="15.75" customHeight="1">
      <c r="A1667" s="65"/>
      <c r="B1667" s="66"/>
    </row>
    <row r="1668" ht="15.75" customHeight="1">
      <c r="A1668" s="65"/>
      <c r="B1668" s="66"/>
    </row>
    <row r="1669" ht="15.75" customHeight="1">
      <c r="A1669" s="65"/>
      <c r="B1669" s="66"/>
    </row>
    <row r="1670" ht="15.75" customHeight="1">
      <c r="A1670" s="65"/>
      <c r="B1670" s="66"/>
    </row>
    <row r="1671" ht="15.75" customHeight="1">
      <c r="A1671" s="65"/>
      <c r="B1671" s="66"/>
    </row>
    <row r="1672" ht="15.75" customHeight="1">
      <c r="A1672" s="65"/>
      <c r="B1672" s="66"/>
    </row>
    <row r="1673" ht="15.75" customHeight="1">
      <c r="A1673" s="65"/>
      <c r="B1673" s="66"/>
    </row>
    <row r="1674" ht="15.75" customHeight="1">
      <c r="A1674" s="65"/>
      <c r="B1674" s="66"/>
    </row>
    <row r="1675" ht="15.75" customHeight="1">
      <c r="A1675" s="65"/>
      <c r="B1675" s="66"/>
    </row>
    <row r="1676" ht="15.75" customHeight="1">
      <c r="A1676" s="65"/>
      <c r="B1676" s="66"/>
    </row>
    <row r="1677" ht="15.75" customHeight="1">
      <c r="A1677" s="65"/>
      <c r="B1677" s="66"/>
    </row>
    <row r="1678" ht="15.75" customHeight="1">
      <c r="A1678" s="65"/>
      <c r="B1678" s="66"/>
    </row>
    <row r="1679" ht="15.75" customHeight="1">
      <c r="A1679" s="65"/>
      <c r="B1679" s="66"/>
    </row>
    <row r="1680" ht="15.75" customHeight="1">
      <c r="A1680" s="65"/>
      <c r="B1680" s="66"/>
    </row>
    <row r="1681" ht="15.75" customHeight="1">
      <c r="A1681" s="65"/>
      <c r="B1681" s="66"/>
    </row>
    <row r="1682" ht="15.75" customHeight="1">
      <c r="A1682" s="65"/>
      <c r="B1682" s="66"/>
    </row>
    <row r="1683" ht="15.75" customHeight="1">
      <c r="A1683" s="65"/>
      <c r="B1683" s="66"/>
    </row>
    <row r="1684" ht="15.75" customHeight="1">
      <c r="A1684" s="65"/>
      <c r="B1684" s="66"/>
    </row>
    <row r="1685" ht="15.75" customHeight="1">
      <c r="A1685" s="65"/>
      <c r="B1685" s="66"/>
    </row>
    <row r="1686" ht="15.75" customHeight="1">
      <c r="A1686" s="65"/>
      <c r="B1686" s="66"/>
    </row>
    <row r="1687" ht="15.75" customHeight="1">
      <c r="A1687" s="65"/>
      <c r="B1687" s="66"/>
    </row>
    <row r="1688" ht="15.75" customHeight="1">
      <c r="A1688" s="65"/>
      <c r="B1688" s="66"/>
    </row>
    <row r="1689" ht="15.75" customHeight="1">
      <c r="A1689" s="65"/>
      <c r="B1689" s="66"/>
    </row>
    <row r="1690" ht="15.75" customHeight="1">
      <c r="A1690" s="65"/>
      <c r="B1690" s="66"/>
    </row>
    <row r="1691" ht="15.75" customHeight="1">
      <c r="A1691" s="65"/>
      <c r="B1691" s="66"/>
    </row>
    <row r="1692" ht="15.75" customHeight="1">
      <c r="A1692" s="65"/>
      <c r="B1692" s="66"/>
    </row>
    <row r="1693" ht="15.75" customHeight="1">
      <c r="A1693" s="65"/>
      <c r="B1693" s="66"/>
    </row>
    <row r="1694" ht="15.75" customHeight="1">
      <c r="A1694" s="65"/>
      <c r="B1694" s="66"/>
    </row>
    <row r="1695" ht="15.75" customHeight="1">
      <c r="A1695" s="65"/>
      <c r="B1695" s="66"/>
    </row>
    <row r="1696" ht="15.75" customHeight="1">
      <c r="A1696" s="65"/>
      <c r="B1696" s="66"/>
    </row>
    <row r="1697" ht="15.75" customHeight="1">
      <c r="A1697" s="65"/>
      <c r="B1697" s="66"/>
    </row>
    <row r="1698" ht="15.75" customHeight="1">
      <c r="A1698" s="65"/>
      <c r="B1698" s="66"/>
    </row>
    <row r="1699" ht="15.75" customHeight="1">
      <c r="A1699" s="65"/>
      <c r="B1699" s="66"/>
    </row>
    <row r="1700" ht="15.75" customHeight="1">
      <c r="A1700" s="65"/>
      <c r="B1700" s="66"/>
    </row>
    <row r="1701" ht="15.75" customHeight="1">
      <c r="A1701" s="65"/>
      <c r="B1701" s="66"/>
    </row>
    <row r="1702" ht="15.75" customHeight="1">
      <c r="A1702" s="65"/>
      <c r="B1702" s="66"/>
    </row>
    <row r="1703" ht="15.75" customHeight="1">
      <c r="A1703" s="65"/>
      <c r="B1703" s="66"/>
    </row>
    <row r="1704" ht="15.75" customHeight="1">
      <c r="A1704" s="65"/>
      <c r="B1704" s="66"/>
    </row>
    <row r="1705" ht="15.75" customHeight="1">
      <c r="A1705" s="65"/>
      <c r="B1705" s="66"/>
    </row>
    <row r="1706" ht="15.75" customHeight="1">
      <c r="A1706" s="65"/>
      <c r="B1706" s="66"/>
    </row>
    <row r="1707" ht="15.75" customHeight="1">
      <c r="A1707" s="65"/>
      <c r="B1707" s="66"/>
    </row>
    <row r="1708" ht="15.75" customHeight="1">
      <c r="A1708" s="65"/>
      <c r="B1708" s="66"/>
    </row>
    <row r="1709" ht="15.75" customHeight="1">
      <c r="A1709" s="65"/>
      <c r="B1709" s="66"/>
    </row>
    <row r="1710" ht="15.75" customHeight="1">
      <c r="A1710" s="65"/>
      <c r="B1710" s="66"/>
    </row>
    <row r="1711" ht="15.75" customHeight="1">
      <c r="A1711" s="65"/>
      <c r="B1711" s="66"/>
    </row>
    <row r="1712" ht="15.75" customHeight="1">
      <c r="A1712" s="65"/>
      <c r="B1712" s="66"/>
    </row>
    <row r="1713" ht="15.75" customHeight="1">
      <c r="A1713" s="65"/>
      <c r="B1713" s="66"/>
    </row>
    <row r="1714" ht="15.75" customHeight="1">
      <c r="A1714" s="65"/>
      <c r="B1714" s="6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9.86"/>
    <col customWidth="1" min="2" max="2" width="8.57"/>
    <col customWidth="1" min="3" max="3" width="22.71"/>
    <col customWidth="1" min="4" max="6" width="14.43"/>
  </cols>
  <sheetData>
    <row r="1">
      <c r="A1" s="68" t="s">
        <v>5762</v>
      </c>
      <c r="B1" s="69" t="s">
        <v>5763</v>
      </c>
      <c r="C1" s="70" t="s">
        <v>5764</v>
      </c>
      <c r="D1" s="70" t="s">
        <v>5765</v>
      </c>
    </row>
    <row r="2" ht="15.75" customHeight="1">
      <c r="A2" s="71" t="str">
        <f>Registros!A2</f>
        <v>1@gmail.com</v>
      </c>
      <c r="B2" s="5">
        <f>Registros!B2</f>
        <v>44012.67708</v>
      </c>
      <c r="C2" s="18" t="str">
        <f>IFNA(VLOOKUP(A2,'Registros - No nuevos'!A:A,1,0),"Nuevo")</f>
        <v>Nuevo</v>
      </c>
      <c r="D2" s="72" t="str">
        <f t="shared" ref="D2:D1820" si="1">IF(C2="Nuevo","Nuevo","No Nuevo")</f>
        <v>Nuevo</v>
      </c>
    </row>
    <row r="3" ht="15.75" customHeight="1">
      <c r="A3" s="71" t="str">
        <f>Registros!A3</f>
        <v>3@gmail.com</v>
      </c>
      <c r="B3" s="5">
        <f>Registros!B3</f>
        <v>44012.53056</v>
      </c>
      <c r="C3" s="18" t="str">
        <f>IFNA(VLOOKUP(A3,'Registros - No nuevos'!A:A,1,0),"Nuevo")</f>
        <v>3@gmail.com</v>
      </c>
      <c r="D3" s="72" t="str">
        <f t="shared" si="1"/>
        <v>No Nuevo</v>
      </c>
    </row>
    <row r="4" ht="15.75" customHeight="1">
      <c r="A4" s="71" t="str">
        <f>Registros!A4</f>
        <v>6@yahoo.es</v>
      </c>
      <c r="B4" s="5">
        <f>Registros!B4</f>
        <v>44012.49583</v>
      </c>
      <c r="C4" s="18" t="str">
        <f>IFNA(VLOOKUP(A4,'Registros - No nuevos'!A:A,1,0),"Nuevo")</f>
        <v>Nuevo</v>
      </c>
      <c r="D4" s="72" t="str">
        <f t="shared" si="1"/>
        <v>Nuevo</v>
      </c>
    </row>
    <row r="5" ht="15.75" customHeight="1">
      <c r="A5" s="71" t="str">
        <f>Registros!A5</f>
        <v>7@unizar.es</v>
      </c>
      <c r="B5" s="5">
        <f>Registros!B5</f>
        <v>44012.41528</v>
      </c>
      <c r="C5" s="18" t="str">
        <f>IFNA(VLOOKUP(A5,'Registros - No nuevos'!A:A,1,0),"Nuevo")</f>
        <v>7@unizar.es</v>
      </c>
      <c r="D5" s="72" t="str">
        <f t="shared" si="1"/>
        <v>No Nuevo</v>
      </c>
    </row>
    <row r="6" ht="15.75" customHeight="1">
      <c r="A6" s="71" t="str">
        <f>Registros!A6</f>
        <v>12@gmail.com</v>
      </c>
      <c r="B6" s="5">
        <f>Registros!B6</f>
        <v>44012.28056</v>
      </c>
      <c r="C6" s="18" t="str">
        <f>IFNA(VLOOKUP(A6,'Registros - No nuevos'!A:A,1,0),"Nuevo")</f>
        <v>Nuevo</v>
      </c>
      <c r="D6" s="72" t="str">
        <f t="shared" si="1"/>
        <v>Nuevo</v>
      </c>
    </row>
    <row r="7" ht="15.75" customHeight="1">
      <c r="A7" s="71" t="str">
        <f>Registros!A7</f>
        <v>14@enerparking.com</v>
      </c>
      <c r="B7" s="5">
        <f>Registros!B7</f>
        <v>44011.6375</v>
      </c>
      <c r="C7" s="18" t="str">
        <f>IFNA(VLOOKUP(A7,'Registros - No nuevos'!A:A,1,0),"Nuevo")</f>
        <v>Nuevo</v>
      </c>
      <c r="D7" s="72" t="str">
        <f t="shared" si="1"/>
        <v>Nuevo</v>
      </c>
    </row>
    <row r="8" ht="15.75" customHeight="1">
      <c r="A8" s="71" t="str">
        <f>Registros!A8</f>
        <v>15@apba.es</v>
      </c>
      <c r="B8" s="5">
        <f>Registros!B8</f>
        <v>44011.61528</v>
      </c>
      <c r="C8" s="18" t="str">
        <f>IFNA(VLOOKUP(A8,'Registros - No nuevos'!A:A,1,0),"Nuevo")</f>
        <v>Nuevo</v>
      </c>
      <c r="D8" s="72" t="str">
        <f t="shared" si="1"/>
        <v>Nuevo</v>
      </c>
    </row>
    <row r="9" ht="15.75" customHeight="1">
      <c r="A9" s="71" t="str">
        <f>Registros!A9</f>
        <v>16@cambrabcn.org</v>
      </c>
      <c r="B9" s="5">
        <f>Registros!B9</f>
        <v>44011.55764</v>
      </c>
      <c r="C9" s="18" t="str">
        <f>IFNA(VLOOKUP(A9,'Registros - No nuevos'!A:A,1,0),"Nuevo")</f>
        <v>Nuevo</v>
      </c>
      <c r="D9" s="72" t="str">
        <f t="shared" si="1"/>
        <v>Nuevo</v>
      </c>
    </row>
    <row r="10" ht="15.75" customHeight="1">
      <c r="A10" s="71" t="str">
        <f>Registros!A10</f>
        <v>17@gmail.com</v>
      </c>
      <c r="B10" s="5">
        <f>Registros!B10</f>
        <v>44011.41319</v>
      </c>
      <c r="C10" s="18" t="str">
        <f>IFNA(VLOOKUP(A10,'Registros - No nuevos'!A:A,1,0),"Nuevo")</f>
        <v>17@gmail.com</v>
      </c>
      <c r="D10" s="72" t="str">
        <f t="shared" si="1"/>
        <v>No Nuevo</v>
      </c>
    </row>
    <row r="11" ht="15.75" customHeight="1">
      <c r="A11" s="71" t="str">
        <f>Registros!A11</f>
        <v>20@gmail.com</v>
      </c>
      <c r="B11" s="5">
        <f>Registros!B11</f>
        <v>44011.36944</v>
      </c>
      <c r="C11" s="18" t="str">
        <f>IFNA(VLOOKUP(A11,'Registros - No nuevos'!A:A,1,0),"Nuevo")</f>
        <v>Nuevo</v>
      </c>
      <c r="D11" s="72" t="str">
        <f t="shared" si="1"/>
        <v>Nuevo</v>
      </c>
    </row>
    <row r="12" ht="15.75" customHeight="1">
      <c r="A12" s="71" t="str">
        <f>Registros!A12</f>
        <v>26@mktg.com</v>
      </c>
      <c r="B12" s="5">
        <f>Registros!B12</f>
        <v>44010.67292</v>
      </c>
      <c r="C12" s="18" t="str">
        <f>IFNA(VLOOKUP(A12,'Registros - No nuevos'!A:A,1,0),"Nuevo")</f>
        <v>Nuevo</v>
      </c>
      <c r="D12" s="72" t="str">
        <f t="shared" si="1"/>
        <v>Nuevo</v>
      </c>
    </row>
    <row r="13" ht="15.75" customHeight="1">
      <c r="A13" s="71" t="str">
        <f>Registros!A13</f>
        <v>27@hotmail.com</v>
      </c>
      <c r="B13" s="5">
        <f>Registros!B13</f>
        <v>44009.98125</v>
      </c>
      <c r="C13" s="18" t="str">
        <f>IFNA(VLOOKUP(A13,'Registros - No nuevos'!A:A,1,0),"Nuevo")</f>
        <v>Nuevo</v>
      </c>
      <c r="D13" s="72" t="str">
        <f t="shared" si="1"/>
        <v>Nuevo</v>
      </c>
    </row>
    <row r="14" ht="15.75" customHeight="1">
      <c r="A14" s="71" t="str">
        <f>Registros!A14</f>
        <v>28@gmail.com</v>
      </c>
      <c r="B14" s="5">
        <f>Registros!B14</f>
        <v>44009.71944</v>
      </c>
      <c r="C14" s="18" t="str">
        <f>IFNA(VLOOKUP(A14,'Registros - No nuevos'!A:A,1,0),"Nuevo")</f>
        <v>Nuevo</v>
      </c>
      <c r="D14" s="72" t="str">
        <f t="shared" si="1"/>
        <v>Nuevo</v>
      </c>
    </row>
    <row r="15" ht="15.75" customHeight="1">
      <c r="A15" s="71" t="str">
        <f>Registros!A15</f>
        <v>9@chacontch.com</v>
      </c>
      <c r="B15" s="5">
        <f>Registros!B15</f>
        <v>44009.65556</v>
      </c>
      <c r="C15" s="18" t="str">
        <f>IFNA(VLOOKUP(A15,'Registros - No nuevos'!A:A,1,0),"Nuevo")</f>
        <v>9@chacontch.com</v>
      </c>
      <c r="D15" s="72" t="str">
        <f t="shared" si="1"/>
        <v>No Nuevo</v>
      </c>
    </row>
    <row r="16" ht="15.75" customHeight="1">
      <c r="A16" s="71" t="str">
        <f>Registros!A16</f>
        <v>29@gmail.com</v>
      </c>
      <c r="B16" s="5">
        <f>Registros!B16</f>
        <v>44009.47917</v>
      </c>
      <c r="C16" s="18" t="str">
        <f>IFNA(VLOOKUP(A16,'Registros - No nuevos'!A:A,1,0),"Nuevo")</f>
        <v>Nuevo</v>
      </c>
      <c r="D16" s="72" t="str">
        <f t="shared" si="1"/>
        <v>Nuevo</v>
      </c>
    </row>
    <row r="17" ht="15.75" customHeight="1">
      <c r="A17" s="71" t="str">
        <f>Registros!A17</f>
        <v>30@gmail.com</v>
      </c>
      <c r="B17" s="5">
        <f>Registros!B17</f>
        <v>44009.37361</v>
      </c>
      <c r="C17" s="18" t="str">
        <f>IFNA(VLOOKUP(A17,'Registros - No nuevos'!A:A,1,0),"Nuevo")</f>
        <v>Nuevo</v>
      </c>
      <c r="D17" s="72" t="str">
        <f t="shared" si="1"/>
        <v>Nuevo</v>
      </c>
    </row>
    <row r="18" ht="15.75" customHeight="1">
      <c r="A18" s="71" t="str">
        <f>Registros!A18</f>
        <v>31@gmail.com</v>
      </c>
      <c r="B18" s="5">
        <f>Registros!B18</f>
        <v>44009.13194</v>
      </c>
      <c r="C18" s="18" t="str">
        <f>IFNA(VLOOKUP(A18,'Registros - No nuevos'!A:A,1,0),"Nuevo")</f>
        <v>Nuevo</v>
      </c>
      <c r="D18" s="72" t="str">
        <f t="shared" si="1"/>
        <v>Nuevo</v>
      </c>
    </row>
    <row r="19" ht="15.75" customHeight="1">
      <c r="A19" s="71" t="str">
        <f>Registros!A19</f>
        <v>32@gmail.com</v>
      </c>
      <c r="B19" s="5">
        <f>Registros!B19</f>
        <v>44008.98056</v>
      </c>
      <c r="C19" s="18" t="str">
        <f>IFNA(VLOOKUP(A19,'Registros - No nuevos'!A:A,1,0),"Nuevo")</f>
        <v>Nuevo</v>
      </c>
      <c r="D19" s="72" t="str">
        <f t="shared" si="1"/>
        <v>Nuevo</v>
      </c>
    </row>
    <row r="20" ht="15.75" customHeight="1">
      <c r="A20" s="71" t="str">
        <f>Registros!A20</f>
        <v>33@gmail.com</v>
      </c>
      <c r="B20" s="5">
        <f>Registros!B20</f>
        <v>44008.72361</v>
      </c>
      <c r="C20" s="18" t="str">
        <f>IFNA(VLOOKUP(A20,'Registros - No nuevos'!A:A,1,0),"Nuevo")</f>
        <v>Nuevo</v>
      </c>
      <c r="D20" s="72" t="str">
        <f t="shared" si="1"/>
        <v>Nuevo</v>
      </c>
    </row>
    <row r="21" ht="15.75" customHeight="1">
      <c r="A21" s="71" t="str">
        <f>Registros!A21</f>
        <v>40@hotmail.com</v>
      </c>
      <c r="B21" s="5">
        <f>Registros!B21</f>
        <v>44008.30764</v>
      </c>
      <c r="C21" s="18" t="str">
        <f>IFNA(VLOOKUP(A21,'Registros - No nuevos'!A:A,1,0),"Nuevo")</f>
        <v>40@hotmail.com</v>
      </c>
      <c r="D21" s="72" t="str">
        <f t="shared" si="1"/>
        <v>No Nuevo</v>
      </c>
    </row>
    <row r="22" ht="15.75" customHeight="1">
      <c r="A22" s="71" t="str">
        <f>Registros!A22</f>
        <v>41@gmail.com</v>
      </c>
      <c r="B22" s="5">
        <f>Registros!B22</f>
        <v>44007.58264</v>
      </c>
      <c r="C22" s="18" t="str">
        <f>IFNA(VLOOKUP(A22,'Registros - No nuevos'!A:A,1,0),"Nuevo")</f>
        <v>Nuevo</v>
      </c>
      <c r="D22" s="72" t="str">
        <f t="shared" si="1"/>
        <v>Nuevo</v>
      </c>
    </row>
    <row r="23" ht="15.75" customHeight="1">
      <c r="A23" s="71" t="str">
        <f>Registros!A23</f>
        <v>19@grupoespacioindustrial.com</v>
      </c>
      <c r="B23" s="5">
        <f>Registros!B23</f>
        <v>44007.50208</v>
      </c>
      <c r="C23" s="18" t="str">
        <f>IFNA(VLOOKUP(A23,'Registros - No nuevos'!A:A,1,0),"Nuevo")</f>
        <v>19@grupoespacioindustrial.com</v>
      </c>
      <c r="D23" s="72" t="str">
        <f t="shared" si="1"/>
        <v>No Nuevo</v>
      </c>
    </row>
    <row r="24" ht="15.75" customHeight="1">
      <c r="A24" s="71" t="str">
        <f>Registros!A24</f>
        <v>49@grupocaeiro.es</v>
      </c>
      <c r="B24" s="5">
        <f>Registros!B24</f>
        <v>44007.30903</v>
      </c>
      <c r="C24" s="18" t="str">
        <f>IFNA(VLOOKUP(A24,'Registros - No nuevos'!A:A,1,0),"Nuevo")</f>
        <v>Nuevo</v>
      </c>
      <c r="D24" s="72" t="str">
        <f t="shared" si="1"/>
        <v>Nuevo</v>
      </c>
    </row>
    <row r="25" ht="15.75" customHeight="1">
      <c r="A25" s="71" t="str">
        <f>Registros!A25</f>
        <v>39@idom.com</v>
      </c>
      <c r="B25" s="5">
        <f>Registros!B25</f>
        <v>44006.32222</v>
      </c>
      <c r="C25" s="18" t="str">
        <f>IFNA(VLOOKUP(A25,'Registros - No nuevos'!A:A,1,0),"Nuevo")</f>
        <v>39@idom.com</v>
      </c>
      <c r="D25" s="72" t="str">
        <f t="shared" si="1"/>
        <v>No Nuevo</v>
      </c>
    </row>
    <row r="26" ht="15.75" customHeight="1">
      <c r="A26" s="71" t="str">
        <f>Registros!A26</f>
        <v>53@dicara.es</v>
      </c>
      <c r="B26" s="5">
        <f>Registros!B26</f>
        <v>44005.80764</v>
      </c>
      <c r="C26" s="18" t="str">
        <f>IFNA(VLOOKUP(A26,'Registros - No nuevos'!A:A,1,0),"Nuevo")</f>
        <v>53@dicara.es</v>
      </c>
      <c r="D26" s="72" t="str">
        <f t="shared" si="1"/>
        <v>No Nuevo</v>
      </c>
    </row>
    <row r="27" ht="15.75" customHeight="1">
      <c r="A27" s="71" t="str">
        <f>Registros!A27</f>
        <v>54@abengoa.com</v>
      </c>
      <c r="B27" s="5">
        <f>Registros!B27</f>
        <v>44005.74931</v>
      </c>
      <c r="C27" s="18" t="str">
        <f>IFNA(VLOOKUP(A27,'Registros - No nuevos'!A:A,1,0),"Nuevo")</f>
        <v>Nuevo</v>
      </c>
      <c r="D27" s="72" t="str">
        <f t="shared" si="1"/>
        <v>Nuevo</v>
      </c>
    </row>
    <row r="28" ht="15.75" customHeight="1">
      <c r="A28" s="71" t="str">
        <f>Registros!A28</f>
        <v>57@gmail.com</v>
      </c>
      <c r="B28" s="5">
        <f>Registros!B28</f>
        <v>44005.62361</v>
      </c>
      <c r="C28" s="18" t="str">
        <f>IFNA(VLOOKUP(A28,'Registros - No nuevos'!A:A,1,0),"Nuevo")</f>
        <v>Nuevo</v>
      </c>
      <c r="D28" s="72" t="str">
        <f t="shared" si="1"/>
        <v>Nuevo</v>
      </c>
    </row>
    <row r="29" ht="15.75" customHeight="1">
      <c r="A29" s="71" t="str">
        <f>Registros!A29</f>
        <v>59@gmail.com</v>
      </c>
      <c r="B29" s="5">
        <f>Registros!B29</f>
        <v>44005.53056</v>
      </c>
      <c r="C29" s="18" t="str">
        <f>IFNA(VLOOKUP(A29,'Registros - No nuevos'!A:A,1,0),"Nuevo")</f>
        <v>Nuevo</v>
      </c>
      <c r="D29" s="72" t="str">
        <f t="shared" si="1"/>
        <v>Nuevo</v>
      </c>
    </row>
    <row r="30" ht="15.75" customHeight="1">
      <c r="A30" s="71" t="str">
        <f>Registros!A30</f>
        <v>60@rocketmail.com</v>
      </c>
      <c r="B30" s="5">
        <f>Registros!B30</f>
        <v>44005.52986</v>
      </c>
      <c r="C30" s="18" t="str">
        <f>IFNA(VLOOKUP(A30,'Registros - No nuevos'!A:A,1,0),"Nuevo")</f>
        <v>Nuevo</v>
      </c>
      <c r="D30" s="72" t="str">
        <f t="shared" si="1"/>
        <v>Nuevo</v>
      </c>
    </row>
    <row r="31" ht="15.75" customHeight="1">
      <c r="A31" s="71" t="str">
        <f>Registros!A31</f>
        <v>65@copitima.com</v>
      </c>
      <c r="B31" s="5">
        <f>Registros!B31</f>
        <v>44005.44931</v>
      </c>
      <c r="C31" s="18" t="str">
        <f>IFNA(VLOOKUP(A31,'Registros - No nuevos'!A:A,1,0),"Nuevo")</f>
        <v>Nuevo</v>
      </c>
      <c r="D31" s="72" t="str">
        <f t="shared" si="1"/>
        <v>Nuevo</v>
      </c>
    </row>
    <row r="32" ht="15.75" customHeight="1">
      <c r="A32" s="71" t="str">
        <f>Registros!A32</f>
        <v>68@ingeosolar.com</v>
      </c>
      <c r="B32" s="5">
        <f>Registros!B32</f>
        <v>44005.27778</v>
      </c>
      <c r="C32" s="18" t="str">
        <f>IFNA(VLOOKUP(A32,'Registros - No nuevos'!A:A,1,0),"Nuevo")</f>
        <v>Nuevo</v>
      </c>
      <c r="D32" s="72" t="str">
        <f t="shared" si="1"/>
        <v>Nuevo</v>
      </c>
    </row>
    <row r="33" ht="15.75" customHeight="1">
      <c r="A33" s="71" t="str">
        <f>Registros!A33</f>
        <v>69@gmail.com</v>
      </c>
      <c r="B33" s="5">
        <f>Registros!B33</f>
        <v>44005.15208</v>
      </c>
      <c r="C33" s="18" t="str">
        <f>IFNA(VLOOKUP(A33,'Registros - No nuevos'!A:A,1,0),"Nuevo")</f>
        <v>Nuevo</v>
      </c>
      <c r="D33" s="72" t="str">
        <f t="shared" si="1"/>
        <v>Nuevo</v>
      </c>
    </row>
    <row r="34" ht="15.75" customHeight="1">
      <c r="A34" s="71" t="str">
        <f>Registros!A34</f>
        <v>71@hotmail.com</v>
      </c>
      <c r="B34" s="5">
        <f>Registros!B34</f>
        <v>44004.99861</v>
      </c>
      <c r="C34" s="18" t="str">
        <f>IFNA(VLOOKUP(A34,'Registros - No nuevos'!A:A,1,0),"Nuevo")</f>
        <v>71@hotmail.com</v>
      </c>
      <c r="D34" s="72" t="str">
        <f t="shared" si="1"/>
        <v>No Nuevo</v>
      </c>
    </row>
    <row r="35" ht="15.75" customHeight="1">
      <c r="A35" s="71" t="str">
        <f>Registros!A35</f>
        <v>48@legebiltzarra.eus</v>
      </c>
      <c r="B35" s="5">
        <f>Registros!B35</f>
        <v>44004.58611</v>
      </c>
      <c r="C35" s="18" t="str">
        <f>IFNA(VLOOKUP(A35,'Registros - No nuevos'!A:A,1,0),"Nuevo")</f>
        <v>48@legebiltzarra.eus</v>
      </c>
      <c r="D35" s="72" t="str">
        <f t="shared" si="1"/>
        <v>No Nuevo</v>
      </c>
    </row>
    <row r="36" ht="15.75" customHeight="1">
      <c r="A36" s="71" t="str">
        <f>Registros!A36</f>
        <v>78@gmail.com</v>
      </c>
      <c r="B36" s="5">
        <f>Registros!B36</f>
        <v>44004.57153</v>
      </c>
      <c r="C36" s="18" t="str">
        <f>IFNA(VLOOKUP(A36,'Registros - No nuevos'!A:A,1,0),"Nuevo")</f>
        <v>Nuevo</v>
      </c>
      <c r="D36" s="72" t="str">
        <f t="shared" si="1"/>
        <v>Nuevo</v>
      </c>
    </row>
    <row r="37" ht="15.75" customHeight="1">
      <c r="A37" s="71" t="str">
        <f>Registros!A37</f>
        <v>80@enginyerstarragona.cat</v>
      </c>
      <c r="B37" s="5">
        <f>Registros!B37</f>
        <v>44004.55764</v>
      </c>
      <c r="C37" s="18" t="str">
        <f>IFNA(VLOOKUP(A37,'Registros - No nuevos'!A:A,1,0),"Nuevo")</f>
        <v>Nuevo</v>
      </c>
      <c r="D37" s="72" t="str">
        <f t="shared" si="1"/>
        <v>Nuevo</v>
      </c>
    </row>
    <row r="38" ht="15.75" customHeight="1">
      <c r="A38" s="71" t="str">
        <f>Registros!A38</f>
        <v>45@acotech.es</v>
      </c>
      <c r="B38" s="5">
        <f>Registros!B38</f>
        <v>44004.51597</v>
      </c>
      <c r="C38" s="18" t="str">
        <f>IFNA(VLOOKUP(A38,'Registros - No nuevos'!A:A,1,0),"Nuevo")</f>
        <v>45@acotech.es</v>
      </c>
      <c r="D38" s="72" t="str">
        <f t="shared" si="1"/>
        <v>No Nuevo</v>
      </c>
    </row>
    <row r="39" ht="15.75" customHeight="1">
      <c r="A39" s="71" t="str">
        <f>Registros!A39</f>
        <v>84@electromontajesroldan.com</v>
      </c>
      <c r="B39" s="5">
        <f>Registros!B39</f>
        <v>44004.49653</v>
      </c>
      <c r="C39" s="18" t="str">
        <f>IFNA(VLOOKUP(A39,'Registros - No nuevos'!A:A,1,0),"Nuevo")</f>
        <v>Nuevo</v>
      </c>
      <c r="D39" s="72" t="str">
        <f t="shared" si="1"/>
        <v>Nuevo</v>
      </c>
    </row>
    <row r="40" ht="15.75" customHeight="1">
      <c r="A40" s="71" t="str">
        <f>Registros!A40</f>
        <v>83@eduardoaleman.es</v>
      </c>
      <c r="B40" s="5">
        <f>Registros!B40</f>
        <v>44004.49444</v>
      </c>
      <c r="C40" s="18" t="str">
        <f>IFNA(VLOOKUP(A40,'Registros - No nuevos'!A:A,1,0),"Nuevo")</f>
        <v>Nuevo</v>
      </c>
      <c r="D40" s="72" t="str">
        <f t="shared" si="1"/>
        <v>Nuevo</v>
      </c>
    </row>
    <row r="41" ht="15.75" customHeight="1">
      <c r="A41" s="71" t="str">
        <f>Registros!A41</f>
        <v>126@gmail.com</v>
      </c>
      <c r="B41" s="5">
        <f>Registros!B41</f>
        <v>44003.875</v>
      </c>
      <c r="C41" s="18" t="str">
        <f>IFNA(VLOOKUP(A41,'Registros - No nuevos'!A:A,1,0),"Nuevo")</f>
        <v>Nuevo</v>
      </c>
      <c r="D41" s="72" t="str">
        <f t="shared" si="1"/>
        <v>Nuevo</v>
      </c>
    </row>
    <row r="42" ht="15.75" customHeight="1">
      <c r="A42" s="71" t="str">
        <f>Registros!A42</f>
        <v>3012@diegodiazlopez.com</v>
      </c>
      <c r="B42" s="5">
        <f>Registros!B42</f>
        <v>44003.71181</v>
      </c>
      <c r="C42" s="18" t="str">
        <f>IFNA(VLOOKUP(A42,'Registros - No nuevos'!A:A,1,0),"Nuevo")</f>
        <v>3012@diegodiazlopez.com</v>
      </c>
      <c r="D42" s="72" t="str">
        <f t="shared" si="1"/>
        <v>No Nuevo</v>
      </c>
    </row>
    <row r="43" ht="15.75" customHeight="1">
      <c r="A43" s="71" t="str">
        <f>Registros!A43</f>
        <v>127@prevae.com</v>
      </c>
      <c r="B43" s="5">
        <f>Registros!B43</f>
        <v>44003.69653</v>
      </c>
      <c r="C43" s="18" t="str">
        <f>IFNA(VLOOKUP(A43,'Registros - No nuevos'!A:A,1,0),"Nuevo")</f>
        <v>127@prevae.com</v>
      </c>
      <c r="D43" s="72" t="str">
        <f t="shared" si="1"/>
        <v>No Nuevo</v>
      </c>
    </row>
    <row r="44" ht="15.75" customHeight="1">
      <c r="A44" s="71" t="str">
        <f>Registros!A44</f>
        <v>128@gmail.com</v>
      </c>
      <c r="B44" s="5">
        <f>Registros!B44</f>
        <v>44003.58056</v>
      </c>
      <c r="C44" s="18" t="str">
        <f>IFNA(VLOOKUP(A44,'Registros - No nuevos'!A:A,1,0),"Nuevo")</f>
        <v>128@gmail.com</v>
      </c>
      <c r="D44" s="72" t="str">
        <f t="shared" si="1"/>
        <v>No Nuevo</v>
      </c>
    </row>
    <row r="45" ht="15.75" customHeight="1">
      <c r="A45" s="71" t="str">
        <f>Registros!A45</f>
        <v>129@inypro.com</v>
      </c>
      <c r="B45" s="5">
        <f>Registros!B45</f>
        <v>44003.55556</v>
      </c>
      <c r="C45" s="18" t="str">
        <f>IFNA(VLOOKUP(A45,'Registros - No nuevos'!A:A,1,0),"Nuevo")</f>
        <v>Nuevo</v>
      </c>
      <c r="D45" s="72" t="str">
        <f t="shared" si="1"/>
        <v>Nuevo</v>
      </c>
    </row>
    <row r="46" ht="15.75" customHeight="1">
      <c r="A46" s="71" t="str">
        <f>Registros!A46</f>
        <v>130@gmail.com</v>
      </c>
      <c r="B46" s="5">
        <f>Registros!B46</f>
        <v>44003.44514</v>
      </c>
      <c r="C46" s="18" t="str">
        <f>IFNA(VLOOKUP(A46,'Registros - No nuevos'!A:A,1,0),"Nuevo")</f>
        <v>130@gmail.com</v>
      </c>
      <c r="D46" s="72" t="str">
        <f t="shared" si="1"/>
        <v>No Nuevo</v>
      </c>
    </row>
    <row r="47" ht="15.75" customHeight="1">
      <c r="A47" s="71" t="str">
        <f>Registros!A47</f>
        <v>131@hotmail.com</v>
      </c>
      <c r="B47" s="5">
        <f>Registros!B47</f>
        <v>44003.41528</v>
      </c>
      <c r="C47" s="18" t="str">
        <f>IFNA(VLOOKUP(A47,'Registros - No nuevos'!A:A,1,0),"Nuevo")</f>
        <v>131@hotmail.com</v>
      </c>
      <c r="D47" s="72" t="str">
        <f t="shared" si="1"/>
        <v>No Nuevo</v>
      </c>
    </row>
    <row r="48" ht="15.75" customHeight="1">
      <c r="A48" s="71" t="str">
        <f>Registros!A48</f>
        <v>37@intienergia.com</v>
      </c>
      <c r="B48" s="5">
        <f>Registros!B48</f>
        <v>44003.40625</v>
      </c>
      <c r="C48" s="18" t="str">
        <f>IFNA(VLOOKUP(A48,'Registros - No nuevos'!A:A,1,0),"Nuevo")</f>
        <v>37@intienergia.com</v>
      </c>
      <c r="D48" s="72" t="str">
        <f t="shared" si="1"/>
        <v>No Nuevo</v>
      </c>
    </row>
    <row r="49" ht="15.75" customHeight="1">
      <c r="A49" s="71" t="str">
        <f>Registros!A49</f>
        <v>132@gmail.com</v>
      </c>
      <c r="B49" s="5">
        <f>Registros!B49</f>
        <v>44003.38681</v>
      </c>
      <c r="C49" s="18" t="str">
        <f>IFNA(VLOOKUP(A49,'Registros - No nuevos'!A:A,1,0),"Nuevo")</f>
        <v>Nuevo</v>
      </c>
      <c r="D49" s="72" t="str">
        <f t="shared" si="1"/>
        <v>Nuevo</v>
      </c>
    </row>
    <row r="50" ht="15.75" customHeight="1">
      <c r="A50" s="71" t="str">
        <f>Registros!A50</f>
        <v>133@fasfas.com</v>
      </c>
      <c r="B50" s="5">
        <f>Registros!B50</f>
        <v>44002.92917</v>
      </c>
      <c r="C50" s="18" t="str">
        <f>IFNA(VLOOKUP(A50,'Registros - No nuevos'!A:A,1,0),"Nuevo")</f>
        <v>Nuevo</v>
      </c>
      <c r="D50" s="72" t="str">
        <f t="shared" si="1"/>
        <v>Nuevo</v>
      </c>
    </row>
    <row r="51" ht="15.75" customHeight="1">
      <c r="A51" s="71" t="str">
        <f>Registros!A51</f>
        <v>135@telefonica.net</v>
      </c>
      <c r="B51" s="5">
        <f>Registros!B51</f>
        <v>44002.73681</v>
      </c>
      <c r="C51" s="18" t="str">
        <f>IFNA(VLOOKUP(A51,'Registros - No nuevos'!A:A,1,0),"Nuevo")</f>
        <v>135@telefonica.net</v>
      </c>
      <c r="D51" s="72" t="str">
        <f t="shared" si="1"/>
        <v>No Nuevo</v>
      </c>
    </row>
    <row r="52" ht="15.75" customHeight="1">
      <c r="A52" s="71" t="str">
        <f>Registros!A52</f>
        <v>138@grupocobra.com</v>
      </c>
      <c r="B52" s="5">
        <f>Registros!B52</f>
        <v>44002.42083</v>
      </c>
      <c r="C52" s="18" t="str">
        <f>IFNA(VLOOKUP(A52,'Registros - No nuevos'!A:A,1,0),"Nuevo")</f>
        <v>138@grupocobra.com</v>
      </c>
      <c r="D52" s="72" t="str">
        <f t="shared" si="1"/>
        <v>No Nuevo</v>
      </c>
    </row>
    <row r="53" ht="15.75" customHeight="1">
      <c r="A53" s="71" t="str">
        <f>Registros!A53</f>
        <v>50@gmail.com</v>
      </c>
      <c r="B53" s="5">
        <f>Registros!B53</f>
        <v>44002.40972</v>
      </c>
      <c r="C53" s="18" t="str">
        <f>IFNA(VLOOKUP(A53,'Registros - No nuevos'!A:A,1,0),"Nuevo")</f>
        <v>50@gmail.com</v>
      </c>
      <c r="D53" s="72" t="str">
        <f t="shared" si="1"/>
        <v>No Nuevo</v>
      </c>
    </row>
    <row r="54" ht="15.75" customHeight="1">
      <c r="A54" s="71" t="str">
        <f>Registros!A54</f>
        <v>139@yahoo.es</v>
      </c>
      <c r="B54" s="5">
        <f>Registros!B54</f>
        <v>44002.39514</v>
      </c>
      <c r="C54" s="18" t="str">
        <f>IFNA(VLOOKUP(A54,'Registros - No nuevos'!A:A,1,0),"Nuevo")</f>
        <v>139@yahoo.es</v>
      </c>
      <c r="D54" s="72" t="str">
        <f t="shared" si="1"/>
        <v>No Nuevo</v>
      </c>
    </row>
    <row r="55" ht="15.75" customHeight="1">
      <c r="A55" s="71" t="str">
        <f>Registros!A55</f>
        <v>56@iesmurgi.org</v>
      </c>
      <c r="B55" s="5">
        <f>Registros!B55</f>
        <v>44002.39444</v>
      </c>
      <c r="C55" s="18" t="str">
        <f>IFNA(VLOOKUP(A55,'Registros - No nuevos'!A:A,1,0),"Nuevo")</f>
        <v>56@iesmurgi.org</v>
      </c>
      <c r="D55" s="72" t="str">
        <f t="shared" si="1"/>
        <v>No Nuevo</v>
      </c>
    </row>
    <row r="56" ht="15.75" customHeight="1">
      <c r="A56" s="71" t="str">
        <f>Registros!A56</f>
        <v>140@yahoo.es</v>
      </c>
      <c r="B56" s="5">
        <f>Registros!B56</f>
        <v>44001.98611</v>
      </c>
      <c r="C56" s="18" t="str">
        <f>IFNA(VLOOKUP(A56,'Registros - No nuevos'!A:A,1,0),"Nuevo")</f>
        <v>Nuevo</v>
      </c>
      <c r="D56" s="72" t="str">
        <f t="shared" si="1"/>
        <v>Nuevo</v>
      </c>
    </row>
    <row r="57" ht="15.75" customHeight="1">
      <c r="A57" s="71" t="str">
        <f>Registros!A57</f>
        <v>142@gmail.com</v>
      </c>
      <c r="B57" s="5">
        <f>Registros!B57</f>
        <v>44001.95486</v>
      </c>
      <c r="C57" s="18" t="str">
        <f>IFNA(VLOOKUP(A57,'Registros - No nuevos'!A:A,1,0),"Nuevo")</f>
        <v>Nuevo</v>
      </c>
      <c r="D57" s="72" t="str">
        <f t="shared" si="1"/>
        <v>Nuevo</v>
      </c>
    </row>
    <row r="58" ht="15.75" customHeight="1">
      <c r="A58" s="71" t="str">
        <f>Registros!A58</f>
        <v>70@gmail.com</v>
      </c>
      <c r="B58" s="5">
        <f>Registros!B58</f>
        <v>44001.94931</v>
      </c>
      <c r="C58" s="18" t="str">
        <f>IFNA(VLOOKUP(A58,'Registros - No nuevos'!A:A,1,0),"Nuevo")</f>
        <v>70@gmail.com</v>
      </c>
      <c r="D58" s="72" t="str">
        <f t="shared" si="1"/>
        <v>No Nuevo</v>
      </c>
    </row>
    <row r="59" ht="15.75" customHeight="1">
      <c r="A59" s="71" t="str">
        <f>Registros!A59</f>
        <v>144@gmail.com</v>
      </c>
      <c r="B59" s="5">
        <f>Registros!B59</f>
        <v>44001.9</v>
      </c>
      <c r="C59" s="18" t="str">
        <f>IFNA(VLOOKUP(A59,'Registros - No nuevos'!A:A,1,0),"Nuevo")</f>
        <v>Nuevo</v>
      </c>
      <c r="D59" s="72" t="str">
        <f t="shared" si="1"/>
        <v>Nuevo</v>
      </c>
    </row>
    <row r="60" ht="15.75" customHeight="1">
      <c r="A60" s="71" t="str">
        <f>Registros!A60</f>
        <v>145@coitihuelva.com</v>
      </c>
      <c r="B60" s="5">
        <f>Registros!B60</f>
        <v>44001.85903</v>
      </c>
      <c r="C60" s="18" t="str">
        <f>IFNA(VLOOKUP(A60,'Registros - No nuevos'!A:A,1,0),"Nuevo")</f>
        <v>Nuevo</v>
      </c>
      <c r="D60" s="72" t="str">
        <f t="shared" si="1"/>
        <v>Nuevo</v>
      </c>
    </row>
    <row r="61" ht="15.75" customHeight="1">
      <c r="A61" s="71" t="str">
        <f>Registros!A61</f>
        <v>147@hotmail.es</v>
      </c>
      <c r="B61" s="5">
        <f>Registros!B61</f>
        <v>44001.79167</v>
      </c>
      <c r="C61" s="18" t="str">
        <f>IFNA(VLOOKUP(A61,'Registros - No nuevos'!A:A,1,0),"Nuevo")</f>
        <v>147@hotmail.es</v>
      </c>
      <c r="D61" s="72" t="str">
        <f t="shared" si="1"/>
        <v>No Nuevo</v>
      </c>
    </row>
    <row r="62" ht="15.75" customHeight="1">
      <c r="A62" s="71" t="str">
        <f>Registros!A62</f>
        <v>148@gmail.com</v>
      </c>
      <c r="B62" s="5">
        <f>Registros!B62</f>
        <v>44001.77361</v>
      </c>
      <c r="C62" s="18" t="str">
        <f>IFNA(VLOOKUP(A62,'Registros - No nuevos'!A:A,1,0),"Nuevo")</f>
        <v>148@gmail.com</v>
      </c>
      <c r="D62" s="72" t="str">
        <f t="shared" si="1"/>
        <v>No Nuevo</v>
      </c>
    </row>
    <row r="63" ht="15.75" customHeight="1">
      <c r="A63" s="71" t="str">
        <f>Registros!A63</f>
        <v>95@gmail.com</v>
      </c>
      <c r="B63" s="5">
        <f>Registros!B63</f>
        <v>44001.76389</v>
      </c>
      <c r="C63" s="18" t="str">
        <f>IFNA(VLOOKUP(A63,'Registros - No nuevos'!A:A,1,0),"Nuevo")</f>
        <v>95@gmail.com</v>
      </c>
      <c r="D63" s="72" t="str">
        <f t="shared" si="1"/>
        <v>No Nuevo</v>
      </c>
    </row>
    <row r="64" ht="15.75" customHeight="1">
      <c r="A64" s="71" t="str">
        <f>Registros!A64</f>
        <v>151@gmail.com</v>
      </c>
      <c r="B64" s="5">
        <f>Registros!B64</f>
        <v>44001.67639</v>
      </c>
      <c r="C64" s="18" t="str">
        <f>IFNA(VLOOKUP(A64,'Registros - No nuevos'!A:A,1,0),"Nuevo")</f>
        <v>Nuevo</v>
      </c>
      <c r="D64" s="72" t="str">
        <f t="shared" si="1"/>
        <v>Nuevo</v>
      </c>
    </row>
    <row r="65" ht="15.75" customHeight="1">
      <c r="A65" s="71" t="str">
        <f>Registros!A65</f>
        <v>156@riosrenovables.com</v>
      </c>
      <c r="B65" s="5">
        <f>Registros!B65</f>
        <v>44001.58125</v>
      </c>
      <c r="C65" s="18" t="str">
        <f>IFNA(VLOOKUP(A65,'Registros - No nuevos'!A:A,1,0),"Nuevo")</f>
        <v>Nuevo</v>
      </c>
      <c r="D65" s="72" t="str">
        <f t="shared" si="1"/>
        <v>Nuevo</v>
      </c>
    </row>
    <row r="66" ht="15.75" customHeight="1">
      <c r="A66" s="71" t="str">
        <f>Registros!A66</f>
        <v>91@valmet.com</v>
      </c>
      <c r="B66" s="5">
        <f>Registros!B66</f>
        <v>44001.57847</v>
      </c>
      <c r="C66" s="18" t="str">
        <f>IFNA(VLOOKUP(A66,'Registros - No nuevos'!A:A,1,0),"Nuevo")</f>
        <v>91@valmet.com</v>
      </c>
      <c r="D66" s="72" t="str">
        <f t="shared" si="1"/>
        <v>No Nuevo</v>
      </c>
    </row>
    <row r="67" ht="15.75" customHeight="1">
      <c r="A67" s="71" t="str">
        <f>Registros!A67</f>
        <v>157@hotmail.com</v>
      </c>
      <c r="B67" s="5">
        <f>Registros!B67</f>
        <v>44001.575</v>
      </c>
      <c r="C67" s="18" t="str">
        <f>IFNA(VLOOKUP(A67,'Registros - No nuevos'!A:A,1,0),"Nuevo")</f>
        <v>157@hotmail.com</v>
      </c>
      <c r="D67" s="72" t="str">
        <f t="shared" si="1"/>
        <v>No Nuevo</v>
      </c>
    </row>
    <row r="68" ht="15.75" customHeight="1">
      <c r="A68" s="71" t="str">
        <f>Registros!A68</f>
        <v>159@gmail.com</v>
      </c>
      <c r="B68" s="5">
        <f>Registros!B68</f>
        <v>44001.54236</v>
      </c>
      <c r="C68" s="18" t="str">
        <f>IFNA(VLOOKUP(A68,'Registros - No nuevos'!A:A,1,0),"Nuevo")</f>
        <v>159@gmail.com</v>
      </c>
      <c r="D68" s="72" t="str">
        <f t="shared" si="1"/>
        <v>No Nuevo</v>
      </c>
    </row>
    <row r="69" ht="15.75" customHeight="1">
      <c r="A69" s="71" t="str">
        <f>Registros!A69</f>
        <v>113@gmail.com</v>
      </c>
      <c r="B69" s="5">
        <f>Registros!B69</f>
        <v>44001.52361</v>
      </c>
      <c r="C69" s="18" t="str">
        <f>IFNA(VLOOKUP(A69,'Registros - No nuevos'!A:A,1,0),"Nuevo")</f>
        <v>113@gmail.com</v>
      </c>
      <c r="D69" s="72" t="str">
        <f t="shared" si="1"/>
        <v>No Nuevo</v>
      </c>
    </row>
    <row r="70" ht="15.75" customHeight="1">
      <c r="A70" s="71" t="str">
        <f>Registros!A70</f>
        <v>161@gmail.com</v>
      </c>
      <c r="B70" s="5">
        <f>Registros!B70</f>
        <v>44001.51181</v>
      </c>
      <c r="C70" s="18" t="str">
        <f>IFNA(VLOOKUP(A70,'Registros - No nuevos'!A:A,1,0),"Nuevo")</f>
        <v>161@gmail.com</v>
      </c>
      <c r="D70" s="72" t="str">
        <f t="shared" si="1"/>
        <v>No Nuevo</v>
      </c>
    </row>
    <row r="71" ht="15.75" customHeight="1">
      <c r="A71" s="71" t="str">
        <f>Registros!A71</f>
        <v>163@gmail.com</v>
      </c>
      <c r="B71" s="5">
        <f>Registros!B71</f>
        <v>44001.49861</v>
      </c>
      <c r="C71" s="18" t="str">
        <f>IFNA(VLOOKUP(A71,'Registros - No nuevos'!A:A,1,0),"Nuevo")</f>
        <v>163@gmail.com</v>
      </c>
      <c r="D71" s="72" t="str">
        <f t="shared" si="1"/>
        <v>No Nuevo</v>
      </c>
    </row>
    <row r="72" ht="15.75" customHeight="1">
      <c r="A72" s="71" t="str">
        <f>Registros!A72</f>
        <v>165@dobontech.com</v>
      </c>
      <c r="B72" s="5">
        <f>Registros!B72</f>
        <v>44001.46319</v>
      </c>
      <c r="C72" s="18" t="str">
        <f>IFNA(VLOOKUP(A72,'Registros - No nuevos'!A:A,1,0),"Nuevo")</f>
        <v>165@dobontech.com</v>
      </c>
      <c r="D72" s="72" t="str">
        <f t="shared" si="1"/>
        <v>No Nuevo</v>
      </c>
    </row>
    <row r="73" ht="15.75" customHeight="1">
      <c r="A73" s="71" t="str">
        <f>Registros!A73</f>
        <v>168@hc-ingenieros.com</v>
      </c>
      <c r="B73" s="5">
        <f>Registros!B73</f>
        <v>44001.45069</v>
      </c>
      <c r="C73" s="18" t="str">
        <f>IFNA(VLOOKUP(A73,'Registros - No nuevos'!A:A,1,0),"Nuevo")</f>
        <v>168@hc-ingenieros.com</v>
      </c>
      <c r="D73" s="72" t="str">
        <f t="shared" si="1"/>
        <v>No Nuevo</v>
      </c>
    </row>
    <row r="74" ht="15.75" customHeight="1">
      <c r="A74" s="71" t="str">
        <f>Registros!A74</f>
        <v>66@dgingenieros.es</v>
      </c>
      <c r="B74" s="5">
        <f>Registros!B74</f>
        <v>44001.45</v>
      </c>
      <c r="C74" s="18" t="str">
        <f>IFNA(VLOOKUP(A74,'Registros - No nuevos'!A:A,1,0),"Nuevo")</f>
        <v>66@dgingenieros.es</v>
      </c>
      <c r="D74" s="72" t="str">
        <f t="shared" si="1"/>
        <v>No Nuevo</v>
      </c>
    </row>
    <row r="75" ht="15.75" customHeight="1">
      <c r="A75" s="71" t="str">
        <f>Registros!A75</f>
        <v>88@ingenierosvigo.com</v>
      </c>
      <c r="B75" s="5">
        <f>Registros!B75</f>
        <v>44001.44861</v>
      </c>
      <c r="C75" s="18" t="str">
        <f>IFNA(VLOOKUP(A75,'Registros - No nuevos'!A:A,1,0),"Nuevo")</f>
        <v>88@ingenierosvigo.com</v>
      </c>
      <c r="D75" s="72" t="str">
        <f t="shared" si="1"/>
        <v>No Nuevo</v>
      </c>
    </row>
    <row r="76" ht="15.75" customHeight="1">
      <c r="A76" s="71" t="str">
        <f>Registros!A76</f>
        <v>85@gmail.com</v>
      </c>
      <c r="B76" s="5">
        <f>Registros!B76</f>
        <v>44001.43403</v>
      </c>
      <c r="C76" s="18" t="str">
        <f>IFNA(VLOOKUP(A76,'Registros - No nuevos'!A:A,1,0),"Nuevo")</f>
        <v>85@gmail.com</v>
      </c>
      <c r="D76" s="72" t="str">
        <f t="shared" si="1"/>
        <v>No Nuevo</v>
      </c>
    </row>
    <row r="77" ht="15.75" customHeight="1">
      <c r="A77" s="71" t="str">
        <f>Registros!A77</f>
        <v>3013@gmail.com</v>
      </c>
      <c r="B77" s="5">
        <f>Registros!B77</f>
        <v>44001.42708</v>
      </c>
      <c r="C77" s="18" t="str">
        <f>IFNA(VLOOKUP(A77,'Registros - No nuevos'!A:A,1,0),"Nuevo")</f>
        <v>3013@gmail.com</v>
      </c>
      <c r="D77" s="72" t="str">
        <f t="shared" si="1"/>
        <v>No Nuevo</v>
      </c>
    </row>
    <row r="78" ht="15.75" customHeight="1">
      <c r="A78" s="71" t="str">
        <f>Registros!A78</f>
        <v>111@murciaeduca.es</v>
      </c>
      <c r="B78" s="5">
        <f>Registros!B78</f>
        <v>44001.40417</v>
      </c>
      <c r="C78" s="18" t="str">
        <f>IFNA(VLOOKUP(A78,'Registros - No nuevos'!A:A,1,0),"Nuevo")</f>
        <v>111@murciaeduca.es</v>
      </c>
      <c r="D78" s="72" t="str">
        <f t="shared" si="1"/>
        <v>No Nuevo</v>
      </c>
    </row>
    <row r="79" ht="15.75" customHeight="1">
      <c r="A79" s="71" t="str">
        <f>Registros!A79</f>
        <v>102@telefonica.net</v>
      </c>
      <c r="B79" s="5">
        <f>Registros!B79</f>
        <v>44001.39583</v>
      </c>
      <c r="C79" s="18" t="str">
        <f>IFNA(VLOOKUP(A79,'Registros - No nuevos'!A:A,1,0),"Nuevo")</f>
        <v>102@telefonica.net</v>
      </c>
      <c r="D79" s="72" t="str">
        <f t="shared" si="1"/>
        <v>No Nuevo</v>
      </c>
    </row>
    <row r="80" ht="15.75" customHeight="1">
      <c r="A80" s="71" t="str">
        <f>Registros!A80</f>
        <v>46@hotmail.com</v>
      </c>
      <c r="B80" s="5">
        <f>Registros!B80</f>
        <v>44001.39028</v>
      </c>
      <c r="C80" s="18" t="str">
        <f>IFNA(VLOOKUP(A80,'Registros - No nuevos'!A:A,1,0),"Nuevo")</f>
        <v>46@hotmail.com</v>
      </c>
      <c r="D80" s="72" t="str">
        <f t="shared" si="1"/>
        <v>No Nuevo</v>
      </c>
    </row>
    <row r="81" ht="15.75" customHeight="1">
      <c r="A81" s="71" t="str">
        <f>Registros!A81</f>
        <v>167@me.com</v>
      </c>
      <c r="B81" s="5">
        <f>Registros!B81</f>
        <v>44001.38472</v>
      </c>
      <c r="C81" s="18" t="str">
        <f>IFNA(VLOOKUP(A81,'Registros - No nuevos'!A:A,1,0),"Nuevo")</f>
        <v>Nuevo</v>
      </c>
      <c r="D81" s="72" t="str">
        <f t="shared" si="1"/>
        <v>Nuevo</v>
      </c>
    </row>
    <row r="82" ht="15.75" customHeight="1">
      <c r="A82" s="71" t="str">
        <f>Registros!A82</f>
        <v>3014@gmail.com</v>
      </c>
      <c r="B82" s="5">
        <f>Registros!B82</f>
        <v>44001.38333</v>
      </c>
      <c r="C82" s="18" t="str">
        <f>IFNA(VLOOKUP(A82,'Registros - No nuevos'!A:A,1,0),"Nuevo")</f>
        <v>3014@gmail.com</v>
      </c>
      <c r="D82" s="72" t="str">
        <f t="shared" si="1"/>
        <v>No Nuevo</v>
      </c>
    </row>
    <row r="83" ht="15.75" customHeight="1">
      <c r="A83" s="71" t="str">
        <f>Registros!A83</f>
        <v>110@3epsilonsolutions.com</v>
      </c>
      <c r="B83" s="5">
        <f>Registros!B83</f>
        <v>44001.38264</v>
      </c>
      <c r="C83" s="18" t="str">
        <f>IFNA(VLOOKUP(A83,'Registros - No nuevos'!A:A,1,0),"Nuevo")</f>
        <v>110@3epsilonsolutions.com</v>
      </c>
      <c r="D83" s="72" t="str">
        <f t="shared" si="1"/>
        <v>No Nuevo</v>
      </c>
    </row>
    <row r="84" ht="15.75" customHeight="1">
      <c r="A84" s="71" t="str">
        <f>Registros!A84</f>
        <v>3015@cetill.cat</v>
      </c>
      <c r="B84" s="5">
        <f>Registros!B84</f>
        <v>44001.38194</v>
      </c>
      <c r="C84" s="18" t="str">
        <f>IFNA(VLOOKUP(A84,'Registros - No nuevos'!A:A,1,0),"Nuevo")</f>
        <v>3015@cetill.cat</v>
      </c>
      <c r="D84" s="72" t="str">
        <f t="shared" si="1"/>
        <v>No Nuevo</v>
      </c>
    </row>
    <row r="85" ht="15.75" customHeight="1">
      <c r="A85" s="71" t="str">
        <f>Registros!A85</f>
        <v>81@gmail.com</v>
      </c>
      <c r="B85" s="5">
        <f>Registros!B85</f>
        <v>44001.37431</v>
      </c>
      <c r="C85" s="18" t="str">
        <f>IFNA(VLOOKUP(A85,'Registros - No nuevos'!A:A,1,0),"Nuevo")</f>
        <v>81@gmail.com</v>
      </c>
      <c r="D85" s="72" t="str">
        <f t="shared" si="1"/>
        <v>No Nuevo</v>
      </c>
    </row>
    <row r="86" ht="15.75" customHeight="1">
      <c r="A86" s="71" t="str">
        <f>Registros!A86</f>
        <v>77@comsa.com</v>
      </c>
      <c r="B86" s="5">
        <f>Registros!B86</f>
        <v>44001.36736</v>
      </c>
      <c r="C86" s="18" t="str">
        <f>IFNA(VLOOKUP(A86,'Registros - No nuevos'!A:A,1,0),"Nuevo")</f>
        <v>77@comsa.com</v>
      </c>
      <c r="D86" s="72" t="str">
        <f t="shared" si="1"/>
        <v>No Nuevo</v>
      </c>
    </row>
    <row r="87" ht="15.75" customHeight="1">
      <c r="A87" s="71" t="str">
        <f>Registros!A87</f>
        <v>3016@arrow.com</v>
      </c>
      <c r="B87" s="5">
        <f>Registros!B87</f>
        <v>44001.36597</v>
      </c>
      <c r="C87" s="18" t="str">
        <f>IFNA(VLOOKUP(A87,'Registros - No nuevos'!A:A,1,0),"Nuevo")</f>
        <v>3016@arrow.com</v>
      </c>
      <c r="D87" s="72" t="str">
        <f t="shared" si="1"/>
        <v>No Nuevo</v>
      </c>
    </row>
    <row r="88" ht="15.75" customHeight="1">
      <c r="A88" s="71" t="str">
        <f>Registros!A88</f>
        <v>107@dipucr.es</v>
      </c>
      <c r="B88" s="5">
        <f>Registros!B88</f>
        <v>44001.35764</v>
      </c>
      <c r="C88" s="18" t="str">
        <f>IFNA(VLOOKUP(A88,'Registros - No nuevos'!A:A,1,0),"Nuevo")</f>
        <v>107@dipucr.es</v>
      </c>
      <c r="D88" s="72" t="str">
        <f t="shared" si="1"/>
        <v>No Nuevo</v>
      </c>
    </row>
    <row r="89" ht="15.75" customHeight="1">
      <c r="A89" s="71" t="str">
        <f>Registros!A89</f>
        <v>97@igpingenieria.com</v>
      </c>
      <c r="B89" s="5">
        <f>Registros!B89</f>
        <v>44001.33958</v>
      </c>
      <c r="C89" s="18" t="str">
        <f>IFNA(VLOOKUP(A89,'Registros - No nuevos'!A:A,1,0),"Nuevo")</f>
        <v>97@igpingenieria.com</v>
      </c>
      <c r="D89" s="72" t="str">
        <f t="shared" si="1"/>
        <v>No Nuevo</v>
      </c>
    </row>
    <row r="90" ht="15.75" customHeight="1">
      <c r="A90" s="71" t="str">
        <f>Registros!A90</f>
        <v>118@legebiltzarra.eus</v>
      </c>
      <c r="B90" s="5">
        <f>Registros!B90</f>
        <v>44001.33542</v>
      </c>
      <c r="C90" s="18" t="str">
        <f>IFNA(VLOOKUP(A90,'Registros - No nuevos'!A:A,1,0),"Nuevo")</f>
        <v>118@legebiltzarra.eus</v>
      </c>
      <c r="D90" s="72" t="str">
        <f t="shared" si="1"/>
        <v>No Nuevo</v>
      </c>
    </row>
    <row r="91" ht="15.75" customHeight="1">
      <c r="A91" s="71" t="str">
        <f>Registros!A91</f>
        <v>123@grupocuerva.com</v>
      </c>
      <c r="B91" s="5">
        <f>Registros!B91</f>
        <v>44001.33333</v>
      </c>
      <c r="C91" s="18" t="str">
        <f>IFNA(VLOOKUP(A91,'Registros - No nuevos'!A:A,1,0),"Nuevo")</f>
        <v>123@grupocuerva.com</v>
      </c>
      <c r="D91" s="72" t="str">
        <f t="shared" si="1"/>
        <v>No Nuevo</v>
      </c>
    </row>
    <row r="92" ht="15.75" customHeight="1">
      <c r="A92" s="71" t="str">
        <f>Registros!A92</f>
        <v>3017@hotmail.com</v>
      </c>
      <c r="B92" s="5">
        <f>Registros!B92</f>
        <v>44000.97222</v>
      </c>
      <c r="C92" s="18" t="str">
        <f>IFNA(VLOOKUP(A92,'Registros - No nuevos'!A:A,1,0),"Nuevo")</f>
        <v>3017@hotmail.com</v>
      </c>
      <c r="D92" s="72" t="str">
        <f t="shared" si="1"/>
        <v>No Nuevo</v>
      </c>
    </row>
    <row r="93" ht="15.75" customHeight="1">
      <c r="A93" s="71" t="str">
        <f>Registros!A93</f>
        <v>105@gmail.com</v>
      </c>
      <c r="B93" s="5">
        <f>Registros!B93</f>
        <v>44000.96597</v>
      </c>
      <c r="C93" s="18" t="str">
        <f>IFNA(VLOOKUP(A93,'Registros - No nuevos'!A:A,1,0),"Nuevo")</f>
        <v>105@gmail.com</v>
      </c>
      <c r="D93" s="72" t="str">
        <f t="shared" si="1"/>
        <v>No Nuevo</v>
      </c>
    </row>
    <row r="94" ht="15.75" customHeight="1">
      <c r="A94" s="71" t="str">
        <f>Registros!A94</f>
        <v>96@hotmail.com</v>
      </c>
      <c r="B94" s="5">
        <f>Registros!B94</f>
        <v>44000.95903</v>
      </c>
      <c r="C94" s="18" t="str">
        <f>IFNA(VLOOKUP(A94,'Registros - No nuevos'!A:A,1,0),"Nuevo")</f>
        <v>96@hotmail.com</v>
      </c>
      <c r="D94" s="72" t="str">
        <f t="shared" si="1"/>
        <v>No Nuevo</v>
      </c>
    </row>
    <row r="95" ht="15.75" customHeight="1">
      <c r="A95" s="71" t="str">
        <f>Registros!A95</f>
        <v>183@arquired.es</v>
      </c>
      <c r="B95" s="5">
        <f>Registros!B95</f>
        <v>44000.92222</v>
      </c>
      <c r="C95" s="18" t="str">
        <f>IFNA(VLOOKUP(A95,'Registros - No nuevos'!A:A,1,0),"Nuevo")</f>
        <v>183@arquired.es</v>
      </c>
      <c r="D95" s="72" t="str">
        <f t="shared" si="1"/>
        <v>No Nuevo</v>
      </c>
    </row>
    <row r="96" ht="15.75" customHeight="1">
      <c r="A96" s="71" t="str">
        <f>Registros!A96</f>
        <v>184@telefonica.net</v>
      </c>
      <c r="B96" s="5">
        <f>Registros!B96</f>
        <v>44000.91458</v>
      </c>
      <c r="C96" s="18" t="str">
        <f>IFNA(VLOOKUP(A96,'Registros - No nuevos'!A:A,1,0),"Nuevo")</f>
        <v>184@telefonica.net</v>
      </c>
      <c r="D96" s="72" t="str">
        <f t="shared" si="1"/>
        <v>No Nuevo</v>
      </c>
    </row>
    <row r="97" ht="15.75" customHeight="1">
      <c r="A97" s="71" t="str">
        <f>Registros!A97</f>
        <v>185@asintec.info</v>
      </c>
      <c r="B97" s="5">
        <f>Registros!B97</f>
        <v>44000.88681</v>
      </c>
      <c r="C97" s="18" t="str">
        <f>IFNA(VLOOKUP(A97,'Registros - No nuevos'!A:A,1,0),"Nuevo")</f>
        <v>185@asintec.info</v>
      </c>
      <c r="D97" s="72" t="str">
        <f t="shared" si="1"/>
        <v>No Nuevo</v>
      </c>
    </row>
    <row r="98" ht="15.75" customHeight="1">
      <c r="A98" s="71" t="str">
        <f>Registros!A98</f>
        <v>90@telefonica.net</v>
      </c>
      <c r="B98" s="5">
        <f>Registros!B98</f>
        <v>44000.86736</v>
      </c>
      <c r="C98" s="18" t="str">
        <f>IFNA(VLOOKUP(A98,'Registros - No nuevos'!A:A,1,0),"Nuevo")</f>
        <v>90@telefonica.net</v>
      </c>
      <c r="D98" s="72" t="str">
        <f t="shared" si="1"/>
        <v>No Nuevo</v>
      </c>
    </row>
    <row r="99" ht="15.75" customHeight="1">
      <c r="A99" s="71" t="str">
        <f>Registros!A99</f>
        <v>106@ucm.es</v>
      </c>
      <c r="B99" s="5">
        <f>Registros!B99</f>
        <v>44000.82847</v>
      </c>
      <c r="C99" s="18" t="str">
        <f>IFNA(VLOOKUP(A99,'Registros - No nuevos'!A:A,1,0),"Nuevo")</f>
        <v>106@ucm.es</v>
      </c>
      <c r="D99" s="72" t="str">
        <f t="shared" si="1"/>
        <v>No Nuevo</v>
      </c>
    </row>
    <row r="100" ht="15.75" customHeight="1">
      <c r="A100" s="71" t="str">
        <f>Registros!A100</f>
        <v>93@gmail.com</v>
      </c>
      <c r="B100" s="5">
        <f>Registros!B100</f>
        <v>44000.81597</v>
      </c>
      <c r="C100" s="18" t="str">
        <f>IFNA(VLOOKUP(A100,'Registros - No nuevos'!A:A,1,0),"Nuevo")</f>
        <v>93@gmail.com</v>
      </c>
      <c r="D100" s="72" t="str">
        <f t="shared" si="1"/>
        <v>No Nuevo</v>
      </c>
    </row>
    <row r="101" ht="15.75" customHeight="1">
      <c r="A101" s="71" t="str">
        <f>Registros!A101</f>
        <v>188@gmail.com</v>
      </c>
      <c r="B101" s="5">
        <f>Registros!B101</f>
        <v>44000.81111</v>
      </c>
      <c r="C101" s="18" t="str">
        <f>IFNA(VLOOKUP(A101,'Registros - No nuevos'!A:A,1,0),"Nuevo")</f>
        <v>188@gmail.com</v>
      </c>
      <c r="D101" s="72" t="str">
        <f t="shared" si="1"/>
        <v>No Nuevo</v>
      </c>
    </row>
    <row r="102" ht="15.75" customHeight="1">
      <c r="A102" s="71" t="str">
        <f>Registros!A102</f>
        <v>190@idom.com</v>
      </c>
      <c r="B102" s="5">
        <f>Registros!B102</f>
        <v>44000.7875</v>
      </c>
      <c r="C102" s="18" t="str">
        <f>IFNA(VLOOKUP(A102,'Registros - No nuevos'!A:A,1,0),"Nuevo")</f>
        <v>190@idom.com</v>
      </c>
      <c r="D102" s="72" t="str">
        <f t="shared" si="1"/>
        <v>No Nuevo</v>
      </c>
    </row>
    <row r="103" ht="15.75" customHeight="1">
      <c r="A103" s="71" t="str">
        <f>Registros!A103</f>
        <v>108@salesianos.edu</v>
      </c>
      <c r="B103" s="5">
        <f>Registros!B103</f>
        <v>44000.78056</v>
      </c>
      <c r="C103" s="18" t="str">
        <f>IFNA(VLOOKUP(A103,'Registros - No nuevos'!A:A,1,0),"Nuevo")</f>
        <v>108@salesianos.edu</v>
      </c>
      <c r="D103" s="72" t="str">
        <f t="shared" si="1"/>
        <v>No Nuevo</v>
      </c>
    </row>
    <row r="104" ht="15.75" customHeight="1">
      <c r="A104" s="71" t="str">
        <f>Registros!A104</f>
        <v>192@gmail.com</v>
      </c>
      <c r="B104" s="5">
        <f>Registros!B104</f>
        <v>44000.77917</v>
      </c>
      <c r="C104" s="18" t="str">
        <f>IFNA(VLOOKUP(A104,'Registros - No nuevos'!A:A,1,0),"Nuevo")</f>
        <v>192@gmail.com</v>
      </c>
      <c r="D104" s="72" t="str">
        <f t="shared" si="1"/>
        <v>No Nuevo</v>
      </c>
    </row>
    <row r="105" ht="15.75" customHeight="1">
      <c r="A105" s="71" t="str">
        <f>Registros!A105</f>
        <v>193@triangulo.com.es</v>
      </c>
      <c r="B105" s="5">
        <f>Registros!B105</f>
        <v>44000.77708</v>
      </c>
      <c r="C105" s="18" t="str">
        <f>IFNA(VLOOKUP(A105,'Registros - No nuevos'!A:A,1,0),"Nuevo")</f>
        <v>193@triangulo.com.es</v>
      </c>
      <c r="D105" s="72" t="str">
        <f t="shared" si="1"/>
        <v>No Nuevo</v>
      </c>
    </row>
    <row r="106" ht="15.75" customHeight="1">
      <c r="A106" s="71" t="str">
        <f>Registros!A106</f>
        <v>75@telefonica.net</v>
      </c>
      <c r="B106" s="5">
        <f>Registros!B106</f>
        <v>44000.77361</v>
      </c>
      <c r="C106" s="18" t="str">
        <f>IFNA(VLOOKUP(A106,'Registros - No nuevos'!A:A,1,0),"Nuevo")</f>
        <v>75@telefonica.net</v>
      </c>
      <c r="D106" s="72" t="str">
        <f t="shared" si="1"/>
        <v>No Nuevo</v>
      </c>
    </row>
    <row r="107" ht="15.75" customHeight="1">
      <c r="A107" s="71" t="str">
        <f>Registros!A107</f>
        <v>194@hotmail.com</v>
      </c>
      <c r="B107" s="5">
        <f>Registros!B107</f>
        <v>44000.77361</v>
      </c>
      <c r="C107" s="18" t="str">
        <f>IFNA(VLOOKUP(A107,'Registros - No nuevos'!A:A,1,0),"Nuevo")</f>
        <v>194@hotmail.com</v>
      </c>
      <c r="D107" s="72" t="str">
        <f t="shared" si="1"/>
        <v>No Nuevo</v>
      </c>
    </row>
    <row r="108" ht="15.75" customHeight="1">
      <c r="A108" s="71" t="str">
        <f>Registros!A108</f>
        <v>196@gmail.com</v>
      </c>
      <c r="B108" s="5">
        <f>Registros!B108</f>
        <v>44000.7625</v>
      </c>
      <c r="C108" s="18" t="str">
        <f>IFNA(VLOOKUP(A108,'Registros - No nuevos'!A:A,1,0),"Nuevo")</f>
        <v>196@gmail.com</v>
      </c>
      <c r="D108" s="72" t="str">
        <f t="shared" si="1"/>
        <v>No Nuevo</v>
      </c>
    </row>
    <row r="109" ht="15.75" customHeight="1">
      <c r="A109" s="71" t="str">
        <f>Registros!A109</f>
        <v>197@enginyerstarragona.cat</v>
      </c>
      <c r="B109" s="5">
        <f>Registros!B109</f>
        <v>44000.76042</v>
      </c>
      <c r="C109" s="18" t="str">
        <f>IFNA(VLOOKUP(A109,'Registros - No nuevos'!A:A,1,0),"Nuevo")</f>
        <v>197@enginyerstarragona.cat</v>
      </c>
      <c r="D109" s="72" t="str">
        <f t="shared" si="1"/>
        <v>No Nuevo</v>
      </c>
    </row>
    <row r="110" ht="15.75" customHeight="1">
      <c r="A110" s="71" t="str">
        <f>Registros!A110</f>
        <v>200@smassa.eu</v>
      </c>
      <c r="B110" s="5">
        <f>Registros!B110</f>
        <v>44000.75556</v>
      </c>
      <c r="C110" s="18" t="str">
        <f>IFNA(VLOOKUP(A110,'Registros - No nuevos'!A:A,1,0),"Nuevo")</f>
        <v>200@smassa.eu</v>
      </c>
      <c r="D110" s="72" t="str">
        <f t="shared" si="1"/>
        <v>No Nuevo</v>
      </c>
    </row>
    <row r="111" ht="15.75" customHeight="1">
      <c r="A111" s="71" t="str">
        <f>Registros!A111</f>
        <v>18@urv.cat</v>
      </c>
      <c r="B111" s="5">
        <f>Registros!B111</f>
        <v>44000.75486</v>
      </c>
      <c r="C111" s="18" t="str">
        <f>IFNA(VLOOKUP(A111,'Registros - No nuevos'!A:A,1,0),"Nuevo")</f>
        <v>18@urv.cat</v>
      </c>
      <c r="D111" s="72" t="str">
        <f t="shared" si="1"/>
        <v>No Nuevo</v>
      </c>
    </row>
    <row r="112" ht="15.75" customHeight="1">
      <c r="A112" s="71" t="str">
        <f>Registros!A112</f>
        <v>86@ingbuero-group.de</v>
      </c>
      <c r="B112" s="5">
        <f>Registros!B112</f>
        <v>44000.75208</v>
      </c>
      <c r="C112" s="18" t="str">
        <f>IFNA(VLOOKUP(A112,'Registros - No nuevos'!A:A,1,0),"Nuevo")</f>
        <v>86@ingbuero-group.de</v>
      </c>
      <c r="D112" s="72" t="str">
        <f t="shared" si="1"/>
        <v>No Nuevo</v>
      </c>
    </row>
    <row r="113" ht="15.75" customHeight="1">
      <c r="A113" s="71" t="str">
        <f>Registros!A113</f>
        <v>201@gmail.com</v>
      </c>
      <c r="B113" s="5">
        <f>Registros!B113</f>
        <v>44000.74722</v>
      </c>
      <c r="C113" s="18" t="str">
        <f>IFNA(VLOOKUP(A113,'Registros - No nuevos'!A:A,1,0),"Nuevo")</f>
        <v>201@gmail.com</v>
      </c>
      <c r="D113" s="72" t="str">
        <f t="shared" si="1"/>
        <v>No Nuevo</v>
      </c>
    </row>
    <row r="114" ht="15.75" customHeight="1">
      <c r="A114" s="71" t="str">
        <f>Registros!A114</f>
        <v>103@ciccp.es</v>
      </c>
      <c r="B114" s="5">
        <f>Registros!B114</f>
        <v>44000.74653</v>
      </c>
      <c r="C114" s="18" t="str">
        <f>IFNA(VLOOKUP(A114,'Registros - No nuevos'!A:A,1,0),"Nuevo")</f>
        <v>103@ciccp.es</v>
      </c>
      <c r="D114" s="72" t="str">
        <f t="shared" si="1"/>
        <v>No Nuevo</v>
      </c>
    </row>
    <row r="115" ht="15.75" customHeight="1">
      <c r="A115" s="71" t="str">
        <f>Registros!A115</f>
        <v>205@es.tuv.com</v>
      </c>
      <c r="B115" s="5">
        <f>Registros!B115</f>
        <v>44000.73889</v>
      </c>
      <c r="C115" s="18" t="str">
        <f>IFNA(VLOOKUP(A115,'Registros - No nuevos'!A:A,1,0),"Nuevo")</f>
        <v>205@es.tuv.com</v>
      </c>
      <c r="D115" s="72" t="str">
        <f t="shared" si="1"/>
        <v>No Nuevo</v>
      </c>
    </row>
    <row r="116" ht="15.75" customHeight="1">
      <c r="A116" s="71" t="str">
        <f>Registros!A116</f>
        <v>212@gmail.com</v>
      </c>
      <c r="B116" s="5">
        <f>Registros!B116</f>
        <v>44000.72847</v>
      </c>
      <c r="C116" s="18" t="str">
        <f>IFNA(VLOOKUP(A116,'Registros - No nuevos'!A:A,1,0),"Nuevo")</f>
        <v>Nuevo</v>
      </c>
      <c r="D116" s="72" t="str">
        <f t="shared" si="1"/>
        <v>Nuevo</v>
      </c>
    </row>
    <row r="117" ht="15.75" customHeight="1">
      <c r="A117" s="71" t="str">
        <f>Registros!A117</f>
        <v>213@guidogroup.com</v>
      </c>
      <c r="B117" s="5">
        <f>Registros!B117</f>
        <v>44000.72569</v>
      </c>
      <c r="C117" s="18" t="str">
        <f>IFNA(VLOOKUP(A117,'Registros - No nuevos'!A:A,1,0),"Nuevo")</f>
        <v>213@guidogroup.com</v>
      </c>
      <c r="D117" s="72" t="str">
        <f t="shared" si="1"/>
        <v>No Nuevo</v>
      </c>
    </row>
    <row r="118" ht="15.75" customHeight="1">
      <c r="A118" s="71" t="str">
        <f>Registros!A118</f>
        <v>101@coiirm.es</v>
      </c>
      <c r="B118" s="5">
        <f>Registros!B118</f>
        <v>44000.725</v>
      </c>
      <c r="C118" s="18" t="str">
        <f>IFNA(VLOOKUP(A118,'Registros - No nuevos'!A:A,1,0),"Nuevo")</f>
        <v>101@coiirm.es</v>
      </c>
      <c r="D118" s="72" t="str">
        <f t="shared" si="1"/>
        <v>No Nuevo</v>
      </c>
    </row>
    <row r="119" ht="15.75" customHeight="1">
      <c r="A119" s="71" t="str">
        <f>Registros!A119</f>
        <v>216@gmail.com</v>
      </c>
      <c r="B119" s="5">
        <f>Registros!B119</f>
        <v>44000.72431</v>
      </c>
      <c r="C119" s="18" t="str">
        <f>IFNA(VLOOKUP(A119,'Registros - No nuevos'!A:A,1,0),"Nuevo")</f>
        <v>216@gmail.com</v>
      </c>
      <c r="D119" s="72" t="str">
        <f t="shared" si="1"/>
        <v>No Nuevo</v>
      </c>
    </row>
    <row r="120" ht="15.75" customHeight="1">
      <c r="A120" s="71" t="str">
        <f>Registros!A120</f>
        <v>214@gmail.com</v>
      </c>
      <c r="B120" s="5">
        <f>Registros!B120</f>
        <v>44000.72361</v>
      </c>
      <c r="C120" s="18" t="str">
        <f>IFNA(VLOOKUP(A120,'Registros - No nuevos'!A:A,1,0),"Nuevo")</f>
        <v>214@gmail.com</v>
      </c>
      <c r="D120" s="72" t="str">
        <f t="shared" si="1"/>
        <v>No Nuevo</v>
      </c>
    </row>
    <row r="121" ht="15.75" customHeight="1">
      <c r="A121" s="71" t="str">
        <f>Registros!A121</f>
        <v>218@erasmil.com</v>
      </c>
      <c r="B121" s="5">
        <f>Registros!B121</f>
        <v>44000.72292</v>
      </c>
      <c r="C121" s="18" t="str">
        <f>IFNA(VLOOKUP(A121,'Registros - No nuevos'!A:A,1,0),"Nuevo")</f>
        <v>218@erasmil.com</v>
      </c>
      <c r="D121" s="72" t="str">
        <f t="shared" si="1"/>
        <v>No Nuevo</v>
      </c>
    </row>
    <row r="122" ht="15.75" customHeight="1">
      <c r="A122" s="71" t="str">
        <f>Registros!A122</f>
        <v>92@gmail.com</v>
      </c>
      <c r="B122" s="5">
        <f>Registros!B122</f>
        <v>44000.72222</v>
      </c>
      <c r="C122" s="18" t="str">
        <f>IFNA(VLOOKUP(A122,'Registros - No nuevos'!A:A,1,0),"Nuevo")</f>
        <v>92@gmail.com</v>
      </c>
      <c r="D122" s="72" t="str">
        <f t="shared" si="1"/>
        <v>No Nuevo</v>
      </c>
    </row>
    <row r="123" ht="15.75" customHeight="1">
      <c r="A123" s="71" t="str">
        <f>Registros!A123</f>
        <v>117@telefonica.net</v>
      </c>
      <c r="B123" s="5">
        <f>Registros!B123</f>
        <v>44000.71458</v>
      </c>
      <c r="C123" s="18" t="str">
        <f>IFNA(VLOOKUP(A123,'Registros - No nuevos'!A:A,1,0),"Nuevo")</f>
        <v>117@telefonica.net</v>
      </c>
      <c r="D123" s="72" t="str">
        <f t="shared" si="1"/>
        <v>No Nuevo</v>
      </c>
    </row>
    <row r="124" ht="15.75" customHeight="1">
      <c r="A124" s="71" t="str">
        <f>Registros!A124</f>
        <v>104@spiningenieros.com</v>
      </c>
      <c r="B124" s="5">
        <f>Registros!B124</f>
        <v>44000.71458</v>
      </c>
      <c r="C124" s="18" t="str">
        <f>IFNA(VLOOKUP(A124,'Registros - No nuevos'!A:A,1,0),"Nuevo")</f>
        <v>104@spiningenieros.com</v>
      </c>
      <c r="D124" s="72" t="str">
        <f t="shared" si="1"/>
        <v>No Nuevo</v>
      </c>
    </row>
    <row r="125" ht="15.75" customHeight="1">
      <c r="A125" s="71" t="str">
        <f>Registros!A125</f>
        <v>21@iteser.com</v>
      </c>
      <c r="B125" s="5">
        <f>Registros!B125</f>
        <v>44000.70972</v>
      </c>
      <c r="C125" s="18" t="str">
        <f>IFNA(VLOOKUP(A125,'Registros - No nuevos'!A:A,1,0),"Nuevo")</f>
        <v>21@iteser.com</v>
      </c>
      <c r="D125" s="72" t="str">
        <f t="shared" si="1"/>
        <v>No Nuevo</v>
      </c>
    </row>
    <row r="126" ht="15.75" customHeight="1">
      <c r="A126" s="71" t="str">
        <f>Registros!A126</f>
        <v>220@istem.es</v>
      </c>
      <c r="B126" s="5">
        <f>Registros!B126</f>
        <v>44000.70625</v>
      </c>
      <c r="C126" s="18" t="str">
        <f>IFNA(VLOOKUP(A126,'Registros - No nuevos'!A:A,1,0),"Nuevo")</f>
        <v>220@istem.es</v>
      </c>
      <c r="D126" s="72" t="str">
        <f t="shared" si="1"/>
        <v>No Nuevo</v>
      </c>
    </row>
    <row r="127" ht="15.75" customHeight="1">
      <c r="A127" s="71" t="str">
        <f>Registros!A127</f>
        <v>223@gmail.com</v>
      </c>
      <c r="B127" s="5">
        <f>Registros!B127</f>
        <v>44000.70625</v>
      </c>
      <c r="C127" s="18" t="str">
        <f>IFNA(VLOOKUP(A127,'Registros - No nuevos'!A:A,1,0),"Nuevo")</f>
        <v>223@gmail.com</v>
      </c>
      <c r="D127" s="72" t="str">
        <f t="shared" si="1"/>
        <v>No Nuevo</v>
      </c>
    </row>
    <row r="128" ht="15.75" customHeight="1">
      <c r="A128" s="71" t="str">
        <f>Registros!A128</f>
        <v>222@jcgracia.es</v>
      </c>
      <c r="B128" s="5">
        <f>Registros!B128</f>
        <v>44000.70625</v>
      </c>
      <c r="C128" s="18" t="str">
        <f>IFNA(VLOOKUP(A128,'Registros - No nuevos'!A:A,1,0),"Nuevo")</f>
        <v>222@jcgracia.es</v>
      </c>
      <c r="D128" s="72" t="str">
        <f t="shared" si="1"/>
        <v>No Nuevo</v>
      </c>
    </row>
    <row r="129" ht="15.75" customHeight="1">
      <c r="A129" s="71" t="str">
        <f>Registros!A129</f>
        <v>67@becibiza.es</v>
      </c>
      <c r="B129" s="5">
        <f>Registros!B129</f>
        <v>44000.70556</v>
      </c>
      <c r="C129" s="18" t="str">
        <f>IFNA(VLOOKUP(A129,'Registros - No nuevos'!A:A,1,0),"Nuevo")</f>
        <v>67@becibiza.es</v>
      </c>
      <c r="D129" s="72" t="str">
        <f t="shared" si="1"/>
        <v>No Nuevo</v>
      </c>
    </row>
    <row r="130" ht="15.75" customHeight="1">
      <c r="A130" s="71" t="str">
        <f>Registros!A130</f>
        <v>224@hotmail.com</v>
      </c>
      <c r="B130" s="5">
        <f>Registros!B130</f>
        <v>44000.70556</v>
      </c>
      <c r="C130" s="18" t="str">
        <f>IFNA(VLOOKUP(A130,'Registros - No nuevos'!A:A,1,0),"Nuevo")</f>
        <v>224@hotmail.com</v>
      </c>
      <c r="D130" s="72" t="str">
        <f t="shared" si="1"/>
        <v>No Nuevo</v>
      </c>
    </row>
    <row r="131" ht="15.75" customHeight="1">
      <c r="A131" s="71" t="str">
        <f>Registros!A131</f>
        <v>109@gmail.com</v>
      </c>
      <c r="B131" s="5">
        <f>Registros!B131</f>
        <v>44000.70486</v>
      </c>
      <c r="C131" s="18" t="str">
        <f>IFNA(VLOOKUP(A131,'Registros - No nuevos'!A:A,1,0),"Nuevo")</f>
        <v>109@gmail.com</v>
      </c>
      <c r="D131" s="72" t="str">
        <f t="shared" si="1"/>
        <v>No Nuevo</v>
      </c>
    </row>
    <row r="132" ht="15.75" customHeight="1">
      <c r="A132" s="71" t="str">
        <f>Registros!A132</f>
        <v>225@gmail.com</v>
      </c>
      <c r="B132" s="5">
        <f>Registros!B132</f>
        <v>44000.70486</v>
      </c>
      <c r="C132" s="18" t="str">
        <f>IFNA(VLOOKUP(A132,'Registros - No nuevos'!A:A,1,0),"Nuevo")</f>
        <v>225@gmail.com</v>
      </c>
      <c r="D132" s="72" t="str">
        <f t="shared" si="1"/>
        <v>No Nuevo</v>
      </c>
    </row>
    <row r="133" ht="15.75" customHeight="1">
      <c r="A133" s="71" t="str">
        <f>Registros!A133</f>
        <v>229@gmail.com</v>
      </c>
      <c r="B133" s="5">
        <f>Registros!B133</f>
        <v>44000.70208</v>
      </c>
      <c r="C133" s="18" t="str">
        <f>IFNA(VLOOKUP(A133,'Registros - No nuevos'!A:A,1,0),"Nuevo")</f>
        <v>Nuevo</v>
      </c>
      <c r="D133" s="72" t="str">
        <f t="shared" si="1"/>
        <v>Nuevo</v>
      </c>
    </row>
    <row r="134" ht="15.75" customHeight="1">
      <c r="A134" s="71" t="str">
        <f>Registros!A134</f>
        <v>227@gmail.com</v>
      </c>
      <c r="B134" s="5">
        <f>Registros!B134</f>
        <v>44000.70208</v>
      </c>
      <c r="C134" s="18" t="str">
        <f>IFNA(VLOOKUP(A134,'Registros - No nuevos'!A:A,1,0),"Nuevo")</f>
        <v>227@gmail.com</v>
      </c>
      <c r="D134" s="72" t="str">
        <f t="shared" si="1"/>
        <v>No Nuevo</v>
      </c>
    </row>
    <row r="135" ht="15.75" customHeight="1">
      <c r="A135" s="71" t="str">
        <f>Registros!A135</f>
        <v>228@erasmil.com</v>
      </c>
      <c r="B135" s="5">
        <f>Registros!B135</f>
        <v>44000.70139</v>
      </c>
      <c r="C135" s="18" t="str">
        <f>IFNA(VLOOKUP(A135,'Registros - No nuevos'!A:A,1,0),"Nuevo")</f>
        <v>228@erasmil.com</v>
      </c>
      <c r="D135" s="72" t="str">
        <f t="shared" si="1"/>
        <v>No Nuevo</v>
      </c>
    </row>
    <row r="136" ht="15.75" customHeight="1">
      <c r="A136" s="71" t="str">
        <f>Registros!A136</f>
        <v>119@ideaingenieria.es</v>
      </c>
      <c r="B136" s="5">
        <f>Registros!B136</f>
        <v>44000.69653</v>
      </c>
      <c r="C136" s="18" t="str">
        <f>IFNA(VLOOKUP(A136,'Registros - No nuevos'!A:A,1,0),"Nuevo")</f>
        <v>119@ideaingenieria.es</v>
      </c>
      <c r="D136" s="72" t="str">
        <f t="shared" si="1"/>
        <v>No Nuevo</v>
      </c>
    </row>
    <row r="137" ht="15.75" customHeight="1">
      <c r="A137" s="71" t="str">
        <f>Registros!A137</f>
        <v>230@solsureste.com</v>
      </c>
      <c r="B137" s="5">
        <f>Registros!B137</f>
        <v>44000.69583</v>
      </c>
      <c r="C137" s="18" t="str">
        <f>IFNA(VLOOKUP(A137,'Registros - No nuevos'!A:A,1,0),"Nuevo")</f>
        <v>230@solsureste.com</v>
      </c>
      <c r="D137" s="72" t="str">
        <f t="shared" si="1"/>
        <v>No Nuevo</v>
      </c>
    </row>
    <row r="138" ht="15.75" customHeight="1">
      <c r="A138" s="71" t="str">
        <f>Registros!A138</f>
        <v>3018@hotmail.com</v>
      </c>
      <c r="B138" s="5">
        <f>Registros!B138</f>
        <v>44000.69444</v>
      </c>
      <c r="C138" s="18" t="str">
        <f>IFNA(VLOOKUP(A138,'Registros - No nuevos'!A:A,1,0),"Nuevo")</f>
        <v>3018@hotmail.com</v>
      </c>
      <c r="D138" s="72" t="str">
        <f t="shared" si="1"/>
        <v>No Nuevo</v>
      </c>
    </row>
    <row r="139" ht="15.75" customHeight="1">
      <c r="A139" s="71" t="str">
        <f>Registros!A139</f>
        <v>116@sgs.com</v>
      </c>
      <c r="B139" s="5">
        <f>Registros!B139</f>
        <v>44000.69236</v>
      </c>
      <c r="C139" s="18" t="str">
        <f>IFNA(VLOOKUP(A139,'Registros - No nuevos'!A:A,1,0),"Nuevo")</f>
        <v>116@sgs.com</v>
      </c>
      <c r="D139" s="72" t="str">
        <f t="shared" si="1"/>
        <v>No Nuevo</v>
      </c>
    </row>
    <row r="140" ht="15.75" customHeight="1">
      <c r="A140" s="71" t="str">
        <f>Registros!A140</f>
        <v>99@coitir.com</v>
      </c>
      <c r="B140" s="5">
        <f>Registros!B140</f>
        <v>44000.69097</v>
      </c>
      <c r="C140" s="18" t="str">
        <f>IFNA(VLOOKUP(A140,'Registros - No nuevos'!A:A,1,0),"Nuevo")</f>
        <v>99@coitir.com</v>
      </c>
      <c r="D140" s="72" t="str">
        <f t="shared" si="1"/>
        <v>No Nuevo</v>
      </c>
    </row>
    <row r="141" ht="15.75" customHeight="1">
      <c r="A141" s="71" t="str">
        <f>Registros!A141</f>
        <v>233@gmail.com</v>
      </c>
      <c r="B141" s="5">
        <f>Registros!B141</f>
        <v>44000.68889</v>
      </c>
      <c r="C141" s="18" t="str">
        <f>IFNA(VLOOKUP(A141,'Registros - No nuevos'!A:A,1,0),"Nuevo")</f>
        <v>233@gmail.com</v>
      </c>
      <c r="D141" s="72" t="str">
        <f t="shared" si="1"/>
        <v>No Nuevo</v>
      </c>
    </row>
    <row r="142" ht="15.75" customHeight="1">
      <c r="A142" s="71" t="str">
        <f>Registros!A142</f>
        <v>112@gmail.com</v>
      </c>
      <c r="B142" s="5">
        <f>Registros!B142</f>
        <v>44000.6875</v>
      </c>
      <c r="C142" s="18" t="str">
        <f>IFNA(VLOOKUP(A142,'Registros - No nuevos'!A:A,1,0),"Nuevo")</f>
        <v>112@gmail.com</v>
      </c>
      <c r="D142" s="72" t="str">
        <f t="shared" si="1"/>
        <v>No Nuevo</v>
      </c>
    </row>
    <row r="143" ht="15.75" customHeight="1">
      <c r="A143" s="71" t="str">
        <f>Registros!A143</f>
        <v>121@gmail.com</v>
      </c>
      <c r="B143" s="5">
        <f>Registros!B143</f>
        <v>44000.6875</v>
      </c>
      <c r="C143" s="18" t="str">
        <f>IFNA(VLOOKUP(A143,'Registros - No nuevos'!A:A,1,0),"Nuevo")</f>
        <v>121@gmail.com</v>
      </c>
      <c r="D143" s="72" t="str">
        <f t="shared" si="1"/>
        <v>No Nuevo</v>
      </c>
    </row>
    <row r="144" ht="15.75" customHeight="1">
      <c r="A144" s="71" t="str">
        <f>Registros!A144</f>
        <v>94@grupocobra.com</v>
      </c>
      <c r="B144" s="5">
        <f>Registros!B144</f>
        <v>44000.68611</v>
      </c>
      <c r="C144" s="18" t="str">
        <f>IFNA(VLOOKUP(A144,'Registros - No nuevos'!A:A,1,0),"Nuevo")</f>
        <v>94@grupocobra.com</v>
      </c>
      <c r="D144" s="72" t="str">
        <f t="shared" si="1"/>
        <v>No Nuevo</v>
      </c>
    </row>
    <row r="145" ht="15.75" customHeight="1">
      <c r="A145" s="71" t="str">
        <f>Registros!A145</f>
        <v>100@hotmail.com</v>
      </c>
      <c r="B145" s="5">
        <f>Registros!B145</f>
        <v>44000.68472</v>
      </c>
      <c r="C145" s="18" t="str">
        <f>IFNA(VLOOKUP(A145,'Registros - No nuevos'!A:A,1,0),"Nuevo")</f>
        <v>100@hotmail.com</v>
      </c>
      <c r="D145" s="72" t="str">
        <f t="shared" si="1"/>
        <v>No Nuevo</v>
      </c>
    </row>
    <row r="146" ht="15.75" customHeight="1">
      <c r="A146" s="71" t="str">
        <f>Registros!A146</f>
        <v>237@idsa.es</v>
      </c>
      <c r="B146" s="5">
        <f>Registros!B146</f>
        <v>44000.68472</v>
      </c>
      <c r="C146" s="18" t="str">
        <f>IFNA(VLOOKUP(A146,'Registros - No nuevos'!A:A,1,0),"Nuevo")</f>
        <v>Nuevo</v>
      </c>
      <c r="D146" s="72" t="str">
        <f t="shared" si="1"/>
        <v>Nuevo</v>
      </c>
    </row>
    <row r="147" ht="15.75" customHeight="1">
      <c r="A147" s="71" t="str">
        <f>Registros!A147</f>
        <v>240@hotmail.com</v>
      </c>
      <c r="B147" s="5">
        <f>Registros!B147</f>
        <v>44000.68472</v>
      </c>
      <c r="C147" s="18" t="str">
        <f>IFNA(VLOOKUP(A147,'Registros - No nuevos'!A:A,1,0),"Nuevo")</f>
        <v>240@hotmail.com</v>
      </c>
      <c r="D147" s="72" t="str">
        <f t="shared" si="1"/>
        <v>No Nuevo</v>
      </c>
    </row>
    <row r="148" ht="15.75" customHeight="1">
      <c r="A148" s="71" t="str">
        <f>Registros!A148</f>
        <v>236@elecnor.com</v>
      </c>
      <c r="B148" s="5">
        <f>Registros!B148</f>
        <v>44000.68403</v>
      </c>
      <c r="C148" s="18" t="str">
        <f>IFNA(VLOOKUP(A148,'Registros - No nuevos'!A:A,1,0),"Nuevo")</f>
        <v>236@elecnor.com</v>
      </c>
      <c r="D148" s="72" t="str">
        <f t="shared" si="1"/>
        <v>No Nuevo</v>
      </c>
    </row>
    <row r="149" ht="15.75" customHeight="1">
      <c r="A149" s="71" t="str">
        <f>Registros!A149</f>
        <v>98@davidjdiaz.es</v>
      </c>
      <c r="B149" s="5">
        <f>Registros!B149</f>
        <v>44000.68403</v>
      </c>
      <c r="C149" s="18" t="str">
        <f>IFNA(VLOOKUP(A149,'Registros - No nuevos'!A:A,1,0),"Nuevo")</f>
        <v>Nuevo</v>
      </c>
      <c r="D149" s="72" t="str">
        <f t="shared" si="1"/>
        <v>Nuevo</v>
      </c>
    </row>
    <row r="150" ht="15.75" customHeight="1">
      <c r="A150" s="71" t="str">
        <f>Registros!A150</f>
        <v>124@betenergia.es</v>
      </c>
      <c r="B150" s="5">
        <f>Registros!B150</f>
        <v>44000.68403</v>
      </c>
      <c r="C150" s="18" t="str">
        <f>IFNA(VLOOKUP(A150,'Registros - No nuevos'!A:A,1,0),"Nuevo")</f>
        <v>124@betenergia.es</v>
      </c>
      <c r="D150" s="72" t="str">
        <f t="shared" si="1"/>
        <v>No Nuevo</v>
      </c>
    </row>
    <row r="151" ht="15.75" customHeight="1">
      <c r="A151" s="71" t="str">
        <f>Registros!A151</f>
        <v>120@yahoo.com</v>
      </c>
      <c r="B151" s="5">
        <f>Registros!B151</f>
        <v>44000.68264</v>
      </c>
      <c r="C151" s="18" t="str">
        <f>IFNA(VLOOKUP(A151,'Registros - No nuevos'!A:A,1,0),"Nuevo")</f>
        <v>120@yahoo.com</v>
      </c>
      <c r="D151" s="72" t="str">
        <f t="shared" si="1"/>
        <v>No Nuevo</v>
      </c>
    </row>
    <row r="152" ht="15.75" customHeight="1">
      <c r="A152" s="71" t="str">
        <f>Registros!A152</f>
        <v>242@outlook.es</v>
      </c>
      <c r="B152" s="5">
        <f>Registros!B152</f>
        <v>44000.59444</v>
      </c>
      <c r="C152" s="18" t="str">
        <f>IFNA(VLOOKUP(A152,'Registros - No nuevos'!A:A,1,0),"Nuevo")</f>
        <v>Nuevo</v>
      </c>
      <c r="D152" s="72" t="str">
        <f t="shared" si="1"/>
        <v>Nuevo</v>
      </c>
    </row>
    <row r="153" ht="15.75" customHeight="1">
      <c r="A153" s="71" t="str">
        <f>Registros!A153</f>
        <v>243@homcrea.fr</v>
      </c>
      <c r="B153" s="5">
        <f>Registros!B153</f>
        <v>44000.55069</v>
      </c>
      <c r="C153" s="18" t="str">
        <f>IFNA(VLOOKUP(A153,'Registros - No nuevos'!A:A,1,0),"Nuevo")</f>
        <v>Nuevo</v>
      </c>
      <c r="D153" s="72" t="str">
        <f t="shared" si="1"/>
        <v>Nuevo</v>
      </c>
    </row>
    <row r="154" ht="15.75" customHeight="1">
      <c r="A154" s="71" t="str">
        <f>Registros!A154</f>
        <v>245@gmail.com</v>
      </c>
      <c r="B154" s="5">
        <f>Registros!B154</f>
        <v>44000.38333</v>
      </c>
      <c r="C154" s="18" t="str">
        <f>IFNA(VLOOKUP(A154,'Registros - No nuevos'!A:A,1,0),"Nuevo")</f>
        <v>Nuevo</v>
      </c>
      <c r="D154" s="72" t="str">
        <f t="shared" si="1"/>
        <v>Nuevo</v>
      </c>
    </row>
    <row r="155" ht="15.75" customHeight="1">
      <c r="A155" s="71" t="str">
        <f>Registros!A155</f>
        <v>247@gmail.com</v>
      </c>
      <c r="B155" s="5">
        <f>Registros!B155</f>
        <v>43999.55486</v>
      </c>
      <c r="C155" s="18" t="str">
        <f>IFNA(VLOOKUP(A155,'Registros - No nuevos'!A:A,1,0),"Nuevo")</f>
        <v>Nuevo</v>
      </c>
      <c r="D155" s="72" t="str">
        <f t="shared" si="1"/>
        <v>Nuevo</v>
      </c>
    </row>
    <row r="156" ht="15.75" customHeight="1">
      <c r="A156" s="71" t="str">
        <f>Registros!A156</f>
        <v>248@llachsoillum.cat</v>
      </c>
      <c r="B156" s="5">
        <f>Registros!B156</f>
        <v>43999.55139</v>
      </c>
      <c r="C156" s="18" t="str">
        <f>IFNA(VLOOKUP(A156,'Registros - No nuevos'!A:A,1,0),"Nuevo")</f>
        <v>248@llachsoillum.cat</v>
      </c>
      <c r="D156" s="72" t="str">
        <f t="shared" si="1"/>
        <v>No Nuevo</v>
      </c>
    </row>
    <row r="157" ht="15.75" customHeight="1">
      <c r="A157" s="71" t="str">
        <f>Registros!A157</f>
        <v>249@herreroingenieros.com</v>
      </c>
      <c r="B157" s="5">
        <f>Registros!B157</f>
        <v>43999.50417</v>
      </c>
      <c r="C157" s="18" t="str">
        <f>IFNA(VLOOKUP(A157,'Registros - No nuevos'!A:A,1,0),"Nuevo")</f>
        <v>249@herreroingenieros.com</v>
      </c>
      <c r="D157" s="72" t="str">
        <f t="shared" si="1"/>
        <v>No Nuevo</v>
      </c>
    </row>
    <row r="158" ht="15.75" customHeight="1">
      <c r="A158" s="71" t="str">
        <f>Registros!A158</f>
        <v>251@gmail.com</v>
      </c>
      <c r="B158" s="5">
        <f>Registros!B158</f>
        <v>43999.44722</v>
      </c>
      <c r="C158" s="18" t="str">
        <f>IFNA(VLOOKUP(A158,'Registros - No nuevos'!A:A,1,0),"Nuevo")</f>
        <v>Nuevo</v>
      </c>
      <c r="D158" s="72" t="str">
        <f t="shared" si="1"/>
        <v>Nuevo</v>
      </c>
    </row>
    <row r="159" ht="15.75" customHeight="1">
      <c r="A159" s="71" t="str">
        <f>Registros!A159</f>
        <v>252@hotmail.com</v>
      </c>
      <c r="B159" s="5">
        <f>Registros!B159</f>
        <v>43999.41944</v>
      </c>
      <c r="C159" s="18" t="str">
        <f>IFNA(VLOOKUP(A159,'Registros - No nuevos'!A:A,1,0),"Nuevo")</f>
        <v>Nuevo</v>
      </c>
      <c r="D159" s="72" t="str">
        <f t="shared" si="1"/>
        <v>Nuevo</v>
      </c>
    </row>
    <row r="160" ht="15.75" customHeight="1">
      <c r="A160" s="71" t="str">
        <f>Registros!A160</f>
        <v>253@putzmeister.com</v>
      </c>
      <c r="B160" s="5">
        <f>Registros!B160</f>
        <v>43999.01875</v>
      </c>
      <c r="C160" s="18" t="str">
        <f>IFNA(VLOOKUP(A160,'Registros - No nuevos'!A:A,1,0),"Nuevo")</f>
        <v>Nuevo</v>
      </c>
      <c r="D160" s="72" t="str">
        <f t="shared" si="1"/>
        <v>Nuevo</v>
      </c>
    </row>
    <row r="161" ht="15.75" customHeight="1">
      <c r="A161" s="71" t="str">
        <f>Registros!A161</f>
        <v>254@hotmail.com</v>
      </c>
      <c r="B161" s="5">
        <f>Registros!B161</f>
        <v>43998.8625</v>
      </c>
      <c r="C161" s="18" t="str">
        <f>IFNA(VLOOKUP(A161,'Registros - No nuevos'!A:A,1,0),"Nuevo")</f>
        <v>Nuevo</v>
      </c>
      <c r="D161" s="72" t="str">
        <f t="shared" si="1"/>
        <v>Nuevo</v>
      </c>
    </row>
    <row r="162" ht="15.75" customHeight="1">
      <c r="A162" s="71" t="str">
        <f>Registros!A162</f>
        <v>255@hotmail.com</v>
      </c>
      <c r="B162" s="5">
        <f>Registros!B162</f>
        <v>43998.81042</v>
      </c>
      <c r="C162" s="18" t="str">
        <f>IFNA(VLOOKUP(A162,'Registros - No nuevos'!A:A,1,0),"Nuevo")</f>
        <v>255@hotmail.com</v>
      </c>
      <c r="D162" s="72" t="str">
        <f t="shared" si="1"/>
        <v>No Nuevo</v>
      </c>
    </row>
    <row r="163" ht="15.75" customHeight="1">
      <c r="A163" s="71" t="str">
        <f>Registros!A163</f>
        <v>73@hotmail.com</v>
      </c>
      <c r="B163" s="5">
        <f>Registros!B163</f>
        <v>43998.78056</v>
      </c>
      <c r="C163" s="18" t="str">
        <f>IFNA(VLOOKUP(A163,'Registros - No nuevos'!A:A,1,0),"Nuevo")</f>
        <v>73@hotmail.com</v>
      </c>
      <c r="D163" s="72" t="str">
        <f t="shared" si="1"/>
        <v>No Nuevo</v>
      </c>
    </row>
    <row r="164" ht="15.75" customHeight="1">
      <c r="A164" s="71" t="str">
        <f>Registros!A164</f>
        <v>256@mail.com</v>
      </c>
      <c r="B164" s="5">
        <f>Registros!B164</f>
        <v>43998.73403</v>
      </c>
      <c r="C164" s="18" t="str">
        <f>IFNA(VLOOKUP(A164,'Registros - No nuevos'!A:A,1,0),"Nuevo")</f>
        <v>256@mail.com</v>
      </c>
      <c r="D164" s="72" t="str">
        <f t="shared" si="1"/>
        <v>No Nuevo</v>
      </c>
    </row>
    <row r="165" ht="15.75" customHeight="1">
      <c r="A165" s="71" t="str">
        <f>Registros!A165</f>
        <v>257@telefonica.net</v>
      </c>
      <c r="B165" s="5">
        <f>Registros!B165</f>
        <v>43998.67431</v>
      </c>
      <c r="C165" s="18" t="str">
        <f>IFNA(VLOOKUP(A165,'Registros - No nuevos'!A:A,1,0),"Nuevo")</f>
        <v>257@telefonica.net</v>
      </c>
      <c r="D165" s="72" t="str">
        <f t="shared" si="1"/>
        <v>No Nuevo</v>
      </c>
    </row>
    <row r="166" ht="15.75" customHeight="1">
      <c r="A166" s="71" t="str">
        <f>Registros!A166</f>
        <v>259@electricosaragon2000.com</v>
      </c>
      <c r="B166" s="5">
        <f>Registros!B166</f>
        <v>43998.47222</v>
      </c>
      <c r="C166" s="18" t="str">
        <f>IFNA(VLOOKUP(A166,'Registros - No nuevos'!A:A,1,0),"Nuevo")</f>
        <v>Nuevo</v>
      </c>
      <c r="D166" s="72" t="str">
        <f t="shared" si="1"/>
        <v>Nuevo</v>
      </c>
    </row>
    <row r="167" ht="15.75" customHeight="1">
      <c r="A167" s="71" t="str">
        <f>Registros!A167</f>
        <v>250@inacces.com</v>
      </c>
      <c r="B167" s="5">
        <f>Registros!B167</f>
        <v>43998.47083</v>
      </c>
      <c r="C167" s="18" t="str">
        <f>IFNA(VLOOKUP(A167,'Registros - No nuevos'!A:A,1,0),"Nuevo")</f>
        <v>250@inacces.com</v>
      </c>
      <c r="D167" s="72" t="str">
        <f t="shared" si="1"/>
        <v>No Nuevo</v>
      </c>
    </row>
    <row r="168" ht="15.75" customHeight="1">
      <c r="A168" s="71" t="str">
        <f>Registros!A168</f>
        <v>265@gmail.com</v>
      </c>
      <c r="B168" s="5">
        <f>Registros!B168</f>
        <v>43997.89722</v>
      </c>
      <c r="C168" s="18" t="str">
        <f>IFNA(VLOOKUP(A168,'Registros - No nuevos'!A:A,1,0),"Nuevo")</f>
        <v>Nuevo</v>
      </c>
      <c r="D168" s="72" t="str">
        <f t="shared" si="1"/>
        <v>Nuevo</v>
      </c>
    </row>
    <row r="169" ht="15.75" customHeight="1">
      <c r="A169" s="71" t="str">
        <f>Registros!A169</f>
        <v>272@gmail.com</v>
      </c>
      <c r="B169" s="5">
        <f>Registros!B169</f>
        <v>43997.64514</v>
      </c>
      <c r="C169" s="18" t="str">
        <f>IFNA(VLOOKUP(A169,'Registros - No nuevos'!A:A,1,0),"Nuevo")</f>
        <v>Nuevo</v>
      </c>
      <c r="D169" s="72" t="str">
        <f t="shared" si="1"/>
        <v>Nuevo</v>
      </c>
    </row>
    <row r="170" ht="15.75" customHeight="1">
      <c r="A170" s="71" t="str">
        <f>Registros!A170</f>
        <v>273@gmail.com</v>
      </c>
      <c r="B170" s="5">
        <f>Registros!B170</f>
        <v>43997.56875</v>
      </c>
      <c r="C170" s="18" t="str">
        <f>IFNA(VLOOKUP(A170,'Registros - No nuevos'!A:A,1,0),"Nuevo")</f>
        <v>273@gmail.com</v>
      </c>
      <c r="D170" s="72" t="str">
        <f t="shared" si="1"/>
        <v>No Nuevo</v>
      </c>
    </row>
    <row r="171" ht="15.75" customHeight="1">
      <c r="A171" s="71" t="str">
        <f>Registros!A171</f>
        <v>125@gmail.com</v>
      </c>
      <c r="B171" s="5">
        <f>Registros!B171</f>
        <v>43997.32014</v>
      </c>
      <c r="C171" s="18" t="str">
        <f>IFNA(VLOOKUP(A171,'Registros - No nuevos'!A:A,1,0),"Nuevo")</f>
        <v>125@gmail.com</v>
      </c>
      <c r="D171" s="72" t="str">
        <f t="shared" si="1"/>
        <v>No Nuevo</v>
      </c>
    </row>
    <row r="172" ht="15.75" customHeight="1">
      <c r="A172" s="71" t="str">
        <f>Registros!A172</f>
        <v>3019@gmail.com</v>
      </c>
      <c r="B172" s="5">
        <f>Registros!B172</f>
        <v>43996.74653</v>
      </c>
      <c r="C172" s="18" t="str">
        <f>IFNA(VLOOKUP(A172,'Registros - No nuevos'!A:A,1,0),"Nuevo")</f>
        <v>3019@gmail.com</v>
      </c>
      <c r="D172" s="72" t="str">
        <f t="shared" si="1"/>
        <v>No Nuevo</v>
      </c>
    </row>
    <row r="173" ht="15.75" customHeight="1">
      <c r="A173" s="71" t="str">
        <f>Registros!A173</f>
        <v>292@espe.edu.ec</v>
      </c>
      <c r="B173" s="5">
        <f>Registros!B173</f>
        <v>43995.73472</v>
      </c>
      <c r="C173" s="18" t="str">
        <f>IFNA(VLOOKUP(A173,'Registros - No nuevos'!A:A,1,0),"Nuevo")</f>
        <v>Nuevo</v>
      </c>
      <c r="D173" s="72" t="str">
        <f t="shared" si="1"/>
        <v>Nuevo</v>
      </c>
    </row>
    <row r="174" ht="15.75" customHeight="1">
      <c r="A174" s="71" t="str">
        <f>Registros!A174</f>
        <v>293@hotmail.com</v>
      </c>
      <c r="B174" s="5">
        <f>Registros!B174</f>
        <v>43995.51319</v>
      </c>
      <c r="C174" s="18" t="str">
        <f>IFNA(VLOOKUP(A174,'Registros - No nuevos'!A:A,1,0),"Nuevo")</f>
        <v>Nuevo</v>
      </c>
      <c r="D174" s="72" t="str">
        <f t="shared" si="1"/>
        <v>Nuevo</v>
      </c>
    </row>
    <row r="175" ht="15.75" customHeight="1">
      <c r="A175" s="71" t="str">
        <f>Registros!A175</f>
        <v>3020@gesluz.es</v>
      </c>
      <c r="B175" s="5">
        <f>Registros!B175</f>
        <v>43994.59722</v>
      </c>
      <c r="C175" s="18" t="str">
        <f>IFNA(VLOOKUP(A175,'Registros - No nuevos'!A:A,1,0),"Nuevo")</f>
        <v>Nuevo</v>
      </c>
      <c r="D175" s="72" t="str">
        <f t="shared" si="1"/>
        <v>Nuevo</v>
      </c>
    </row>
    <row r="176" ht="15.75" customHeight="1">
      <c r="A176" s="71" t="str">
        <f>Registros!A176</f>
        <v>295@gmail.com</v>
      </c>
      <c r="B176" s="5">
        <f>Registros!B176</f>
        <v>43994.53611</v>
      </c>
      <c r="C176" s="18" t="str">
        <f>IFNA(VLOOKUP(A176,'Registros - No nuevos'!A:A,1,0),"Nuevo")</f>
        <v>295@gmail.com</v>
      </c>
      <c r="D176" s="72" t="str">
        <f t="shared" si="1"/>
        <v>No Nuevo</v>
      </c>
    </row>
    <row r="177" ht="15.75" customHeight="1">
      <c r="A177" s="71" t="str">
        <f>Registros!A177</f>
        <v>3021@gmail.com</v>
      </c>
      <c r="B177" s="5">
        <f>Registros!B177</f>
        <v>43994.52986</v>
      </c>
      <c r="C177" s="18" t="str">
        <f>IFNA(VLOOKUP(A177,'Registros - No nuevos'!A:A,1,0),"Nuevo")</f>
        <v>Nuevo</v>
      </c>
      <c r="D177" s="72" t="str">
        <f t="shared" si="1"/>
        <v>Nuevo</v>
      </c>
    </row>
    <row r="178" ht="15.75" customHeight="1">
      <c r="A178" s="71" t="str">
        <f>Registros!A178</f>
        <v>286@icaluz.com</v>
      </c>
      <c r="B178" s="5">
        <f>Registros!B178</f>
        <v>43994.50208</v>
      </c>
      <c r="C178" s="18" t="str">
        <f>IFNA(VLOOKUP(A178,'Registros - No nuevos'!A:A,1,0),"Nuevo")</f>
        <v>286@icaluz.com</v>
      </c>
      <c r="D178" s="72" t="str">
        <f t="shared" si="1"/>
        <v>No Nuevo</v>
      </c>
    </row>
    <row r="179" ht="15.75" customHeight="1">
      <c r="A179" s="71" t="str">
        <f>Registros!A179</f>
        <v>281@montajescastellon.com</v>
      </c>
      <c r="B179" s="5">
        <f>Registros!B179</f>
        <v>43994.43958</v>
      </c>
      <c r="C179" s="18" t="str">
        <f>IFNA(VLOOKUP(A179,'Registros - No nuevos'!A:A,1,0),"Nuevo")</f>
        <v>281@montajescastellon.com</v>
      </c>
      <c r="D179" s="72" t="str">
        <f t="shared" si="1"/>
        <v>No Nuevo</v>
      </c>
    </row>
    <row r="180" ht="15.75" customHeight="1">
      <c r="A180" s="71" t="str">
        <f>Registros!A180</f>
        <v>299@vimasol.es</v>
      </c>
      <c r="B180" s="5">
        <f>Registros!B180</f>
        <v>43994.41736</v>
      </c>
      <c r="C180" s="18" t="str">
        <f>IFNA(VLOOKUP(A180,'Registros - No nuevos'!A:A,1,0),"Nuevo")</f>
        <v>299@vimasol.es</v>
      </c>
      <c r="D180" s="72" t="str">
        <f t="shared" si="1"/>
        <v>No Nuevo</v>
      </c>
    </row>
    <row r="181" ht="15.75" customHeight="1">
      <c r="A181" s="71" t="str">
        <f>Registros!A181</f>
        <v>300@vimasol.es</v>
      </c>
      <c r="B181" s="5">
        <f>Registros!B181</f>
        <v>43994.39306</v>
      </c>
      <c r="C181" s="18" t="str">
        <f>IFNA(VLOOKUP(A181,'Registros - No nuevos'!A:A,1,0),"Nuevo")</f>
        <v>300@vimasol.es</v>
      </c>
      <c r="D181" s="72" t="str">
        <f t="shared" si="1"/>
        <v>No Nuevo</v>
      </c>
    </row>
    <row r="182" ht="15.75" customHeight="1">
      <c r="A182" s="71" t="str">
        <f>Registros!A182</f>
        <v>301@vimasol.es</v>
      </c>
      <c r="B182" s="5">
        <f>Registros!B182</f>
        <v>43994.39236</v>
      </c>
      <c r="C182" s="18" t="str">
        <f>IFNA(VLOOKUP(A182,'Registros - No nuevos'!A:A,1,0),"Nuevo")</f>
        <v>301@vimasol.es</v>
      </c>
      <c r="D182" s="72" t="str">
        <f t="shared" si="1"/>
        <v>No Nuevo</v>
      </c>
    </row>
    <row r="183" ht="15.75" customHeight="1">
      <c r="A183" s="71" t="str">
        <f>Registros!A183</f>
        <v>305@wanadoo.es</v>
      </c>
      <c r="B183" s="5">
        <f>Registros!B183</f>
        <v>43993.06111</v>
      </c>
      <c r="C183" s="18" t="str">
        <f>IFNA(VLOOKUP(A183,'Registros - No nuevos'!A:A,1,0),"Nuevo")</f>
        <v>Nuevo</v>
      </c>
      <c r="D183" s="72" t="str">
        <f t="shared" si="1"/>
        <v>Nuevo</v>
      </c>
    </row>
    <row r="184" ht="15.75" customHeight="1">
      <c r="A184" s="71" t="str">
        <f>Registros!A184</f>
        <v>308@rexel.es</v>
      </c>
      <c r="B184" s="5">
        <f>Registros!B184</f>
        <v>43992.35</v>
      </c>
      <c r="C184" s="18" t="str">
        <f>IFNA(VLOOKUP(A184,'Registros - No nuevos'!A:A,1,0),"Nuevo")</f>
        <v>Nuevo</v>
      </c>
      <c r="D184" s="72" t="str">
        <f t="shared" si="1"/>
        <v>Nuevo</v>
      </c>
    </row>
    <row r="185" ht="15.75" customHeight="1">
      <c r="A185" s="71" t="str">
        <f>Registros!A185</f>
        <v>309@hotmail.com</v>
      </c>
      <c r="B185" s="5">
        <f>Registros!B185</f>
        <v>43992.28958</v>
      </c>
      <c r="C185" s="18" t="str">
        <f>IFNA(VLOOKUP(A185,'Registros - No nuevos'!A:A,1,0),"Nuevo")</f>
        <v>Nuevo</v>
      </c>
      <c r="D185" s="72" t="str">
        <f t="shared" si="1"/>
        <v>Nuevo</v>
      </c>
    </row>
    <row r="186" ht="15.75" customHeight="1">
      <c r="A186" s="71" t="str">
        <f>Registros!A186</f>
        <v>310@outlook.com</v>
      </c>
      <c r="B186" s="5">
        <f>Registros!B186</f>
        <v>43992.27361</v>
      </c>
      <c r="C186" s="18" t="str">
        <f>IFNA(VLOOKUP(A186,'Registros - No nuevos'!A:A,1,0),"Nuevo")</f>
        <v>Nuevo</v>
      </c>
      <c r="D186" s="72" t="str">
        <f t="shared" si="1"/>
        <v>Nuevo</v>
      </c>
    </row>
    <row r="187" ht="15.75" customHeight="1">
      <c r="A187" s="71" t="str">
        <f>Registros!A187</f>
        <v>311@tresa.volkswagen.es</v>
      </c>
      <c r="B187" s="5">
        <f>Registros!B187</f>
        <v>43991.76736</v>
      </c>
      <c r="C187" s="18" t="str">
        <f>IFNA(VLOOKUP(A187,'Registros - No nuevos'!A:A,1,0),"Nuevo")</f>
        <v>Nuevo</v>
      </c>
      <c r="D187" s="72" t="str">
        <f t="shared" si="1"/>
        <v>Nuevo</v>
      </c>
    </row>
    <row r="188" ht="15.75" customHeight="1">
      <c r="A188" s="71" t="str">
        <f>Registros!A188</f>
        <v>312@telefonica.net</v>
      </c>
      <c r="B188" s="5">
        <f>Registros!B188</f>
        <v>43991.7625</v>
      </c>
      <c r="C188" s="18" t="str">
        <f>IFNA(VLOOKUP(A188,'Registros - No nuevos'!A:A,1,0),"Nuevo")</f>
        <v>Nuevo</v>
      </c>
      <c r="D188" s="72" t="str">
        <f t="shared" si="1"/>
        <v>Nuevo</v>
      </c>
    </row>
    <row r="189" ht="15.75" customHeight="1">
      <c r="A189" s="71" t="str">
        <f>Registros!A189</f>
        <v>317@portsdebalears.com</v>
      </c>
      <c r="B189" s="5">
        <f>Registros!B189</f>
        <v>43991.31667</v>
      </c>
      <c r="C189" s="18" t="str">
        <f>IFNA(VLOOKUP(A189,'Registros - No nuevos'!A:A,1,0),"Nuevo")</f>
        <v>Nuevo</v>
      </c>
      <c r="D189" s="72" t="str">
        <f t="shared" si="1"/>
        <v>Nuevo</v>
      </c>
    </row>
    <row r="190" ht="15.75" customHeight="1">
      <c r="A190" s="71" t="str">
        <f>Registros!A190</f>
        <v>318@gmail.com</v>
      </c>
      <c r="B190" s="5">
        <f>Registros!B190</f>
        <v>43991.30694</v>
      </c>
      <c r="C190" s="18" t="str">
        <f>IFNA(VLOOKUP(A190,'Registros - No nuevos'!A:A,1,0),"Nuevo")</f>
        <v>Nuevo</v>
      </c>
      <c r="D190" s="72" t="str">
        <f t="shared" si="1"/>
        <v>Nuevo</v>
      </c>
    </row>
    <row r="191" ht="15.75" customHeight="1">
      <c r="A191" s="71" t="str">
        <f>Registros!A191</f>
        <v>241@gmail.com</v>
      </c>
      <c r="B191" s="5">
        <f>Registros!B191</f>
        <v>43990.83194</v>
      </c>
      <c r="C191" s="18" t="str">
        <f>IFNA(VLOOKUP(A191,'Registros - No nuevos'!A:A,1,0),"Nuevo")</f>
        <v>Nuevo</v>
      </c>
      <c r="D191" s="72" t="str">
        <f t="shared" si="1"/>
        <v>Nuevo</v>
      </c>
    </row>
    <row r="192" ht="15.75" customHeight="1">
      <c r="A192" s="71" t="str">
        <f>Registros!A192</f>
        <v>323@hotmail.com</v>
      </c>
      <c r="B192" s="5">
        <f>Registros!B192</f>
        <v>43990.56042</v>
      </c>
      <c r="C192" s="18" t="str">
        <f>IFNA(VLOOKUP(A192,'Registros - No nuevos'!A:A,1,0),"Nuevo")</f>
        <v>323@hotmail.com</v>
      </c>
      <c r="D192" s="72" t="str">
        <f t="shared" si="1"/>
        <v>No Nuevo</v>
      </c>
    </row>
    <row r="193" ht="15.75" customHeight="1">
      <c r="A193" s="71" t="str">
        <f>Registros!A193</f>
        <v>324@onsaze.es</v>
      </c>
      <c r="B193" s="5">
        <f>Registros!B193</f>
        <v>43990.47639</v>
      </c>
      <c r="C193" s="18" t="str">
        <f>IFNA(VLOOKUP(A193,'Registros - No nuevos'!A:A,1,0),"Nuevo")</f>
        <v>Nuevo</v>
      </c>
      <c r="D193" s="72" t="str">
        <f t="shared" si="1"/>
        <v>Nuevo</v>
      </c>
    </row>
    <row r="194" ht="15.75" customHeight="1">
      <c r="A194" s="71" t="str">
        <f>Registros!A194</f>
        <v>332@gmail.com</v>
      </c>
      <c r="B194" s="5">
        <f>Registros!B194</f>
        <v>43989.79722</v>
      </c>
      <c r="C194" s="18" t="str">
        <f>IFNA(VLOOKUP(A194,'Registros - No nuevos'!A:A,1,0),"Nuevo")</f>
        <v>Nuevo</v>
      </c>
      <c r="D194" s="72" t="str">
        <f t="shared" si="1"/>
        <v>Nuevo</v>
      </c>
    </row>
    <row r="195" ht="15.75" customHeight="1">
      <c r="A195" s="71" t="str">
        <f>Registros!A195</f>
        <v>333@jbizcocho.es</v>
      </c>
      <c r="B195" s="5">
        <f>Registros!B195</f>
        <v>43989.65972</v>
      </c>
      <c r="C195" s="18" t="str">
        <f>IFNA(VLOOKUP(A195,'Registros - No nuevos'!A:A,1,0),"Nuevo")</f>
        <v>Nuevo</v>
      </c>
      <c r="D195" s="72" t="str">
        <f t="shared" si="1"/>
        <v>Nuevo</v>
      </c>
    </row>
    <row r="196" ht="15.75" customHeight="1">
      <c r="A196" s="71" t="str">
        <f>Registros!A196</f>
        <v>203@outlook.com</v>
      </c>
      <c r="B196" s="5">
        <f>Registros!B196</f>
        <v>43989.48472</v>
      </c>
      <c r="C196" s="18" t="str">
        <f>IFNA(VLOOKUP(A196,'Registros - No nuevos'!A:A,1,0),"Nuevo")</f>
        <v>Nuevo</v>
      </c>
      <c r="D196" s="72" t="str">
        <f t="shared" si="1"/>
        <v>Nuevo</v>
      </c>
    </row>
    <row r="197" ht="15.75" customHeight="1">
      <c r="A197" s="71" t="str">
        <f>Registros!A197</f>
        <v>336@gmail.com</v>
      </c>
      <c r="B197" s="5">
        <f>Registros!B197</f>
        <v>43988.77639</v>
      </c>
      <c r="C197" s="18" t="str">
        <f>IFNA(VLOOKUP(A197,'Registros - No nuevos'!A:A,1,0),"Nuevo")</f>
        <v>Nuevo</v>
      </c>
      <c r="D197" s="72" t="str">
        <f t="shared" si="1"/>
        <v>Nuevo</v>
      </c>
    </row>
    <row r="198" ht="15.75" customHeight="1">
      <c r="A198" s="71" t="str">
        <f>Registros!A198</f>
        <v>337@gmail.com</v>
      </c>
      <c r="B198" s="5">
        <f>Registros!B198</f>
        <v>43988.60069</v>
      </c>
      <c r="C198" s="18" t="str">
        <f>IFNA(VLOOKUP(A198,'Registros - No nuevos'!A:A,1,0),"Nuevo")</f>
        <v>Nuevo</v>
      </c>
      <c r="D198" s="72" t="str">
        <f t="shared" si="1"/>
        <v>Nuevo</v>
      </c>
    </row>
    <row r="199" ht="15.75" customHeight="1">
      <c r="A199" s="71" t="str">
        <f>Registros!A199</f>
        <v>338@u220.es</v>
      </c>
      <c r="B199" s="5">
        <f>Registros!B199</f>
        <v>43988.46806</v>
      </c>
      <c r="C199" s="18" t="str">
        <f>IFNA(VLOOKUP(A199,'Registros - No nuevos'!A:A,1,0),"Nuevo")</f>
        <v>Nuevo</v>
      </c>
      <c r="D199" s="72" t="str">
        <f t="shared" si="1"/>
        <v>Nuevo</v>
      </c>
    </row>
    <row r="200" ht="15.75" customHeight="1">
      <c r="A200" s="71" t="str">
        <f>Registros!A200</f>
        <v>339@emiliocueto.com</v>
      </c>
      <c r="B200" s="5">
        <f>Registros!B200</f>
        <v>43988.41528</v>
      </c>
      <c r="C200" s="18" t="str">
        <f>IFNA(VLOOKUP(A200,'Registros - No nuevos'!A:A,1,0),"Nuevo")</f>
        <v>Nuevo</v>
      </c>
      <c r="D200" s="72" t="str">
        <f t="shared" si="1"/>
        <v>Nuevo</v>
      </c>
    </row>
    <row r="201" ht="15.75" customHeight="1">
      <c r="A201" s="71" t="str">
        <f>Registros!A201</f>
        <v>341@enchufesolar.com</v>
      </c>
      <c r="B201" s="5">
        <f>Registros!B201</f>
        <v>43988.02361</v>
      </c>
      <c r="C201" s="18" t="str">
        <f>IFNA(VLOOKUP(A201,'Registros - No nuevos'!A:A,1,0),"Nuevo")</f>
        <v>Nuevo</v>
      </c>
      <c r="D201" s="72" t="str">
        <f t="shared" si="1"/>
        <v>Nuevo</v>
      </c>
    </row>
    <row r="202" ht="15.75" customHeight="1">
      <c r="A202" s="71" t="str">
        <f>Registros!A202</f>
        <v>342@idesa.pro</v>
      </c>
      <c r="B202" s="5">
        <f>Registros!B202</f>
        <v>43987.98333</v>
      </c>
      <c r="C202" s="18" t="str">
        <f>IFNA(VLOOKUP(A202,'Registros - No nuevos'!A:A,1,0),"Nuevo")</f>
        <v>Nuevo</v>
      </c>
      <c r="D202" s="72" t="str">
        <f t="shared" si="1"/>
        <v>Nuevo</v>
      </c>
    </row>
    <row r="203" ht="15.75" customHeight="1">
      <c r="A203" s="71" t="str">
        <f>Registros!A203</f>
        <v>345@enerwatt.es</v>
      </c>
      <c r="B203" s="5">
        <f>Registros!B203</f>
        <v>43987.67431</v>
      </c>
      <c r="C203" s="18" t="str">
        <f>IFNA(VLOOKUP(A203,'Registros - No nuevos'!A:A,1,0),"Nuevo")</f>
        <v>Nuevo</v>
      </c>
      <c r="D203" s="72" t="str">
        <f t="shared" si="1"/>
        <v>Nuevo</v>
      </c>
    </row>
    <row r="204" ht="15.75" customHeight="1">
      <c r="A204" s="71" t="str">
        <f>Registros!A204</f>
        <v>348@telefonica.net</v>
      </c>
      <c r="B204" s="5">
        <f>Registros!B204</f>
        <v>43987.50139</v>
      </c>
      <c r="C204" s="18" t="str">
        <f>IFNA(VLOOKUP(A204,'Registros - No nuevos'!A:A,1,0),"Nuevo")</f>
        <v>Nuevo</v>
      </c>
      <c r="D204" s="72" t="str">
        <f t="shared" si="1"/>
        <v>Nuevo</v>
      </c>
    </row>
    <row r="205" ht="15.75" customHeight="1">
      <c r="A205" s="71" t="str">
        <f>Registros!A205</f>
        <v>350@talleresloam.com</v>
      </c>
      <c r="B205" s="5">
        <f>Registros!B205</f>
        <v>43987.47222</v>
      </c>
      <c r="C205" s="18" t="str">
        <f>IFNA(VLOOKUP(A205,'Registros - No nuevos'!A:A,1,0),"Nuevo")</f>
        <v>Nuevo</v>
      </c>
      <c r="D205" s="72" t="str">
        <f t="shared" si="1"/>
        <v>Nuevo</v>
      </c>
    </row>
    <row r="206" ht="15.75" customHeight="1">
      <c r="A206" s="71" t="str">
        <f>Registros!A206</f>
        <v>361@trabajosadomicilio.es</v>
      </c>
      <c r="B206" s="5">
        <f>Registros!B206</f>
        <v>43986.93819</v>
      </c>
      <c r="C206" s="18" t="str">
        <f>IFNA(VLOOKUP(A206,'Registros - No nuevos'!A:A,1,0),"Nuevo")</f>
        <v>Nuevo</v>
      </c>
      <c r="D206" s="72" t="str">
        <f t="shared" si="1"/>
        <v>Nuevo</v>
      </c>
    </row>
    <row r="207" ht="15.75" customHeight="1">
      <c r="A207" s="71" t="str">
        <f>Registros!A207</f>
        <v>360@gmail.com</v>
      </c>
      <c r="B207" s="5">
        <f>Registros!B207</f>
        <v>43986.85625</v>
      </c>
      <c r="C207" s="18" t="str">
        <f>IFNA(VLOOKUP(A207,'Registros - No nuevos'!A:A,1,0),"Nuevo")</f>
        <v>Nuevo</v>
      </c>
      <c r="D207" s="72" t="str">
        <f t="shared" si="1"/>
        <v>Nuevo</v>
      </c>
    </row>
    <row r="208" ht="15.75" customHeight="1">
      <c r="A208" s="71" t="str">
        <f>Registros!A208</f>
        <v>325@sonepar.es</v>
      </c>
      <c r="B208" s="5">
        <f>Registros!B208</f>
        <v>43986.65069</v>
      </c>
      <c r="C208" s="18" t="str">
        <f>IFNA(VLOOKUP(A208,'Registros - No nuevos'!A:A,1,0),"Nuevo")</f>
        <v>Nuevo</v>
      </c>
      <c r="D208" s="72" t="str">
        <f t="shared" si="1"/>
        <v>Nuevo</v>
      </c>
    </row>
    <row r="209" ht="15.75" customHeight="1">
      <c r="A209" s="71" t="str">
        <f>Registros!A209</f>
        <v>382@gmail.com</v>
      </c>
      <c r="B209" s="5">
        <f>Registros!B209</f>
        <v>43986.34375</v>
      </c>
      <c r="C209" s="18" t="str">
        <f>IFNA(VLOOKUP(A209,'Registros - No nuevos'!A:A,1,0),"Nuevo")</f>
        <v>Nuevo</v>
      </c>
      <c r="D209" s="72" t="str">
        <f t="shared" si="1"/>
        <v>Nuevo</v>
      </c>
    </row>
    <row r="210" ht="15.75" customHeight="1">
      <c r="A210" s="71" t="str">
        <f>Registros!A210</f>
        <v>328@siemens.com</v>
      </c>
      <c r="B210" s="5">
        <f>Registros!B210</f>
        <v>43985.92708</v>
      </c>
      <c r="C210" s="18" t="str">
        <f>IFNA(VLOOKUP(A210,'Registros - No nuevos'!A:A,1,0),"Nuevo")</f>
        <v>Nuevo</v>
      </c>
      <c r="D210" s="72" t="str">
        <f t="shared" si="1"/>
        <v>Nuevo</v>
      </c>
    </row>
    <row r="211" ht="15.75" customHeight="1">
      <c r="A211" s="71" t="str">
        <f>Registros!A211</f>
        <v>429@yahoo.es</v>
      </c>
      <c r="B211" s="5">
        <f>Registros!B211</f>
        <v>43985.65625</v>
      </c>
      <c r="C211" s="18" t="str">
        <f>IFNA(VLOOKUP(A211,'Registros - No nuevos'!A:A,1,0),"Nuevo")</f>
        <v>Nuevo</v>
      </c>
      <c r="D211" s="72" t="str">
        <f t="shared" si="1"/>
        <v>Nuevo</v>
      </c>
    </row>
    <row r="212" ht="15.75" customHeight="1">
      <c r="A212" s="71" t="str">
        <f>Registros!A212</f>
        <v>435@solucionesms.es</v>
      </c>
      <c r="B212" s="5">
        <f>Registros!B212</f>
        <v>43985.46875</v>
      </c>
      <c r="C212" s="18" t="str">
        <f>IFNA(VLOOKUP(A212,'Registros - No nuevos'!A:A,1,0),"Nuevo")</f>
        <v>435@solucionesms.es</v>
      </c>
      <c r="D212" s="72" t="str">
        <f t="shared" si="1"/>
        <v>No Nuevo</v>
      </c>
    </row>
    <row r="213" ht="15.75" customHeight="1">
      <c r="A213" s="71" t="str">
        <f>Registros!A213</f>
        <v>459@sesetec.com</v>
      </c>
      <c r="B213" s="5">
        <f>Registros!B213</f>
        <v>43984.43681</v>
      </c>
      <c r="C213" s="18" t="str">
        <f>IFNA(VLOOKUP(A213,'Registros - No nuevos'!A:A,1,0),"Nuevo")</f>
        <v>459@sesetec.com</v>
      </c>
      <c r="D213" s="72" t="str">
        <f t="shared" si="1"/>
        <v>No Nuevo</v>
      </c>
    </row>
    <row r="214" ht="15.75" customHeight="1">
      <c r="A214" s="71" t="str">
        <f>Registros!A214</f>
        <v>460@gmail.com</v>
      </c>
      <c r="B214" s="5">
        <f>Registros!B214</f>
        <v>43984.35208</v>
      </c>
      <c r="C214" s="18" t="str">
        <f>IFNA(VLOOKUP(A214,'Registros - No nuevos'!A:A,1,0),"Nuevo")</f>
        <v>Nuevo</v>
      </c>
      <c r="D214" s="72" t="str">
        <f t="shared" si="1"/>
        <v>Nuevo</v>
      </c>
    </row>
    <row r="215" ht="15.75" customHeight="1">
      <c r="A215" s="71" t="str">
        <f>Registros!A215</f>
        <v>461@msn.com</v>
      </c>
      <c r="B215" s="5">
        <f>Registros!B215</f>
        <v>43984.31389</v>
      </c>
      <c r="C215" s="18" t="str">
        <f>IFNA(VLOOKUP(A215,'Registros - No nuevos'!A:A,1,0),"Nuevo")</f>
        <v>Nuevo</v>
      </c>
      <c r="D215" s="72" t="str">
        <f t="shared" si="1"/>
        <v>Nuevo</v>
      </c>
    </row>
    <row r="216" ht="15.75" customHeight="1">
      <c r="A216" s="71" t="str">
        <f>Registros!A216</f>
        <v>462@gmail.com</v>
      </c>
      <c r="B216" s="5">
        <f>Registros!B216</f>
        <v>43984.28681</v>
      </c>
      <c r="C216" s="18" t="str">
        <f>IFNA(VLOOKUP(A216,'Registros - No nuevos'!A:A,1,0),"Nuevo")</f>
        <v>Nuevo</v>
      </c>
      <c r="D216" s="72" t="str">
        <f t="shared" si="1"/>
        <v>Nuevo</v>
      </c>
    </row>
    <row r="217" ht="15.75" customHeight="1">
      <c r="A217" s="71" t="str">
        <f>Registros!A217</f>
        <v>465@hotmail.com</v>
      </c>
      <c r="B217" s="5">
        <f>Registros!B217</f>
        <v>43983.94514</v>
      </c>
      <c r="C217" s="18" t="str">
        <f>IFNA(VLOOKUP(A217,'Registros - No nuevos'!A:A,1,0),"Nuevo")</f>
        <v>Nuevo</v>
      </c>
      <c r="D217" s="72" t="str">
        <f t="shared" si="1"/>
        <v>Nuevo</v>
      </c>
    </row>
    <row r="218" ht="15.75" customHeight="1">
      <c r="A218" s="71" t="str">
        <f>Registros!A218</f>
        <v>467@gmail.com</v>
      </c>
      <c r="B218" s="5">
        <f>Registros!B218</f>
        <v>43983.82569</v>
      </c>
      <c r="C218" s="18" t="str">
        <f>IFNA(VLOOKUP(A218,'Registros - No nuevos'!A:A,1,0),"Nuevo")</f>
        <v>Nuevo</v>
      </c>
      <c r="D218" s="72" t="str">
        <f t="shared" si="1"/>
        <v>Nuevo</v>
      </c>
    </row>
    <row r="219" ht="15.75" customHeight="1">
      <c r="A219" s="71" t="str">
        <f>Registros!A219</f>
        <v>469@somorrostro.com</v>
      </c>
      <c r="B219" s="5">
        <f>Registros!B219</f>
        <v>43983.75486</v>
      </c>
      <c r="C219" s="18" t="str">
        <f>IFNA(VLOOKUP(A219,'Registros - No nuevos'!A:A,1,0),"Nuevo")</f>
        <v>Nuevo</v>
      </c>
      <c r="D219" s="72" t="str">
        <f t="shared" si="1"/>
        <v>Nuevo</v>
      </c>
    </row>
    <row r="220" ht="15.75" customHeight="1">
      <c r="A220" s="71" t="str">
        <f>Registros!A220</f>
        <v>470@gmail.com</v>
      </c>
      <c r="B220" s="5">
        <f>Registros!B220</f>
        <v>43983.75139</v>
      </c>
      <c r="C220" s="18" t="str">
        <f>IFNA(VLOOKUP(A220,'Registros - No nuevos'!A:A,1,0),"Nuevo")</f>
        <v>Nuevo</v>
      </c>
      <c r="D220" s="72" t="str">
        <f t="shared" si="1"/>
        <v>Nuevo</v>
      </c>
    </row>
    <row r="221" ht="15.75" customHeight="1">
      <c r="A221" s="71" t="str">
        <f>Registros!A221</f>
        <v>471@abengoa.com</v>
      </c>
      <c r="B221" s="5">
        <f>Registros!B221</f>
        <v>43983.73889</v>
      </c>
      <c r="C221" s="18" t="str">
        <f>IFNA(VLOOKUP(A221,'Registros - No nuevos'!A:A,1,0),"Nuevo")</f>
        <v>Nuevo</v>
      </c>
      <c r="D221" s="72" t="str">
        <f t="shared" si="1"/>
        <v>Nuevo</v>
      </c>
    </row>
    <row r="222" ht="15.75" customHeight="1">
      <c r="A222" s="71" t="str">
        <f>Registros!A222</f>
        <v>454@gmail.com</v>
      </c>
      <c r="B222" s="5">
        <f>Registros!B222</f>
        <v>43983.71667</v>
      </c>
      <c r="C222" s="18" t="str">
        <f>IFNA(VLOOKUP(A222,'Registros - No nuevos'!A:A,1,0),"Nuevo")</f>
        <v>Nuevo</v>
      </c>
      <c r="D222" s="72" t="str">
        <f t="shared" si="1"/>
        <v>Nuevo</v>
      </c>
    </row>
    <row r="223" ht="15.75" customHeight="1">
      <c r="A223" s="71" t="str">
        <f>Registros!A223</f>
        <v>477@gmail.com</v>
      </c>
      <c r="B223" s="5">
        <f>Registros!B223</f>
        <v>43982.85556</v>
      </c>
      <c r="C223" s="18" t="str">
        <f>IFNA(VLOOKUP(A223,'Registros - No nuevos'!A:A,1,0),"Nuevo")</f>
        <v>Nuevo</v>
      </c>
      <c r="D223" s="72" t="str">
        <f t="shared" si="1"/>
        <v>Nuevo</v>
      </c>
    </row>
    <row r="224" ht="15.75" customHeight="1">
      <c r="A224" s="71" t="str">
        <f>Registros!A224</f>
        <v>480@gmail.com</v>
      </c>
      <c r="B224" s="5">
        <f>Registros!B224</f>
        <v>43981.59028</v>
      </c>
      <c r="C224" s="18" t="str">
        <f>IFNA(VLOOKUP(A224,'Registros - No nuevos'!A:A,1,0),"Nuevo")</f>
        <v>Nuevo</v>
      </c>
      <c r="D224" s="72" t="str">
        <f t="shared" si="1"/>
        <v>Nuevo</v>
      </c>
    </row>
    <row r="225" ht="15.75" customHeight="1">
      <c r="A225" s="71" t="str">
        <f>Registros!A225</f>
        <v>482@pentamatik.com</v>
      </c>
      <c r="B225" s="5">
        <f>Registros!B225</f>
        <v>43980.85625</v>
      </c>
      <c r="C225" s="18" t="str">
        <f>IFNA(VLOOKUP(A225,'Registros - No nuevos'!A:A,1,0),"Nuevo")</f>
        <v>Nuevo</v>
      </c>
      <c r="D225" s="72" t="str">
        <f t="shared" si="1"/>
        <v>Nuevo</v>
      </c>
    </row>
    <row r="226" ht="15.75" customHeight="1">
      <c r="A226" s="71" t="str">
        <f>Registros!A226</f>
        <v>483@arval.es</v>
      </c>
      <c r="B226" s="5">
        <f>Registros!B226</f>
        <v>43980.64514</v>
      </c>
      <c r="C226" s="18" t="str">
        <f>IFNA(VLOOKUP(A226,'Registros - No nuevos'!A:A,1,0),"Nuevo")</f>
        <v>Nuevo</v>
      </c>
      <c r="D226" s="72" t="str">
        <f t="shared" si="1"/>
        <v>Nuevo</v>
      </c>
    </row>
    <row r="227" ht="15.75" customHeight="1">
      <c r="A227" s="71" t="str">
        <f>Registros!A227</f>
        <v>485@hotmail.com</v>
      </c>
      <c r="B227" s="5">
        <f>Registros!B227</f>
        <v>43980.46319</v>
      </c>
      <c r="C227" s="18" t="str">
        <f>IFNA(VLOOKUP(A227,'Registros - No nuevos'!A:A,1,0),"Nuevo")</f>
        <v>Nuevo</v>
      </c>
      <c r="D227" s="72" t="str">
        <f t="shared" si="1"/>
        <v>Nuevo</v>
      </c>
    </row>
    <row r="228" ht="15.75" customHeight="1">
      <c r="A228" s="71" t="str">
        <f>Registros!A228</f>
        <v>489@carbonellfigueras.com</v>
      </c>
      <c r="B228" s="5">
        <f>Registros!B228</f>
        <v>43979.73958</v>
      </c>
      <c r="C228" s="18" t="str">
        <f>IFNA(VLOOKUP(A228,'Registros - No nuevos'!A:A,1,0),"Nuevo")</f>
        <v>489@carbonellfigueras.com</v>
      </c>
      <c r="D228" s="72" t="str">
        <f t="shared" si="1"/>
        <v>No Nuevo</v>
      </c>
    </row>
    <row r="229" ht="15.75" customHeight="1">
      <c r="A229" s="71" t="str">
        <f>Registros!A229</f>
        <v>490@idom.com</v>
      </c>
      <c r="B229" s="5">
        <f>Registros!B229</f>
        <v>43979.73542</v>
      </c>
      <c r="C229" s="18" t="str">
        <f>IFNA(VLOOKUP(A229,'Registros - No nuevos'!A:A,1,0),"Nuevo")</f>
        <v>Nuevo</v>
      </c>
      <c r="D229" s="72" t="str">
        <f t="shared" si="1"/>
        <v>Nuevo</v>
      </c>
    </row>
    <row r="230" ht="15.75" customHeight="1">
      <c r="A230" s="71" t="str">
        <f>Registros!A230</f>
        <v>491@gmail.com</v>
      </c>
      <c r="B230" s="5">
        <f>Registros!B230</f>
        <v>43979.72917</v>
      </c>
      <c r="C230" s="18" t="str">
        <f>IFNA(VLOOKUP(A230,'Registros - No nuevos'!A:A,1,0),"Nuevo")</f>
        <v>Nuevo</v>
      </c>
      <c r="D230" s="72" t="str">
        <f t="shared" si="1"/>
        <v>Nuevo</v>
      </c>
    </row>
    <row r="231" ht="15.75" customHeight="1">
      <c r="A231" s="71" t="str">
        <f>Registros!A231</f>
        <v>466@gmail.com</v>
      </c>
      <c r="B231" s="5">
        <f>Registros!B231</f>
        <v>43979.71389</v>
      </c>
      <c r="C231" s="18" t="str">
        <f>IFNA(VLOOKUP(A231,'Registros - No nuevos'!A:A,1,0),"Nuevo")</f>
        <v>Nuevo</v>
      </c>
      <c r="D231" s="72" t="str">
        <f t="shared" si="1"/>
        <v>Nuevo</v>
      </c>
    </row>
    <row r="232" ht="15.75" customHeight="1">
      <c r="A232" s="71" t="str">
        <f>Registros!A232</f>
        <v>372@ub.edu</v>
      </c>
      <c r="B232" s="5">
        <f>Registros!B232</f>
        <v>43979.55972</v>
      </c>
      <c r="C232" s="18" t="str">
        <f>IFNA(VLOOKUP(A232,'Registros - No nuevos'!A:A,1,0),"Nuevo")</f>
        <v>Nuevo</v>
      </c>
      <c r="D232" s="72" t="str">
        <f t="shared" si="1"/>
        <v>Nuevo</v>
      </c>
    </row>
    <row r="233" ht="15.75" customHeight="1">
      <c r="A233" s="71" t="str">
        <f>Registros!A233</f>
        <v>494@protelec.es</v>
      </c>
      <c r="B233" s="5">
        <f>Registros!B233</f>
        <v>43979.47153</v>
      </c>
      <c r="C233" s="18" t="str">
        <f>IFNA(VLOOKUP(A233,'Registros - No nuevos'!A:A,1,0),"Nuevo")</f>
        <v>Nuevo</v>
      </c>
      <c r="D233" s="72" t="str">
        <f t="shared" si="1"/>
        <v>Nuevo</v>
      </c>
    </row>
    <row r="234" ht="15.75" customHeight="1">
      <c r="A234" s="71" t="str">
        <f>Registros!A234</f>
        <v>496@gmail.com</v>
      </c>
      <c r="B234" s="5">
        <f>Registros!B234</f>
        <v>43979.40556</v>
      </c>
      <c r="C234" s="18" t="str">
        <f>IFNA(VLOOKUP(A234,'Registros - No nuevos'!A:A,1,0),"Nuevo")</f>
        <v>Nuevo</v>
      </c>
      <c r="D234" s="72" t="str">
        <f t="shared" si="1"/>
        <v>Nuevo</v>
      </c>
    </row>
    <row r="235" ht="15.75" customHeight="1">
      <c r="A235" s="71" t="str">
        <f>Registros!A235</f>
        <v>497@6d-ingenieros.com</v>
      </c>
      <c r="B235" s="5">
        <f>Registros!B235</f>
        <v>43979.34167</v>
      </c>
      <c r="C235" s="18" t="str">
        <f>IFNA(VLOOKUP(A235,'Registros - No nuevos'!A:A,1,0),"Nuevo")</f>
        <v>497@6d-ingenieros.com</v>
      </c>
      <c r="D235" s="72" t="str">
        <f t="shared" si="1"/>
        <v>No Nuevo</v>
      </c>
    </row>
    <row r="236" ht="15.75" customHeight="1">
      <c r="A236" s="71" t="str">
        <f>Registros!A236</f>
        <v>501@gmail.com</v>
      </c>
      <c r="B236" s="5">
        <f>Registros!B236</f>
        <v>43979.02083</v>
      </c>
      <c r="C236" s="18" t="str">
        <f>IFNA(VLOOKUP(A236,'Registros - No nuevos'!A:A,1,0),"Nuevo")</f>
        <v>Nuevo</v>
      </c>
      <c r="D236" s="72" t="str">
        <f t="shared" si="1"/>
        <v>Nuevo</v>
      </c>
    </row>
    <row r="237" ht="15.75" customHeight="1">
      <c r="A237" s="71" t="str">
        <f>Registros!A237</f>
        <v>502@hotmail.com</v>
      </c>
      <c r="B237" s="5">
        <f>Registros!B237</f>
        <v>43978.89722</v>
      </c>
      <c r="C237" s="18" t="str">
        <f>IFNA(VLOOKUP(A237,'Registros - No nuevos'!A:A,1,0),"Nuevo")</f>
        <v>Nuevo</v>
      </c>
      <c r="D237" s="72" t="str">
        <f t="shared" si="1"/>
        <v>Nuevo</v>
      </c>
    </row>
    <row r="238" ht="15.75" customHeight="1">
      <c r="A238" s="71" t="str">
        <f>Registros!A238</f>
        <v>504@avilayhevia.com</v>
      </c>
      <c r="B238" s="5">
        <f>Registros!B238</f>
        <v>43978.68056</v>
      </c>
      <c r="C238" s="18" t="str">
        <f>IFNA(VLOOKUP(A238,'Registros - No nuevos'!A:A,1,0),"Nuevo")</f>
        <v>Nuevo</v>
      </c>
      <c r="D238" s="72" t="str">
        <f t="shared" si="1"/>
        <v>Nuevo</v>
      </c>
    </row>
    <row r="239" ht="15.75" customHeight="1">
      <c r="A239" s="71" t="str">
        <f>Registros!A239</f>
        <v>505@mavipas.com</v>
      </c>
      <c r="B239" s="5">
        <f>Registros!B239</f>
        <v>43978.67847</v>
      </c>
      <c r="C239" s="18" t="str">
        <f>IFNA(VLOOKUP(A239,'Registros - No nuevos'!A:A,1,0),"Nuevo")</f>
        <v>Nuevo</v>
      </c>
      <c r="D239" s="72" t="str">
        <f t="shared" si="1"/>
        <v>Nuevo</v>
      </c>
    </row>
    <row r="240" ht="15.75" customHeight="1">
      <c r="A240" s="71" t="str">
        <f>Registros!A240</f>
        <v>3022@gmail.com</v>
      </c>
      <c r="B240" s="5">
        <f>Registros!B240</f>
        <v>43978.59167</v>
      </c>
      <c r="C240" s="18" t="str">
        <f>IFNA(VLOOKUP(A240,'Registros - No nuevos'!A:A,1,0),"Nuevo")</f>
        <v>Nuevo</v>
      </c>
      <c r="D240" s="72" t="str">
        <f t="shared" si="1"/>
        <v>Nuevo</v>
      </c>
    </row>
    <row r="241" ht="15.75" customHeight="1">
      <c r="A241" s="71" t="str">
        <f>Registros!A241</f>
        <v>468@yahoo.es</v>
      </c>
      <c r="B241" s="5">
        <f>Registros!B241</f>
        <v>43978.48264</v>
      </c>
      <c r="C241" s="18" t="str">
        <f>IFNA(VLOOKUP(A241,'Registros - No nuevos'!A:A,1,0),"Nuevo")</f>
        <v>Nuevo</v>
      </c>
      <c r="D241" s="72" t="str">
        <f t="shared" si="1"/>
        <v>Nuevo</v>
      </c>
    </row>
    <row r="242" ht="15.75" customHeight="1">
      <c r="A242" s="71" t="str">
        <f>Registros!A242</f>
        <v>457@outlook.com</v>
      </c>
      <c r="B242" s="5">
        <f>Registros!B242</f>
        <v>43978.45556</v>
      </c>
      <c r="C242" s="18" t="str">
        <f>IFNA(VLOOKUP(A242,'Registros - No nuevos'!A:A,1,0),"Nuevo")</f>
        <v>Nuevo</v>
      </c>
      <c r="D242" s="72" t="str">
        <f t="shared" si="1"/>
        <v>Nuevo</v>
      </c>
    </row>
    <row r="243" ht="15.75" customHeight="1">
      <c r="A243" s="71" t="str">
        <f>Registros!A243</f>
        <v>509@hotmail.com</v>
      </c>
      <c r="B243" s="5">
        <f>Registros!B243</f>
        <v>43977.95278</v>
      </c>
      <c r="C243" s="18" t="str">
        <f>IFNA(VLOOKUP(A243,'Registros - No nuevos'!A:A,1,0),"Nuevo")</f>
        <v>Nuevo</v>
      </c>
      <c r="D243" s="72" t="str">
        <f t="shared" si="1"/>
        <v>Nuevo</v>
      </c>
    </row>
    <row r="244" ht="15.75" customHeight="1">
      <c r="A244" s="71" t="str">
        <f>Registros!A244</f>
        <v>510@gmail.com</v>
      </c>
      <c r="B244" s="5">
        <f>Registros!B244</f>
        <v>43977.73611</v>
      </c>
      <c r="C244" s="18" t="str">
        <f>IFNA(VLOOKUP(A244,'Registros - No nuevos'!A:A,1,0),"Nuevo")</f>
        <v>510@gmail.com</v>
      </c>
      <c r="D244" s="72" t="str">
        <f t="shared" si="1"/>
        <v>No Nuevo</v>
      </c>
    </row>
    <row r="245" ht="15.75" customHeight="1">
      <c r="A245" s="71" t="str">
        <f>Registros!A245</f>
        <v>513@osmos.es</v>
      </c>
      <c r="B245" s="5">
        <f>Registros!B245</f>
        <v>43977.4625</v>
      </c>
      <c r="C245" s="18" t="str">
        <f>IFNA(VLOOKUP(A245,'Registros - No nuevos'!A:A,1,0),"Nuevo")</f>
        <v>Nuevo</v>
      </c>
      <c r="D245" s="72" t="str">
        <f t="shared" si="1"/>
        <v>Nuevo</v>
      </c>
    </row>
    <row r="246" ht="15.75" customHeight="1">
      <c r="A246" s="71" t="str">
        <f>Registros!A246</f>
        <v>514@hotmail.com</v>
      </c>
      <c r="B246" s="5">
        <f>Registros!B246</f>
        <v>43977.45556</v>
      </c>
      <c r="C246" s="18" t="str">
        <f>IFNA(VLOOKUP(A246,'Registros - No nuevos'!A:A,1,0),"Nuevo")</f>
        <v>Nuevo</v>
      </c>
      <c r="D246" s="72" t="str">
        <f t="shared" si="1"/>
        <v>Nuevo</v>
      </c>
    </row>
    <row r="247" ht="15.75" customHeight="1">
      <c r="A247" s="71" t="str">
        <f>Registros!A247</f>
        <v>515@torrepacheco.es</v>
      </c>
      <c r="B247" s="5">
        <f>Registros!B247</f>
        <v>43977.40069</v>
      </c>
      <c r="C247" s="18" t="str">
        <f>IFNA(VLOOKUP(A247,'Registros - No nuevos'!A:A,1,0),"Nuevo")</f>
        <v>Nuevo</v>
      </c>
      <c r="D247" s="72" t="str">
        <f t="shared" si="1"/>
        <v>Nuevo</v>
      </c>
    </row>
    <row r="248" ht="15.75" customHeight="1">
      <c r="A248" s="71" t="str">
        <f>Registros!A248</f>
        <v>3023@hotmail.com</v>
      </c>
      <c r="B248" s="5">
        <f>Registros!B248</f>
        <v>43977.38403</v>
      </c>
      <c r="C248" s="18" t="str">
        <f>IFNA(VLOOKUP(A248,'Registros - No nuevos'!A:A,1,0),"Nuevo")</f>
        <v>Nuevo</v>
      </c>
      <c r="D248" s="72" t="str">
        <f t="shared" si="1"/>
        <v>Nuevo</v>
      </c>
    </row>
    <row r="249" ht="15.75" customHeight="1">
      <c r="A249" s="71" t="str">
        <f>Registros!A249</f>
        <v>518@gmail.com</v>
      </c>
      <c r="B249" s="5">
        <f>Registros!B249</f>
        <v>43977.15625</v>
      </c>
      <c r="C249" s="18" t="str">
        <f>IFNA(VLOOKUP(A249,'Registros - No nuevos'!A:A,1,0),"Nuevo")</f>
        <v>Nuevo</v>
      </c>
      <c r="D249" s="72" t="str">
        <f t="shared" si="1"/>
        <v>Nuevo</v>
      </c>
    </row>
    <row r="250" ht="15.75" customHeight="1">
      <c r="A250" s="71" t="str">
        <f>Registros!A250</f>
        <v>523@gmail.com</v>
      </c>
      <c r="B250" s="5">
        <f>Registros!B250</f>
        <v>43976.69375</v>
      </c>
      <c r="C250" s="18" t="str">
        <f>IFNA(VLOOKUP(A250,'Registros - No nuevos'!A:A,1,0),"Nuevo")</f>
        <v>Nuevo</v>
      </c>
      <c r="D250" s="72" t="str">
        <f t="shared" si="1"/>
        <v>Nuevo</v>
      </c>
    </row>
    <row r="251" ht="15.75" customHeight="1">
      <c r="A251" s="71" t="str">
        <f>Registros!A251</f>
        <v>532@gmail.com</v>
      </c>
      <c r="B251" s="5">
        <f>Registros!B251</f>
        <v>43976.45903</v>
      </c>
      <c r="C251" s="18" t="str">
        <f>IFNA(VLOOKUP(A251,'Registros - No nuevos'!A:A,1,0),"Nuevo")</f>
        <v>Nuevo</v>
      </c>
      <c r="D251" s="72" t="str">
        <f t="shared" si="1"/>
        <v>Nuevo</v>
      </c>
    </row>
    <row r="252" ht="15.75" customHeight="1">
      <c r="A252" s="71" t="str">
        <f>Registros!A252</f>
        <v>540@hotmail.com</v>
      </c>
      <c r="B252" s="5">
        <f>Registros!B252</f>
        <v>43976.40556</v>
      </c>
      <c r="C252" s="18" t="str">
        <f>IFNA(VLOOKUP(A252,'Registros - No nuevos'!A:A,1,0),"Nuevo")</f>
        <v>Nuevo</v>
      </c>
      <c r="D252" s="72" t="str">
        <f t="shared" si="1"/>
        <v>Nuevo</v>
      </c>
    </row>
    <row r="253" ht="15.75" customHeight="1">
      <c r="A253" s="71" t="str">
        <f>Registros!A253</f>
        <v>564@gmail.com</v>
      </c>
      <c r="B253" s="5">
        <f>Registros!B253</f>
        <v>43975.89722</v>
      </c>
      <c r="C253" s="18" t="str">
        <f>IFNA(VLOOKUP(A253,'Registros - No nuevos'!A:A,1,0),"Nuevo")</f>
        <v>Nuevo</v>
      </c>
      <c r="D253" s="72" t="str">
        <f t="shared" si="1"/>
        <v>Nuevo</v>
      </c>
    </row>
    <row r="254" ht="15.75" customHeight="1">
      <c r="A254" s="71" t="str">
        <f>Registros!A254</f>
        <v>565@gmail.com</v>
      </c>
      <c r="B254" s="5">
        <f>Registros!B254</f>
        <v>43975.70417</v>
      </c>
      <c r="C254" s="18" t="str">
        <f>IFNA(VLOOKUP(A254,'Registros - No nuevos'!A:A,1,0),"Nuevo")</f>
        <v>Nuevo</v>
      </c>
      <c r="D254" s="72" t="str">
        <f t="shared" si="1"/>
        <v>Nuevo</v>
      </c>
    </row>
    <row r="255" ht="15.75" customHeight="1">
      <c r="A255" s="71" t="str">
        <f>Registros!A255</f>
        <v>568@hotmail.com</v>
      </c>
      <c r="B255" s="5">
        <f>Registros!B255</f>
        <v>43975.56319</v>
      </c>
      <c r="C255" s="18" t="str">
        <f>IFNA(VLOOKUP(A255,'Registros - No nuevos'!A:A,1,0),"Nuevo")</f>
        <v>Nuevo</v>
      </c>
      <c r="D255" s="72" t="str">
        <f t="shared" si="1"/>
        <v>Nuevo</v>
      </c>
    </row>
    <row r="256" ht="15.75" customHeight="1">
      <c r="A256" s="71" t="str">
        <f>Registros!A256</f>
        <v>566@gmail.com</v>
      </c>
      <c r="B256" s="5">
        <f>Registros!B256</f>
        <v>43975.41181</v>
      </c>
      <c r="C256" s="18" t="str">
        <f>IFNA(VLOOKUP(A256,'Registros - No nuevos'!A:A,1,0),"Nuevo")</f>
        <v>566@gmail.com</v>
      </c>
      <c r="D256" s="72" t="str">
        <f t="shared" si="1"/>
        <v>No Nuevo</v>
      </c>
    </row>
    <row r="257" ht="15.75" customHeight="1">
      <c r="A257" s="71" t="str">
        <f>Registros!A257</f>
        <v>388@gmail.com</v>
      </c>
      <c r="B257" s="5">
        <f>Registros!B257</f>
        <v>43975.29792</v>
      </c>
      <c r="C257" s="18" t="str">
        <f>IFNA(VLOOKUP(A257,'Registros - No nuevos'!A:A,1,0),"Nuevo")</f>
        <v>Nuevo</v>
      </c>
      <c r="D257" s="72" t="str">
        <f t="shared" si="1"/>
        <v>Nuevo</v>
      </c>
    </row>
    <row r="258" ht="15.75" customHeight="1">
      <c r="A258" s="71" t="str">
        <f>Registros!A258</f>
        <v>570@hotmail.com</v>
      </c>
      <c r="B258" s="5">
        <f>Registros!B258</f>
        <v>43974.92917</v>
      </c>
      <c r="C258" s="18" t="str">
        <f>IFNA(VLOOKUP(A258,'Registros - No nuevos'!A:A,1,0),"Nuevo")</f>
        <v>Nuevo</v>
      </c>
      <c r="D258" s="72" t="str">
        <f t="shared" si="1"/>
        <v>Nuevo</v>
      </c>
    </row>
    <row r="259" ht="15.75" customHeight="1">
      <c r="A259" s="71" t="str">
        <f>Registros!A259</f>
        <v>573@gmail.com</v>
      </c>
      <c r="B259" s="5">
        <f>Registros!B259</f>
        <v>43974.8375</v>
      </c>
      <c r="C259" s="18" t="str">
        <f>IFNA(VLOOKUP(A259,'Registros - No nuevos'!A:A,1,0),"Nuevo")</f>
        <v>Nuevo</v>
      </c>
      <c r="D259" s="72" t="str">
        <f t="shared" si="1"/>
        <v>Nuevo</v>
      </c>
    </row>
    <row r="260" ht="15.75" customHeight="1">
      <c r="A260" s="71" t="str">
        <f>Registros!A260</f>
        <v>574@tecuni.com</v>
      </c>
      <c r="B260" s="5">
        <f>Registros!B260</f>
        <v>43974.77153</v>
      </c>
      <c r="C260" s="18" t="str">
        <f>IFNA(VLOOKUP(A260,'Registros - No nuevos'!A:A,1,0),"Nuevo")</f>
        <v>Nuevo</v>
      </c>
      <c r="D260" s="72" t="str">
        <f t="shared" si="1"/>
        <v>Nuevo</v>
      </c>
    </row>
    <row r="261" ht="15.75" customHeight="1">
      <c r="A261" s="71" t="str">
        <f>Registros!A261</f>
        <v>579@gmail.com</v>
      </c>
      <c r="B261" s="5">
        <f>Registros!B261</f>
        <v>43974.46181</v>
      </c>
      <c r="C261" s="18" t="str">
        <f>IFNA(VLOOKUP(A261,'Registros - No nuevos'!A:A,1,0),"Nuevo")</f>
        <v>Nuevo</v>
      </c>
      <c r="D261" s="72" t="str">
        <f t="shared" si="1"/>
        <v>Nuevo</v>
      </c>
    </row>
    <row r="262" ht="15.75" customHeight="1">
      <c r="A262" s="71" t="str">
        <f>Registros!A262</f>
        <v>546@gmail.com</v>
      </c>
      <c r="B262" s="5">
        <f>Registros!B262</f>
        <v>43974.41181</v>
      </c>
      <c r="C262" s="18" t="str">
        <f>IFNA(VLOOKUP(A262,'Registros - No nuevos'!A:A,1,0),"Nuevo")</f>
        <v>546@gmail.com</v>
      </c>
      <c r="D262" s="72" t="str">
        <f t="shared" si="1"/>
        <v>No Nuevo</v>
      </c>
    </row>
    <row r="263" ht="15.75" customHeight="1">
      <c r="A263" s="71" t="str">
        <f>Registros!A263</f>
        <v>583@iesmontsia.org</v>
      </c>
      <c r="B263" s="5">
        <f>Registros!B263</f>
        <v>43974.13333</v>
      </c>
      <c r="C263" s="18" t="str">
        <f>IFNA(VLOOKUP(A263,'Registros - No nuevos'!A:A,1,0),"Nuevo")</f>
        <v>Nuevo</v>
      </c>
      <c r="D263" s="72" t="str">
        <f t="shared" si="1"/>
        <v>Nuevo</v>
      </c>
    </row>
    <row r="264" ht="15.75" customHeight="1">
      <c r="A264" s="71" t="str">
        <f>Registros!A264</f>
        <v>584@petronet24.net</v>
      </c>
      <c r="B264" s="5">
        <f>Registros!B264</f>
        <v>43973.975</v>
      </c>
      <c r="C264" s="18" t="str">
        <f>IFNA(VLOOKUP(A264,'Registros - No nuevos'!A:A,1,0),"Nuevo")</f>
        <v>Nuevo</v>
      </c>
      <c r="D264" s="72" t="str">
        <f t="shared" si="1"/>
        <v>Nuevo</v>
      </c>
    </row>
    <row r="265" ht="15.75" customHeight="1">
      <c r="A265" s="71" t="str">
        <f>Registros!A265</f>
        <v>585@hotmail.com</v>
      </c>
      <c r="B265" s="5">
        <f>Registros!B265</f>
        <v>43973.94028</v>
      </c>
      <c r="C265" s="18" t="str">
        <f>IFNA(VLOOKUP(A265,'Registros - No nuevos'!A:A,1,0),"Nuevo")</f>
        <v>Nuevo</v>
      </c>
      <c r="D265" s="72" t="str">
        <f t="shared" si="1"/>
        <v>Nuevo</v>
      </c>
    </row>
    <row r="266" ht="15.75" customHeight="1">
      <c r="A266" s="71" t="str">
        <f>Registros!A266</f>
        <v>692@gmail.com</v>
      </c>
      <c r="B266" s="5">
        <f>Registros!B266</f>
        <v>43973.29028</v>
      </c>
      <c r="C266" s="18" t="str">
        <f>IFNA(VLOOKUP(A266,'Registros - No nuevos'!A:A,1,0),"Nuevo")</f>
        <v>Nuevo</v>
      </c>
      <c r="D266" s="72" t="str">
        <f t="shared" si="1"/>
        <v>Nuevo</v>
      </c>
    </row>
    <row r="267" ht="15.75" customHeight="1">
      <c r="A267" s="71" t="str">
        <f>Registros!A267</f>
        <v>693@yahoo.com.mx</v>
      </c>
      <c r="B267" s="5">
        <f>Registros!B267</f>
        <v>43973.08958</v>
      </c>
      <c r="C267" s="18" t="str">
        <f>IFNA(VLOOKUP(A267,'Registros - No nuevos'!A:A,1,0),"Nuevo")</f>
        <v>Nuevo</v>
      </c>
      <c r="D267" s="72" t="str">
        <f t="shared" si="1"/>
        <v>Nuevo</v>
      </c>
    </row>
    <row r="268" ht="15.75" customHeight="1">
      <c r="A268" s="71" t="str">
        <f>Registros!A268</f>
        <v>694@gmail.com</v>
      </c>
      <c r="B268" s="5">
        <f>Registros!B268</f>
        <v>43972.96181</v>
      </c>
      <c r="C268" s="18" t="str">
        <f>IFNA(VLOOKUP(A268,'Registros - No nuevos'!A:A,1,0),"Nuevo")</f>
        <v>Nuevo</v>
      </c>
      <c r="D268" s="72" t="str">
        <f t="shared" si="1"/>
        <v>Nuevo</v>
      </c>
    </row>
    <row r="269" ht="15.75" customHeight="1">
      <c r="A269" s="71" t="str">
        <f>Registros!A269</f>
        <v>289@gmail.com</v>
      </c>
      <c r="B269" s="5">
        <f>Registros!B269</f>
        <v>43972.84306</v>
      </c>
      <c r="C269" s="18" t="str">
        <f>IFNA(VLOOKUP(A269,'Registros - No nuevos'!A:A,1,0),"Nuevo")</f>
        <v>Nuevo</v>
      </c>
      <c r="D269" s="72" t="str">
        <f t="shared" si="1"/>
        <v>Nuevo</v>
      </c>
    </row>
    <row r="270" ht="15.75" customHeight="1">
      <c r="A270" s="71" t="str">
        <f>Registros!A270</f>
        <v>697@ingedomsl.com</v>
      </c>
      <c r="B270" s="5">
        <f>Registros!B270</f>
        <v>43972.76806</v>
      </c>
      <c r="C270" s="18" t="str">
        <f>IFNA(VLOOKUP(A270,'Registros - No nuevos'!A:A,1,0),"Nuevo")</f>
        <v>697@ingedomsl.com</v>
      </c>
      <c r="D270" s="72" t="str">
        <f t="shared" si="1"/>
        <v>No Nuevo</v>
      </c>
    </row>
    <row r="271" ht="15.75" customHeight="1">
      <c r="A271" s="71" t="str">
        <f>Registros!A271</f>
        <v>698@gmail.com</v>
      </c>
      <c r="B271" s="5">
        <f>Registros!B271</f>
        <v>43972.75556</v>
      </c>
      <c r="C271" s="18" t="str">
        <f>IFNA(VLOOKUP(A271,'Registros - No nuevos'!A:A,1,0),"Nuevo")</f>
        <v>Nuevo</v>
      </c>
      <c r="D271" s="72" t="str">
        <f t="shared" si="1"/>
        <v>Nuevo</v>
      </c>
    </row>
    <row r="272" ht="15.75" customHeight="1">
      <c r="A272" s="71" t="str">
        <f>Registros!A272</f>
        <v>481@gmail.com</v>
      </c>
      <c r="B272" s="5">
        <f>Registros!B272</f>
        <v>43972.69236</v>
      </c>
      <c r="C272" s="18" t="str">
        <f>IFNA(VLOOKUP(A272,'Registros - No nuevos'!A:A,1,0),"Nuevo")</f>
        <v>481@gmail.com</v>
      </c>
      <c r="D272" s="72" t="str">
        <f t="shared" si="1"/>
        <v>No Nuevo</v>
      </c>
    </row>
    <row r="273" ht="15.75" customHeight="1">
      <c r="A273" s="71" t="str">
        <f>Registros!A273</f>
        <v>575@hotmail.com</v>
      </c>
      <c r="B273" s="5">
        <f>Registros!B273</f>
        <v>43972.54306</v>
      </c>
      <c r="C273" s="18" t="str">
        <f>IFNA(VLOOKUP(A273,'Registros - No nuevos'!A:A,1,0),"Nuevo")</f>
        <v>Nuevo</v>
      </c>
      <c r="D273" s="72" t="str">
        <f t="shared" si="1"/>
        <v>Nuevo</v>
      </c>
    </row>
    <row r="274" ht="15.75" customHeight="1">
      <c r="A274" s="71" t="str">
        <f>Registros!A274</f>
        <v>3024@pina-ingenieria.com</v>
      </c>
      <c r="B274" s="5">
        <f>Registros!B274</f>
        <v>43972.49167</v>
      </c>
      <c r="C274" s="18" t="str">
        <f>IFNA(VLOOKUP(A274,'Registros - No nuevos'!A:A,1,0),"Nuevo")</f>
        <v>3024@pina-ingenieria.com</v>
      </c>
      <c r="D274" s="72" t="str">
        <f t="shared" si="1"/>
        <v>No Nuevo</v>
      </c>
    </row>
    <row r="275" ht="15.75" customHeight="1">
      <c r="A275" s="71" t="str">
        <f>Registros!A275</f>
        <v>711@hotmail.com</v>
      </c>
      <c r="B275" s="5">
        <f>Registros!B275</f>
        <v>43972.46806</v>
      </c>
      <c r="C275" s="18" t="str">
        <f>IFNA(VLOOKUP(A275,'Registros - No nuevos'!A:A,1,0),"Nuevo")</f>
        <v>Nuevo</v>
      </c>
      <c r="D275" s="72" t="str">
        <f t="shared" si="1"/>
        <v>Nuevo</v>
      </c>
    </row>
    <row r="276" ht="15.75" customHeight="1">
      <c r="A276" s="71" t="str">
        <f>Registros!A276</f>
        <v>347@engie.com</v>
      </c>
      <c r="B276" s="5">
        <f>Registros!B276</f>
        <v>43972.4625</v>
      </c>
      <c r="C276" s="18" t="str">
        <f>IFNA(VLOOKUP(A276,'Registros - No nuevos'!A:A,1,0),"Nuevo")</f>
        <v>347@engie.com</v>
      </c>
      <c r="D276" s="72" t="str">
        <f t="shared" si="1"/>
        <v>No Nuevo</v>
      </c>
    </row>
    <row r="277" ht="15.75" customHeight="1">
      <c r="A277" s="71" t="str">
        <f>Registros!A277</f>
        <v>357@cesvimap.com</v>
      </c>
      <c r="B277" s="5">
        <f>Registros!B277</f>
        <v>43972.45764</v>
      </c>
      <c r="C277" s="18" t="str">
        <f>IFNA(VLOOKUP(A277,'Registros - No nuevos'!A:A,1,0),"Nuevo")</f>
        <v>Nuevo</v>
      </c>
      <c r="D277" s="72" t="str">
        <f t="shared" si="1"/>
        <v>Nuevo</v>
      </c>
    </row>
    <row r="278" ht="15.75" customHeight="1">
      <c r="A278" s="71" t="str">
        <f>Registros!A278</f>
        <v>720@pgiengineering.com</v>
      </c>
      <c r="B278" s="5">
        <f>Registros!B278</f>
        <v>43972.45625</v>
      </c>
      <c r="C278" s="18" t="str">
        <f>IFNA(VLOOKUP(A278,'Registros - No nuevos'!A:A,1,0),"Nuevo")</f>
        <v>Nuevo</v>
      </c>
      <c r="D278" s="72" t="str">
        <f t="shared" si="1"/>
        <v>Nuevo</v>
      </c>
    </row>
    <row r="279" ht="15.75" customHeight="1">
      <c r="A279" s="71" t="str">
        <f>Registros!A279</f>
        <v>539@cablenergia.com</v>
      </c>
      <c r="B279" s="5">
        <f>Registros!B279</f>
        <v>43972.45556</v>
      </c>
      <c r="C279" s="18" t="str">
        <f>IFNA(VLOOKUP(A279,'Registros - No nuevos'!A:A,1,0),"Nuevo")</f>
        <v>Nuevo</v>
      </c>
      <c r="D279" s="72" t="str">
        <f t="shared" si="1"/>
        <v>Nuevo</v>
      </c>
    </row>
    <row r="280" ht="15.75" customHeight="1">
      <c r="A280" s="71" t="str">
        <f>Registros!A280</f>
        <v>706@juntaex.es</v>
      </c>
      <c r="B280" s="5">
        <f>Registros!B280</f>
        <v>43972.45556</v>
      </c>
      <c r="C280" s="18" t="str">
        <f>IFNA(VLOOKUP(A280,'Registros - No nuevos'!A:A,1,0),"Nuevo")</f>
        <v>Nuevo</v>
      </c>
      <c r="D280" s="72" t="str">
        <f t="shared" si="1"/>
        <v>Nuevo</v>
      </c>
    </row>
    <row r="281" ht="15.75" customHeight="1">
      <c r="A281" s="71" t="str">
        <f>Registros!A281</f>
        <v>344@hotmail.com</v>
      </c>
      <c r="B281" s="5">
        <f>Registros!B281</f>
        <v>43972.45486</v>
      </c>
      <c r="C281" s="18" t="str">
        <f>IFNA(VLOOKUP(A281,'Registros - No nuevos'!A:A,1,0),"Nuevo")</f>
        <v>344@hotmail.com</v>
      </c>
      <c r="D281" s="72" t="str">
        <f t="shared" si="1"/>
        <v>No Nuevo</v>
      </c>
    </row>
    <row r="282" ht="15.75" customHeight="1">
      <c r="A282" s="71" t="str">
        <f>Registros!A282</f>
        <v>678@nh-hotels.com</v>
      </c>
      <c r="B282" s="5">
        <f>Registros!B282</f>
        <v>43972.45208</v>
      </c>
      <c r="C282" s="18" t="str">
        <f>IFNA(VLOOKUP(A282,'Registros - No nuevos'!A:A,1,0),"Nuevo")</f>
        <v>Nuevo</v>
      </c>
      <c r="D282" s="72" t="str">
        <f t="shared" si="1"/>
        <v>Nuevo</v>
      </c>
    </row>
    <row r="283" ht="15.75" customHeight="1">
      <c r="A283" s="71" t="str">
        <f>Registros!A283</f>
        <v>535@bgp.es</v>
      </c>
      <c r="B283" s="5">
        <f>Registros!B283</f>
        <v>43972.44028</v>
      </c>
      <c r="C283" s="18" t="str">
        <f>IFNA(VLOOKUP(A283,'Registros - No nuevos'!A:A,1,0),"Nuevo")</f>
        <v>535@bgp.es</v>
      </c>
      <c r="D283" s="72" t="str">
        <f t="shared" si="1"/>
        <v>No Nuevo</v>
      </c>
    </row>
    <row r="284" ht="15.75" customHeight="1">
      <c r="A284" s="71" t="str">
        <f>Registros!A284</f>
        <v>352@live.com.mx</v>
      </c>
      <c r="B284" s="5">
        <f>Registros!B284</f>
        <v>43972.43403</v>
      </c>
      <c r="C284" s="18" t="str">
        <f>IFNA(VLOOKUP(A284,'Registros - No nuevos'!A:A,1,0),"Nuevo")</f>
        <v>352@live.com.mx</v>
      </c>
      <c r="D284" s="72" t="str">
        <f t="shared" si="1"/>
        <v>No Nuevo</v>
      </c>
    </row>
    <row r="285" ht="15.75" customHeight="1">
      <c r="A285" s="71" t="str">
        <f>Registros!A285</f>
        <v>3025@ingenierosvigo.com</v>
      </c>
      <c r="B285" s="5">
        <f>Registros!B285</f>
        <v>43972.42917</v>
      </c>
      <c r="C285" s="18" t="str">
        <f>IFNA(VLOOKUP(A285,'Registros - No nuevos'!A:A,1,0),"Nuevo")</f>
        <v>Nuevo</v>
      </c>
      <c r="D285" s="72" t="str">
        <f t="shared" si="1"/>
        <v>Nuevo</v>
      </c>
    </row>
    <row r="286" ht="15.75" customHeight="1">
      <c r="A286" s="71" t="str">
        <f>Registros!A286</f>
        <v>661@horus.es</v>
      </c>
      <c r="B286" s="5">
        <f>Registros!B286</f>
        <v>43972.42778</v>
      </c>
      <c r="C286" s="18" t="str">
        <f>IFNA(VLOOKUP(A286,'Registros - No nuevos'!A:A,1,0),"Nuevo")</f>
        <v>661@horus.es</v>
      </c>
      <c r="D286" s="72" t="str">
        <f t="shared" si="1"/>
        <v>No Nuevo</v>
      </c>
    </row>
    <row r="287" ht="15.75" customHeight="1">
      <c r="A287" s="71" t="str">
        <f>Registros!A287</f>
        <v>732@vcejudo.es</v>
      </c>
      <c r="B287" s="5">
        <f>Registros!B287</f>
        <v>43972.42569</v>
      </c>
      <c r="C287" s="18" t="str">
        <f>IFNA(VLOOKUP(A287,'Registros - No nuevos'!A:A,1,0),"Nuevo")</f>
        <v>732@vcejudo.es</v>
      </c>
      <c r="D287" s="72" t="str">
        <f t="shared" si="1"/>
        <v>No Nuevo</v>
      </c>
    </row>
    <row r="288" ht="15.75" customHeight="1">
      <c r="A288" s="71" t="str">
        <f>Registros!A288</f>
        <v>3026@gmail.com</v>
      </c>
      <c r="B288" s="5">
        <f>Registros!B288</f>
        <v>43972.42361</v>
      </c>
      <c r="C288" s="18" t="str">
        <f>IFNA(VLOOKUP(A288,'Registros - No nuevos'!A:A,1,0),"Nuevo")</f>
        <v>3026@gmail.com</v>
      </c>
      <c r="D288" s="72" t="str">
        <f t="shared" si="1"/>
        <v>No Nuevo</v>
      </c>
    </row>
    <row r="289" ht="15.75" customHeight="1">
      <c r="A289" s="71" t="str">
        <f>Registros!A289</f>
        <v>548@hotmail.com</v>
      </c>
      <c r="B289" s="5">
        <f>Registros!B289</f>
        <v>43972.41944</v>
      </c>
      <c r="C289" s="18" t="str">
        <f>IFNA(VLOOKUP(A289,'Registros - No nuevos'!A:A,1,0),"Nuevo")</f>
        <v>548@hotmail.com</v>
      </c>
      <c r="D289" s="72" t="str">
        <f t="shared" si="1"/>
        <v>No Nuevo</v>
      </c>
    </row>
    <row r="290" ht="15.75" customHeight="1">
      <c r="A290" s="71" t="str">
        <f>Registros!A290</f>
        <v>736@yahoo.com</v>
      </c>
      <c r="B290" s="5">
        <f>Registros!B290</f>
        <v>43972.41458</v>
      </c>
      <c r="C290" s="18" t="str">
        <f>IFNA(VLOOKUP(A290,'Registros - No nuevos'!A:A,1,0),"Nuevo")</f>
        <v>Nuevo</v>
      </c>
      <c r="D290" s="72" t="str">
        <f t="shared" si="1"/>
        <v>Nuevo</v>
      </c>
    </row>
    <row r="291" ht="15.75" customHeight="1">
      <c r="A291" s="71" t="str">
        <f>Registros!A291</f>
        <v>737@lagingenieros.es</v>
      </c>
      <c r="B291" s="5">
        <f>Registros!B291</f>
        <v>43972.41319</v>
      </c>
      <c r="C291" s="18" t="str">
        <f>IFNA(VLOOKUP(A291,'Registros - No nuevos'!A:A,1,0),"Nuevo")</f>
        <v>737@lagingenieros.es</v>
      </c>
      <c r="D291" s="72" t="str">
        <f t="shared" si="1"/>
        <v>No Nuevo</v>
      </c>
    </row>
    <row r="292" ht="15.75" customHeight="1">
      <c r="A292" s="71" t="str">
        <f>Registros!A292</f>
        <v>618@ibil.es</v>
      </c>
      <c r="B292" s="5">
        <f>Registros!B292</f>
        <v>43972.40278</v>
      </c>
      <c r="C292" s="18" t="str">
        <f>IFNA(VLOOKUP(A292,'Registros - No nuevos'!A:A,1,0),"Nuevo")</f>
        <v>Nuevo</v>
      </c>
      <c r="D292" s="72" t="str">
        <f t="shared" si="1"/>
        <v>Nuevo</v>
      </c>
    </row>
    <row r="293" ht="15.75" customHeight="1">
      <c r="A293" s="71" t="str">
        <f>Registros!A293</f>
        <v>3027@liabeny.com</v>
      </c>
      <c r="B293" s="5">
        <f>Registros!B293</f>
        <v>43972.38542</v>
      </c>
      <c r="C293" s="18" t="str">
        <f>IFNA(VLOOKUP(A293,'Registros - No nuevos'!A:A,1,0),"Nuevo")</f>
        <v>3027@liabeny.com</v>
      </c>
      <c r="D293" s="72" t="str">
        <f t="shared" si="1"/>
        <v>No Nuevo</v>
      </c>
    </row>
    <row r="294" ht="15.75" customHeight="1">
      <c r="A294" s="71" t="str">
        <f>Registros!A294</f>
        <v>608@sgingenieros.es</v>
      </c>
      <c r="B294" s="5">
        <f>Registros!B294</f>
        <v>43972.38472</v>
      </c>
      <c r="C294" s="18" t="str">
        <f>IFNA(VLOOKUP(A294,'Registros - No nuevos'!A:A,1,0),"Nuevo")</f>
        <v>608@sgingenieros.es</v>
      </c>
      <c r="D294" s="72" t="str">
        <f t="shared" si="1"/>
        <v>No Nuevo</v>
      </c>
    </row>
    <row r="295" ht="15.75" customHeight="1">
      <c r="A295" s="71" t="str">
        <f>Registros!A295</f>
        <v>742@acoeman.com</v>
      </c>
      <c r="B295" s="5">
        <f>Registros!B295</f>
        <v>43972.38472</v>
      </c>
      <c r="C295" s="18" t="str">
        <f>IFNA(VLOOKUP(A295,'Registros - No nuevos'!A:A,1,0),"Nuevo")</f>
        <v>742@acoeman.com</v>
      </c>
      <c r="D295" s="72" t="str">
        <f t="shared" si="1"/>
        <v>No Nuevo</v>
      </c>
    </row>
    <row r="296" ht="15.75" customHeight="1">
      <c r="A296" s="71" t="str">
        <f>Registros!A296</f>
        <v>716@gmail.com</v>
      </c>
      <c r="B296" s="5">
        <f>Registros!B296</f>
        <v>43972.38264</v>
      </c>
      <c r="C296" s="18" t="str">
        <f>IFNA(VLOOKUP(A296,'Registros - No nuevos'!A:A,1,0),"Nuevo")</f>
        <v>716@gmail.com</v>
      </c>
      <c r="D296" s="72" t="str">
        <f t="shared" si="1"/>
        <v>No Nuevo</v>
      </c>
    </row>
    <row r="297" ht="15.75" customHeight="1">
      <c r="A297" s="71" t="str">
        <f>Registros!A297</f>
        <v>3028@gmail.com</v>
      </c>
      <c r="B297" s="5">
        <f>Registros!B297</f>
        <v>43972.37917</v>
      </c>
      <c r="C297" s="18" t="str">
        <f>IFNA(VLOOKUP(A297,'Registros - No nuevos'!A:A,1,0),"Nuevo")</f>
        <v>3028@gmail.com</v>
      </c>
      <c r="D297" s="72" t="str">
        <f t="shared" si="1"/>
        <v>No Nuevo</v>
      </c>
    </row>
    <row r="298" ht="15.75" customHeight="1">
      <c r="A298" s="71" t="str">
        <f>Registros!A298</f>
        <v>553@aenor.com</v>
      </c>
      <c r="B298" s="5">
        <f>Registros!B298</f>
        <v>43972.37014</v>
      </c>
      <c r="C298" s="18" t="str">
        <f>IFNA(VLOOKUP(A298,'Registros - No nuevos'!A:A,1,0),"Nuevo")</f>
        <v>Nuevo</v>
      </c>
      <c r="D298" s="72" t="str">
        <f t="shared" si="1"/>
        <v>Nuevo</v>
      </c>
    </row>
    <row r="299" ht="15.75" customHeight="1">
      <c r="A299" s="71" t="str">
        <f>Registros!A299</f>
        <v>3029@electricidad-galindo.com</v>
      </c>
      <c r="B299" s="5">
        <f>Registros!B299</f>
        <v>43972.36528</v>
      </c>
      <c r="C299" s="18" t="str">
        <f>IFNA(VLOOKUP(A299,'Registros - No nuevos'!A:A,1,0),"Nuevo")</f>
        <v>3029@electricidad-galindo.com</v>
      </c>
      <c r="D299" s="72" t="str">
        <f t="shared" si="1"/>
        <v>No Nuevo</v>
      </c>
    </row>
    <row r="300" ht="15.75" customHeight="1">
      <c r="A300" s="71" t="str">
        <f>Registros!A300</f>
        <v>744@gmail.com</v>
      </c>
      <c r="B300" s="5">
        <f>Registros!B300</f>
        <v>43972.36181</v>
      </c>
      <c r="C300" s="18" t="str">
        <f>IFNA(VLOOKUP(A300,'Registros - No nuevos'!A:A,1,0),"Nuevo")</f>
        <v>Nuevo</v>
      </c>
      <c r="D300" s="72" t="str">
        <f t="shared" si="1"/>
        <v>Nuevo</v>
      </c>
    </row>
    <row r="301" ht="15.75" customHeight="1">
      <c r="A301" s="71" t="str">
        <f>Registros!A301</f>
        <v>743@bahiguell.com</v>
      </c>
      <c r="B301" s="5">
        <f>Registros!B301</f>
        <v>43972.35972</v>
      </c>
      <c r="C301" s="18" t="str">
        <f>IFNA(VLOOKUP(A301,'Registros - No nuevos'!A:A,1,0),"Nuevo")</f>
        <v>Nuevo</v>
      </c>
      <c r="D301" s="72" t="str">
        <f t="shared" si="1"/>
        <v>Nuevo</v>
      </c>
    </row>
    <row r="302" ht="15.75" customHeight="1">
      <c r="A302" s="71" t="str">
        <f>Registros!A302</f>
        <v>335@faepac.org</v>
      </c>
      <c r="B302" s="5">
        <f>Registros!B302</f>
        <v>43971.98819</v>
      </c>
      <c r="C302" s="18" t="str">
        <f>IFNA(VLOOKUP(A302,'Registros - No nuevos'!A:A,1,0),"Nuevo")</f>
        <v>Nuevo</v>
      </c>
      <c r="D302" s="72" t="str">
        <f t="shared" si="1"/>
        <v>Nuevo</v>
      </c>
    </row>
    <row r="303" ht="15.75" customHeight="1">
      <c r="A303" s="71" t="str">
        <f>Registros!A303</f>
        <v>747@tecnicas.es</v>
      </c>
      <c r="B303" s="5">
        <f>Registros!B303</f>
        <v>43971.97569</v>
      </c>
      <c r="C303" s="18" t="str">
        <f>IFNA(VLOOKUP(A303,'Registros - No nuevos'!A:A,1,0),"Nuevo")</f>
        <v>747@tecnicas.es</v>
      </c>
      <c r="D303" s="72" t="str">
        <f t="shared" si="1"/>
        <v>No Nuevo</v>
      </c>
    </row>
    <row r="304" ht="15.75" customHeight="1">
      <c r="A304" s="71" t="str">
        <f>Registros!A304</f>
        <v>748@gmail.com</v>
      </c>
      <c r="B304" s="5">
        <f>Registros!B304</f>
        <v>43971.97153</v>
      </c>
      <c r="C304" s="18" t="str">
        <f>IFNA(VLOOKUP(A304,'Registros - No nuevos'!A:A,1,0),"Nuevo")</f>
        <v>Nuevo</v>
      </c>
      <c r="D304" s="72" t="str">
        <f t="shared" si="1"/>
        <v>Nuevo</v>
      </c>
    </row>
    <row r="305" ht="15.75" customHeight="1">
      <c r="A305" s="71" t="str">
        <f>Registros!A305</f>
        <v>493@gmail.com</v>
      </c>
      <c r="B305" s="5">
        <f>Registros!B305</f>
        <v>43971.96181</v>
      </c>
      <c r="C305" s="18" t="str">
        <f>IFNA(VLOOKUP(A305,'Registros - No nuevos'!A:A,1,0),"Nuevo")</f>
        <v>493@gmail.com</v>
      </c>
      <c r="D305" s="72" t="str">
        <f t="shared" si="1"/>
        <v>No Nuevo</v>
      </c>
    </row>
    <row r="306" ht="15.75" customHeight="1">
      <c r="A306" s="71" t="str">
        <f>Registros!A306</f>
        <v>605@hotmail.com</v>
      </c>
      <c r="B306" s="5">
        <f>Registros!B306</f>
        <v>43971.91875</v>
      </c>
      <c r="C306" s="18" t="str">
        <f>IFNA(VLOOKUP(A306,'Registros - No nuevos'!A:A,1,0),"Nuevo")</f>
        <v>Nuevo</v>
      </c>
      <c r="D306" s="72" t="str">
        <f t="shared" si="1"/>
        <v>Nuevo</v>
      </c>
    </row>
    <row r="307" ht="15.75" customHeight="1">
      <c r="A307" s="71" t="str">
        <f>Registros!A307</f>
        <v>592@garciacomas.com</v>
      </c>
      <c r="B307" s="5">
        <f>Registros!B307</f>
        <v>43971.82361</v>
      </c>
      <c r="C307" s="18" t="str">
        <f>IFNA(VLOOKUP(A307,'Registros - No nuevos'!A:A,1,0),"Nuevo")</f>
        <v>592@garciacomas.com</v>
      </c>
      <c r="D307" s="72" t="str">
        <f t="shared" si="1"/>
        <v>No Nuevo</v>
      </c>
    </row>
    <row r="308" ht="15.75" customHeight="1">
      <c r="A308" s="71" t="str">
        <f>Registros!A308</f>
        <v>712@gjautomotive.com</v>
      </c>
      <c r="B308" s="5">
        <f>Registros!B308</f>
        <v>43971.81806</v>
      </c>
      <c r="C308" s="18" t="str">
        <f>IFNA(VLOOKUP(A308,'Registros - No nuevos'!A:A,1,0),"Nuevo")</f>
        <v>Nuevo</v>
      </c>
      <c r="D308" s="72" t="str">
        <f t="shared" si="1"/>
        <v>Nuevo</v>
      </c>
    </row>
    <row r="309" ht="15.75" customHeight="1">
      <c r="A309" s="71" t="str">
        <f>Registros!A309</f>
        <v>671@csisuministros.com</v>
      </c>
      <c r="B309" s="5">
        <f>Registros!B309</f>
        <v>43971.75972</v>
      </c>
      <c r="C309" s="18" t="str">
        <f>IFNA(VLOOKUP(A309,'Registros - No nuevos'!A:A,1,0),"Nuevo")</f>
        <v>Nuevo</v>
      </c>
      <c r="D309" s="72" t="str">
        <f t="shared" si="1"/>
        <v>Nuevo</v>
      </c>
    </row>
    <row r="310" ht="15.75" customHeight="1">
      <c r="A310" s="71" t="str">
        <f>Registros!A310</f>
        <v>755@coitt.es</v>
      </c>
      <c r="B310" s="5">
        <f>Registros!B310</f>
        <v>43971.73958</v>
      </c>
      <c r="C310" s="18" t="str">
        <f>IFNA(VLOOKUP(A310,'Registros - No nuevos'!A:A,1,0),"Nuevo")</f>
        <v>755@coitt.es</v>
      </c>
      <c r="D310" s="72" t="str">
        <f t="shared" si="1"/>
        <v>No Nuevo</v>
      </c>
    </row>
    <row r="311" ht="15.75" customHeight="1">
      <c r="A311" s="71" t="str">
        <f>Registros!A311</f>
        <v>756@gsima.es</v>
      </c>
      <c r="B311" s="5">
        <f>Registros!B311</f>
        <v>43971.73403</v>
      </c>
      <c r="C311" s="18" t="str">
        <f>IFNA(VLOOKUP(A311,'Registros - No nuevos'!A:A,1,0),"Nuevo")</f>
        <v>Nuevo</v>
      </c>
      <c r="D311" s="72" t="str">
        <f t="shared" si="1"/>
        <v>Nuevo</v>
      </c>
    </row>
    <row r="312" ht="15.75" customHeight="1">
      <c r="A312" s="71" t="str">
        <f>Registros!A312</f>
        <v>759@hotmail.com</v>
      </c>
      <c r="B312" s="5">
        <f>Registros!B312</f>
        <v>43971.7</v>
      </c>
      <c r="C312" s="18" t="str">
        <f>IFNA(VLOOKUP(A312,'Registros - No nuevos'!A:A,1,0),"Nuevo")</f>
        <v>Nuevo</v>
      </c>
      <c r="D312" s="72" t="str">
        <f t="shared" si="1"/>
        <v>Nuevo</v>
      </c>
    </row>
    <row r="313" ht="15.75" customHeight="1">
      <c r="A313" s="71" t="str">
        <f>Registros!A313</f>
        <v>79@sonepar.es</v>
      </c>
      <c r="B313" s="5">
        <f>Registros!B313</f>
        <v>43971.69653</v>
      </c>
      <c r="C313" s="18" t="str">
        <f>IFNA(VLOOKUP(A313,'Registros - No nuevos'!A:A,1,0),"Nuevo")</f>
        <v>79@sonepar.es</v>
      </c>
      <c r="D313" s="72" t="str">
        <f t="shared" si="1"/>
        <v>No Nuevo</v>
      </c>
    </row>
    <row r="314" ht="15.75" customHeight="1">
      <c r="A314" s="71" t="str">
        <f>Registros!A314</f>
        <v>596@gmail.com</v>
      </c>
      <c r="B314" s="5">
        <f>Registros!B314</f>
        <v>43971.69653</v>
      </c>
      <c r="C314" s="18" t="str">
        <f>IFNA(VLOOKUP(A314,'Registros - No nuevos'!A:A,1,0),"Nuevo")</f>
        <v>Nuevo</v>
      </c>
      <c r="D314" s="72" t="str">
        <f t="shared" si="1"/>
        <v>Nuevo</v>
      </c>
    </row>
    <row r="315" ht="15.75" customHeight="1">
      <c r="A315" s="71" t="str">
        <f>Registros!A315</f>
        <v>684@gmail.com</v>
      </c>
      <c r="B315" s="5">
        <f>Registros!B315</f>
        <v>43971.69375</v>
      </c>
      <c r="C315" s="18" t="str">
        <f>IFNA(VLOOKUP(A315,'Registros - No nuevos'!A:A,1,0),"Nuevo")</f>
        <v>Nuevo</v>
      </c>
      <c r="D315" s="72" t="str">
        <f t="shared" si="1"/>
        <v>Nuevo</v>
      </c>
    </row>
    <row r="316" ht="15.75" customHeight="1">
      <c r="A316" s="71" t="str">
        <f>Registros!A316</f>
        <v>760@hotmail.com</v>
      </c>
      <c r="B316" s="5">
        <f>Registros!B316</f>
        <v>43971.68194</v>
      </c>
      <c r="C316" s="18" t="str">
        <f>IFNA(VLOOKUP(A316,'Registros - No nuevos'!A:A,1,0),"Nuevo")</f>
        <v>Nuevo</v>
      </c>
      <c r="D316" s="72" t="str">
        <f t="shared" si="1"/>
        <v>Nuevo</v>
      </c>
    </row>
    <row r="317" ht="15.75" customHeight="1">
      <c r="A317" s="71" t="str">
        <f>Registros!A317</f>
        <v>3030@a6ingenieria.es</v>
      </c>
      <c r="B317" s="5">
        <f>Registros!B317</f>
        <v>43971.65278</v>
      </c>
      <c r="C317" s="18" t="str">
        <f>IFNA(VLOOKUP(A317,'Registros - No nuevos'!A:A,1,0),"Nuevo")</f>
        <v>3030@a6ingenieria.es</v>
      </c>
      <c r="D317" s="72" t="str">
        <f t="shared" si="1"/>
        <v>No Nuevo</v>
      </c>
    </row>
    <row r="318" ht="15.75" customHeight="1">
      <c r="A318" s="71" t="str">
        <f>Registros!A318</f>
        <v>533@emconsulting.es</v>
      </c>
      <c r="B318" s="5">
        <f>Registros!B318</f>
        <v>43971.64097</v>
      </c>
      <c r="C318" s="18" t="str">
        <f>IFNA(VLOOKUP(A318,'Registros - No nuevos'!A:A,1,0),"Nuevo")</f>
        <v>Nuevo</v>
      </c>
      <c r="D318" s="72" t="str">
        <f t="shared" si="1"/>
        <v>Nuevo</v>
      </c>
    </row>
    <row r="319" ht="15.75" customHeight="1">
      <c r="A319" s="71" t="str">
        <f>Registros!A319</f>
        <v>557@dip-badajoz.es</v>
      </c>
      <c r="B319" s="5">
        <f>Registros!B319</f>
        <v>43971.62708</v>
      </c>
      <c r="C319" s="18" t="str">
        <f>IFNA(VLOOKUP(A319,'Registros - No nuevos'!A:A,1,0),"Nuevo")</f>
        <v>557@dip-badajoz.es</v>
      </c>
      <c r="D319" s="72" t="str">
        <f t="shared" si="1"/>
        <v>No Nuevo</v>
      </c>
    </row>
    <row r="320" ht="15.75" customHeight="1">
      <c r="A320" s="71" t="str">
        <f>Registros!A320</f>
        <v>761@insfuert.es</v>
      </c>
      <c r="B320" s="5">
        <f>Registros!B320</f>
        <v>43971.61389</v>
      </c>
      <c r="C320" s="18" t="str">
        <f>IFNA(VLOOKUP(A320,'Registros - No nuevos'!A:A,1,0),"Nuevo")</f>
        <v>Nuevo</v>
      </c>
      <c r="D320" s="72" t="str">
        <f t="shared" si="1"/>
        <v>Nuevo</v>
      </c>
    </row>
    <row r="321" ht="15.75" customHeight="1">
      <c r="A321" s="71" t="str">
        <f>Registros!A321</f>
        <v>762@hotmail.com</v>
      </c>
      <c r="B321" s="5">
        <f>Registros!B321</f>
        <v>43971.6</v>
      </c>
      <c r="C321" s="18" t="str">
        <f>IFNA(VLOOKUP(A321,'Registros - No nuevos'!A:A,1,0),"Nuevo")</f>
        <v>Nuevo</v>
      </c>
      <c r="D321" s="72" t="str">
        <f t="shared" si="1"/>
        <v>Nuevo</v>
      </c>
    </row>
    <row r="322" ht="15.75" customHeight="1">
      <c r="A322" s="71" t="str">
        <f>Registros!A322</f>
        <v>763@gmail.com</v>
      </c>
      <c r="B322" s="5">
        <f>Registros!B322</f>
        <v>43971.56597</v>
      </c>
      <c r="C322" s="18" t="str">
        <f>IFNA(VLOOKUP(A322,'Registros - No nuevos'!A:A,1,0),"Nuevo")</f>
        <v>763@gmail.com</v>
      </c>
      <c r="D322" s="72" t="str">
        <f t="shared" si="1"/>
        <v>No Nuevo</v>
      </c>
    </row>
    <row r="323" ht="15.75" customHeight="1">
      <c r="A323" s="71" t="str">
        <f>Registros!A323</f>
        <v>3031@grupojab.es</v>
      </c>
      <c r="B323" s="5">
        <f>Registros!B323</f>
        <v>43971.52639</v>
      </c>
      <c r="C323" s="18" t="str">
        <f>IFNA(VLOOKUP(A323,'Registros - No nuevos'!A:A,1,0),"Nuevo")</f>
        <v>3031@grupojab.es</v>
      </c>
      <c r="D323" s="72" t="str">
        <f t="shared" si="1"/>
        <v>No Nuevo</v>
      </c>
    </row>
    <row r="324" ht="15.75" customHeight="1">
      <c r="A324" s="71" t="str">
        <f>Registros!A324</f>
        <v>267@fiberlec.com</v>
      </c>
      <c r="B324" s="5">
        <f>Registros!B324</f>
        <v>43971.52083</v>
      </c>
      <c r="C324" s="18" t="str">
        <f>IFNA(VLOOKUP(A324,'Registros - No nuevos'!A:A,1,0),"Nuevo")</f>
        <v>267@fiberlec.com</v>
      </c>
      <c r="D324" s="72" t="str">
        <f t="shared" si="1"/>
        <v>No Nuevo</v>
      </c>
    </row>
    <row r="325" ht="15.75" customHeight="1">
      <c r="A325" s="71" t="str">
        <f>Registros!A325</f>
        <v>538@herquesa.com</v>
      </c>
      <c r="B325" s="5">
        <f>Registros!B325</f>
        <v>43971.50208</v>
      </c>
      <c r="C325" s="18" t="str">
        <f>IFNA(VLOOKUP(A325,'Registros - No nuevos'!A:A,1,0),"Nuevo")</f>
        <v>538@herquesa.com</v>
      </c>
      <c r="D325" s="72" t="str">
        <f t="shared" si="1"/>
        <v>No Nuevo</v>
      </c>
    </row>
    <row r="326" ht="15.75" customHeight="1">
      <c r="A326" s="71" t="str">
        <f>Registros!A326</f>
        <v>560@gmail.com</v>
      </c>
      <c r="B326" s="5">
        <f>Registros!B326</f>
        <v>43971.49236</v>
      </c>
      <c r="C326" s="18" t="str">
        <f>IFNA(VLOOKUP(A326,'Registros - No nuevos'!A:A,1,0),"Nuevo")</f>
        <v>Nuevo</v>
      </c>
      <c r="D326" s="72" t="str">
        <f t="shared" si="1"/>
        <v>Nuevo</v>
      </c>
    </row>
    <row r="327" ht="15.75" customHeight="1">
      <c r="A327" s="71" t="str">
        <f>Registros!A327</f>
        <v>705@gmail.com</v>
      </c>
      <c r="B327" s="5">
        <f>Registros!B327</f>
        <v>43971.48958</v>
      </c>
      <c r="C327" s="18" t="str">
        <f>IFNA(VLOOKUP(A327,'Registros - No nuevos'!A:A,1,0),"Nuevo")</f>
        <v>705@gmail.com</v>
      </c>
      <c r="D327" s="72" t="str">
        <f t="shared" si="1"/>
        <v>No Nuevo</v>
      </c>
    </row>
    <row r="328" ht="15.75" customHeight="1">
      <c r="A328" s="71" t="str">
        <f>Registros!A328</f>
        <v>634@easycharger.es</v>
      </c>
      <c r="B328" s="5">
        <f>Registros!B328</f>
        <v>43971.47917</v>
      </c>
      <c r="C328" s="18" t="str">
        <f>IFNA(VLOOKUP(A328,'Registros - No nuevos'!A:A,1,0),"Nuevo")</f>
        <v>Nuevo</v>
      </c>
      <c r="D328" s="72" t="str">
        <f t="shared" si="1"/>
        <v>Nuevo</v>
      </c>
    </row>
    <row r="329" ht="15.75" customHeight="1">
      <c r="A329" s="71" t="str">
        <f>Registros!A329</f>
        <v>3032@gmail.com</v>
      </c>
      <c r="B329" s="5">
        <f>Registros!B329</f>
        <v>43971.47222</v>
      </c>
      <c r="C329" s="18" t="str">
        <f>IFNA(VLOOKUP(A329,'Registros - No nuevos'!A:A,1,0),"Nuevo")</f>
        <v>3032@gmail.com</v>
      </c>
      <c r="D329" s="72" t="str">
        <f t="shared" si="1"/>
        <v>No Nuevo</v>
      </c>
    </row>
    <row r="330" ht="15.75" customHeight="1">
      <c r="A330" s="71" t="str">
        <f>Registros!A330</f>
        <v>4@gmail.com</v>
      </c>
      <c r="B330" s="5">
        <f>Registros!B330</f>
        <v>43971.45833</v>
      </c>
      <c r="C330" s="18" t="str">
        <f>IFNA(VLOOKUP(A330,'Registros - No nuevos'!A:A,1,0),"Nuevo")</f>
        <v>Nuevo</v>
      </c>
      <c r="D330" s="72" t="str">
        <f t="shared" si="1"/>
        <v>Nuevo</v>
      </c>
    </row>
    <row r="331" ht="15.75" customHeight="1">
      <c r="A331" s="71" t="str">
        <f>Registros!A331</f>
        <v>770@inmotiza.com</v>
      </c>
      <c r="B331" s="5">
        <f>Registros!B331</f>
        <v>43971.45486</v>
      </c>
      <c r="C331" s="18" t="str">
        <f>IFNA(VLOOKUP(A331,'Registros - No nuevos'!A:A,1,0),"Nuevo")</f>
        <v>770@inmotiza.com</v>
      </c>
      <c r="D331" s="72" t="str">
        <f t="shared" si="1"/>
        <v>No Nuevo</v>
      </c>
    </row>
    <row r="332" ht="15.75" customHeight="1">
      <c r="A332" s="71" t="str">
        <f>Registros!A332</f>
        <v>729@gmail.com</v>
      </c>
      <c r="B332" s="5">
        <f>Registros!B332</f>
        <v>43971.45486</v>
      </c>
      <c r="C332" s="18" t="str">
        <f>IFNA(VLOOKUP(A332,'Registros - No nuevos'!A:A,1,0),"Nuevo")</f>
        <v>Nuevo</v>
      </c>
      <c r="D332" s="72" t="str">
        <f t="shared" si="1"/>
        <v>Nuevo</v>
      </c>
    </row>
    <row r="333" ht="15.75" customHeight="1">
      <c r="A333" s="71" t="str">
        <f>Registros!A333</f>
        <v>541@gmail.com</v>
      </c>
      <c r="B333" s="5">
        <f>Registros!B333</f>
        <v>43971.44306</v>
      </c>
      <c r="C333" s="18" t="str">
        <f>IFNA(VLOOKUP(A333,'Registros - No nuevos'!A:A,1,0),"Nuevo")</f>
        <v>Nuevo</v>
      </c>
      <c r="D333" s="72" t="str">
        <f t="shared" si="1"/>
        <v>Nuevo</v>
      </c>
    </row>
    <row r="334" ht="15.75" customHeight="1">
      <c r="A334" s="71" t="str">
        <f>Registros!A334</f>
        <v>773@perequart.com</v>
      </c>
      <c r="B334" s="5">
        <f>Registros!B334</f>
        <v>43971.44306</v>
      </c>
      <c r="C334" s="18" t="str">
        <f>IFNA(VLOOKUP(A334,'Registros - No nuevos'!A:A,1,0),"Nuevo")</f>
        <v>Nuevo</v>
      </c>
      <c r="D334" s="72" t="str">
        <f t="shared" si="1"/>
        <v>Nuevo</v>
      </c>
    </row>
    <row r="335" ht="15.75" customHeight="1">
      <c r="A335" s="71" t="str">
        <f>Registros!A335</f>
        <v>771@solutions30.com</v>
      </c>
      <c r="B335" s="5">
        <f>Registros!B335</f>
        <v>43971.44167</v>
      </c>
      <c r="C335" s="18" t="str">
        <f>IFNA(VLOOKUP(A335,'Registros - No nuevos'!A:A,1,0),"Nuevo")</f>
        <v>Nuevo</v>
      </c>
      <c r="D335" s="72" t="str">
        <f t="shared" si="1"/>
        <v>Nuevo</v>
      </c>
    </row>
    <row r="336" ht="15.75" customHeight="1">
      <c r="A336" s="71" t="str">
        <f>Registros!A336</f>
        <v>772@faen.es</v>
      </c>
      <c r="B336" s="5">
        <f>Registros!B336</f>
        <v>43971.44167</v>
      </c>
      <c r="C336" s="18" t="str">
        <f>IFNA(VLOOKUP(A336,'Registros - No nuevos'!A:A,1,0),"Nuevo")</f>
        <v>Nuevo</v>
      </c>
      <c r="D336" s="72" t="str">
        <f t="shared" si="1"/>
        <v>Nuevo</v>
      </c>
    </row>
    <row r="337" ht="15.75" customHeight="1">
      <c r="A337" s="71" t="str">
        <f>Registros!A337</f>
        <v>24@gmail.com</v>
      </c>
      <c r="B337" s="5">
        <f>Registros!B337</f>
        <v>43971.43958</v>
      </c>
      <c r="C337" s="18" t="str">
        <f>IFNA(VLOOKUP(A337,'Registros - No nuevos'!A:A,1,0),"Nuevo")</f>
        <v>24@gmail.com</v>
      </c>
      <c r="D337" s="72" t="str">
        <f t="shared" si="1"/>
        <v>No Nuevo</v>
      </c>
    </row>
    <row r="338" ht="15.75" customHeight="1">
      <c r="A338" s="71" t="str">
        <f>Registros!A338</f>
        <v>601@gmail.com</v>
      </c>
      <c r="B338" s="5">
        <f>Registros!B338</f>
        <v>43971.43889</v>
      </c>
      <c r="C338" s="18" t="str">
        <f>IFNA(VLOOKUP(A338,'Registros - No nuevos'!A:A,1,0),"Nuevo")</f>
        <v>601@gmail.com</v>
      </c>
      <c r="D338" s="72" t="str">
        <f t="shared" si="1"/>
        <v>No Nuevo</v>
      </c>
    </row>
    <row r="339" ht="15.75" customHeight="1">
      <c r="A339" s="71" t="str">
        <f>Registros!A339</f>
        <v>775@yahoo.es</v>
      </c>
      <c r="B339" s="5">
        <f>Registros!B339</f>
        <v>43971.43889</v>
      </c>
      <c r="C339" s="18" t="str">
        <f>IFNA(VLOOKUP(A339,'Registros - No nuevos'!A:A,1,0),"Nuevo")</f>
        <v>Nuevo</v>
      </c>
      <c r="D339" s="72" t="str">
        <f t="shared" si="1"/>
        <v>Nuevo</v>
      </c>
    </row>
    <row r="340" ht="15.75" customHeight="1">
      <c r="A340" s="71" t="str">
        <f>Registros!A340</f>
        <v>367@yahoo.es</v>
      </c>
      <c r="B340" s="5">
        <f>Registros!B340</f>
        <v>43971.43403</v>
      </c>
      <c r="C340" s="18" t="str">
        <f>IFNA(VLOOKUP(A340,'Registros - No nuevos'!A:A,1,0),"Nuevo")</f>
        <v>Nuevo</v>
      </c>
      <c r="D340" s="72" t="str">
        <f t="shared" si="1"/>
        <v>Nuevo</v>
      </c>
    </row>
    <row r="341" ht="15.75" customHeight="1">
      <c r="A341" s="71" t="str">
        <f>Registros!A341</f>
        <v>733@gmail.com</v>
      </c>
      <c r="B341" s="5">
        <f>Registros!B341</f>
        <v>43971.42153</v>
      </c>
      <c r="C341" s="18" t="str">
        <f>IFNA(VLOOKUP(A341,'Registros - No nuevos'!A:A,1,0),"Nuevo")</f>
        <v>733@gmail.com</v>
      </c>
      <c r="D341" s="72" t="str">
        <f t="shared" si="1"/>
        <v>No Nuevo</v>
      </c>
    </row>
    <row r="342" ht="15.75" customHeight="1">
      <c r="A342" s="71" t="str">
        <f>Registros!A342</f>
        <v>638@me.com</v>
      </c>
      <c r="B342" s="5">
        <f>Registros!B342</f>
        <v>43971.42014</v>
      </c>
      <c r="C342" s="18" t="str">
        <f>IFNA(VLOOKUP(A342,'Registros - No nuevos'!A:A,1,0),"Nuevo")</f>
        <v>Nuevo</v>
      </c>
      <c r="D342" s="72" t="str">
        <f t="shared" si="1"/>
        <v>Nuevo</v>
      </c>
    </row>
    <row r="343" ht="15.75" customHeight="1">
      <c r="A343" s="71" t="str">
        <f>Registros!A343</f>
        <v>688@legrandgroup.es</v>
      </c>
      <c r="B343" s="5">
        <f>Registros!B343</f>
        <v>43971.41736</v>
      </c>
      <c r="C343" s="18" t="str">
        <f>IFNA(VLOOKUP(A343,'Registros - No nuevos'!A:A,1,0),"Nuevo")</f>
        <v>Nuevo</v>
      </c>
      <c r="D343" s="72" t="str">
        <f t="shared" si="1"/>
        <v>Nuevo</v>
      </c>
    </row>
    <row r="344" ht="15.75" customHeight="1">
      <c r="A344" s="71" t="str">
        <f>Registros!A344</f>
        <v>683@hagergroup.com</v>
      </c>
      <c r="B344" s="5">
        <f>Registros!B344</f>
        <v>43971.41528</v>
      </c>
      <c r="C344" s="18" t="str">
        <f>IFNA(VLOOKUP(A344,'Registros - No nuevos'!A:A,1,0),"Nuevo")</f>
        <v>683@hagergroup.com</v>
      </c>
      <c r="D344" s="72" t="str">
        <f t="shared" si="1"/>
        <v>No Nuevo</v>
      </c>
    </row>
    <row r="345" ht="15.75" customHeight="1">
      <c r="A345" s="71" t="str">
        <f>Registros!A345</f>
        <v>516@hotmail.es</v>
      </c>
      <c r="B345" s="5">
        <f>Registros!B345</f>
        <v>43971.40833</v>
      </c>
      <c r="C345" s="18" t="str">
        <f>IFNA(VLOOKUP(A345,'Registros - No nuevos'!A:A,1,0),"Nuevo")</f>
        <v>Nuevo</v>
      </c>
      <c r="D345" s="72" t="str">
        <f t="shared" si="1"/>
        <v>Nuevo</v>
      </c>
    </row>
    <row r="346" ht="15.75" customHeight="1">
      <c r="A346" s="71" t="str">
        <f>Registros!A346</f>
        <v>714@hotmail.com</v>
      </c>
      <c r="B346" s="5">
        <f>Registros!B346</f>
        <v>43971.40764</v>
      </c>
      <c r="C346" s="18" t="str">
        <f>IFNA(VLOOKUP(A346,'Registros - No nuevos'!A:A,1,0),"Nuevo")</f>
        <v>Nuevo</v>
      </c>
      <c r="D346" s="72" t="str">
        <f t="shared" si="1"/>
        <v>Nuevo</v>
      </c>
    </row>
    <row r="347" ht="15.75" customHeight="1">
      <c r="A347" s="71" t="str">
        <f>Registros!A347</f>
        <v>498@gmail.com</v>
      </c>
      <c r="B347" s="5">
        <f>Registros!B347</f>
        <v>43971.39792</v>
      </c>
      <c r="C347" s="18" t="str">
        <f>IFNA(VLOOKUP(A347,'Registros - No nuevos'!A:A,1,0),"Nuevo")</f>
        <v>498@gmail.com</v>
      </c>
      <c r="D347" s="72" t="str">
        <f t="shared" si="1"/>
        <v>No Nuevo</v>
      </c>
    </row>
    <row r="348" ht="15.75" customHeight="1">
      <c r="A348" s="71" t="str">
        <f>Registros!A348</f>
        <v>536@adymus.es</v>
      </c>
      <c r="B348" s="5">
        <f>Registros!B348</f>
        <v>43971.39444</v>
      </c>
      <c r="C348" s="18" t="str">
        <f>IFNA(VLOOKUP(A348,'Registros - No nuevos'!A:A,1,0),"Nuevo")</f>
        <v>536@adymus.es</v>
      </c>
      <c r="D348" s="72" t="str">
        <f t="shared" si="1"/>
        <v>No Nuevo</v>
      </c>
    </row>
    <row r="349" ht="15.75" customHeight="1">
      <c r="A349" s="71" t="str">
        <f>Registros!A349</f>
        <v>689@arbonapiza.com</v>
      </c>
      <c r="B349" s="5">
        <f>Registros!B349</f>
        <v>43971.38194</v>
      </c>
      <c r="C349" s="18" t="str">
        <f>IFNA(VLOOKUP(A349,'Registros - No nuevos'!A:A,1,0),"Nuevo")</f>
        <v>Nuevo</v>
      </c>
      <c r="D349" s="72" t="str">
        <f t="shared" si="1"/>
        <v>Nuevo</v>
      </c>
    </row>
    <row r="350" ht="15.75" customHeight="1">
      <c r="A350" s="71" t="str">
        <f>Registros!A350</f>
        <v>672@gmail.com</v>
      </c>
      <c r="B350" s="5">
        <f>Registros!B350</f>
        <v>43971.36042</v>
      </c>
      <c r="C350" s="18" t="str">
        <f>IFNA(VLOOKUP(A350,'Registros - No nuevos'!A:A,1,0),"Nuevo")</f>
        <v>Nuevo</v>
      </c>
      <c r="D350" s="72" t="str">
        <f t="shared" si="1"/>
        <v>Nuevo</v>
      </c>
    </row>
    <row r="351" ht="15.75" customHeight="1">
      <c r="A351" s="71" t="str">
        <f>Registros!A351</f>
        <v>778@gmail.com</v>
      </c>
      <c r="B351" s="5">
        <f>Registros!B351</f>
        <v>43971.29861</v>
      </c>
      <c r="C351" s="18" t="str">
        <f>IFNA(VLOOKUP(A351,'Registros - No nuevos'!A:A,1,0),"Nuevo")</f>
        <v>Nuevo</v>
      </c>
      <c r="D351" s="72" t="str">
        <f t="shared" si="1"/>
        <v>Nuevo</v>
      </c>
    </row>
    <row r="352" ht="15.75" customHeight="1">
      <c r="A352" s="71" t="str">
        <f>Registros!A352</f>
        <v>779@gmail.com</v>
      </c>
      <c r="B352" s="5">
        <f>Registros!B352</f>
        <v>43970.92917</v>
      </c>
      <c r="C352" s="18" t="str">
        <f>IFNA(VLOOKUP(A352,'Registros - No nuevos'!A:A,1,0),"Nuevo")</f>
        <v>Nuevo</v>
      </c>
      <c r="D352" s="72" t="str">
        <f t="shared" si="1"/>
        <v>Nuevo</v>
      </c>
    </row>
    <row r="353" ht="15.75" customHeight="1">
      <c r="A353" s="71" t="str">
        <f>Registros!A353</f>
        <v>550@activate2.com</v>
      </c>
      <c r="B353" s="5">
        <f>Registros!B353</f>
        <v>43970.9125</v>
      </c>
      <c r="C353" s="18" t="str">
        <f>IFNA(VLOOKUP(A353,'Registros - No nuevos'!A:A,1,0),"Nuevo")</f>
        <v>Nuevo</v>
      </c>
      <c r="D353" s="72" t="str">
        <f t="shared" si="1"/>
        <v>Nuevo</v>
      </c>
    </row>
    <row r="354" ht="15.75" customHeight="1">
      <c r="A354" s="71" t="str">
        <f>Registros!A354</f>
        <v>781@gmail.com</v>
      </c>
      <c r="B354" s="5">
        <f>Registros!B354</f>
        <v>43970.90764</v>
      </c>
      <c r="C354" s="18" t="str">
        <f>IFNA(VLOOKUP(A354,'Registros - No nuevos'!A:A,1,0),"Nuevo")</f>
        <v>Nuevo</v>
      </c>
      <c r="D354" s="72" t="str">
        <f t="shared" si="1"/>
        <v>Nuevo</v>
      </c>
    </row>
    <row r="355" ht="15.75" customHeight="1">
      <c r="A355" s="71" t="str">
        <f>Registros!A355</f>
        <v>782@gmail.com</v>
      </c>
      <c r="B355" s="5">
        <f>Registros!B355</f>
        <v>43970.81319</v>
      </c>
      <c r="C355" s="18" t="str">
        <f>IFNA(VLOOKUP(A355,'Registros - No nuevos'!A:A,1,0),"Nuevo")</f>
        <v>Nuevo</v>
      </c>
      <c r="D355" s="72" t="str">
        <f t="shared" si="1"/>
        <v>Nuevo</v>
      </c>
    </row>
    <row r="356" ht="15.75" customHeight="1">
      <c r="A356" s="71" t="str">
        <f>Registros!A356</f>
        <v>580@gmail.com</v>
      </c>
      <c r="B356" s="5">
        <f>Registros!B356</f>
        <v>43970.61736</v>
      </c>
      <c r="C356" s="18" t="str">
        <f>IFNA(VLOOKUP(A356,'Registros - No nuevos'!A:A,1,0),"Nuevo")</f>
        <v>Nuevo</v>
      </c>
      <c r="D356" s="72" t="str">
        <f t="shared" si="1"/>
        <v>Nuevo</v>
      </c>
    </row>
    <row r="357" ht="15.75" customHeight="1">
      <c r="A357" s="71" t="str">
        <f>Registros!A357</f>
        <v>787@electricidadoriagomez.com</v>
      </c>
      <c r="B357" s="5">
        <f>Registros!B357</f>
        <v>43970.51111</v>
      </c>
      <c r="C357" s="18" t="str">
        <f>IFNA(VLOOKUP(A357,'Registros - No nuevos'!A:A,1,0),"Nuevo")</f>
        <v>787@electricidadoriagomez.com</v>
      </c>
      <c r="D357" s="72" t="str">
        <f t="shared" si="1"/>
        <v>No Nuevo</v>
      </c>
    </row>
    <row r="358" ht="15.75" customHeight="1">
      <c r="A358" s="71" t="str">
        <f>Registros!A358</f>
        <v>160@hotmail.com</v>
      </c>
      <c r="B358" s="5">
        <f>Registros!B358</f>
        <v>43970.49653</v>
      </c>
      <c r="C358" s="18" t="str">
        <f>IFNA(VLOOKUP(A358,'Registros - No nuevos'!A:A,1,0),"Nuevo")</f>
        <v>Nuevo</v>
      </c>
      <c r="D358" s="72" t="str">
        <f t="shared" si="1"/>
        <v>Nuevo</v>
      </c>
    </row>
    <row r="359" ht="15.75" customHeight="1">
      <c r="A359" s="71" t="str">
        <f>Registros!A359</f>
        <v>529@gmail.com</v>
      </c>
      <c r="B359" s="5">
        <f>Registros!B359</f>
        <v>43970.44097</v>
      </c>
      <c r="C359" s="18" t="str">
        <f>IFNA(VLOOKUP(A359,'Registros - No nuevos'!A:A,1,0),"Nuevo")</f>
        <v>529@gmail.com</v>
      </c>
      <c r="D359" s="72" t="str">
        <f t="shared" si="1"/>
        <v>No Nuevo</v>
      </c>
    </row>
    <row r="360" ht="15.75" customHeight="1">
      <c r="A360" s="71" t="str">
        <f>Registros!A360</f>
        <v>547@grupocuerva.com</v>
      </c>
      <c r="B360" s="5">
        <f>Registros!B360</f>
        <v>43970.43056</v>
      </c>
      <c r="C360" s="18" t="str">
        <f>IFNA(VLOOKUP(A360,'Registros - No nuevos'!A:A,1,0),"Nuevo")</f>
        <v>547@grupocuerva.com</v>
      </c>
      <c r="D360" s="72" t="str">
        <f t="shared" si="1"/>
        <v>No Nuevo</v>
      </c>
    </row>
    <row r="361" ht="15.75" customHeight="1">
      <c r="A361" s="71" t="str">
        <f>Registros!A361</f>
        <v>680@chargeguru.com</v>
      </c>
      <c r="B361" s="5">
        <f>Registros!B361</f>
        <v>43970.42708</v>
      </c>
      <c r="C361" s="18" t="str">
        <f>IFNA(VLOOKUP(A361,'Registros - No nuevos'!A:A,1,0),"Nuevo")</f>
        <v>Nuevo</v>
      </c>
      <c r="D361" s="72" t="str">
        <f t="shared" si="1"/>
        <v>Nuevo</v>
      </c>
    </row>
    <row r="362" ht="15.75" customHeight="1">
      <c r="A362" s="71" t="str">
        <f>Registros!A362</f>
        <v>282@comsa.com</v>
      </c>
      <c r="B362" s="5">
        <f>Registros!B362</f>
        <v>43970.42639</v>
      </c>
      <c r="C362" s="18" t="str">
        <f>IFNA(VLOOKUP(A362,'Registros - No nuevos'!A:A,1,0),"Nuevo")</f>
        <v>282@comsa.com</v>
      </c>
      <c r="D362" s="72" t="str">
        <f t="shared" si="1"/>
        <v>No Nuevo</v>
      </c>
    </row>
    <row r="363" ht="15.75" customHeight="1">
      <c r="A363" s="71" t="str">
        <f>Registros!A363</f>
        <v>630@melia.com</v>
      </c>
      <c r="B363" s="5">
        <f>Registros!B363</f>
        <v>43970.25278</v>
      </c>
      <c r="C363" s="18" t="str">
        <f>IFNA(VLOOKUP(A363,'Registros - No nuevos'!A:A,1,0),"Nuevo")</f>
        <v>Nuevo</v>
      </c>
      <c r="D363" s="72" t="str">
        <f t="shared" si="1"/>
        <v>Nuevo</v>
      </c>
    </row>
    <row r="364" ht="15.75" customHeight="1">
      <c r="A364" s="71" t="str">
        <f>Registros!A364</f>
        <v>235@gmail.com</v>
      </c>
      <c r="B364" s="5">
        <f>Registros!B364</f>
        <v>43970.01042</v>
      </c>
      <c r="C364" s="18" t="str">
        <f>IFNA(VLOOKUP(A364,'Registros - No nuevos'!A:A,1,0),"Nuevo")</f>
        <v>235@gmail.com</v>
      </c>
      <c r="D364" s="72" t="str">
        <f t="shared" si="1"/>
        <v>No Nuevo</v>
      </c>
    </row>
    <row r="365" ht="15.75" customHeight="1">
      <c r="A365" s="71" t="str">
        <f>Registros!A365</f>
        <v>793@gmail.com</v>
      </c>
      <c r="B365" s="5">
        <f>Registros!B365</f>
        <v>43969.99583</v>
      </c>
      <c r="C365" s="18" t="str">
        <f>IFNA(VLOOKUP(A365,'Registros - No nuevos'!A:A,1,0),"Nuevo")</f>
        <v>Nuevo</v>
      </c>
      <c r="D365" s="72" t="str">
        <f t="shared" si="1"/>
        <v>Nuevo</v>
      </c>
    </row>
    <row r="366" ht="15.75" customHeight="1">
      <c r="A366" s="71" t="str">
        <f>Registros!A366</f>
        <v>745@geinstal.com</v>
      </c>
      <c r="B366" s="5">
        <f>Registros!B366</f>
        <v>43969.98194</v>
      </c>
      <c r="C366" s="18" t="str">
        <f>IFNA(VLOOKUP(A366,'Registros - No nuevos'!A:A,1,0),"Nuevo")</f>
        <v>Nuevo</v>
      </c>
      <c r="D366" s="72" t="str">
        <f t="shared" si="1"/>
        <v>Nuevo</v>
      </c>
    </row>
    <row r="367" ht="15.75" customHeight="1">
      <c r="A367" s="71" t="str">
        <f>Registros!A367</f>
        <v>794@somoselectricistas.com</v>
      </c>
      <c r="B367" s="5">
        <f>Registros!B367</f>
        <v>43969.96667</v>
      </c>
      <c r="C367" s="18" t="str">
        <f>IFNA(VLOOKUP(A367,'Registros - No nuevos'!A:A,1,0),"Nuevo")</f>
        <v>Nuevo</v>
      </c>
      <c r="D367" s="72" t="str">
        <f t="shared" si="1"/>
        <v>Nuevo</v>
      </c>
    </row>
    <row r="368" ht="15.75" customHeight="1">
      <c r="A368" s="71" t="str">
        <f>Registros!A368</f>
        <v>266@hotmail.es</v>
      </c>
      <c r="B368" s="5">
        <f>Registros!B368</f>
        <v>43969.82847</v>
      </c>
      <c r="C368" s="18" t="str">
        <f>IFNA(VLOOKUP(A368,'Registros - No nuevos'!A:A,1,0),"Nuevo")</f>
        <v>Nuevo</v>
      </c>
      <c r="D368" s="72" t="str">
        <f t="shared" si="1"/>
        <v>Nuevo</v>
      </c>
    </row>
    <row r="369" ht="15.75" customHeight="1">
      <c r="A369" s="71" t="str">
        <f>Registros!A369</f>
        <v>624@inserty.net</v>
      </c>
      <c r="B369" s="5">
        <f>Registros!B369</f>
        <v>43969.78403</v>
      </c>
      <c r="C369" s="18" t="str">
        <f>IFNA(VLOOKUP(A369,'Registros - No nuevos'!A:A,1,0),"Nuevo")</f>
        <v>624@inserty.net</v>
      </c>
      <c r="D369" s="72" t="str">
        <f t="shared" si="1"/>
        <v>No Nuevo</v>
      </c>
    </row>
    <row r="370" ht="15.75" customHeight="1">
      <c r="A370" s="71" t="str">
        <f>Registros!A370</f>
        <v>525@comsa.com</v>
      </c>
      <c r="B370" s="5">
        <f>Registros!B370</f>
        <v>43969.70556</v>
      </c>
      <c r="C370" s="18" t="str">
        <f>IFNA(VLOOKUP(A370,'Registros - No nuevos'!A:A,1,0),"Nuevo")</f>
        <v>525@comsa.com</v>
      </c>
      <c r="D370" s="72" t="str">
        <f t="shared" si="1"/>
        <v>No Nuevo</v>
      </c>
    </row>
    <row r="371" ht="15.75" customHeight="1">
      <c r="A371" s="71" t="str">
        <f>Registros!A371</f>
        <v>3033@gmail.com</v>
      </c>
      <c r="B371" s="5">
        <f>Registros!B371</f>
        <v>43969.69861</v>
      </c>
      <c r="C371" s="18" t="str">
        <f>IFNA(VLOOKUP(A371,'Registros - No nuevos'!A:A,1,0),"Nuevo")</f>
        <v>3033@gmail.com</v>
      </c>
      <c r="D371" s="72" t="str">
        <f t="shared" si="1"/>
        <v>No Nuevo</v>
      </c>
    </row>
    <row r="372" ht="15.75" customHeight="1">
      <c r="A372" s="71" t="str">
        <f>Registros!A372</f>
        <v>718@poweringcar.com</v>
      </c>
      <c r="B372" s="5">
        <f>Registros!B372</f>
        <v>43969.69167</v>
      </c>
      <c r="C372" s="18" t="str">
        <f>IFNA(VLOOKUP(A372,'Registros - No nuevos'!A:A,1,0),"Nuevo")</f>
        <v>Nuevo</v>
      </c>
      <c r="D372" s="72" t="str">
        <f t="shared" si="1"/>
        <v>Nuevo</v>
      </c>
    </row>
    <row r="373" ht="15.75" customHeight="1">
      <c r="A373" s="71" t="str">
        <f>Registros!A373</f>
        <v>13@inel.es</v>
      </c>
      <c r="B373" s="5">
        <f>Registros!B373</f>
        <v>43969.64653</v>
      </c>
      <c r="C373" s="18" t="str">
        <f>IFNA(VLOOKUP(A373,'Registros - No nuevos'!A:A,1,0),"Nuevo")</f>
        <v>Nuevo</v>
      </c>
      <c r="D373" s="72" t="str">
        <f t="shared" si="1"/>
        <v>Nuevo</v>
      </c>
    </row>
    <row r="374" ht="15.75" customHeight="1">
      <c r="A374" s="71" t="str">
        <f>Registros!A374</f>
        <v>351@cochele.com</v>
      </c>
      <c r="B374" s="5">
        <f>Registros!B374</f>
        <v>43969.53542</v>
      </c>
      <c r="C374" s="18" t="str">
        <f>IFNA(VLOOKUP(A374,'Registros - No nuevos'!A:A,1,0),"Nuevo")</f>
        <v>351@cochele.com</v>
      </c>
      <c r="D374" s="72" t="str">
        <f t="shared" si="1"/>
        <v>No Nuevo</v>
      </c>
    </row>
    <row r="375" ht="15.75" customHeight="1">
      <c r="A375" s="71" t="str">
        <f>Registros!A375</f>
        <v>3034@gmail.com</v>
      </c>
      <c r="B375" s="5">
        <f>Registros!B375</f>
        <v>43969.52361</v>
      </c>
      <c r="C375" s="18" t="str">
        <f>IFNA(VLOOKUP(A375,'Registros - No nuevos'!A:A,1,0),"Nuevo")</f>
        <v>3034@gmail.com</v>
      </c>
      <c r="D375" s="72" t="str">
        <f t="shared" si="1"/>
        <v>No Nuevo</v>
      </c>
    </row>
    <row r="376" ht="15.75" customHeight="1">
      <c r="A376" s="71" t="str">
        <f>Registros!A376</f>
        <v>3035@ingenieriaspi.com</v>
      </c>
      <c r="B376" s="5">
        <f>Registros!B376</f>
        <v>43969.51389</v>
      </c>
      <c r="C376" s="18" t="str">
        <f>IFNA(VLOOKUP(A376,'Registros - No nuevos'!A:A,1,0),"Nuevo")</f>
        <v>3035@ingenieriaspi.com</v>
      </c>
      <c r="D376" s="72" t="str">
        <f t="shared" si="1"/>
        <v>No Nuevo</v>
      </c>
    </row>
    <row r="377" ht="15.75" customHeight="1">
      <c r="A377" s="71" t="str">
        <f>Registros!A377</f>
        <v>554@gngrup.com</v>
      </c>
      <c r="B377" s="5">
        <f>Registros!B377</f>
        <v>43969.49097</v>
      </c>
      <c r="C377" s="18" t="str">
        <f>IFNA(VLOOKUP(A377,'Registros - No nuevos'!A:A,1,0),"Nuevo")</f>
        <v>Nuevo</v>
      </c>
      <c r="D377" s="72" t="str">
        <f t="shared" si="1"/>
        <v>Nuevo</v>
      </c>
    </row>
    <row r="378" ht="15.75" customHeight="1">
      <c r="A378" s="71" t="str">
        <f>Registros!A378</f>
        <v>556@gmail.com</v>
      </c>
      <c r="B378" s="5">
        <f>Registros!B378</f>
        <v>43969.48611</v>
      </c>
      <c r="C378" s="18" t="str">
        <f>IFNA(VLOOKUP(A378,'Registros - No nuevos'!A:A,1,0),"Nuevo")</f>
        <v>Nuevo</v>
      </c>
      <c r="D378" s="72" t="str">
        <f t="shared" si="1"/>
        <v>Nuevo</v>
      </c>
    </row>
    <row r="379" ht="15.75" customHeight="1">
      <c r="A379" s="71" t="str">
        <f>Registros!A379</f>
        <v>158@acollconsulting.es</v>
      </c>
      <c r="B379" s="5">
        <f>Registros!B379</f>
        <v>43969.47778</v>
      </c>
      <c r="C379" s="18" t="str">
        <f>IFNA(VLOOKUP(A379,'Registros - No nuevos'!A:A,1,0),"Nuevo")</f>
        <v>158@acollconsulting.es</v>
      </c>
      <c r="D379" s="72" t="str">
        <f t="shared" si="1"/>
        <v>No Nuevo</v>
      </c>
    </row>
    <row r="380" ht="15.75" customHeight="1">
      <c r="A380" s="71" t="str">
        <f>Registros!A380</f>
        <v>3036@romeroycantalejo.com</v>
      </c>
      <c r="B380" s="5">
        <f>Registros!B380</f>
        <v>43969.47569</v>
      </c>
      <c r="C380" s="18" t="str">
        <f>IFNA(VLOOKUP(A380,'Registros - No nuevos'!A:A,1,0),"Nuevo")</f>
        <v>3036@romeroycantalejo.com</v>
      </c>
      <c r="D380" s="72" t="str">
        <f t="shared" si="1"/>
        <v>No Nuevo</v>
      </c>
    </row>
    <row r="381" ht="15.75" customHeight="1">
      <c r="A381" s="71" t="str">
        <f>Registros!A381</f>
        <v>577@electroalbors.com</v>
      </c>
      <c r="B381" s="5">
        <f>Registros!B381</f>
        <v>43969.46042</v>
      </c>
      <c r="C381" s="18" t="str">
        <f>IFNA(VLOOKUP(A381,'Registros - No nuevos'!A:A,1,0),"Nuevo")</f>
        <v>577@electroalbors.com</v>
      </c>
      <c r="D381" s="72" t="str">
        <f t="shared" si="1"/>
        <v>No Nuevo</v>
      </c>
    </row>
    <row r="382" ht="15.75" customHeight="1">
      <c r="A382" s="71" t="str">
        <f>Registros!A382</f>
        <v>545@serviciosenergeticoslp.es</v>
      </c>
      <c r="B382" s="5">
        <f>Registros!B382</f>
        <v>43969.45764</v>
      </c>
      <c r="C382" s="18" t="str">
        <f>IFNA(VLOOKUP(A382,'Registros - No nuevos'!A:A,1,0),"Nuevo")</f>
        <v>545@serviciosenergeticoslp.es</v>
      </c>
      <c r="D382" s="72" t="str">
        <f t="shared" si="1"/>
        <v>No Nuevo</v>
      </c>
    </row>
    <row r="383" ht="15.75" customHeight="1">
      <c r="A383" s="71" t="str">
        <f>Registros!A383</f>
        <v>810@arquired.es</v>
      </c>
      <c r="B383" s="5">
        <f>Registros!B383</f>
        <v>43969.43194</v>
      </c>
      <c r="C383" s="18" t="str">
        <f>IFNA(VLOOKUP(A383,'Registros - No nuevos'!A:A,1,0),"Nuevo")</f>
        <v>Nuevo</v>
      </c>
      <c r="D383" s="72" t="str">
        <f t="shared" si="1"/>
        <v>Nuevo</v>
      </c>
    </row>
    <row r="384" ht="15.75" customHeight="1">
      <c r="A384" s="71" t="str">
        <f>Registros!A384</f>
        <v>815@uach.mx</v>
      </c>
      <c r="B384" s="5">
        <f>Registros!B384</f>
        <v>43969.21319</v>
      </c>
      <c r="C384" s="18" t="str">
        <f>IFNA(VLOOKUP(A384,'Registros - No nuevos'!A:A,1,0),"Nuevo")</f>
        <v>Nuevo</v>
      </c>
      <c r="D384" s="72" t="str">
        <f t="shared" si="1"/>
        <v>Nuevo</v>
      </c>
    </row>
    <row r="385" ht="15.75" customHeight="1">
      <c r="A385" s="71" t="str">
        <f>Registros!A385</f>
        <v>475@hotmail.es</v>
      </c>
      <c r="B385" s="5">
        <f>Registros!B385</f>
        <v>43968.78889</v>
      </c>
      <c r="C385" s="18" t="str">
        <f>IFNA(VLOOKUP(A385,'Registros - No nuevos'!A:A,1,0),"Nuevo")</f>
        <v>Nuevo</v>
      </c>
      <c r="D385" s="72" t="str">
        <f t="shared" si="1"/>
        <v>Nuevo</v>
      </c>
    </row>
    <row r="386" ht="15.75" customHeight="1">
      <c r="A386" s="71" t="str">
        <f>Registros!A386</f>
        <v>819@hotmail.com</v>
      </c>
      <c r="B386" s="5">
        <f>Registros!B386</f>
        <v>43968.77778</v>
      </c>
      <c r="C386" s="18" t="str">
        <f>IFNA(VLOOKUP(A386,'Registros - No nuevos'!A:A,1,0),"Nuevo")</f>
        <v>Nuevo</v>
      </c>
      <c r="D386" s="72" t="str">
        <f t="shared" si="1"/>
        <v>Nuevo</v>
      </c>
    </row>
    <row r="387" ht="15.75" customHeight="1">
      <c r="A387" s="71" t="str">
        <f>Registros!A387</f>
        <v>820@ebcn.cat</v>
      </c>
      <c r="B387" s="5">
        <f>Registros!B387</f>
        <v>43968.75903</v>
      </c>
      <c r="C387" s="18" t="str">
        <f>IFNA(VLOOKUP(A387,'Registros - No nuevos'!A:A,1,0),"Nuevo")</f>
        <v>Nuevo</v>
      </c>
      <c r="D387" s="72" t="str">
        <f t="shared" si="1"/>
        <v>Nuevo</v>
      </c>
    </row>
    <row r="388" ht="15.75" customHeight="1">
      <c r="A388" s="71" t="str">
        <f>Registros!A388</f>
        <v>821@gmail.com</v>
      </c>
      <c r="B388" s="5">
        <f>Registros!B388</f>
        <v>43968.67639</v>
      </c>
      <c r="C388" s="18" t="str">
        <f>IFNA(VLOOKUP(A388,'Registros - No nuevos'!A:A,1,0),"Nuevo")</f>
        <v>Nuevo</v>
      </c>
      <c r="D388" s="72" t="str">
        <f t="shared" si="1"/>
        <v>Nuevo</v>
      </c>
    </row>
    <row r="389" ht="15.75" customHeight="1">
      <c r="A389" s="71" t="str">
        <f>Registros!A389</f>
        <v>571@outlook.com</v>
      </c>
      <c r="B389" s="5">
        <f>Registros!B389</f>
        <v>43968.51458</v>
      </c>
      <c r="C389" s="18" t="str">
        <f>IFNA(VLOOKUP(A389,'Registros - No nuevos'!A:A,1,0),"Nuevo")</f>
        <v>Nuevo</v>
      </c>
      <c r="D389" s="72" t="str">
        <f t="shared" si="1"/>
        <v>Nuevo</v>
      </c>
    </row>
    <row r="390" ht="15.75" customHeight="1">
      <c r="A390" s="71" t="str">
        <f>Registros!A390</f>
        <v>591@alterenergy.com.ar</v>
      </c>
      <c r="B390" s="5">
        <f>Registros!B390</f>
        <v>43967.95278</v>
      </c>
      <c r="C390" s="18" t="str">
        <f>IFNA(VLOOKUP(A390,'Registros - No nuevos'!A:A,1,0),"Nuevo")</f>
        <v>Nuevo</v>
      </c>
      <c r="D390" s="72" t="str">
        <f t="shared" si="1"/>
        <v>Nuevo</v>
      </c>
    </row>
    <row r="391" ht="15.75" customHeight="1">
      <c r="A391" s="71" t="str">
        <f>Registros!A391</f>
        <v>822@yahoo.fr</v>
      </c>
      <c r="B391" s="5">
        <f>Registros!B391</f>
        <v>43967.94306</v>
      </c>
      <c r="C391" s="18" t="str">
        <f>IFNA(VLOOKUP(A391,'Registros - No nuevos'!A:A,1,0),"Nuevo")</f>
        <v>Nuevo</v>
      </c>
      <c r="D391" s="72" t="str">
        <f t="shared" si="1"/>
        <v>Nuevo</v>
      </c>
    </row>
    <row r="392" ht="15.75" customHeight="1">
      <c r="A392" s="71" t="str">
        <f>Registros!A392</f>
        <v>522@siemens.com</v>
      </c>
      <c r="B392" s="5">
        <f>Registros!B392</f>
        <v>43967.86528</v>
      </c>
      <c r="C392" s="18" t="str">
        <f>IFNA(VLOOKUP(A392,'Registros - No nuevos'!A:A,1,0),"Nuevo")</f>
        <v>Nuevo</v>
      </c>
      <c r="D392" s="72" t="str">
        <f t="shared" si="1"/>
        <v>Nuevo</v>
      </c>
    </row>
    <row r="393" ht="15.75" customHeight="1">
      <c r="A393" s="71" t="str">
        <f>Registros!A393</f>
        <v>751@ecium.es</v>
      </c>
      <c r="B393" s="5">
        <f>Registros!B393</f>
        <v>43967.71806</v>
      </c>
      <c r="C393" s="18" t="str">
        <f>IFNA(VLOOKUP(A393,'Registros - No nuevos'!A:A,1,0),"Nuevo")</f>
        <v>Nuevo</v>
      </c>
      <c r="D393" s="72" t="str">
        <f t="shared" si="1"/>
        <v>Nuevo</v>
      </c>
    </row>
    <row r="394" ht="15.75" customHeight="1">
      <c r="A394" s="71" t="str">
        <f>Registros!A394</f>
        <v>825@hotmail.com</v>
      </c>
      <c r="B394" s="5">
        <f>Registros!B394</f>
        <v>43967.65347</v>
      </c>
      <c r="C394" s="18" t="str">
        <f>IFNA(VLOOKUP(A394,'Registros - No nuevos'!A:A,1,0),"Nuevo")</f>
        <v>825@hotmail.com</v>
      </c>
      <c r="D394" s="72" t="str">
        <f t="shared" si="1"/>
        <v>No Nuevo</v>
      </c>
    </row>
    <row r="395" ht="15.75" customHeight="1">
      <c r="A395" s="71" t="str">
        <f>Registros!A395</f>
        <v>3037@gmail.com</v>
      </c>
      <c r="B395" s="5">
        <f>Registros!B395</f>
        <v>43967.54514</v>
      </c>
      <c r="C395" s="18" t="str">
        <f>IFNA(VLOOKUP(A395,'Registros - No nuevos'!A:A,1,0),"Nuevo")</f>
        <v>Nuevo</v>
      </c>
      <c r="D395" s="72" t="str">
        <f t="shared" si="1"/>
        <v>Nuevo</v>
      </c>
    </row>
    <row r="396" ht="15.75" customHeight="1">
      <c r="A396" s="71" t="str">
        <f>Registros!A396</f>
        <v>828@zf.com</v>
      </c>
      <c r="B396" s="5">
        <f>Registros!B396</f>
        <v>43967.39236</v>
      </c>
      <c r="C396" s="18" t="str">
        <f>IFNA(VLOOKUP(A396,'Registros - No nuevos'!A:A,1,0),"Nuevo")</f>
        <v>Nuevo</v>
      </c>
      <c r="D396" s="72" t="str">
        <f t="shared" si="1"/>
        <v>Nuevo</v>
      </c>
    </row>
    <row r="397" ht="15.75" customHeight="1">
      <c r="A397" s="71" t="str">
        <f>Registros!A397</f>
        <v>826@gmail.com</v>
      </c>
      <c r="B397" s="5">
        <f>Registros!B397</f>
        <v>43967.02431</v>
      </c>
      <c r="C397" s="18" t="str">
        <f>IFNA(VLOOKUP(A397,'Registros - No nuevos'!A:A,1,0),"Nuevo")</f>
        <v>Nuevo</v>
      </c>
      <c r="D397" s="72" t="str">
        <f t="shared" si="1"/>
        <v>Nuevo</v>
      </c>
    </row>
    <row r="398" ht="15.75" customHeight="1">
      <c r="A398" s="71" t="str">
        <f>Registros!A398</f>
        <v>830@gmail.com</v>
      </c>
      <c r="B398" s="5">
        <f>Registros!B398</f>
        <v>43966.71667</v>
      </c>
      <c r="C398" s="18" t="str">
        <f>IFNA(VLOOKUP(A398,'Registros - No nuevos'!A:A,1,0),"Nuevo")</f>
        <v>Nuevo</v>
      </c>
      <c r="D398" s="72" t="str">
        <f t="shared" si="1"/>
        <v>Nuevo</v>
      </c>
    </row>
    <row r="399" ht="15.75" customHeight="1">
      <c r="A399" s="71" t="str">
        <f>Registros!A399</f>
        <v>831@gmail.com</v>
      </c>
      <c r="B399" s="5">
        <f>Registros!B399</f>
        <v>43966.65764</v>
      </c>
      <c r="C399" s="18" t="str">
        <f>IFNA(VLOOKUP(A399,'Registros - No nuevos'!A:A,1,0),"Nuevo")</f>
        <v>Nuevo</v>
      </c>
      <c r="D399" s="72" t="str">
        <f t="shared" si="1"/>
        <v>Nuevo</v>
      </c>
    </row>
    <row r="400" ht="15.75" customHeight="1">
      <c r="A400" s="71" t="str">
        <f>Registros!A400</f>
        <v>838@sdin.es</v>
      </c>
      <c r="B400" s="5">
        <f>Registros!B400</f>
        <v>43966.33333</v>
      </c>
      <c r="C400" s="18" t="str">
        <f>IFNA(VLOOKUP(A400,'Registros - No nuevos'!A:A,1,0),"Nuevo")</f>
        <v>Nuevo</v>
      </c>
      <c r="D400" s="72" t="str">
        <f t="shared" si="1"/>
        <v>Nuevo</v>
      </c>
    </row>
    <row r="401" ht="15.75" customHeight="1">
      <c r="A401" s="71" t="str">
        <f>Registros!A401</f>
        <v>814@interingenieria.com</v>
      </c>
      <c r="B401" s="5">
        <f>Registros!B401</f>
        <v>43965.61806</v>
      </c>
      <c r="C401" s="18" t="str">
        <f>IFNA(VLOOKUP(A401,'Registros - No nuevos'!A:A,1,0),"Nuevo")</f>
        <v>Nuevo</v>
      </c>
      <c r="D401" s="72" t="str">
        <f t="shared" si="1"/>
        <v>Nuevo</v>
      </c>
    </row>
    <row r="402" ht="15.75" customHeight="1">
      <c r="A402" s="71" t="str">
        <f>Registros!A402</f>
        <v>3038@hotmail.com</v>
      </c>
      <c r="B402" s="5">
        <f>Registros!B402</f>
        <v>43965.42292</v>
      </c>
      <c r="C402" s="18" t="str">
        <f>IFNA(VLOOKUP(A402,'Registros - No nuevos'!A:A,1,0),"Nuevo")</f>
        <v>Nuevo</v>
      </c>
      <c r="D402" s="72" t="str">
        <f t="shared" si="1"/>
        <v>Nuevo</v>
      </c>
    </row>
    <row r="403" ht="15.75" customHeight="1">
      <c r="A403" s="71" t="str">
        <f>Registros!A403</f>
        <v>846@hotmail.com</v>
      </c>
      <c r="B403" s="5">
        <f>Registros!B403</f>
        <v>43965.40764</v>
      </c>
      <c r="C403" s="18" t="str">
        <f>IFNA(VLOOKUP(A403,'Registros - No nuevos'!A:A,1,0),"Nuevo")</f>
        <v>Nuevo</v>
      </c>
      <c r="D403" s="72" t="str">
        <f t="shared" si="1"/>
        <v>Nuevo</v>
      </c>
    </row>
    <row r="404" ht="15.75" customHeight="1">
      <c r="A404" s="71" t="str">
        <f>Registros!A404</f>
        <v>657@enaire.es</v>
      </c>
      <c r="B404" s="5">
        <f>Registros!B404</f>
        <v>43965.39167</v>
      </c>
      <c r="C404" s="18" t="str">
        <f>IFNA(VLOOKUP(A404,'Registros - No nuevos'!A:A,1,0),"Nuevo")</f>
        <v>657@enaire.es</v>
      </c>
      <c r="D404" s="72" t="str">
        <f t="shared" si="1"/>
        <v>No Nuevo</v>
      </c>
    </row>
    <row r="405" ht="15.75" customHeight="1">
      <c r="A405" s="71" t="str">
        <f>Registros!A405</f>
        <v>551@mdvproyectos.es</v>
      </c>
      <c r="B405" s="5">
        <f>Registros!B405</f>
        <v>43965.37292</v>
      </c>
      <c r="C405" s="18" t="str">
        <f>IFNA(VLOOKUP(A405,'Registros - No nuevos'!A:A,1,0),"Nuevo")</f>
        <v>Nuevo</v>
      </c>
      <c r="D405" s="72" t="str">
        <f t="shared" si="1"/>
        <v>Nuevo</v>
      </c>
    </row>
    <row r="406" ht="15.75" customHeight="1">
      <c r="A406" s="71" t="str">
        <f>Registros!A406</f>
        <v>488@gmail.com</v>
      </c>
      <c r="B406" s="5">
        <f>Registros!B406</f>
        <v>43965.36389</v>
      </c>
      <c r="C406" s="18" t="str">
        <f>IFNA(VLOOKUP(A406,'Registros - No nuevos'!A:A,1,0),"Nuevo")</f>
        <v>Nuevo</v>
      </c>
      <c r="D406" s="72" t="str">
        <f t="shared" si="1"/>
        <v>Nuevo</v>
      </c>
    </row>
    <row r="407" ht="15.75" customHeight="1">
      <c r="A407" s="71" t="str">
        <f>Registros!A407</f>
        <v>849@gmail.com</v>
      </c>
      <c r="B407" s="5">
        <f>Registros!B407</f>
        <v>43964.97778</v>
      </c>
      <c r="C407" s="18" t="str">
        <f>IFNA(VLOOKUP(A407,'Registros - No nuevos'!A:A,1,0),"Nuevo")</f>
        <v>Nuevo</v>
      </c>
      <c r="D407" s="72" t="str">
        <f t="shared" si="1"/>
        <v>Nuevo</v>
      </c>
    </row>
    <row r="408" ht="15.75" customHeight="1">
      <c r="A408" s="71" t="str">
        <f>Registros!A408</f>
        <v>850@gmail.com</v>
      </c>
      <c r="B408" s="5">
        <f>Registros!B408</f>
        <v>43964.92778</v>
      </c>
      <c r="C408" s="18" t="str">
        <f>IFNA(VLOOKUP(A408,'Registros - No nuevos'!A:A,1,0),"Nuevo")</f>
        <v>Nuevo</v>
      </c>
      <c r="D408" s="72" t="str">
        <f t="shared" si="1"/>
        <v>Nuevo</v>
      </c>
    </row>
    <row r="409" ht="15.75" customHeight="1">
      <c r="A409" s="71" t="str">
        <f>Registros!A409</f>
        <v>851@arquitecto.com</v>
      </c>
      <c r="B409" s="5">
        <f>Registros!B409</f>
        <v>43964.68403</v>
      </c>
      <c r="C409" s="18" t="str">
        <f>IFNA(VLOOKUP(A409,'Registros - No nuevos'!A:A,1,0),"Nuevo")</f>
        <v>Nuevo</v>
      </c>
      <c r="D409" s="72" t="str">
        <f t="shared" si="1"/>
        <v>Nuevo</v>
      </c>
    </row>
    <row r="410" ht="15.75" customHeight="1">
      <c r="A410" s="71" t="str">
        <f>Registros!A410</f>
        <v>621@gmail.com</v>
      </c>
      <c r="B410" s="5">
        <f>Registros!B410</f>
        <v>43964.56181</v>
      </c>
      <c r="C410" s="18" t="str">
        <f>IFNA(VLOOKUP(A410,'Registros - No nuevos'!A:A,1,0),"Nuevo")</f>
        <v>Nuevo</v>
      </c>
      <c r="D410" s="72" t="str">
        <f t="shared" si="1"/>
        <v>Nuevo</v>
      </c>
    </row>
    <row r="411" ht="15.75" customHeight="1">
      <c r="A411" s="71" t="str">
        <f>Registros!A411</f>
        <v>805@gmail.com</v>
      </c>
      <c r="B411" s="5">
        <f>Registros!B411</f>
        <v>43964.55417</v>
      </c>
      <c r="C411" s="18" t="str">
        <f>IFNA(VLOOKUP(A411,'Registros - No nuevos'!A:A,1,0),"Nuevo")</f>
        <v>Nuevo</v>
      </c>
      <c r="D411" s="72" t="str">
        <f t="shared" si="1"/>
        <v>Nuevo</v>
      </c>
    </row>
    <row r="412" ht="15.75" customHeight="1">
      <c r="A412" s="71" t="str">
        <f>Registros!A412</f>
        <v>852@grupviu.com</v>
      </c>
      <c r="B412" s="5">
        <f>Registros!B412</f>
        <v>43964.51944</v>
      </c>
      <c r="C412" s="18" t="str">
        <f>IFNA(VLOOKUP(A412,'Registros - No nuevos'!A:A,1,0),"Nuevo")</f>
        <v>Nuevo</v>
      </c>
      <c r="D412" s="72" t="str">
        <f t="shared" si="1"/>
        <v>Nuevo</v>
      </c>
    </row>
    <row r="413" ht="15.75" customHeight="1">
      <c r="A413" s="71" t="str">
        <f>Registros!A413</f>
        <v>853@gmail.com</v>
      </c>
      <c r="B413" s="5">
        <f>Registros!B413</f>
        <v>43964.44028</v>
      </c>
      <c r="C413" s="18" t="str">
        <f>IFNA(VLOOKUP(A413,'Registros - No nuevos'!A:A,1,0),"Nuevo")</f>
        <v>Nuevo</v>
      </c>
      <c r="D413" s="72" t="str">
        <f t="shared" si="1"/>
        <v>Nuevo</v>
      </c>
    </row>
    <row r="414" ht="15.75" customHeight="1">
      <c r="A414" s="71" t="str">
        <f>Registros!A414</f>
        <v>854@msn.com</v>
      </c>
      <c r="B414" s="5">
        <f>Registros!B414</f>
        <v>43964.40625</v>
      </c>
      <c r="C414" s="18" t="str">
        <f>IFNA(VLOOKUP(A414,'Registros - No nuevos'!A:A,1,0),"Nuevo")</f>
        <v>Nuevo</v>
      </c>
      <c r="D414" s="72" t="str">
        <f t="shared" si="1"/>
        <v>Nuevo</v>
      </c>
    </row>
    <row r="415" ht="15.75" customHeight="1">
      <c r="A415" s="71" t="str">
        <f>Registros!A415</f>
        <v>334@mixmail.com</v>
      </c>
      <c r="B415" s="5">
        <f>Registros!B415</f>
        <v>43964.37639</v>
      </c>
      <c r="C415" s="18" t="str">
        <f>IFNA(VLOOKUP(A415,'Registros - No nuevos'!A:A,1,0),"Nuevo")</f>
        <v>Nuevo</v>
      </c>
      <c r="D415" s="72" t="str">
        <f t="shared" si="1"/>
        <v>Nuevo</v>
      </c>
    </row>
    <row r="416" ht="15.75" customHeight="1">
      <c r="A416" s="71" t="str">
        <f>Registros!A416</f>
        <v>478@gmail.com</v>
      </c>
      <c r="B416" s="5">
        <f>Registros!B416</f>
        <v>43964.28611</v>
      </c>
      <c r="C416" s="18" t="str">
        <f>IFNA(VLOOKUP(A416,'Registros - No nuevos'!A:A,1,0),"Nuevo")</f>
        <v>Nuevo</v>
      </c>
      <c r="D416" s="72" t="str">
        <f t="shared" si="1"/>
        <v>Nuevo</v>
      </c>
    </row>
    <row r="417" ht="15.75" customHeight="1">
      <c r="A417" s="71" t="str">
        <f>Registros!A417</f>
        <v>855@msn.com</v>
      </c>
      <c r="B417" s="5">
        <f>Registros!B417</f>
        <v>43964.25069</v>
      </c>
      <c r="C417" s="18" t="str">
        <f>IFNA(VLOOKUP(A417,'Registros - No nuevos'!A:A,1,0),"Nuevo")</f>
        <v>Nuevo</v>
      </c>
      <c r="D417" s="72" t="str">
        <f t="shared" si="1"/>
        <v>Nuevo</v>
      </c>
    </row>
    <row r="418" ht="15.75" customHeight="1">
      <c r="A418" s="71" t="str">
        <f>Registros!A418</f>
        <v>856@gmail.com</v>
      </c>
      <c r="B418" s="5">
        <f>Registros!B418</f>
        <v>43963.85972</v>
      </c>
      <c r="C418" s="18" t="str">
        <f>IFNA(VLOOKUP(A418,'Registros - No nuevos'!A:A,1,0),"Nuevo")</f>
        <v>Nuevo</v>
      </c>
      <c r="D418" s="72" t="str">
        <f t="shared" si="1"/>
        <v>Nuevo</v>
      </c>
    </row>
    <row r="419" ht="15.75" customHeight="1">
      <c r="A419" s="71" t="str">
        <f>Registros!A419</f>
        <v>857@gmail.com</v>
      </c>
      <c r="B419" s="5">
        <f>Registros!B419</f>
        <v>43963.79306</v>
      </c>
      <c r="C419" s="18" t="str">
        <f>IFNA(VLOOKUP(A419,'Registros - No nuevos'!A:A,1,0),"Nuevo")</f>
        <v>Nuevo</v>
      </c>
      <c r="D419" s="72" t="str">
        <f t="shared" si="1"/>
        <v>Nuevo</v>
      </c>
    </row>
    <row r="420" ht="15.75" customHeight="1">
      <c r="A420" s="71" t="str">
        <f>Registros!A420</f>
        <v>858@gmail.com</v>
      </c>
      <c r="B420" s="5">
        <f>Registros!B420</f>
        <v>43963.79236</v>
      </c>
      <c r="C420" s="18" t="str">
        <f>IFNA(VLOOKUP(A420,'Registros - No nuevos'!A:A,1,0),"Nuevo")</f>
        <v>Nuevo</v>
      </c>
      <c r="D420" s="72" t="str">
        <f t="shared" si="1"/>
        <v>Nuevo</v>
      </c>
    </row>
    <row r="421" ht="15.75" customHeight="1">
      <c r="A421" s="71" t="str">
        <f>Registros!A421</f>
        <v>863@outlook.com</v>
      </c>
      <c r="B421" s="5">
        <f>Registros!B421</f>
        <v>43963.325</v>
      </c>
      <c r="C421" s="18" t="str">
        <f>IFNA(VLOOKUP(A421,'Registros - No nuevos'!A:A,1,0),"Nuevo")</f>
        <v>Nuevo</v>
      </c>
      <c r="D421" s="72" t="str">
        <f t="shared" si="1"/>
        <v>Nuevo</v>
      </c>
    </row>
    <row r="422" ht="15.75" customHeight="1">
      <c r="A422" s="71" t="str">
        <f>Registros!A422</f>
        <v>864@es.uazuay.edu.ec</v>
      </c>
      <c r="B422" s="5">
        <f>Registros!B422</f>
        <v>43963.14722</v>
      </c>
      <c r="C422" s="18" t="str">
        <f>IFNA(VLOOKUP(A422,'Registros - No nuevos'!A:A,1,0),"Nuevo")</f>
        <v>Nuevo</v>
      </c>
      <c r="D422" s="72" t="str">
        <f t="shared" si="1"/>
        <v>Nuevo</v>
      </c>
    </row>
    <row r="423" ht="15.75" customHeight="1">
      <c r="A423" s="71" t="str">
        <f>Registros!A423</f>
        <v>3039@normatica.es</v>
      </c>
      <c r="B423" s="5">
        <f>Registros!B423</f>
        <v>43962.98056</v>
      </c>
      <c r="C423" s="18" t="str">
        <f>IFNA(VLOOKUP(A423,'Registros - No nuevos'!A:A,1,0),"Nuevo")</f>
        <v>3039@normatica.es</v>
      </c>
      <c r="D423" s="72" t="str">
        <f t="shared" si="1"/>
        <v>No Nuevo</v>
      </c>
    </row>
    <row r="424" ht="15.75" customHeight="1">
      <c r="A424" s="71" t="str">
        <f>Registros!A424</f>
        <v>866@typsa.es</v>
      </c>
      <c r="B424" s="5">
        <f>Registros!B424</f>
        <v>43962.86111</v>
      </c>
      <c r="C424" s="18" t="str">
        <f>IFNA(VLOOKUP(A424,'Registros - No nuevos'!A:A,1,0),"Nuevo")</f>
        <v>866@typsa.es</v>
      </c>
      <c r="D424" s="72" t="str">
        <f t="shared" si="1"/>
        <v>No Nuevo</v>
      </c>
    </row>
    <row r="425" ht="15.75" customHeight="1">
      <c r="A425" s="71" t="str">
        <f>Registros!A425</f>
        <v>868@gmail.com</v>
      </c>
      <c r="B425" s="5">
        <f>Registros!B425</f>
        <v>43962.83611</v>
      </c>
      <c r="C425" s="18" t="str">
        <f>IFNA(VLOOKUP(A425,'Registros - No nuevos'!A:A,1,0),"Nuevo")</f>
        <v>Nuevo</v>
      </c>
      <c r="D425" s="72" t="str">
        <f t="shared" si="1"/>
        <v>Nuevo</v>
      </c>
    </row>
    <row r="426" ht="15.75" customHeight="1">
      <c r="A426" s="71" t="str">
        <f>Registros!A426</f>
        <v>559@sygsa.com</v>
      </c>
      <c r="B426" s="5">
        <f>Registros!B426</f>
        <v>43962.72361</v>
      </c>
      <c r="C426" s="18" t="str">
        <f>IFNA(VLOOKUP(A426,'Registros - No nuevos'!A:A,1,0),"Nuevo")</f>
        <v>Nuevo</v>
      </c>
      <c r="D426" s="72" t="str">
        <f t="shared" si="1"/>
        <v>Nuevo</v>
      </c>
    </row>
    <row r="427" ht="15.75" customHeight="1">
      <c r="A427" s="71" t="str">
        <f>Registros!A427</f>
        <v>871@cefiner.com</v>
      </c>
      <c r="B427" s="5">
        <f>Registros!B427</f>
        <v>43962.62431</v>
      </c>
      <c r="C427" s="18" t="str">
        <f>IFNA(VLOOKUP(A427,'Registros - No nuevos'!A:A,1,0),"Nuevo")</f>
        <v>Nuevo</v>
      </c>
      <c r="D427" s="72" t="str">
        <f t="shared" si="1"/>
        <v>Nuevo</v>
      </c>
    </row>
    <row r="428" ht="15.75" customHeight="1">
      <c r="A428" s="71" t="str">
        <f>Registros!A428</f>
        <v>872@gmail.com</v>
      </c>
      <c r="B428" s="5">
        <f>Registros!B428</f>
        <v>43962.44028</v>
      </c>
      <c r="C428" s="18" t="str">
        <f>IFNA(VLOOKUP(A428,'Registros - No nuevos'!A:A,1,0),"Nuevo")</f>
        <v>872@gmail.com</v>
      </c>
      <c r="D428" s="72" t="str">
        <f t="shared" si="1"/>
        <v>No Nuevo</v>
      </c>
    </row>
    <row r="429" ht="15.75" customHeight="1">
      <c r="A429" s="71" t="str">
        <f>Registros!A429</f>
        <v>881@hotmail.com</v>
      </c>
      <c r="B429" s="5">
        <f>Registros!B429</f>
        <v>43962.27292</v>
      </c>
      <c r="C429" s="18" t="str">
        <f>IFNA(VLOOKUP(A429,'Registros - No nuevos'!A:A,1,0),"Nuevo")</f>
        <v>Nuevo</v>
      </c>
      <c r="D429" s="72" t="str">
        <f t="shared" si="1"/>
        <v>Nuevo</v>
      </c>
    </row>
    <row r="430" ht="15.75" customHeight="1">
      <c r="A430" s="71" t="str">
        <f>Registros!A430</f>
        <v>378@mcrdielec.com</v>
      </c>
      <c r="B430" s="5">
        <f>Registros!B430</f>
        <v>43961.95972</v>
      </c>
      <c r="C430" s="18" t="str">
        <f>IFNA(VLOOKUP(A430,'Registros - No nuevos'!A:A,1,0),"Nuevo")</f>
        <v>Nuevo</v>
      </c>
      <c r="D430" s="72" t="str">
        <f t="shared" si="1"/>
        <v>Nuevo</v>
      </c>
    </row>
    <row r="431" ht="15.75" customHeight="1">
      <c r="A431" s="71" t="str">
        <f>Registros!A431</f>
        <v>883@hotmail.com</v>
      </c>
      <c r="B431" s="5">
        <f>Registros!B431</f>
        <v>43961.95417</v>
      </c>
      <c r="C431" s="18" t="str">
        <f>IFNA(VLOOKUP(A431,'Registros - No nuevos'!A:A,1,0),"Nuevo")</f>
        <v>Nuevo</v>
      </c>
      <c r="D431" s="72" t="str">
        <f t="shared" si="1"/>
        <v>Nuevo</v>
      </c>
    </row>
    <row r="432" ht="15.75" customHeight="1">
      <c r="A432" s="71" t="str">
        <f>Registros!A432</f>
        <v>884@enersos.es</v>
      </c>
      <c r="B432" s="5">
        <f>Registros!B432</f>
        <v>43961.93125</v>
      </c>
      <c r="C432" s="18" t="str">
        <f>IFNA(VLOOKUP(A432,'Registros - No nuevos'!A:A,1,0),"Nuevo")</f>
        <v>Nuevo</v>
      </c>
      <c r="D432" s="72" t="str">
        <f t="shared" si="1"/>
        <v>Nuevo</v>
      </c>
    </row>
    <row r="433" ht="15.75" customHeight="1">
      <c r="A433" s="71" t="str">
        <f>Registros!A433</f>
        <v>886@gmail.com</v>
      </c>
      <c r="B433" s="5">
        <f>Registros!B433</f>
        <v>43961.82778</v>
      </c>
      <c r="C433" s="18" t="str">
        <f>IFNA(VLOOKUP(A433,'Registros - No nuevos'!A:A,1,0),"Nuevo")</f>
        <v>Nuevo</v>
      </c>
      <c r="D433" s="72" t="str">
        <f t="shared" si="1"/>
        <v>Nuevo</v>
      </c>
    </row>
    <row r="434" ht="15.75" customHeight="1">
      <c r="A434" s="71" t="str">
        <f>Registros!A434</f>
        <v>841@gmail.com</v>
      </c>
      <c r="B434" s="5">
        <f>Registros!B434</f>
        <v>43961.74861</v>
      </c>
      <c r="C434" s="18" t="str">
        <f>IFNA(VLOOKUP(A434,'Registros - No nuevos'!A:A,1,0),"Nuevo")</f>
        <v>Nuevo</v>
      </c>
      <c r="D434" s="72" t="str">
        <f t="shared" si="1"/>
        <v>Nuevo</v>
      </c>
    </row>
    <row r="435" ht="15.75" customHeight="1">
      <c r="A435" s="71" t="str">
        <f>Registros!A435</f>
        <v>887@gmail.com</v>
      </c>
      <c r="B435" s="5">
        <f>Registros!B435</f>
        <v>43961.66111</v>
      </c>
      <c r="C435" s="18" t="str">
        <f>IFNA(VLOOKUP(A435,'Registros - No nuevos'!A:A,1,0),"Nuevo")</f>
        <v>Nuevo</v>
      </c>
      <c r="D435" s="72" t="str">
        <f t="shared" si="1"/>
        <v>Nuevo</v>
      </c>
    </row>
    <row r="436" ht="15.75" customHeight="1">
      <c r="A436" s="71" t="str">
        <f>Registros!A436</f>
        <v>889@hotmail.com</v>
      </c>
      <c r="B436" s="5">
        <f>Registros!B436</f>
        <v>43961.49236</v>
      </c>
      <c r="C436" s="18" t="str">
        <f>IFNA(VLOOKUP(A436,'Registros - No nuevos'!A:A,1,0),"Nuevo")</f>
        <v>Nuevo</v>
      </c>
      <c r="D436" s="72" t="str">
        <f t="shared" si="1"/>
        <v>Nuevo</v>
      </c>
    </row>
    <row r="437" ht="15.75" customHeight="1">
      <c r="A437" s="71" t="str">
        <f>Registros!A437</f>
        <v>890@hotmail.com</v>
      </c>
      <c r="B437" s="5">
        <f>Registros!B437</f>
        <v>43961.42708</v>
      </c>
      <c r="C437" s="18" t="str">
        <f>IFNA(VLOOKUP(A437,'Registros - No nuevos'!A:A,1,0),"Nuevo")</f>
        <v>Nuevo</v>
      </c>
      <c r="D437" s="72" t="str">
        <f t="shared" si="1"/>
        <v>Nuevo</v>
      </c>
    </row>
    <row r="438" ht="15.75" customHeight="1">
      <c r="A438" s="71" t="str">
        <f>Registros!A438</f>
        <v>891@gmail.com</v>
      </c>
      <c r="B438" s="5">
        <f>Registros!B438</f>
        <v>43961.24722</v>
      </c>
      <c r="C438" s="18" t="str">
        <f>IFNA(VLOOKUP(A438,'Registros - No nuevos'!A:A,1,0),"Nuevo")</f>
        <v>Nuevo</v>
      </c>
      <c r="D438" s="72" t="str">
        <f t="shared" si="1"/>
        <v>Nuevo</v>
      </c>
    </row>
    <row r="439" ht="15.75" customHeight="1">
      <c r="A439" s="71" t="str">
        <f>Registros!A439</f>
        <v>892@hotmail.com</v>
      </c>
      <c r="B439" s="5">
        <f>Registros!B439</f>
        <v>43961.16806</v>
      </c>
      <c r="C439" s="18" t="str">
        <f>IFNA(VLOOKUP(A439,'Registros - No nuevos'!A:A,1,0),"Nuevo")</f>
        <v>Nuevo</v>
      </c>
      <c r="D439" s="72" t="str">
        <f t="shared" si="1"/>
        <v>Nuevo</v>
      </c>
    </row>
    <row r="440" ht="15.75" customHeight="1">
      <c r="A440" s="71" t="str">
        <f>Registros!A440</f>
        <v>3040@icloud.com</v>
      </c>
      <c r="B440" s="5">
        <f>Registros!B440</f>
        <v>43961.15139</v>
      </c>
      <c r="C440" s="18" t="str">
        <f>IFNA(VLOOKUP(A440,'Registros - No nuevos'!A:A,1,0),"Nuevo")</f>
        <v>Nuevo</v>
      </c>
      <c r="D440" s="72" t="str">
        <f t="shared" si="1"/>
        <v>Nuevo</v>
      </c>
    </row>
    <row r="441" ht="15.75" customHeight="1">
      <c r="A441" s="71" t="str">
        <f>Registros!A441</f>
        <v>893@krean.com</v>
      </c>
      <c r="B441" s="5">
        <f>Registros!B441</f>
        <v>43961.07986</v>
      </c>
      <c r="C441" s="18" t="str">
        <f>IFNA(VLOOKUP(A441,'Registros - No nuevos'!A:A,1,0),"Nuevo")</f>
        <v>Nuevo</v>
      </c>
      <c r="D441" s="72" t="str">
        <f t="shared" si="1"/>
        <v>Nuevo</v>
      </c>
    </row>
    <row r="442" ht="15.75" customHeight="1">
      <c r="A442" s="71" t="str">
        <f>Registros!A442</f>
        <v>894@gmail.com</v>
      </c>
      <c r="B442" s="5">
        <f>Registros!B442</f>
        <v>43960.98611</v>
      </c>
      <c r="C442" s="18" t="str">
        <f>IFNA(VLOOKUP(A442,'Registros - No nuevos'!A:A,1,0),"Nuevo")</f>
        <v>Nuevo</v>
      </c>
      <c r="D442" s="72" t="str">
        <f t="shared" si="1"/>
        <v>Nuevo</v>
      </c>
    </row>
    <row r="443" ht="15.75" customHeight="1">
      <c r="A443" s="71" t="str">
        <f>Registros!A443</f>
        <v>895@volumetric.eu</v>
      </c>
      <c r="B443" s="5">
        <f>Registros!B443</f>
        <v>43960.74236</v>
      </c>
      <c r="C443" s="18" t="str">
        <f>IFNA(VLOOKUP(A443,'Registros - No nuevos'!A:A,1,0),"Nuevo")</f>
        <v>Nuevo</v>
      </c>
      <c r="D443" s="72" t="str">
        <f t="shared" si="1"/>
        <v>Nuevo</v>
      </c>
    </row>
    <row r="444" ht="15.75" customHeight="1">
      <c r="A444" s="71" t="str">
        <f>Registros!A444</f>
        <v>896@gmail.com</v>
      </c>
      <c r="B444" s="5">
        <f>Registros!B444</f>
        <v>43960.52778</v>
      </c>
      <c r="C444" s="18" t="str">
        <f>IFNA(VLOOKUP(A444,'Registros - No nuevos'!A:A,1,0),"Nuevo")</f>
        <v>Nuevo</v>
      </c>
      <c r="D444" s="72" t="str">
        <f t="shared" si="1"/>
        <v>Nuevo</v>
      </c>
    </row>
    <row r="445" ht="15.75" customHeight="1">
      <c r="A445" s="71" t="str">
        <f>Registros!A445</f>
        <v>487@gmail.com</v>
      </c>
      <c r="B445" s="5">
        <f>Registros!B445</f>
        <v>43960.42986</v>
      </c>
      <c r="C445" s="18" t="str">
        <f>IFNA(VLOOKUP(A445,'Registros - No nuevos'!A:A,1,0),"Nuevo")</f>
        <v>Nuevo</v>
      </c>
      <c r="D445" s="72" t="str">
        <f t="shared" si="1"/>
        <v>Nuevo</v>
      </c>
    </row>
    <row r="446" ht="15.75" customHeight="1">
      <c r="A446" s="71" t="str">
        <f>Registros!A446</f>
        <v>898@gmail.com</v>
      </c>
      <c r="B446" s="5">
        <f>Registros!B446</f>
        <v>43959.85694</v>
      </c>
      <c r="C446" s="18" t="str">
        <f>IFNA(VLOOKUP(A446,'Registros - No nuevos'!A:A,1,0),"Nuevo")</f>
        <v>Nuevo</v>
      </c>
      <c r="D446" s="72" t="str">
        <f t="shared" si="1"/>
        <v>Nuevo</v>
      </c>
    </row>
    <row r="447" ht="15.75" customHeight="1">
      <c r="A447" s="71" t="str">
        <f>Registros!A447</f>
        <v>899@gmail.com</v>
      </c>
      <c r="B447" s="5">
        <f>Registros!B447</f>
        <v>43959.79583</v>
      </c>
      <c r="C447" s="18" t="str">
        <f>IFNA(VLOOKUP(A447,'Registros - No nuevos'!A:A,1,0),"Nuevo")</f>
        <v>Nuevo</v>
      </c>
      <c r="D447" s="72" t="str">
        <f t="shared" si="1"/>
        <v>Nuevo</v>
      </c>
    </row>
    <row r="448" ht="15.75" customHeight="1">
      <c r="A448" s="71" t="str">
        <f>Registros!A448</f>
        <v>901@gmail.com</v>
      </c>
      <c r="B448" s="5">
        <f>Registros!B448</f>
        <v>43959.74167</v>
      </c>
      <c r="C448" s="18" t="str">
        <f>IFNA(VLOOKUP(A448,'Registros - No nuevos'!A:A,1,0),"Nuevo")</f>
        <v>901@gmail.com</v>
      </c>
      <c r="D448" s="72" t="str">
        <f t="shared" si="1"/>
        <v>No Nuevo</v>
      </c>
    </row>
    <row r="449" ht="15.75" customHeight="1">
      <c r="A449" s="71" t="str">
        <f>Registros!A449</f>
        <v>902@gmail.com</v>
      </c>
      <c r="B449" s="5">
        <f>Registros!B449</f>
        <v>43959.72847</v>
      </c>
      <c r="C449" s="18" t="str">
        <f>IFNA(VLOOKUP(A449,'Registros - No nuevos'!A:A,1,0),"Nuevo")</f>
        <v>Nuevo</v>
      </c>
      <c r="D449" s="72" t="str">
        <f t="shared" si="1"/>
        <v>Nuevo</v>
      </c>
    </row>
    <row r="450" ht="15.75" customHeight="1">
      <c r="A450" s="71" t="str">
        <f>Registros!A450</f>
        <v>903@edirocsa.com</v>
      </c>
      <c r="B450" s="5">
        <f>Registros!B450</f>
        <v>43959.72153</v>
      </c>
      <c r="C450" s="18" t="str">
        <f>IFNA(VLOOKUP(A450,'Registros - No nuevos'!A:A,1,0),"Nuevo")</f>
        <v>Nuevo</v>
      </c>
      <c r="D450" s="72" t="str">
        <f t="shared" si="1"/>
        <v>Nuevo</v>
      </c>
    </row>
    <row r="451" ht="15.75" customHeight="1">
      <c r="A451" s="71" t="str">
        <f>Registros!A451</f>
        <v>905@yahoo.es</v>
      </c>
      <c r="B451" s="5">
        <f>Registros!B451</f>
        <v>43959.62083</v>
      </c>
      <c r="C451" s="18" t="str">
        <f>IFNA(VLOOKUP(A451,'Registros - No nuevos'!A:A,1,0),"Nuevo")</f>
        <v>905@yahoo.es</v>
      </c>
      <c r="D451" s="72" t="str">
        <f t="shared" si="1"/>
        <v>No Nuevo</v>
      </c>
    </row>
    <row r="452" ht="15.75" customHeight="1">
      <c r="A452" s="71" t="str">
        <f>Registros!A452</f>
        <v>906@europrojectes.es</v>
      </c>
      <c r="B452" s="5">
        <f>Registros!B452</f>
        <v>43959.61667</v>
      </c>
      <c r="C452" s="18" t="str">
        <f>IFNA(VLOOKUP(A452,'Registros - No nuevos'!A:A,1,0),"Nuevo")</f>
        <v>Nuevo</v>
      </c>
      <c r="D452" s="72" t="str">
        <f t="shared" si="1"/>
        <v>Nuevo</v>
      </c>
    </row>
    <row r="453" ht="15.75" customHeight="1">
      <c r="A453" s="71" t="str">
        <f>Registros!A453</f>
        <v>912@gmail.com</v>
      </c>
      <c r="B453" s="5">
        <f>Registros!B453</f>
        <v>43959.50417</v>
      </c>
      <c r="C453" s="18" t="str">
        <f>IFNA(VLOOKUP(A453,'Registros - No nuevos'!A:A,1,0),"Nuevo")</f>
        <v>Nuevo</v>
      </c>
      <c r="D453" s="72" t="str">
        <f t="shared" si="1"/>
        <v>Nuevo</v>
      </c>
    </row>
    <row r="454" ht="15.75" customHeight="1">
      <c r="A454" s="71" t="str">
        <f>Registros!A454</f>
        <v>874@coac.net</v>
      </c>
      <c r="B454" s="5">
        <f>Registros!B454</f>
        <v>43959.47708</v>
      </c>
      <c r="C454" s="18" t="str">
        <f>IFNA(VLOOKUP(A454,'Registros - No nuevos'!A:A,1,0),"Nuevo")</f>
        <v>Nuevo</v>
      </c>
      <c r="D454" s="72" t="str">
        <f t="shared" si="1"/>
        <v>Nuevo</v>
      </c>
    </row>
    <row r="455" ht="15.75" customHeight="1">
      <c r="A455" s="71" t="str">
        <f>Registros!A455</f>
        <v>879@sicoris.com</v>
      </c>
      <c r="B455" s="5">
        <f>Registros!B455</f>
        <v>43959.47153</v>
      </c>
      <c r="C455" s="18" t="str">
        <f>IFNA(VLOOKUP(A455,'Registros - No nuevos'!A:A,1,0),"Nuevo")</f>
        <v>Nuevo</v>
      </c>
      <c r="D455" s="72" t="str">
        <f t="shared" si="1"/>
        <v>Nuevo</v>
      </c>
    </row>
    <row r="456" ht="15.75" customHeight="1">
      <c r="A456" s="71" t="str">
        <f>Registros!A456</f>
        <v>876@arquitectonica.cat</v>
      </c>
      <c r="B456" s="5">
        <f>Registros!B456</f>
        <v>43959.44931</v>
      </c>
      <c r="C456" s="18" t="str">
        <f>IFNA(VLOOKUP(A456,'Registros - No nuevos'!A:A,1,0),"Nuevo")</f>
        <v>Nuevo</v>
      </c>
      <c r="D456" s="72" t="str">
        <f t="shared" si="1"/>
        <v>Nuevo</v>
      </c>
    </row>
    <row r="457" ht="15.75" customHeight="1">
      <c r="A457" s="71" t="str">
        <f>Registros!A457</f>
        <v>913@quorania.com</v>
      </c>
      <c r="B457" s="5">
        <f>Registros!B457</f>
        <v>43959.43889</v>
      </c>
      <c r="C457" s="18" t="str">
        <f>IFNA(VLOOKUP(A457,'Registros - No nuevos'!A:A,1,0),"Nuevo")</f>
        <v>Nuevo</v>
      </c>
      <c r="D457" s="72" t="str">
        <f t="shared" si="1"/>
        <v>Nuevo</v>
      </c>
    </row>
    <row r="458" ht="15.75" customHeight="1">
      <c r="A458" s="71" t="str">
        <f>Registros!A458</f>
        <v>880@miquelnieto.com</v>
      </c>
      <c r="B458" s="5">
        <f>Registros!B458</f>
        <v>43959.42986</v>
      </c>
      <c r="C458" s="18" t="str">
        <f>IFNA(VLOOKUP(A458,'Registros - No nuevos'!A:A,1,0),"Nuevo")</f>
        <v>Nuevo</v>
      </c>
      <c r="D458" s="72" t="str">
        <f t="shared" si="1"/>
        <v>Nuevo</v>
      </c>
    </row>
    <row r="459" ht="15.75" customHeight="1">
      <c r="A459" s="71" t="str">
        <f>Registros!A459</f>
        <v>914@gmail.com</v>
      </c>
      <c r="B459" s="5">
        <f>Registros!B459</f>
        <v>43959.37431</v>
      </c>
      <c r="C459" s="18" t="str">
        <f>IFNA(VLOOKUP(A459,'Registros - No nuevos'!A:A,1,0),"Nuevo")</f>
        <v>Nuevo</v>
      </c>
      <c r="D459" s="72" t="str">
        <f t="shared" si="1"/>
        <v>Nuevo</v>
      </c>
    </row>
    <row r="460" ht="15.75" customHeight="1">
      <c r="A460" s="71" t="str">
        <f>Registros!A460</f>
        <v>918@gmail.com</v>
      </c>
      <c r="B460" s="5">
        <f>Registros!B460</f>
        <v>43959.00139</v>
      </c>
      <c r="C460" s="18" t="str">
        <f>IFNA(VLOOKUP(A460,'Registros - No nuevos'!A:A,1,0),"Nuevo")</f>
        <v>Nuevo</v>
      </c>
      <c r="D460" s="72" t="str">
        <f t="shared" si="1"/>
        <v>Nuevo</v>
      </c>
    </row>
    <row r="461" ht="15.75" customHeight="1">
      <c r="A461" s="71" t="str">
        <f>Registros!A461</f>
        <v>919@hotmail.com</v>
      </c>
      <c r="B461" s="5">
        <f>Registros!B461</f>
        <v>43958.81319</v>
      </c>
      <c r="C461" s="18" t="str">
        <f>IFNA(VLOOKUP(A461,'Registros - No nuevos'!A:A,1,0),"Nuevo")</f>
        <v>919@hotmail.com</v>
      </c>
      <c r="D461" s="72" t="str">
        <f t="shared" si="1"/>
        <v>No Nuevo</v>
      </c>
    </row>
    <row r="462" ht="15.75" customHeight="1">
      <c r="A462" s="71" t="str">
        <f>Registros!A462</f>
        <v>735@serveiskronier55.com</v>
      </c>
      <c r="B462" s="5">
        <f>Registros!B462</f>
        <v>43958.80069</v>
      </c>
      <c r="C462" s="18" t="str">
        <f>IFNA(VLOOKUP(A462,'Registros - No nuevos'!A:A,1,0),"Nuevo")</f>
        <v>Nuevo</v>
      </c>
      <c r="D462" s="72" t="str">
        <f t="shared" si="1"/>
        <v>Nuevo</v>
      </c>
    </row>
    <row r="463" ht="15.75" customHeight="1">
      <c r="A463" s="71" t="str">
        <f>Registros!A463</f>
        <v>922@ingenierosvigo.com</v>
      </c>
      <c r="B463" s="5">
        <f>Registros!B463</f>
        <v>43958.72639</v>
      </c>
      <c r="C463" s="18" t="str">
        <f>IFNA(VLOOKUP(A463,'Registros - No nuevos'!A:A,1,0),"Nuevo")</f>
        <v>Nuevo</v>
      </c>
      <c r="D463" s="72" t="str">
        <f t="shared" si="1"/>
        <v>Nuevo</v>
      </c>
    </row>
    <row r="464" ht="15.75" customHeight="1">
      <c r="A464" s="71" t="str">
        <f>Registros!A464</f>
        <v>923@gmail.com</v>
      </c>
      <c r="B464" s="5">
        <f>Registros!B464</f>
        <v>43958.71111</v>
      </c>
      <c r="C464" s="18" t="str">
        <f>IFNA(VLOOKUP(A464,'Registros - No nuevos'!A:A,1,0),"Nuevo")</f>
        <v>Nuevo</v>
      </c>
      <c r="D464" s="72" t="str">
        <f t="shared" si="1"/>
        <v>Nuevo</v>
      </c>
    </row>
    <row r="465" ht="15.75" customHeight="1">
      <c r="A465" s="71" t="str">
        <f>Registros!A465</f>
        <v>924@msn.com</v>
      </c>
      <c r="B465" s="5">
        <f>Registros!B465</f>
        <v>43958.66667</v>
      </c>
      <c r="C465" s="18" t="str">
        <f>IFNA(VLOOKUP(A465,'Registros - No nuevos'!A:A,1,0),"Nuevo")</f>
        <v>Nuevo</v>
      </c>
      <c r="D465" s="72" t="str">
        <f t="shared" si="1"/>
        <v>Nuevo</v>
      </c>
    </row>
    <row r="466" ht="15.75" customHeight="1">
      <c r="A466" s="71" t="str">
        <f>Registros!A466</f>
        <v>933@orsei.es</v>
      </c>
      <c r="B466" s="5">
        <f>Registros!B466</f>
        <v>43958.23472</v>
      </c>
      <c r="C466" s="18" t="str">
        <f>IFNA(VLOOKUP(A466,'Registros - No nuevos'!A:A,1,0),"Nuevo")</f>
        <v>Nuevo</v>
      </c>
      <c r="D466" s="72" t="str">
        <f t="shared" si="1"/>
        <v>Nuevo</v>
      </c>
    </row>
    <row r="467" ht="15.75" customHeight="1">
      <c r="A467" s="71" t="str">
        <f>Registros!A467</f>
        <v>934@outlook.com</v>
      </c>
      <c r="B467" s="5">
        <f>Registros!B467</f>
        <v>43958.22083</v>
      </c>
      <c r="C467" s="18" t="str">
        <f>IFNA(VLOOKUP(A467,'Registros - No nuevos'!A:A,1,0),"Nuevo")</f>
        <v>Nuevo</v>
      </c>
      <c r="D467" s="72" t="str">
        <f t="shared" si="1"/>
        <v>Nuevo</v>
      </c>
    </row>
    <row r="468" ht="15.75" customHeight="1">
      <c r="A468" s="71" t="str">
        <f>Registros!A468</f>
        <v>935@gmail.com</v>
      </c>
      <c r="B468" s="5">
        <f>Registros!B468</f>
        <v>43957.92917</v>
      </c>
      <c r="C468" s="18" t="str">
        <f>IFNA(VLOOKUP(A468,'Registros - No nuevos'!A:A,1,0),"Nuevo")</f>
        <v>Nuevo</v>
      </c>
      <c r="D468" s="72" t="str">
        <f t="shared" si="1"/>
        <v>Nuevo</v>
      </c>
    </row>
    <row r="469" ht="15.75" customHeight="1">
      <c r="A469" s="71" t="str">
        <f>Registros!A469</f>
        <v>936@gmail.com</v>
      </c>
      <c r="B469" s="5">
        <f>Registros!B469</f>
        <v>43957.92014</v>
      </c>
      <c r="C469" s="18" t="str">
        <f>IFNA(VLOOKUP(A469,'Registros - No nuevos'!A:A,1,0),"Nuevo")</f>
        <v>Nuevo</v>
      </c>
      <c r="D469" s="72" t="str">
        <f t="shared" si="1"/>
        <v>Nuevo</v>
      </c>
    </row>
    <row r="470" ht="15.75" customHeight="1">
      <c r="A470" s="71" t="str">
        <f>Registros!A470</f>
        <v>937@gmail.com</v>
      </c>
      <c r="B470" s="5">
        <f>Registros!B470</f>
        <v>43957.79167</v>
      </c>
      <c r="C470" s="18" t="str">
        <f>IFNA(VLOOKUP(A470,'Registros - No nuevos'!A:A,1,0),"Nuevo")</f>
        <v>Nuevo</v>
      </c>
      <c r="D470" s="72" t="str">
        <f t="shared" si="1"/>
        <v>Nuevo</v>
      </c>
    </row>
    <row r="471" ht="15.75" customHeight="1">
      <c r="A471" s="71" t="str">
        <f>Registros!A471</f>
        <v>938@montegar.es</v>
      </c>
      <c r="B471" s="5">
        <f>Registros!B471</f>
        <v>43957.77222</v>
      </c>
      <c r="C471" s="18" t="str">
        <f>IFNA(VLOOKUP(A471,'Registros - No nuevos'!A:A,1,0),"Nuevo")</f>
        <v>Nuevo</v>
      </c>
      <c r="D471" s="72" t="str">
        <f t="shared" si="1"/>
        <v>Nuevo</v>
      </c>
    </row>
    <row r="472" ht="15.75" customHeight="1">
      <c r="A472" s="71" t="str">
        <f>Registros!A472</f>
        <v>939@gmail.com</v>
      </c>
      <c r="B472" s="5">
        <f>Registros!B472</f>
        <v>43957.75069</v>
      </c>
      <c r="C472" s="18" t="str">
        <f>IFNA(VLOOKUP(A472,'Registros - No nuevos'!A:A,1,0),"Nuevo")</f>
        <v>Nuevo</v>
      </c>
      <c r="D472" s="72" t="str">
        <f t="shared" si="1"/>
        <v>Nuevo</v>
      </c>
    </row>
    <row r="473" ht="15.75" customHeight="1">
      <c r="A473" s="71" t="str">
        <f>Registros!A473</f>
        <v>941@gmail.com</v>
      </c>
      <c r="B473" s="5">
        <f>Registros!B473</f>
        <v>43957.725</v>
      </c>
      <c r="C473" s="18" t="str">
        <f>IFNA(VLOOKUP(A473,'Registros - No nuevos'!A:A,1,0),"Nuevo")</f>
        <v>Nuevo</v>
      </c>
      <c r="D473" s="72" t="str">
        <f t="shared" si="1"/>
        <v>Nuevo</v>
      </c>
    </row>
    <row r="474" ht="15.75" customHeight="1">
      <c r="A474" s="71" t="str">
        <f>Registros!A474</f>
        <v>945@red.renault.es</v>
      </c>
      <c r="B474" s="5">
        <f>Registros!B474</f>
        <v>43957.4375</v>
      </c>
      <c r="C474" s="18" t="str">
        <f>IFNA(VLOOKUP(A474,'Registros - No nuevos'!A:A,1,0),"Nuevo")</f>
        <v>Nuevo</v>
      </c>
      <c r="D474" s="72" t="str">
        <f t="shared" si="1"/>
        <v>Nuevo</v>
      </c>
    </row>
    <row r="475" ht="15.75" customHeight="1">
      <c r="A475" s="71" t="str">
        <f>Registros!A475</f>
        <v>530@trilegend.com</v>
      </c>
      <c r="B475" s="5">
        <f>Registros!B475</f>
        <v>43957.38889</v>
      </c>
      <c r="C475" s="18" t="str">
        <f>IFNA(VLOOKUP(A475,'Registros - No nuevos'!A:A,1,0),"Nuevo")</f>
        <v>Nuevo</v>
      </c>
      <c r="D475" s="72" t="str">
        <f t="shared" si="1"/>
        <v>Nuevo</v>
      </c>
    </row>
    <row r="476" ht="15.75" customHeight="1">
      <c r="A476" s="71" t="str">
        <f>Registros!A476</f>
        <v>948@gmail.com</v>
      </c>
      <c r="B476" s="5">
        <f>Registros!B476</f>
        <v>43957.35278</v>
      </c>
      <c r="C476" s="18" t="str">
        <f>IFNA(VLOOKUP(A476,'Registros - No nuevos'!A:A,1,0),"Nuevo")</f>
        <v>Nuevo</v>
      </c>
      <c r="D476" s="72" t="str">
        <f t="shared" si="1"/>
        <v>Nuevo</v>
      </c>
    </row>
    <row r="477" ht="15.75" customHeight="1">
      <c r="A477" s="71" t="str">
        <f>Registros!A477</f>
        <v>950@grupocobra.com</v>
      </c>
      <c r="B477" s="5">
        <f>Registros!B477</f>
        <v>43957.27986</v>
      </c>
      <c r="C477" s="18" t="str">
        <f>IFNA(VLOOKUP(A477,'Registros - No nuevos'!A:A,1,0),"Nuevo")</f>
        <v>Nuevo</v>
      </c>
      <c r="D477" s="72" t="str">
        <f t="shared" si="1"/>
        <v>Nuevo</v>
      </c>
    </row>
    <row r="478" ht="15.75" customHeight="1">
      <c r="A478" s="71" t="str">
        <f>Registros!A478</f>
        <v>953@mosancar.com</v>
      </c>
      <c r="B478" s="5">
        <f>Registros!B478</f>
        <v>43956.89931</v>
      </c>
      <c r="C478" s="18" t="str">
        <f>IFNA(VLOOKUP(A478,'Registros - No nuevos'!A:A,1,0),"Nuevo")</f>
        <v>Nuevo</v>
      </c>
      <c r="D478" s="72" t="str">
        <f t="shared" si="1"/>
        <v>Nuevo</v>
      </c>
    </row>
    <row r="479" ht="15.75" customHeight="1">
      <c r="A479" s="71" t="str">
        <f>Registros!A479</f>
        <v>957@germaniaweb.com</v>
      </c>
      <c r="B479" s="5">
        <f>Registros!B479</f>
        <v>43956.74792</v>
      </c>
      <c r="C479" s="18" t="str">
        <f>IFNA(VLOOKUP(A479,'Registros - No nuevos'!A:A,1,0),"Nuevo")</f>
        <v>957@germaniaweb.com</v>
      </c>
      <c r="D479" s="72" t="str">
        <f t="shared" si="1"/>
        <v>No Nuevo</v>
      </c>
    </row>
    <row r="480" ht="15.75" customHeight="1">
      <c r="A480" s="71" t="str">
        <f>Registros!A480</f>
        <v>958@hotmail.es</v>
      </c>
      <c r="B480" s="5">
        <f>Registros!B480</f>
        <v>43956.73681</v>
      </c>
      <c r="C480" s="18" t="str">
        <f>IFNA(VLOOKUP(A480,'Registros - No nuevos'!A:A,1,0),"Nuevo")</f>
        <v>Nuevo</v>
      </c>
      <c r="D480" s="72" t="str">
        <f t="shared" si="1"/>
        <v>Nuevo</v>
      </c>
    </row>
    <row r="481" ht="15.75" customHeight="1">
      <c r="A481" s="71" t="str">
        <f>Registros!A481</f>
        <v>960@aqelectric.es</v>
      </c>
      <c r="B481" s="5">
        <f>Registros!B481</f>
        <v>43956.71806</v>
      </c>
      <c r="C481" s="18" t="str">
        <f>IFNA(VLOOKUP(A481,'Registros - No nuevos'!A:A,1,0),"Nuevo")</f>
        <v>960@aqelectric.es</v>
      </c>
      <c r="D481" s="72" t="str">
        <f t="shared" si="1"/>
        <v>No Nuevo</v>
      </c>
    </row>
    <row r="482" ht="15.75" customHeight="1">
      <c r="A482" s="71" t="str">
        <f>Registros!A482</f>
        <v>964@hotmail.com</v>
      </c>
      <c r="B482" s="5">
        <f>Registros!B482</f>
        <v>43956.53125</v>
      </c>
      <c r="C482" s="18" t="str">
        <f>IFNA(VLOOKUP(A482,'Registros - No nuevos'!A:A,1,0),"Nuevo")</f>
        <v>964@hotmail.com</v>
      </c>
      <c r="D482" s="72" t="str">
        <f t="shared" si="1"/>
        <v>No Nuevo</v>
      </c>
    </row>
    <row r="483" ht="15.75" customHeight="1">
      <c r="A483" s="71" t="str">
        <f>Registros!A483</f>
        <v>955@conras.es</v>
      </c>
      <c r="B483" s="5">
        <f>Registros!B483</f>
        <v>43956.45903</v>
      </c>
      <c r="C483" s="18" t="str">
        <f>IFNA(VLOOKUP(A483,'Registros - No nuevos'!A:A,1,0),"Nuevo")</f>
        <v>Nuevo</v>
      </c>
      <c r="D483" s="72" t="str">
        <f t="shared" si="1"/>
        <v>Nuevo</v>
      </c>
    </row>
    <row r="484" ht="15.75" customHeight="1">
      <c r="A484" s="71" t="str">
        <f>Registros!A484</f>
        <v>930@acciona.com</v>
      </c>
      <c r="B484" s="5">
        <f>Registros!B484</f>
        <v>43956.45625</v>
      </c>
      <c r="C484" s="18" t="str">
        <f>IFNA(VLOOKUP(A484,'Registros - No nuevos'!A:A,1,0),"Nuevo")</f>
        <v>930@acciona.com</v>
      </c>
      <c r="D484" s="72" t="str">
        <f t="shared" si="1"/>
        <v>No Nuevo</v>
      </c>
    </row>
    <row r="485" ht="15.75" customHeight="1">
      <c r="A485" s="71" t="str">
        <f>Registros!A485</f>
        <v>966@miguelmoralesingenieros.com</v>
      </c>
      <c r="B485" s="5">
        <f>Registros!B485</f>
        <v>43956.41944</v>
      </c>
      <c r="C485" s="18" t="str">
        <f>IFNA(VLOOKUP(A485,'Registros - No nuevos'!A:A,1,0),"Nuevo")</f>
        <v>966@miguelmoralesingenieros.com</v>
      </c>
      <c r="D485" s="72" t="str">
        <f t="shared" si="1"/>
        <v>No Nuevo</v>
      </c>
    </row>
    <row r="486" ht="15.75" customHeight="1">
      <c r="A486" s="71" t="str">
        <f>Registros!A486</f>
        <v>967@lacsl.es</v>
      </c>
      <c r="B486" s="5">
        <f>Registros!B486</f>
        <v>43956.41667</v>
      </c>
      <c r="C486" s="18" t="str">
        <f>IFNA(VLOOKUP(A486,'Registros - No nuevos'!A:A,1,0),"Nuevo")</f>
        <v>Nuevo</v>
      </c>
      <c r="D486" s="72" t="str">
        <f t="shared" si="1"/>
        <v>Nuevo</v>
      </c>
    </row>
    <row r="487" ht="15.75" customHeight="1">
      <c r="A487" s="71" t="str">
        <f>Registros!A487</f>
        <v>288@fcc.es</v>
      </c>
      <c r="B487" s="5">
        <f>Registros!B487</f>
        <v>43956.41458</v>
      </c>
      <c r="C487" s="18" t="str">
        <f>IFNA(VLOOKUP(A487,'Registros - No nuevos'!A:A,1,0),"Nuevo")</f>
        <v>288@fcc.es</v>
      </c>
      <c r="D487" s="72" t="str">
        <f t="shared" si="1"/>
        <v>No Nuevo</v>
      </c>
    </row>
    <row r="488" ht="15.75" customHeight="1">
      <c r="A488" s="71" t="str">
        <f>Registros!A488</f>
        <v>974@yahoo.es</v>
      </c>
      <c r="B488" s="5">
        <f>Registros!B488</f>
        <v>43956.28333</v>
      </c>
      <c r="C488" s="18" t="str">
        <f>IFNA(VLOOKUP(A488,'Registros - No nuevos'!A:A,1,0),"Nuevo")</f>
        <v>974@yahoo.es</v>
      </c>
      <c r="D488" s="72" t="str">
        <f t="shared" si="1"/>
        <v>No Nuevo</v>
      </c>
    </row>
    <row r="489" ht="15.75" customHeight="1">
      <c r="A489" s="71" t="str">
        <f>Registros!A489</f>
        <v>975@yahoo.com</v>
      </c>
      <c r="B489" s="5">
        <f>Registros!B489</f>
        <v>43956.14792</v>
      </c>
      <c r="C489" s="18" t="str">
        <f>IFNA(VLOOKUP(A489,'Registros - No nuevos'!A:A,1,0),"Nuevo")</f>
        <v>Nuevo</v>
      </c>
      <c r="D489" s="72" t="str">
        <f t="shared" si="1"/>
        <v>Nuevo</v>
      </c>
    </row>
    <row r="490" ht="15.75" customHeight="1">
      <c r="A490" s="71" t="str">
        <f>Registros!A490</f>
        <v>977@tarragona.cat</v>
      </c>
      <c r="B490" s="5">
        <f>Registros!B490</f>
        <v>43955.92361</v>
      </c>
      <c r="C490" s="18" t="str">
        <f>IFNA(VLOOKUP(A490,'Registros - No nuevos'!A:A,1,0),"Nuevo")</f>
        <v>Nuevo</v>
      </c>
      <c r="D490" s="72" t="str">
        <f t="shared" si="1"/>
        <v>Nuevo</v>
      </c>
    </row>
    <row r="491" ht="15.75" customHeight="1">
      <c r="A491" s="71" t="str">
        <f>Registros!A491</f>
        <v>3041@hotmail.com</v>
      </c>
      <c r="B491" s="5">
        <f>Registros!B491</f>
        <v>43955.72083</v>
      </c>
      <c r="C491" s="18" t="str">
        <f>IFNA(VLOOKUP(A491,'Registros - No nuevos'!A:A,1,0),"Nuevo")</f>
        <v>3041@hotmail.com</v>
      </c>
      <c r="D491" s="72" t="str">
        <f t="shared" si="1"/>
        <v>No Nuevo</v>
      </c>
    </row>
    <row r="492" ht="15.75" customHeight="1">
      <c r="A492" s="71" t="str">
        <f>Registros!A492</f>
        <v>985@jesnar2011.es</v>
      </c>
      <c r="B492" s="5">
        <f>Registros!B492</f>
        <v>43955.71875</v>
      </c>
      <c r="C492" s="18" t="str">
        <f>IFNA(VLOOKUP(A492,'Registros - No nuevos'!A:A,1,0),"Nuevo")</f>
        <v>985@jesnar2011.es</v>
      </c>
      <c r="D492" s="72" t="str">
        <f t="shared" si="1"/>
        <v>No Nuevo</v>
      </c>
    </row>
    <row r="493" ht="15.75" customHeight="1">
      <c r="A493" s="71" t="str">
        <f>Registros!A493</f>
        <v>987@ginsa.cat</v>
      </c>
      <c r="B493" s="5">
        <f>Registros!B493</f>
        <v>43955.69931</v>
      </c>
      <c r="C493" s="18" t="str">
        <f>IFNA(VLOOKUP(A493,'Registros - No nuevos'!A:A,1,0),"Nuevo")</f>
        <v>Nuevo</v>
      </c>
      <c r="D493" s="72" t="str">
        <f t="shared" si="1"/>
        <v>Nuevo</v>
      </c>
    </row>
    <row r="494" ht="15.75" customHeight="1">
      <c r="A494" s="71" t="str">
        <f>Registros!A494</f>
        <v>996@comb.cat</v>
      </c>
      <c r="B494" s="5">
        <f>Registros!B494</f>
        <v>43955.57014</v>
      </c>
      <c r="C494" s="18" t="str">
        <f>IFNA(VLOOKUP(A494,'Registros - No nuevos'!A:A,1,0),"Nuevo")</f>
        <v>Nuevo</v>
      </c>
      <c r="D494" s="72" t="str">
        <f t="shared" si="1"/>
        <v>Nuevo</v>
      </c>
    </row>
    <row r="495" ht="15.75" customHeight="1">
      <c r="A495" s="71" t="str">
        <f>Registros!A495</f>
        <v>997@yahoo.es</v>
      </c>
      <c r="B495" s="5">
        <f>Registros!B495</f>
        <v>43955.5625</v>
      </c>
      <c r="C495" s="18" t="str">
        <f>IFNA(VLOOKUP(A495,'Registros - No nuevos'!A:A,1,0),"Nuevo")</f>
        <v>Nuevo</v>
      </c>
      <c r="D495" s="72" t="str">
        <f t="shared" si="1"/>
        <v>Nuevo</v>
      </c>
    </row>
    <row r="496" ht="15.75" customHeight="1">
      <c r="A496" s="71" t="str">
        <f>Registros!A496</f>
        <v>998@damuvi.com</v>
      </c>
      <c r="B496" s="5">
        <f>Registros!B496</f>
        <v>43955.55972</v>
      </c>
      <c r="C496" s="18" t="str">
        <f>IFNA(VLOOKUP(A496,'Registros - No nuevos'!A:A,1,0),"Nuevo")</f>
        <v>998@damuvi.com</v>
      </c>
      <c r="D496" s="72" t="str">
        <f t="shared" si="1"/>
        <v>No Nuevo</v>
      </c>
    </row>
    <row r="497" ht="15.75" customHeight="1">
      <c r="A497" s="71" t="str">
        <f>Registros!A497</f>
        <v>833@ofitecbp.com</v>
      </c>
      <c r="B497" s="5">
        <f>Registros!B497</f>
        <v>43955.50694</v>
      </c>
      <c r="C497" s="18" t="str">
        <f>IFNA(VLOOKUP(A497,'Registros - No nuevos'!A:A,1,0),"Nuevo")</f>
        <v>833@ofitecbp.com</v>
      </c>
      <c r="D497" s="72" t="str">
        <f t="shared" si="1"/>
        <v>No Nuevo</v>
      </c>
    </row>
    <row r="498" ht="15.75" customHeight="1">
      <c r="A498" s="71" t="str">
        <f>Registros!A498</f>
        <v>1005@allendearquitectos.com</v>
      </c>
      <c r="B498" s="5">
        <f>Registros!B498</f>
        <v>43955.49167</v>
      </c>
      <c r="C498" s="18" t="str">
        <f>IFNA(VLOOKUP(A498,'Registros - No nuevos'!A:A,1,0),"Nuevo")</f>
        <v>1005@allendearquitectos.com</v>
      </c>
      <c r="D498" s="72" t="str">
        <f t="shared" si="1"/>
        <v>No Nuevo</v>
      </c>
    </row>
    <row r="499" ht="15.75" customHeight="1">
      <c r="A499" s="71" t="str">
        <f>Registros!A499</f>
        <v>1007@yahoo.es</v>
      </c>
      <c r="B499" s="5">
        <f>Registros!B499</f>
        <v>43955.44236</v>
      </c>
      <c r="C499" s="18" t="str">
        <f>IFNA(VLOOKUP(A499,'Registros - No nuevos'!A:A,1,0),"Nuevo")</f>
        <v>Nuevo</v>
      </c>
      <c r="D499" s="72" t="str">
        <f t="shared" si="1"/>
        <v>Nuevo</v>
      </c>
    </row>
    <row r="500" ht="15.75" customHeight="1">
      <c r="A500" s="71" t="str">
        <f>Registros!A500</f>
        <v>264@edaie.com</v>
      </c>
      <c r="B500" s="5">
        <f>Registros!B500</f>
        <v>43955.42083</v>
      </c>
      <c r="C500" s="18" t="str">
        <f>IFNA(VLOOKUP(A500,'Registros - No nuevos'!A:A,1,0),"Nuevo")</f>
        <v>264@edaie.com</v>
      </c>
      <c r="D500" s="72" t="str">
        <f t="shared" si="1"/>
        <v>No Nuevo</v>
      </c>
    </row>
    <row r="501" ht="15.75" customHeight="1">
      <c r="A501" s="71" t="str">
        <f>Registros!A501</f>
        <v>1012@formasymateriales.com</v>
      </c>
      <c r="B501" s="5">
        <f>Registros!B501</f>
        <v>43955.41528</v>
      </c>
      <c r="C501" s="18" t="str">
        <f>IFNA(VLOOKUP(A501,'Registros - No nuevos'!A:A,1,0),"Nuevo")</f>
        <v>Nuevo</v>
      </c>
      <c r="D501" s="72" t="str">
        <f t="shared" si="1"/>
        <v>Nuevo</v>
      </c>
    </row>
    <row r="502" ht="15.75" customHeight="1">
      <c r="A502" s="71" t="str">
        <f>Registros!A502</f>
        <v>1013@hotmail.com</v>
      </c>
      <c r="B502" s="5">
        <f>Registros!B502</f>
        <v>43955.39931</v>
      </c>
      <c r="C502" s="18" t="str">
        <f>IFNA(VLOOKUP(A502,'Registros - No nuevos'!A:A,1,0),"Nuevo")</f>
        <v>1013@hotmail.com</v>
      </c>
      <c r="D502" s="72" t="str">
        <f t="shared" si="1"/>
        <v>No Nuevo</v>
      </c>
    </row>
    <row r="503" ht="15.75" customHeight="1">
      <c r="A503" s="71" t="str">
        <f>Registros!A503</f>
        <v>1023@hotmail.com</v>
      </c>
      <c r="B503" s="5">
        <f>Registros!B503</f>
        <v>43955.36111</v>
      </c>
      <c r="C503" s="18" t="str">
        <f>IFNA(VLOOKUP(A503,'Registros - No nuevos'!A:A,1,0),"Nuevo")</f>
        <v>Nuevo</v>
      </c>
      <c r="D503" s="72" t="str">
        <f t="shared" si="1"/>
        <v>Nuevo</v>
      </c>
    </row>
    <row r="504" ht="15.75" customHeight="1">
      <c r="A504" s="71" t="str">
        <f>Registros!A504</f>
        <v>811@proinsermant.com</v>
      </c>
      <c r="B504" s="5">
        <f>Registros!B504</f>
        <v>43955.02222</v>
      </c>
      <c r="C504" s="18" t="str">
        <f>IFNA(VLOOKUP(A504,'Registros - No nuevos'!A:A,1,0),"Nuevo")</f>
        <v>Nuevo</v>
      </c>
      <c r="D504" s="72" t="str">
        <f t="shared" si="1"/>
        <v>Nuevo</v>
      </c>
    </row>
    <row r="505" ht="15.75" customHeight="1">
      <c r="A505" s="71" t="str">
        <f>Registros!A505</f>
        <v>917@gmail.com</v>
      </c>
      <c r="B505" s="5">
        <f>Registros!B505</f>
        <v>43954.96736</v>
      </c>
      <c r="C505" s="18" t="str">
        <f>IFNA(VLOOKUP(A505,'Registros - No nuevos'!A:A,1,0),"Nuevo")</f>
        <v>917@gmail.com</v>
      </c>
      <c r="D505" s="72" t="str">
        <f t="shared" si="1"/>
        <v>No Nuevo</v>
      </c>
    </row>
    <row r="506" ht="15.75" customHeight="1">
      <c r="A506" s="71" t="str">
        <f>Registros!A506</f>
        <v>1034@gmail.com</v>
      </c>
      <c r="B506" s="5">
        <f>Registros!B506</f>
        <v>43954.94444</v>
      </c>
      <c r="C506" s="18" t="str">
        <f>IFNA(VLOOKUP(A506,'Registros - No nuevos'!A:A,1,0),"Nuevo")</f>
        <v>Nuevo</v>
      </c>
      <c r="D506" s="72" t="str">
        <f t="shared" si="1"/>
        <v>Nuevo</v>
      </c>
    </row>
    <row r="507" ht="15.75" customHeight="1">
      <c r="A507" s="71" t="str">
        <f>Registros!A507</f>
        <v>1037@gmail.com</v>
      </c>
      <c r="B507" s="5">
        <f>Registros!B507</f>
        <v>43954.79653</v>
      </c>
      <c r="C507" s="18" t="str">
        <f>IFNA(VLOOKUP(A507,'Registros - No nuevos'!A:A,1,0),"Nuevo")</f>
        <v>Nuevo</v>
      </c>
      <c r="D507" s="72" t="str">
        <f t="shared" si="1"/>
        <v>Nuevo</v>
      </c>
    </row>
    <row r="508" ht="15.75" customHeight="1">
      <c r="A508" s="71" t="str">
        <f>Registros!A508</f>
        <v>1038@gmail.com</v>
      </c>
      <c r="B508" s="5">
        <f>Registros!B508</f>
        <v>43954.79444</v>
      </c>
      <c r="C508" s="18" t="str">
        <f>IFNA(VLOOKUP(A508,'Registros - No nuevos'!A:A,1,0),"Nuevo")</f>
        <v>Nuevo</v>
      </c>
      <c r="D508" s="72" t="str">
        <f t="shared" si="1"/>
        <v>Nuevo</v>
      </c>
    </row>
    <row r="509" ht="15.75" customHeight="1">
      <c r="A509" s="71" t="str">
        <f>Registros!A509</f>
        <v>1039@yahoo.es</v>
      </c>
      <c r="B509" s="5">
        <f>Registros!B509</f>
        <v>43954.77708</v>
      </c>
      <c r="C509" s="18" t="str">
        <f>IFNA(VLOOKUP(A509,'Registros - No nuevos'!A:A,1,0),"Nuevo")</f>
        <v>Nuevo</v>
      </c>
      <c r="D509" s="72" t="str">
        <f t="shared" si="1"/>
        <v>Nuevo</v>
      </c>
    </row>
    <row r="510" ht="15.75" customHeight="1">
      <c r="A510" s="71" t="str">
        <f>Registros!A510</f>
        <v>1040@gmail.com</v>
      </c>
      <c r="B510" s="5">
        <f>Registros!B510</f>
        <v>43954.675</v>
      </c>
      <c r="C510" s="18" t="str">
        <f>IFNA(VLOOKUP(A510,'Registros - No nuevos'!A:A,1,0),"Nuevo")</f>
        <v>Nuevo</v>
      </c>
      <c r="D510" s="72" t="str">
        <f t="shared" si="1"/>
        <v>Nuevo</v>
      </c>
    </row>
    <row r="511" ht="15.75" customHeight="1">
      <c r="A511" s="71" t="str">
        <f>Registros!A511</f>
        <v>1041@jordimoran.es</v>
      </c>
      <c r="B511" s="5">
        <f>Registros!B511</f>
        <v>43954.64028</v>
      </c>
      <c r="C511" s="18" t="str">
        <f>IFNA(VLOOKUP(A511,'Registros - No nuevos'!A:A,1,0),"Nuevo")</f>
        <v>Nuevo</v>
      </c>
      <c r="D511" s="72" t="str">
        <f t="shared" si="1"/>
        <v>Nuevo</v>
      </c>
    </row>
    <row r="512" ht="15.75" customHeight="1">
      <c r="A512" s="71" t="str">
        <f>Registros!A512</f>
        <v>1043@gmail.com</v>
      </c>
      <c r="B512" s="5">
        <f>Registros!B512</f>
        <v>43954.47917</v>
      </c>
      <c r="C512" s="18" t="str">
        <f>IFNA(VLOOKUP(A512,'Registros - No nuevos'!A:A,1,0),"Nuevo")</f>
        <v>Nuevo</v>
      </c>
      <c r="D512" s="72" t="str">
        <f t="shared" si="1"/>
        <v>Nuevo</v>
      </c>
    </row>
    <row r="513" ht="15.75" customHeight="1">
      <c r="A513" s="71" t="str">
        <f>Registros!A513</f>
        <v>1044@hotmail.com</v>
      </c>
      <c r="B513" s="5">
        <f>Registros!B513</f>
        <v>43954.44931</v>
      </c>
      <c r="C513" s="18" t="str">
        <f>IFNA(VLOOKUP(A513,'Registros - No nuevos'!A:A,1,0),"Nuevo")</f>
        <v>Nuevo</v>
      </c>
      <c r="D513" s="72" t="str">
        <f t="shared" si="1"/>
        <v>Nuevo</v>
      </c>
    </row>
    <row r="514" ht="15.75" customHeight="1">
      <c r="A514" s="71" t="str">
        <f>Registros!A514</f>
        <v>1046@gmail.com</v>
      </c>
      <c r="B514" s="5">
        <f>Registros!B514</f>
        <v>43954.06736</v>
      </c>
      <c r="C514" s="18" t="str">
        <f>IFNA(VLOOKUP(A514,'Registros - No nuevos'!A:A,1,0),"Nuevo")</f>
        <v>Nuevo</v>
      </c>
      <c r="D514" s="72" t="str">
        <f t="shared" si="1"/>
        <v>Nuevo</v>
      </c>
    </row>
    <row r="515" ht="15.75" customHeight="1">
      <c r="A515" s="71" t="str">
        <f>Registros!A515</f>
        <v>1052@yahoo.es</v>
      </c>
      <c r="B515" s="5">
        <f>Registros!B515</f>
        <v>43953.68819</v>
      </c>
      <c r="C515" s="18" t="str">
        <f>IFNA(VLOOKUP(A515,'Registros - No nuevos'!A:A,1,0),"Nuevo")</f>
        <v>Nuevo</v>
      </c>
      <c r="D515" s="72" t="str">
        <f t="shared" si="1"/>
        <v>Nuevo</v>
      </c>
    </row>
    <row r="516" ht="15.75" customHeight="1">
      <c r="A516" s="71" t="str">
        <f>Registros!A516</f>
        <v>1055@gmail.com</v>
      </c>
      <c r="B516" s="5">
        <f>Registros!B516</f>
        <v>43953.52847</v>
      </c>
      <c r="C516" s="18" t="str">
        <f>IFNA(VLOOKUP(A516,'Registros - No nuevos'!A:A,1,0),"Nuevo")</f>
        <v>Nuevo</v>
      </c>
      <c r="D516" s="72" t="str">
        <f t="shared" si="1"/>
        <v>Nuevo</v>
      </c>
    </row>
    <row r="517" ht="15.75" customHeight="1">
      <c r="A517" s="71" t="str">
        <f>Registros!A517</f>
        <v>1057@gmsil.com</v>
      </c>
      <c r="B517" s="5">
        <f>Registros!B517</f>
        <v>43953.44861</v>
      </c>
      <c r="C517" s="18" t="str">
        <f>IFNA(VLOOKUP(A517,'Registros - No nuevos'!A:A,1,0),"Nuevo")</f>
        <v>Nuevo</v>
      </c>
      <c r="D517" s="72" t="str">
        <f t="shared" si="1"/>
        <v>Nuevo</v>
      </c>
    </row>
    <row r="518" ht="15.75" customHeight="1">
      <c r="A518" s="71" t="str">
        <f>Registros!A518</f>
        <v>1058@gmail.com</v>
      </c>
      <c r="B518" s="5">
        <f>Registros!B518</f>
        <v>43953.44653</v>
      </c>
      <c r="C518" s="18" t="str">
        <f>IFNA(VLOOKUP(A518,'Registros - No nuevos'!A:A,1,0),"Nuevo")</f>
        <v>1058@gmail.com</v>
      </c>
      <c r="D518" s="72" t="str">
        <f t="shared" si="1"/>
        <v>No Nuevo</v>
      </c>
    </row>
    <row r="519" ht="15.75" customHeight="1">
      <c r="A519" s="71" t="str">
        <f>Registros!A519</f>
        <v>978@gmail.com</v>
      </c>
      <c r="B519" s="5">
        <f>Registros!B519</f>
        <v>43953.31319</v>
      </c>
      <c r="C519" s="18" t="str">
        <f>IFNA(VLOOKUP(A519,'Registros - No nuevos'!A:A,1,0),"Nuevo")</f>
        <v>978@gmail.com</v>
      </c>
      <c r="D519" s="72" t="str">
        <f t="shared" si="1"/>
        <v>No Nuevo</v>
      </c>
    </row>
    <row r="520" ht="15.75" customHeight="1">
      <c r="A520" s="71" t="str">
        <f>Registros!A520</f>
        <v>1002@hotmail.com</v>
      </c>
      <c r="B520" s="5">
        <f>Registros!B520</f>
        <v>43952.96528</v>
      </c>
      <c r="C520" s="18" t="str">
        <f>IFNA(VLOOKUP(A520,'Registros - No nuevos'!A:A,1,0),"Nuevo")</f>
        <v>1002@hotmail.com</v>
      </c>
      <c r="D520" s="72" t="str">
        <f t="shared" si="1"/>
        <v>No Nuevo</v>
      </c>
    </row>
    <row r="521" ht="15.75" customHeight="1">
      <c r="A521" s="71" t="str">
        <f>Registros!A521</f>
        <v>1061@perezescribano.es</v>
      </c>
      <c r="B521" s="5">
        <f>Registros!B521</f>
        <v>43952.95694</v>
      </c>
      <c r="C521" s="18" t="str">
        <f>IFNA(VLOOKUP(A521,'Registros - No nuevos'!A:A,1,0),"Nuevo")</f>
        <v>1061@perezescribano.es</v>
      </c>
      <c r="D521" s="72" t="str">
        <f t="shared" si="1"/>
        <v>No Nuevo</v>
      </c>
    </row>
    <row r="522" ht="15.75" customHeight="1">
      <c r="A522" s="71" t="str">
        <f>Registros!A522</f>
        <v>1064@abxat.com</v>
      </c>
      <c r="B522" s="5">
        <f>Registros!B522</f>
        <v>43952.85972</v>
      </c>
      <c r="C522" s="18" t="str">
        <f>IFNA(VLOOKUP(A522,'Registros - No nuevos'!A:A,1,0),"Nuevo")</f>
        <v>Nuevo</v>
      </c>
      <c r="D522" s="72" t="str">
        <f t="shared" si="1"/>
        <v>Nuevo</v>
      </c>
    </row>
    <row r="523" ht="15.75" customHeight="1">
      <c r="A523" s="71" t="str">
        <f>Registros!A523</f>
        <v>1066@gmail.com</v>
      </c>
      <c r="B523" s="5">
        <f>Registros!B523</f>
        <v>43952.82847</v>
      </c>
      <c r="C523" s="18" t="str">
        <f>IFNA(VLOOKUP(A523,'Registros - No nuevos'!A:A,1,0),"Nuevo")</f>
        <v>Nuevo</v>
      </c>
      <c r="D523" s="72" t="str">
        <f t="shared" si="1"/>
        <v>Nuevo</v>
      </c>
    </row>
    <row r="524" ht="15.75" customHeight="1">
      <c r="A524" s="71" t="str">
        <f>Registros!A524</f>
        <v>1067@gmail.com</v>
      </c>
      <c r="B524" s="5">
        <f>Registros!B524</f>
        <v>43952.80556</v>
      </c>
      <c r="C524" s="18" t="str">
        <f>IFNA(VLOOKUP(A524,'Registros - No nuevos'!A:A,1,0),"Nuevo")</f>
        <v>1067@gmail.com</v>
      </c>
      <c r="D524" s="72" t="str">
        <f t="shared" si="1"/>
        <v>No Nuevo</v>
      </c>
    </row>
    <row r="525" ht="15.75" customHeight="1">
      <c r="A525" s="71" t="str">
        <f>Registros!A525</f>
        <v>999@aeperez.es</v>
      </c>
      <c r="B525" s="5">
        <f>Registros!B525</f>
        <v>43952.77083</v>
      </c>
      <c r="C525" s="18" t="str">
        <f>IFNA(VLOOKUP(A525,'Registros - No nuevos'!A:A,1,0),"Nuevo")</f>
        <v>Nuevo</v>
      </c>
      <c r="D525" s="72" t="str">
        <f t="shared" si="1"/>
        <v>Nuevo</v>
      </c>
    </row>
    <row r="526" ht="15.75" customHeight="1">
      <c r="A526" s="71" t="str">
        <f>Registros!A526</f>
        <v>673@gmail.com</v>
      </c>
      <c r="B526" s="5">
        <f>Registros!B526</f>
        <v>43952.74167</v>
      </c>
      <c r="C526" s="18" t="str">
        <f>IFNA(VLOOKUP(A526,'Registros - No nuevos'!A:A,1,0),"Nuevo")</f>
        <v>Nuevo</v>
      </c>
      <c r="D526" s="72" t="str">
        <f t="shared" si="1"/>
        <v>Nuevo</v>
      </c>
    </row>
    <row r="527" ht="15.75" customHeight="1">
      <c r="A527" s="71" t="str">
        <f>Registros!A527</f>
        <v>1072@gmail.com</v>
      </c>
      <c r="B527" s="5">
        <f>Registros!B527</f>
        <v>43952.61181</v>
      </c>
      <c r="C527" s="18" t="str">
        <f>IFNA(VLOOKUP(A527,'Registros - No nuevos'!A:A,1,0),"Nuevo")</f>
        <v>1072@gmail.com</v>
      </c>
      <c r="D527" s="72" t="str">
        <f t="shared" si="1"/>
        <v>No Nuevo</v>
      </c>
    </row>
    <row r="528" ht="15.75" customHeight="1">
      <c r="A528" s="71" t="str">
        <f>Registros!A528</f>
        <v>835@gmail.com</v>
      </c>
      <c r="B528" s="5">
        <f>Registros!B528</f>
        <v>43952.54653</v>
      </c>
      <c r="C528" s="18" t="str">
        <f>IFNA(VLOOKUP(A528,'Registros - No nuevos'!A:A,1,0),"Nuevo")</f>
        <v>Nuevo</v>
      </c>
      <c r="D528" s="72" t="str">
        <f t="shared" si="1"/>
        <v>Nuevo</v>
      </c>
    </row>
    <row r="529" ht="15.75" customHeight="1">
      <c r="A529" s="71" t="str">
        <f>Registros!A529</f>
        <v>1075@gmail.com</v>
      </c>
      <c r="B529" s="5">
        <f>Registros!B529</f>
        <v>43952.51667</v>
      </c>
      <c r="C529" s="18" t="str">
        <f>IFNA(VLOOKUP(A529,'Registros - No nuevos'!A:A,1,0),"Nuevo")</f>
        <v>1075@gmail.com</v>
      </c>
      <c r="D529" s="72" t="str">
        <f t="shared" si="1"/>
        <v>No Nuevo</v>
      </c>
    </row>
    <row r="530" ht="15.75" customHeight="1">
      <c r="A530" s="71" t="str">
        <f>Registros!A530</f>
        <v>1076@gmail.com</v>
      </c>
      <c r="B530" s="5">
        <f>Registros!B530</f>
        <v>43952.50208</v>
      </c>
      <c r="C530" s="18" t="str">
        <f>IFNA(VLOOKUP(A530,'Registros - No nuevos'!A:A,1,0),"Nuevo")</f>
        <v>Nuevo</v>
      </c>
      <c r="D530" s="72" t="str">
        <f t="shared" si="1"/>
        <v>Nuevo</v>
      </c>
    </row>
    <row r="531" ht="15.75" customHeight="1">
      <c r="A531" s="71" t="str">
        <f>Registros!A531</f>
        <v>1077@hotmail.com</v>
      </c>
      <c r="B531" s="5">
        <f>Registros!B531</f>
        <v>43952.49722</v>
      </c>
      <c r="C531" s="18" t="str">
        <f>IFNA(VLOOKUP(A531,'Registros - No nuevos'!A:A,1,0),"Nuevo")</f>
        <v>1077@hotmail.com</v>
      </c>
      <c r="D531" s="72" t="str">
        <f t="shared" si="1"/>
        <v>No Nuevo</v>
      </c>
    </row>
    <row r="532" ht="15.75" customHeight="1">
      <c r="A532" s="71" t="str">
        <f>Registros!A532</f>
        <v>1078@gmail.com</v>
      </c>
      <c r="B532" s="5">
        <f>Registros!B532</f>
        <v>43952.49583</v>
      </c>
      <c r="C532" s="18" t="str">
        <f>IFNA(VLOOKUP(A532,'Registros - No nuevos'!A:A,1,0),"Nuevo")</f>
        <v>1078@gmail.com</v>
      </c>
      <c r="D532" s="72" t="str">
        <f t="shared" si="1"/>
        <v>No Nuevo</v>
      </c>
    </row>
    <row r="533" ht="15.75" customHeight="1">
      <c r="A533" s="71" t="str">
        <f>Registros!A533</f>
        <v>1082@gmail.com</v>
      </c>
      <c r="B533" s="5">
        <f>Registros!B533</f>
        <v>43952.35833</v>
      </c>
      <c r="C533" s="18" t="str">
        <f>IFNA(VLOOKUP(A533,'Registros - No nuevos'!A:A,1,0),"Nuevo")</f>
        <v>Nuevo</v>
      </c>
      <c r="D533" s="72" t="str">
        <f t="shared" si="1"/>
        <v>Nuevo</v>
      </c>
    </row>
    <row r="534" ht="15.75" customHeight="1">
      <c r="A534" s="71" t="str">
        <f>Registros!A534</f>
        <v>1083@hotmail.com</v>
      </c>
      <c r="B534" s="5">
        <f>Registros!B534</f>
        <v>43952.30347</v>
      </c>
      <c r="C534" s="18" t="str">
        <f>IFNA(VLOOKUP(A534,'Registros - No nuevos'!A:A,1,0),"Nuevo")</f>
        <v>Nuevo</v>
      </c>
      <c r="D534" s="72" t="str">
        <f t="shared" si="1"/>
        <v>Nuevo</v>
      </c>
    </row>
    <row r="535" ht="15.75" customHeight="1">
      <c r="A535" s="71" t="str">
        <f>Registros!A535</f>
        <v>1084@gmail.com</v>
      </c>
      <c r="B535" s="5">
        <f>Registros!B535</f>
        <v>43951.97847</v>
      </c>
      <c r="C535" s="18" t="str">
        <f>IFNA(VLOOKUP(A535,'Registros - No nuevos'!A:A,1,0),"Nuevo")</f>
        <v>1084@gmail.com</v>
      </c>
      <c r="D535" s="72" t="str">
        <f t="shared" si="1"/>
        <v>No Nuevo</v>
      </c>
    </row>
    <row r="536" ht="15.75" customHeight="1">
      <c r="A536" s="71" t="str">
        <f>Registros!A536</f>
        <v>1090@hotmail.com</v>
      </c>
      <c r="B536" s="5">
        <f>Registros!B536</f>
        <v>43951.89514</v>
      </c>
      <c r="C536" s="18" t="str">
        <f>IFNA(VLOOKUP(A536,'Registros - No nuevos'!A:A,1,0),"Nuevo")</f>
        <v>1090@hotmail.com</v>
      </c>
      <c r="D536" s="72" t="str">
        <f t="shared" si="1"/>
        <v>No Nuevo</v>
      </c>
    </row>
    <row r="537" ht="15.75" customHeight="1">
      <c r="A537" s="71" t="str">
        <f>Registros!A537</f>
        <v>1095@gmail.com</v>
      </c>
      <c r="B537" s="5">
        <f>Registros!B537</f>
        <v>43951.87431</v>
      </c>
      <c r="C537" s="18" t="str">
        <f>IFNA(VLOOKUP(A537,'Registros - No nuevos'!A:A,1,0),"Nuevo")</f>
        <v>1095@gmail.com</v>
      </c>
      <c r="D537" s="72" t="str">
        <f t="shared" si="1"/>
        <v>No Nuevo</v>
      </c>
    </row>
    <row r="538" ht="15.75" customHeight="1">
      <c r="A538" s="71" t="str">
        <f>Registros!A538</f>
        <v>984@gmail.com</v>
      </c>
      <c r="B538" s="5">
        <f>Registros!B538</f>
        <v>43951.81736</v>
      </c>
      <c r="C538" s="18" t="str">
        <f>IFNA(VLOOKUP(A538,'Registros - No nuevos'!A:A,1,0),"Nuevo")</f>
        <v>984@gmail.com</v>
      </c>
      <c r="D538" s="72" t="str">
        <f t="shared" si="1"/>
        <v>No Nuevo</v>
      </c>
    </row>
    <row r="539" ht="15.75" customHeight="1">
      <c r="A539" s="71" t="str">
        <f>Registros!A539</f>
        <v>1101@hotmail.com</v>
      </c>
      <c r="B539" s="5">
        <f>Registros!B539</f>
        <v>43951.76389</v>
      </c>
      <c r="C539" s="18" t="str">
        <f>IFNA(VLOOKUP(A539,'Registros - No nuevos'!A:A,1,0),"Nuevo")</f>
        <v>1101@hotmail.com</v>
      </c>
      <c r="D539" s="72" t="str">
        <f t="shared" si="1"/>
        <v>No Nuevo</v>
      </c>
    </row>
    <row r="540" ht="15.75" customHeight="1">
      <c r="A540" s="71" t="str">
        <f>Registros!A540</f>
        <v>1102@gmail.com</v>
      </c>
      <c r="B540" s="5">
        <f>Registros!B540</f>
        <v>43951.73125</v>
      </c>
      <c r="C540" s="18" t="str">
        <f>IFNA(VLOOKUP(A540,'Registros - No nuevos'!A:A,1,0),"Nuevo")</f>
        <v>1102@gmail.com</v>
      </c>
      <c r="D540" s="72" t="str">
        <f t="shared" si="1"/>
        <v>No Nuevo</v>
      </c>
    </row>
    <row r="541" ht="15.75" customHeight="1">
      <c r="A541" s="71" t="str">
        <f>Registros!A541</f>
        <v>1103@montajeselectricosfase.com</v>
      </c>
      <c r="B541" s="5">
        <f>Registros!B541</f>
        <v>43951.72778</v>
      </c>
      <c r="C541" s="18" t="str">
        <f>IFNA(VLOOKUP(A541,'Registros - No nuevos'!A:A,1,0),"Nuevo")</f>
        <v>1103@montajeselectricosfase.com</v>
      </c>
      <c r="D541" s="72" t="str">
        <f t="shared" si="1"/>
        <v>No Nuevo</v>
      </c>
    </row>
    <row r="542" ht="15.75" customHeight="1">
      <c r="A542" s="71" t="str">
        <f>Registros!A542</f>
        <v>1107@ryaingenieros.com</v>
      </c>
      <c r="B542" s="5">
        <f>Registros!B542</f>
        <v>43951.67569</v>
      </c>
      <c r="C542" s="18" t="str">
        <f>IFNA(VLOOKUP(A542,'Registros - No nuevos'!A:A,1,0),"Nuevo")</f>
        <v>1107@ryaingenieros.com</v>
      </c>
      <c r="D542" s="72" t="str">
        <f t="shared" si="1"/>
        <v>No Nuevo</v>
      </c>
    </row>
    <row r="543" ht="15.75" customHeight="1">
      <c r="A543" s="71" t="str">
        <f>Registros!A543</f>
        <v>1110@gmail.com</v>
      </c>
      <c r="B543" s="5">
        <f>Registros!B543</f>
        <v>43951.58958</v>
      </c>
      <c r="C543" s="18" t="str">
        <f>IFNA(VLOOKUP(A543,'Registros - No nuevos'!A:A,1,0),"Nuevo")</f>
        <v>1110@gmail.com</v>
      </c>
      <c r="D543" s="72" t="str">
        <f t="shared" si="1"/>
        <v>No Nuevo</v>
      </c>
    </row>
    <row r="544" ht="15.75" customHeight="1">
      <c r="A544" s="71" t="str">
        <f>Registros!A544</f>
        <v>1114@teclisa.com</v>
      </c>
      <c r="B544" s="5">
        <f>Registros!B544</f>
        <v>43951.55764</v>
      </c>
      <c r="C544" s="18" t="str">
        <f>IFNA(VLOOKUP(A544,'Registros - No nuevos'!A:A,1,0),"Nuevo")</f>
        <v>1114@teclisa.com</v>
      </c>
      <c r="D544" s="72" t="str">
        <f t="shared" si="1"/>
        <v>No Nuevo</v>
      </c>
    </row>
    <row r="545" ht="15.75" customHeight="1">
      <c r="A545" s="71" t="str">
        <f>Registros!A545</f>
        <v>1117@hotmail.com</v>
      </c>
      <c r="B545" s="5">
        <f>Registros!B545</f>
        <v>43951.53194</v>
      </c>
      <c r="C545" s="18" t="str">
        <f>IFNA(VLOOKUP(A545,'Registros - No nuevos'!A:A,1,0),"Nuevo")</f>
        <v>1117@hotmail.com</v>
      </c>
      <c r="D545" s="72" t="str">
        <f t="shared" si="1"/>
        <v>No Nuevo</v>
      </c>
    </row>
    <row r="546" ht="15.75" customHeight="1">
      <c r="A546" s="71" t="str">
        <f>Registros!A546</f>
        <v>1119@gmail.com</v>
      </c>
      <c r="B546" s="5">
        <f>Registros!B546</f>
        <v>43951.52292</v>
      </c>
      <c r="C546" s="18" t="str">
        <f>IFNA(VLOOKUP(A546,'Registros - No nuevos'!A:A,1,0),"Nuevo")</f>
        <v>1119@gmail.com</v>
      </c>
      <c r="D546" s="72" t="str">
        <f t="shared" si="1"/>
        <v>No Nuevo</v>
      </c>
    </row>
    <row r="547" ht="15.75" customHeight="1">
      <c r="A547" s="71" t="str">
        <f>Registros!A547</f>
        <v>320@gmail.com</v>
      </c>
      <c r="B547" s="5">
        <f>Registros!B547</f>
        <v>43951.50694</v>
      </c>
      <c r="C547" s="18" t="str">
        <f>IFNA(VLOOKUP(A547,'Registros - No nuevos'!A:A,1,0),"Nuevo")</f>
        <v>320@gmail.com</v>
      </c>
      <c r="D547" s="72" t="str">
        <f t="shared" si="1"/>
        <v>No Nuevo</v>
      </c>
    </row>
    <row r="548" ht="15.75" customHeight="1">
      <c r="A548" s="71" t="str">
        <f>Registros!A548</f>
        <v>1127@telefonica.net</v>
      </c>
      <c r="B548" s="5">
        <f>Registros!B548</f>
        <v>43951.49653</v>
      </c>
      <c r="C548" s="18" t="str">
        <f>IFNA(VLOOKUP(A548,'Registros - No nuevos'!A:A,1,0),"Nuevo")</f>
        <v>1127@telefonica.net</v>
      </c>
      <c r="D548" s="72" t="str">
        <f t="shared" si="1"/>
        <v>No Nuevo</v>
      </c>
    </row>
    <row r="549" ht="15.75" customHeight="1">
      <c r="A549" s="71" t="str">
        <f>Registros!A549</f>
        <v>1129@eselfri.com</v>
      </c>
      <c r="B549" s="5">
        <f>Registros!B549</f>
        <v>43951.45694</v>
      </c>
      <c r="C549" s="18" t="str">
        <f>IFNA(VLOOKUP(A549,'Registros - No nuevos'!A:A,1,0),"Nuevo")</f>
        <v>1129@eselfri.com</v>
      </c>
      <c r="D549" s="72" t="str">
        <f t="shared" si="1"/>
        <v>No Nuevo</v>
      </c>
    </row>
    <row r="550" ht="15.75" customHeight="1">
      <c r="A550" s="71" t="str">
        <f>Registros!A550</f>
        <v>1134@integratoledo.com</v>
      </c>
      <c r="B550" s="5">
        <f>Registros!B550</f>
        <v>43951.425</v>
      </c>
      <c r="C550" s="18" t="str">
        <f>IFNA(VLOOKUP(A550,'Registros - No nuevos'!A:A,1,0),"Nuevo")</f>
        <v>1134@integratoledo.com</v>
      </c>
      <c r="D550" s="72" t="str">
        <f t="shared" si="1"/>
        <v>No Nuevo</v>
      </c>
    </row>
    <row r="551" ht="15.75" customHeight="1">
      <c r="A551" s="71" t="str">
        <f>Registros!A551</f>
        <v>1137@eiasein.es</v>
      </c>
      <c r="B551" s="5">
        <f>Registros!B551</f>
        <v>43951.42153</v>
      </c>
      <c r="C551" s="18" t="str">
        <f>IFNA(VLOOKUP(A551,'Registros - No nuevos'!A:A,1,0),"Nuevo")</f>
        <v>1137@eiasein.es</v>
      </c>
      <c r="D551" s="72" t="str">
        <f t="shared" si="1"/>
        <v>No Nuevo</v>
      </c>
    </row>
    <row r="552" ht="15.75" customHeight="1">
      <c r="A552" s="71" t="str">
        <f>Registros!A552</f>
        <v>1143@gmail.com</v>
      </c>
      <c r="B552" s="5">
        <f>Registros!B552</f>
        <v>43951.41181</v>
      </c>
      <c r="C552" s="18" t="str">
        <f>IFNA(VLOOKUP(A552,'Registros - No nuevos'!A:A,1,0),"Nuevo")</f>
        <v>1143@gmail.com</v>
      </c>
      <c r="D552" s="72" t="str">
        <f t="shared" si="1"/>
        <v>No Nuevo</v>
      </c>
    </row>
    <row r="553" ht="15.75" customHeight="1">
      <c r="A553" s="71" t="str">
        <f>Registros!A553</f>
        <v>209@azingenieria.es</v>
      </c>
      <c r="B553" s="5">
        <f>Registros!B553</f>
        <v>43951.39514</v>
      </c>
      <c r="C553" s="18" t="str">
        <f>IFNA(VLOOKUP(A553,'Registros - No nuevos'!A:A,1,0),"Nuevo")</f>
        <v>209@azingenieria.es</v>
      </c>
      <c r="D553" s="72" t="str">
        <f t="shared" si="1"/>
        <v>No Nuevo</v>
      </c>
    </row>
    <row r="554" ht="15.75" customHeight="1">
      <c r="A554" s="71" t="str">
        <f>Registros!A554</f>
        <v>1151@telefonica.net</v>
      </c>
      <c r="B554" s="5">
        <f>Registros!B554</f>
        <v>43951.3875</v>
      </c>
      <c r="C554" s="18" t="str">
        <f>IFNA(VLOOKUP(A554,'Registros - No nuevos'!A:A,1,0),"Nuevo")</f>
        <v>1151@telefonica.net</v>
      </c>
      <c r="D554" s="72" t="str">
        <f t="shared" si="1"/>
        <v>No Nuevo</v>
      </c>
    </row>
    <row r="555" ht="15.75" customHeight="1">
      <c r="A555" s="71" t="str">
        <f>Registros!A555</f>
        <v>959@mlopezarquitectos.com</v>
      </c>
      <c r="B555" s="5">
        <f>Registros!B555</f>
        <v>43951.38472</v>
      </c>
      <c r="C555" s="18" t="str">
        <f>IFNA(VLOOKUP(A555,'Registros - No nuevos'!A:A,1,0),"Nuevo")</f>
        <v>959@mlopezarquitectos.com</v>
      </c>
      <c r="D555" s="72" t="str">
        <f t="shared" si="1"/>
        <v>No Nuevo</v>
      </c>
    </row>
    <row r="556" ht="15.75" customHeight="1">
      <c r="A556" s="71" t="str">
        <f>Registros!A556</f>
        <v>1156@berrilanbim.com</v>
      </c>
      <c r="B556" s="5">
        <f>Registros!B556</f>
        <v>43951.37847</v>
      </c>
      <c r="C556" s="18" t="str">
        <f>IFNA(VLOOKUP(A556,'Registros - No nuevos'!A:A,1,0),"Nuevo")</f>
        <v>1156@berrilanbim.com</v>
      </c>
      <c r="D556" s="72" t="str">
        <f t="shared" si="1"/>
        <v>No Nuevo</v>
      </c>
    </row>
    <row r="557" ht="15.75" customHeight="1">
      <c r="A557" s="71" t="str">
        <f>Registros!A557</f>
        <v>1162@gmail.com</v>
      </c>
      <c r="B557" s="5">
        <f>Registros!B557</f>
        <v>43951.36875</v>
      </c>
      <c r="C557" s="18" t="str">
        <f>IFNA(VLOOKUP(A557,'Registros - No nuevos'!A:A,1,0),"Nuevo")</f>
        <v>1162@gmail.com</v>
      </c>
      <c r="D557" s="72" t="str">
        <f t="shared" si="1"/>
        <v>No Nuevo</v>
      </c>
    </row>
    <row r="558" ht="15.75" customHeight="1">
      <c r="A558" s="71" t="str">
        <f>Registros!A558</f>
        <v>992@yahoo.es</v>
      </c>
      <c r="B558" s="5">
        <f>Registros!B558</f>
        <v>43951.36597</v>
      </c>
      <c r="C558" s="18" t="str">
        <f>IFNA(VLOOKUP(A558,'Registros - No nuevos'!A:A,1,0),"Nuevo")</f>
        <v>992@yahoo.es</v>
      </c>
      <c r="D558" s="72" t="str">
        <f t="shared" si="1"/>
        <v>No Nuevo</v>
      </c>
    </row>
    <row r="559" ht="15.75" customHeight="1">
      <c r="A559" s="71" t="str">
        <f>Registros!A559</f>
        <v>1165@gmail.com</v>
      </c>
      <c r="B559" s="5">
        <f>Registros!B559</f>
        <v>43951.36528</v>
      </c>
      <c r="C559" s="18" t="str">
        <f>IFNA(VLOOKUP(A559,'Registros - No nuevos'!A:A,1,0),"Nuevo")</f>
        <v>1165@gmail.com</v>
      </c>
      <c r="D559" s="72" t="str">
        <f t="shared" si="1"/>
        <v>No Nuevo</v>
      </c>
    </row>
    <row r="560" ht="15.75" customHeight="1">
      <c r="A560" s="71" t="str">
        <f>Registros!A560</f>
        <v>1166@hotmail.com</v>
      </c>
      <c r="B560" s="5">
        <f>Registros!B560</f>
        <v>43951.36181</v>
      </c>
      <c r="C560" s="18" t="str">
        <f>IFNA(VLOOKUP(A560,'Registros - No nuevos'!A:A,1,0),"Nuevo")</f>
        <v>1166@hotmail.com</v>
      </c>
      <c r="D560" s="72" t="str">
        <f t="shared" si="1"/>
        <v>No Nuevo</v>
      </c>
    </row>
    <row r="561" ht="15.75" customHeight="1">
      <c r="A561" s="71" t="str">
        <f>Registros!A561</f>
        <v>1167@tselsur.es</v>
      </c>
      <c r="B561" s="5">
        <f>Registros!B561</f>
        <v>43951.35972</v>
      </c>
      <c r="C561" s="18" t="str">
        <f>IFNA(VLOOKUP(A561,'Registros - No nuevos'!A:A,1,0),"Nuevo")</f>
        <v>1167@tselsur.es</v>
      </c>
      <c r="D561" s="72" t="str">
        <f t="shared" si="1"/>
        <v>No Nuevo</v>
      </c>
    </row>
    <row r="562" ht="15.75" customHeight="1">
      <c r="A562" s="71" t="str">
        <f>Registros!A562</f>
        <v>1168@renaultpineda.com</v>
      </c>
      <c r="B562" s="5">
        <f>Registros!B562</f>
        <v>43951.35347</v>
      </c>
      <c r="C562" s="18" t="str">
        <f>IFNA(VLOOKUP(A562,'Registros - No nuevos'!A:A,1,0),"Nuevo")</f>
        <v>1168@renaultpineda.com</v>
      </c>
      <c r="D562" s="72" t="str">
        <f t="shared" si="1"/>
        <v>No Nuevo</v>
      </c>
    </row>
    <row r="563" ht="15.75" customHeight="1">
      <c r="A563" s="71" t="str">
        <f>Registros!A563</f>
        <v>1173@vifrisan.com</v>
      </c>
      <c r="B563" s="5">
        <f>Registros!B563</f>
        <v>43951.33403</v>
      </c>
      <c r="C563" s="18" t="str">
        <f>IFNA(VLOOKUP(A563,'Registros - No nuevos'!A:A,1,0),"Nuevo")</f>
        <v>1173@vifrisan.com</v>
      </c>
      <c r="D563" s="72" t="str">
        <f t="shared" si="1"/>
        <v>No Nuevo</v>
      </c>
    </row>
    <row r="564" ht="15.75" customHeight="1">
      <c r="A564" s="71" t="str">
        <f>Registros!A564</f>
        <v>1174@alem.es</v>
      </c>
      <c r="B564" s="5">
        <f>Registros!B564</f>
        <v>43951.33333</v>
      </c>
      <c r="C564" s="18" t="str">
        <f>IFNA(VLOOKUP(A564,'Registros - No nuevos'!A:A,1,0),"Nuevo")</f>
        <v>1174@alem.es</v>
      </c>
      <c r="D564" s="72" t="str">
        <f t="shared" si="1"/>
        <v>No Nuevo</v>
      </c>
    </row>
    <row r="565" ht="15.75" customHeight="1">
      <c r="A565" s="71" t="str">
        <f>Registros!A565</f>
        <v>1176@gmail.com</v>
      </c>
      <c r="B565" s="5">
        <f>Registros!B565</f>
        <v>43951.325</v>
      </c>
      <c r="C565" s="18" t="str">
        <f>IFNA(VLOOKUP(A565,'Registros - No nuevos'!A:A,1,0),"Nuevo")</f>
        <v>1176@gmail.com</v>
      </c>
      <c r="D565" s="72" t="str">
        <f t="shared" si="1"/>
        <v>No Nuevo</v>
      </c>
    </row>
    <row r="566" ht="15.75" customHeight="1">
      <c r="A566" s="71" t="str">
        <f>Registros!A566</f>
        <v>1177@imte.cat</v>
      </c>
      <c r="B566" s="5">
        <f>Registros!B566</f>
        <v>43951.32292</v>
      </c>
      <c r="C566" s="18" t="str">
        <f>IFNA(VLOOKUP(A566,'Registros - No nuevos'!A:A,1,0),"Nuevo")</f>
        <v>1177@imte.cat</v>
      </c>
      <c r="D566" s="72" t="str">
        <f t="shared" si="1"/>
        <v>No Nuevo</v>
      </c>
    </row>
    <row r="567" ht="15.75" customHeight="1">
      <c r="A567" s="71" t="str">
        <f>Registros!A567</f>
        <v>1003@gmail.com</v>
      </c>
      <c r="B567" s="5">
        <f>Registros!B567</f>
        <v>43951.30347</v>
      </c>
      <c r="C567" s="18" t="str">
        <f>IFNA(VLOOKUP(A567,'Registros - No nuevos'!A:A,1,0),"Nuevo")</f>
        <v>1003@gmail.com</v>
      </c>
      <c r="D567" s="72" t="str">
        <f t="shared" si="1"/>
        <v>No Nuevo</v>
      </c>
    </row>
    <row r="568" ht="15.75" customHeight="1">
      <c r="A568" s="71" t="str">
        <f>Registros!A568</f>
        <v>1185@lmretavi.es</v>
      </c>
      <c r="B568" s="5">
        <f>Registros!B568</f>
        <v>43951.28264</v>
      </c>
      <c r="C568" s="18" t="str">
        <f>IFNA(VLOOKUP(A568,'Registros - No nuevos'!A:A,1,0),"Nuevo")</f>
        <v>1185@lmretavi.es</v>
      </c>
      <c r="D568" s="72" t="str">
        <f t="shared" si="1"/>
        <v>No Nuevo</v>
      </c>
    </row>
    <row r="569" ht="15.75" customHeight="1">
      <c r="A569" s="71" t="str">
        <f>Registros!A569</f>
        <v>1186@gmail.com</v>
      </c>
      <c r="B569" s="5">
        <f>Registros!B569</f>
        <v>43951.275</v>
      </c>
      <c r="C569" s="18" t="str">
        <f>IFNA(VLOOKUP(A569,'Registros - No nuevos'!A:A,1,0),"Nuevo")</f>
        <v>1186@gmail.com</v>
      </c>
      <c r="D569" s="72" t="str">
        <f t="shared" si="1"/>
        <v>No Nuevo</v>
      </c>
    </row>
    <row r="570" ht="15.75" customHeight="1">
      <c r="A570" s="71" t="str">
        <f>Registros!A570</f>
        <v>1191@tinet.fut.es</v>
      </c>
      <c r="B570" s="5">
        <f>Registros!B570</f>
        <v>43951.13611</v>
      </c>
      <c r="C570" s="18" t="str">
        <f>IFNA(VLOOKUP(A570,'Registros - No nuevos'!A:A,1,0),"Nuevo")</f>
        <v>1191@tinet.fut.es</v>
      </c>
      <c r="D570" s="72" t="str">
        <f t="shared" si="1"/>
        <v>No Nuevo</v>
      </c>
    </row>
    <row r="571" ht="15.75" customHeight="1">
      <c r="A571" s="71" t="str">
        <f>Registros!A571</f>
        <v>1192@toyota-canarias.es</v>
      </c>
      <c r="B571" s="5">
        <f>Registros!B571</f>
        <v>43951.13542</v>
      </c>
      <c r="C571" s="18" t="str">
        <f>IFNA(VLOOKUP(A571,'Registros - No nuevos'!A:A,1,0),"Nuevo")</f>
        <v>1192@toyota-canarias.es</v>
      </c>
      <c r="D571" s="72" t="str">
        <f t="shared" si="1"/>
        <v>No Nuevo</v>
      </c>
    </row>
    <row r="572" ht="15.75" customHeight="1">
      <c r="A572" s="71" t="str">
        <f>Registros!A572</f>
        <v>1196@hotmail.com</v>
      </c>
      <c r="B572" s="5">
        <f>Registros!B572</f>
        <v>43950.99861</v>
      </c>
      <c r="C572" s="18" t="str">
        <f>IFNA(VLOOKUP(A572,'Registros - No nuevos'!A:A,1,0),"Nuevo")</f>
        <v>1196@hotmail.com</v>
      </c>
      <c r="D572" s="72" t="str">
        <f t="shared" si="1"/>
        <v>No Nuevo</v>
      </c>
    </row>
    <row r="573" ht="15.75" customHeight="1">
      <c r="A573" s="71" t="str">
        <f>Registros!A573</f>
        <v>1197@electricidadcelec.com</v>
      </c>
      <c r="B573" s="5">
        <f>Registros!B573</f>
        <v>43950.99306</v>
      </c>
      <c r="C573" s="18" t="str">
        <f>IFNA(VLOOKUP(A573,'Registros - No nuevos'!A:A,1,0),"Nuevo")</f>
        <v>1197@electricidadcelec.com</v>
      </c>
      <c r="D573" s="72" t="str">
        <f t="shared" si="1"/>
        <v>No Nuevo</v>
      </c>
    </row>
    <row r="574" ht="15.75" customHeight="1">
      <c r="A574" s="71" t="str">
        <f>Registros!A574</f>
        <v>1199@qwerty.es</v>
      </c>
      <c r="B574" s="5">
        <f>Registros!B574</f>
        <v>43950.95903</v>
      </c>
      <c r="C574" s="18" t="str">
        <f>IFNA(VLOOKUP(A574,'Registros - No nuevos'!A:A,1,0),"Nuevo")</f>
        <v>1199@qwerty.es</v>
      </c>
      <c r="D574" s="72" t="str">
        <f t="shared" si="1"/>
        <v>No Nuevo</v>
      </c>
    </row>
    <row r="575" ht="15.75" customHeight="1">
      <c r="A575" s="71" t="str">
        <f>Registros!A575</f>
        <v>1205@telefonica.net</v>
      </c>
      <c r="B575" s="5">
        <f>Registros!B575</f>
        <v>43950.90694</v>
      </c>
      <c r="C575" s="18" t="str">
        <f>IFNA(VLOOKUP(A575,'Registros - No nuevos'!A:A,1,0),"Nuevo")</f>
        <v>1205@telefonica.net</v>
      </c>
      <c r="D575" s="72" t="str">
        <f t="shared" si="1"/>
        <v>No Nuevo</v>
      </c>
    </row>
    <row r="576" ht="15.75" customHeight="1">
      <c r="A576" s="71" t="str">
        <f>Registros!A576</f>
        <v>1209@hotmail.es</v>
      </c>
      <c r="B576" s="5">
        <f>Registros!B576</f>
        <v>43950.89375</v>
      </c>
      <c r="C576" s="18" t="str">
        <f>IFNA(VLOOKUP(A576,'Registros - No nuevos'!A:A,1,0),"Nuevo")</f>
        <v>1209@hotmail.es</v>
      </c>
      <c r="D576" s="72" t="str">
        <f t="shared" si="1"/>
        <v>No Nuevo</v>
      </c>
    </row>
    <row r="577" ht="15.75" customHeight="1">
      <c r="A577" s="71" t="str">
        <f>Registros!A577</f>
        <v>1210@pepepower.es</v>
      </c>
      <c r="B577" s="5">
        <f>Registros!B577</f>
        <v>43950.89097</v>
      </c>
      <c r="C577" s="18" t="str">
        <f>IFNA(VLOOKUP(A577,'Registros - No nuevos'!A:A,1,0),"Nuevo")</f>
        <v>1210@pepepower.es</v>
      </c>
      <c r="D577" s="72" t="str">
        <f t="shared" si="1"/>
        <v>No Nuevo</v>
      </c>
    </row>
    <row r="578" ht="15.75" customHeight="1">
      <c r="A578" s="71" t="str">
        <f>Registros!A578</f>
        <v>1216@gmail.com</v>
      </c>
      <c r="B578" s="5">
        <f>Registros!B578</f>
        <v>43950.87153</v>
      </c>
      <c r="C578" s="18" t="str">
        <f>IFNA(VLOOKUP(A578,'Registros - No nuevos'!A:A,1,0),"Nuevo")</f>
        <v>1216@gmail.com</v>
      </c>
      <c r="D578" s="72" t="str">
        <f t="shared" si="1"/>
        <v>No Nuevo</v>
      </c>
    </row>
    <row r="579" ht="15.75" customHeight="1">
      <c r="A579" s="71" t="str">
        <f>Registros!A579</f>
        <v>1219@actluz.com</v>
      </c>
      <c r="B579" s="5">
        <f>Registros!B579</f>
        <v>43950.85347</v>
      </c>
      <c r="C579" s="18" t="str">
        <f>IFNA(VLOOKUP(A579,'Registros - No nuevos'!A:A,1,0),"Nuevo")</f>
        <v>1219@actluz.com</v>
      </c>
      <c r="D579" s="72" t="str">
        <f t="shared" si="1"/>
        <v>No Nuevo</v>
      </c>
    </row>
    <row r="580" ht="15.75" customHeight="1">
      <c r="A580" s="71" t="str">
        <f>Registros!A580</f>
        <v>1223@proyecta79.com</v>
      </c>
      <c r="B580" s="5">
        <f>Registros!B580</f>
        <v>43950.84514</v>
      </c>
      <c r="C580" s="18" t="str">
        <f>IFNA(VLOOKUP(A580,'Registros - No nuevos'!A:A,1,0),"Nuevo")</f>
        <v>1223@proyecta79.com</v>
      </c>
      <c r="D580" s="72" t="str">
        <f t="shared" si="1"/>
        <v>No Nuevo</v>
      </c>
    </row>
    <row r="581" ht="15.75" customHeight="1">
      <c r="A581" s="71" t="str">
        <f>Registros!A581</f>
        <v>1224@ipertec.es</v>
      </c>
      <c r="B581" s="5">
        <f>Registros!B581</f>
        <v>43950.84444</v>
      </c>
      <c r="C581" s="18" t="str">
        <f>IFNA(VLOOKUP(A581,'Registros - No nuevos'!A:A,1,0),"Nuevo")</f>
        <v>1224@ipertec.es</v>
      </c>
      <c r="D581" s="72" t="str">
        <f t="shared" si="1"/>
        <v>No Nuevo</v>
      </c>
    </row>
    <row r="582" ht="15.75" customHeight="1">
      <c r="A582" s="71" t="str">
        <f>Registros!A582</f>
        <v>1222@hotmail.com</v>
      </c>
      <c r="B582" s="5">
        <f>Registros!B582</f>
        <v>43950.84306</v>
      </c>
      <c r="C582" s="18" t="str">
        <f>IFNA(VLOOKUP(A582,'Registros - No nuevos'!A:A,1,0),"Nuevo")</f>
        <v>1222@hotmail.com</v>
      </c>
      <c r="D582" s="72" t="str">
        <f t="shared" si="1"/>
        <v>No Nuevo</v>
      </c>
    </row>
    <row r="583" ht="15.75" customHeight="1">
      <c r="A583" s="71" t="str">
        <f>Registros!A583</f>
        <v>1229@yahoo.es</v>
      </c>
      <c r="B583" s="5">
        <f>Registros!B583</f>
        <v>43950.83056</v>
      </c>
      <c r="C583" s="18" t="str">
        <f>IFNA(VLOOKUP(A583,'Registros - No nuevos'!A:A,1,0),"Nuevo")</f>
        <v>1229@yahoo.es</v>
      </c>
      <c r="D583" s="72" t="str">
        <f t="shared" si="1"/>
        <v>No Nuevo</v>
      </c>
    </row>
    <row r="584" ht="15.75" customHeight="1">
      <c r="A584" s="71" t="str">
        <f>Registros!A584</f>
        <v>1230@gmail.com</v>
      </c>
      <c r="B584" s="5">
        <f>Registros!B584</f>
        <v>43950.82569</v>
      </c>
      <c r="C584" s="18" t="str">
        <f>IFNA(VLOOKUP(A584,'Registros - No nuevos'!A:A,1,0),"Nuevo")</f>
        <v>1230@gmail.com</v>
      </c>
      <c r="D584" s="72" t="str">
        <f t="shared" si="1"/>
        <v>No Nuevo</v>
      </c>
    </row>
    <row r="585" ht="15.75" customHeight="1">
      <c r="A585" s="71" t="str">
        <f>Registros!A585</f>
        <v>1234@gmail.com</v>
      </c>
      <c r="B585" s="5">
        <f>Registros!B585</f>
        <v>43950.81319</v>
      </c>
      <c r="C585" s="18" t="str">
        <f>IFNA(VLOOKUP(A585,'Registros - No nuevos'!A:A,1,0),"Nuevo")</f>
        <v>1234@gmail.com</v>
      </c>
      <c r="D585" s="72" t="str">
        <f t="shared" si="1"/>
        <v>No Nuevo</v>
      </c>
    </row>
    <row r="586" ht="15.75" customHeight="1">
      <c r="A586" s="71" t="str">
        <f>Registros!A586</f>
        <v>1238@gmail.com</v>
      </c>
      <c r="B586" s="5">
        <f>Registros!B586</f>
        <v>43950.80833</v>
      </c>
      <c r="C586" s="18" t="str">
        <f>IFNA(VLOOKUP(A586,'Registros - No nuevos'!A:A,1,0),"Nuevo")</f>
        <v>1238@gmail.com</v>
      </c>
      <c r="D586" s="72" t="str">
        <f t="shared" si="1"/>
        <v>No Nuevo</v>
      </c>
    </row>
    <row r="587" ht="15.75" customHeight="1">
      <c r="A587" s="71" t="str">
        <f>Registros!A587</f>
        <v>1239@telefonica.net</v>
      </c>
      <c r="B587" s="5">
        <f>Registros!B587</f>
        <v>43950.80694</v>
      </c>
      <c r="C587" s="18" t="str">
        <f>IFNA(VLOOKUP(A587,'Registros - No nuevos'!A:A,1,0),"Nuevo")</f>
        <v>1239@telefonica.net</v>
      </c>
      <c r="D587" s="72" t="str">
        <f t="shared" si="1"/>
        <v>No Nuevo</v>
      </c>
    </row>
    <row r="588" ht="15.75" customHeight="1">
      <c r="A588" s="71" t="str">
        <f>Registros!A588</f>
        <v>1243@educa.jcyl.es</v>
      </c>
      <c r="B588" s="5">
        <f>Registros!B588</f>
        <v>43950.80417</v>
      </c>
      <c r="C588" s="18" t="str">
        <f>IFNA(VLOOKUP(A588,'Registros - No nuevos'!A:A,1,0),"Nuevo")</f>
        <v>1243@educa.jcyl.es</v>
      </c>
      <c r="D588" s="72" t="str">
        <f t="shared" si="1"/>
        <v>No Nuevo</v>
      </c>
    </row>
    <row r="589" ht="15.75" customHeight="1">
      <c r="A589" s="71" t="str">
        <f>Registros!A589</f>
        <v>1248@gmail.com</v>
      </c>
      <c r="B589" s="5">
        <f>Registros!B589</f>
        <v>43950.79028</v>
      </c>
      <c r="C589" s="18" t="str">
        <f>IFNA(VLOOKUP(A589,'Registros - No nuevos'!A:A,1,0),"Nuevo")</f>
        <v>1248@gmail.com</v>
      </c>
      <c r="D589" s="72" t="str">
        <f t="shared" si="1"/>
        <v>No Nuevo</v>
      </c>
    </row>
    <row r="590" ht="15.75" customHeight="1">
      <c r="A590" s="71" t="str">
        <f>Registros!A590</f>
        <v>1251@gomurmya.com</v>
      </c>
      <c r="B590" s="5">
        <f>Registros!B590</f>
        <v>43950.78056</v>
      </c>
      <c r="C590" s="18" t="str">
        <f>IFNA(VLOOKUP(A590,'Registros - No nuevos'!A:A,1,0),"Nuevo")</f>
        <v>1251@gomurmya.com</v>
      </c>
      <c r="D590" s="72" t="str">
        <f t="shared" si="1"/>
        <v>No Nuevo</v>
      </c>
    </row>
    <row r="591" ht="15.75" customHeight="1">
      <c r="A591" s="71" t="str">
        <f>Registros!A591</f>
        <v>1252@desarrollotecnico.com</v>
      </c>
      <c r="B591" s="5">
        <f>Registros!B591</f>
        <v>43950.77986</v>
      </c>
      <c r="C591" s="18" t="str">
        <f>IFNA(VLOOKUP(A591,'Registros - No nuevos'!A:A,1,0),"Nuevo")</f>
        <v>1252@desarrollotecnico.com</v>
      </c>
      <c r="D591" s="72" t="str">
        <f t="shared" si="1"/>
        <v>No Nuevo</v>
      </c>
    </row>
    <row r="592" ht="15.75" customHeight="1">
      <c r="A592" s="71" t="str">
        <f>Registros!A592</f>
        <v>1253@gmail.com</v>
      </c>
      <c r="B592" s="5">
        <f>Registros!B592</f>
        <v>43950.77986</v>
      </c>
      <c r="C592" s="18" t="str">
        <f>IFNA(VLOOKUP(A592,'Registros - No nuevos'!A:A,1,0),"Nuevo")</f>
        <v>1253@gmail.com</v>
      </c>
      <c r="D592" s="72" t="str">
        <f t="shared" si="1"/>
        <v>No Nuevo</v>
      </c>
    </row>
    <row r="593" ht="15.75" customHeight="1">
      <c r="A593" s="71" t="str">
        <f>Registros!A593</f>
        <v>1261@e-copitile.es</v>
      </c>
      <c r="B593" s="5">
        <f>Registros!B593</f>
        <v>43950.77083</v>
      </c>
      <c r="C593" s="18" t="str">
        <f>IFNA(VLOOKUP(A593,'Registros - No nuevos'!A:A,1,0),"Nuevo")</f>
        <v>1261@e-copitile.es</v>
      </c>
      <c r="D593" s="72" t="str">
        <f t="shared" si="1"/>
        <v>No Nuevo</v>
      </c>
    </row>
    <row r="594" ht="15.75" customHeight="1">
      <c r="A594" s="71" t="str">
        <f>Registros!A594</f>
        <v>1264@gmail.com</v>
      </c>
      <c r="B594" s="5">
        <f>Registros!B594</f>
        <v>43950.76528</v>
      </c>
      <c r="C594" s="18" t="str">
        <f>IFNA(VLOOKUP(A594,'Registros - No nuevos'!A:A,1,0),"Nuevo")</f>
        <v>1264@gmail.com</v>
      </c>
      <c r="D594" s="72" t="str">
        <f t="shared" si="1"/>
        <v>No Nuevo</v>
      </c>
    </row>
    <row r="595" ht="15.75" customHeight="1">
      <c r="A595" s="71" t="str">
        <f>Registros!A595</f>
        <v>1265@hotmail.com</v>
      </c>
      <c r="B595" s="5">
        <f>Registros!B595</f>
        <v>43950.76458</v>
      </c>
      <c r="C595" s="18" t="str">
        <f>IFNA(VLOOKUP(A595,'Registros - No nuevos'!A:A,1,0),"Nuevo")</f>
        <v>1265@hotmail.com</v>
      </c>
      <c r="D595" s="72" t="str">
        <f t="shared" si="1"/>
        <v>No Nuevo</v>
      </c>
    </row>
    <row r="596" ht="15.75" customHeight="1">
      <c r="A596" s="71" t="str">
        <f>Registros!A596</f>
        <v>1269@kuartafase.com</v>
      </c>
      <c r="B596" s="5">
        <f>Registros!B596</f>
        <v>43950.7625</v>
      </c>
      <c r="C596" s="18" t="str">
        <f>IFNA(VLOOKUP(A596,'Registros - No nuevos'!A:A,1,0),"Nuevo")</f>
        <v>1269@kuartafase.com</v>
      </c>
      <c r="D596" s="72" t="str">
        <f t="shared" si="1"/>
        <v>No Nuevo</v>
      </c>
    </row>
    <row r="597" ht="15.75" customHeight="1">
      <c r="A597" s="71" t="str">
        <f>Registros!A597</f>
        <v>2@yahoo.es</v>
      </c>
      <c r="B597" s="5">
        <f>Registros!B597</f>
        <v>43950.76042</v>
      </c>
      <c r="C597" s="18" t="str">
        <f>IFNA(VLOOKUP(A597,'Registros - No nuevos'!A:A,1,0),"Nuevo")</f>
        <v>2@yahoo.es</v>
      </c>
      <c r="D597" s="72" t="str">
        <f t="shared" si="1"/>
        <v>No Nuevo</v>
      </c>
    </row>
    <row r="598" ht="15.75" customHeight="1">
      <c r="A598" s="71" t="str">
        <f>Registros!A598</f>
        <v>613@proingo.es</v>
      </c>
      <c r="B598" s="5">
        <f>Registros!B598</f>
        <v>43950.75278</v>
      </c>
      <c r="C598" s="18" t="str">
        <f>IFNA(VLOOKUP(A598,'Registros - No nuevos'!A:A,1,0),"Nuevo")</f>
        <v>613@proingo.es</v>
      </c>
      <c r="D598" s="72" t="str">
        <f t="shared" si="1"/>
        <v>No Nuevo</v>
      </c>
    </row>
    <row r="599" ht="15.75" customHeight="1">
      <c r="A599" s="71" t="str">
        <f>Registros!A599</f>
        <v>1279@fccco.com</v>
      </c>
      <c r="B599" s="5">
        <f>Registros!B599</f>
        <v>43950.74653</v>
      </c>
      <c r="C599" s="18" t="str">
        <f>IFNA(VLOOKUP(A599,'Registros - No nuevos'!A:A,1,0),"Nuevo")</f>
        <v>1279@fccco.com</v>
      </c>
      <c r="D599" s="72" t="str">
        <f t="shared" si="1"/>
        <v>No Nuevo</v>
      </c>
    </row>
    <row r="600" ht="15.75" customHeight="1">
      <c r="A600" s="71" t="str">
        <f>Registros!A600</f>
        <v>1287@aytosalamanca.es</v>
      </c>
      <c r="B600" s="5">
        <f>Registros!B600</f>
        <v>43950.73958</v>
      </c>
      <c r="C600" s="18" t="str">
        <f>IFNA(VLOOKUP(A600,'Registros - No nuevos'!A:A,1,0),"Nuevo")</f>
        <v>1287@aytosalamanca.es</v>
      </c>
      <c r="D600" s="72" t="str">
        <f t="shared" si="1"/>
        <v>No Nuevo</v>
      </c>
    </row>
    <row r="601" ht="15.75" customHeight="1">
      <c r="A601" s="71" t="str">
        <f>Registros!A601</f>
        <v>1291@macegroup.com</v>
      </c>
      <c r="B601" s="5">
        <f>Registros!B601</f>
        <v>43950.73056</v>
      </c>
      <c r="C601" s="18" t="str">
        <f>IFNA(VLOOKUP(A601,'Registros - No nuevos'!A:A,1,0),"Nuevo")</f>
        <v>1291@macegroup.com</v>
      </c>
      <c r="D601" s="72" t="str">
        <f t="shared" si="1"/>
        <v>No Nuevo</v>
      </c>
    </row>
    <row r="602" ht="15.75" customHeight="1">
      <c r="A602" s="71" t="str">
        <f>Registros!A602</f>
        <v>1294@gmail.com</v>
      </c>
      <c r="B602" s="5">
        <f>Registros!B602</f>
        <v>43950.72014</v>
      </c>
      <c r="C602" s="18" t="str">
        <f>IFNA(VLOOKUP(A602,'Registros - No nuevos'!A:A,1,0),"Nuevo")</f>
        <v>1294@gmail.com</v>
      </c>
      <c r="D602" s="72" t="str">
        <f t="shared" si="1"/>
        <v>No Nuevo</v>
      </c>
    </row>
    <row r="603" ht="15.75" customHeight="1">
      <c r="A603" s="71" t="str">
        <f>Registros!A603</f>
        <v>1297@silmarinstalacions.com</v>
      </c>
      <c r="B603" s="5">
        <f>Registros!B603</f>
        <v>43950.7125</v>
      </c>
      <c r="C603" s="18" t="str">
        <f>IFNA(VLOOKUP(A603,'Registros - No nuevos'!A:A,1,0),"Nuevo")</f>
        <v>1297@silmarinstalacions.com</v>
      </c>
      <c r="D603" s="72" t="str">
        <f t="shared" si="1"/>
        <v>No Nuevo</v>
      </c>
    </row>
    <row r="604" ht="15.75" customHeight="1">
      <c r="A604" s="71" t="str">
        <f>Registros!A604</f>
        <v>1300@movistar.es</v>
      </c>
      <c r="B604" s="5">
        <f>Registros!B604</f>
        <v>43950.71111</v>
      </c>
      <c r="C604" s="18" t="str">
        <f>IFNA(VLOOKUP(A604,'Registros - No nuevos'!A:A,1,0),"Nuevo")</f>
        <v>1300@movistar.es</v>
      </c>
      <c r="D604" s="72" t="str">
        <f t="shared" si="1"/>
        <v>No Nuevo</v>
      </c>
    </row>
    <row r="605" ht="15.75" customHeight="1">
      <c r="A605" s="71" t="str">
        <f>Registros!A605</f>
        <v>1026@aia.cat</v>
      </c>
      <c r="B605" s="5">
        <f>Registros!B605</f>
        <v>43950.71042</v>
      </c>
      <c r="C605" s="18" t="str">
        <f>IFNA(VLOOKUP(A605,'Registros - No nuevos'!A:A,1,0),"Nuevo")</f>
        <v>1026@aia.cat</v>
      </c>
      <c r="D605" s="72" t="str">
        <f t="shared" si="1"/>
        <v>No Nuevo</v>
      </c>
    </row>
    <row r="606" ht="15.75" customHeight="1">
      <c r="A606" s="71" t="str">
        <f>Registros!A606</f>
        <v>238@engie.com</v>
      </c>
      <c r="B606" s="5">
        <f>Registros!B606</f>
        <v>43950.70903</v>
      </c>
      <c r="C606" s="18" t="str">
        <f>IFNA(VLOOKUP(A606,'Registros - No nuevos'!A:A,1,0),"Nuevo")</f>
        <v>238@engie.com</v>
      </c>
      <c r="D606" s="72" t="str">
        <f t="shared" si="1"/>
        <v>No Nuevo</v>
      </c>
    </row>
    <row r="607" ht="15.75" customHeight="1">
      <c r="A607" s="71" t="str">
        <f>Registros!A607</f>
        <v>3042@gmail.com</v>
      </c>
      <c r="B607" s="5">
        <f>Registros!B607</f>
        <v>43950.70833</v>
      </c>
      <c r="C607" s="18" t="str">
        <f>IFNA(VLOOKUP(A607,'Registros - No nuevos'!A:A,1,0),"Nuevo")</f>
        <v>3042@gmail.com</v>
      </c>
      <c r="D607" s="72" t="str">
        <f t="shared" si="1"/>
        <v>No Nuevo</v>
      </c>
    </row>
    <row r="608" ht="15.75" customHeight="1">
      <c r="A608" s="71" t="str">
        <f>Registros!A608</f>
        <v>1304@ingenibo.com</v>
      </c>
      <c r="B608" s="5">
        <f>Registros!B608</f>
        <v>43950.70556</v>
      </c>
      <c r="C608" s="18" t="str">
        <f>IFNA(VLOOKUP(A608,'Registros - No nuevos'!A:A,1,0),"Nuevo")</f>
        <v>1304@ingenibo.com</v>
      </c>
      <c r="D608" s="72" t="str">
        <f t="shared" si="1"/>
        <v>No Nuevo</v>
      </c>
    </row>
    <row r="609" ht="15.75" customHeight="1">
      <c r="A609" s="71" t="str">
        <f>Registros!A609</f>
        <v>1305@checa67.es</v>
      </c>
      <c r="B609" s="5">
        <f>Registros!B609</f>
        <v>43950.70556</v>
      </c>
      <c r="C609" s="18" t="str">
        <f>IFNA(VLOOKUP(A609,'Registros - No nuevos'!A:A,1,0),"Nuevo")</f>
        <v>1305@checa67.es</v>
      </c>
      <c r="D609" s="72" t="str">
        <f t="shared" si="1"/>
        <v>No Nuevo</v>
      </c>
    </row>
    <row r="610" ht="15.75" customHeight="1">
      <c r="A610" s="71" t="str">
        <f>Registros!A610</f>
        <v>991@yahoo.es</v>
      </c>
      <c r="B610" s="5">
        <f>Registros!B610</f>
        <v>43950.69931</v>
      </c>
      <c r="C610" s="18" t="str">
        <f>IFNA(VLOOKUP(A610,'Registros - No nuevos'!A:A,1,0),"Nuevo")</f>
        <v>991@yahoo.es</v>
      </c>
      <c r="D610" s="72" t="str">
        <f t="shared" si="1"/>
        <v>No Nuevo</v>
      </c>
    </row>
    <row r="611" ht="15.75" customHeight="1">
      <c r="A611" s="71" t="str">
        <f>Registros!A611</f>
        <v>1311@gmail.com</v>
      </c>
      <c r="B611" s="5">
        <f>Registros!B611</f>
        <v>43950.69514</v>
      </c>
      <c r="C611" s="18" t="str">
        <f>IFNA(VLOOKUP(A611,'Registros - No nuevos'!A:A,1,0),"Nuevo")</f>
        <v>1311@gmail.com</v>
      </c>
      <c r="D611" s="72" t="str">
        <f t="shared" si="1"/>
        <v>No Nuevo</v>
      </c>
    </row>
    <row r="612" ht="15.75" customHeight="1">
      <c r="A612" s="71" t="str">
        <f>Registros!A612</f>
        <v>1312@gmail.com</v>
      </c>
      <c r="B612" s="5">
        <f>Registros!B612</f>
        <v>43950.69167</v>
      </c>
      <c r="C612" s="18" t="str">
        <f>IFNA(VLOOKUP(A612,'Registros - No nuevos'!A:A,1,0),"Nuevo")</f>
        <v>1312@gmail.com</v>
      </c>
      <c r="D612" s="72" t="str">
        <f t="shared" si="1"/>
        <v>No Nuevo</v>
      </c>
    </row>
    <row r="613" ht="15.75" customHeight="1">
      <c r="A613" s="71" t="str">
        <f>Registros!A613</f>
        <v>1320@gmail.com</v>
      </c>
      <c r="B613" s="5">
        <f>Registros!B613</f>
        <v>43950.67847</v>
      </c>
      <c r="C613" s="18" t="str">
        <f>IFNA(VLOOKUP(A613,'Registros - No nuevos'!A:A,1,0),"Nuevo")</f>
        <v>1320@gmail.com</v>
      </c>
      <c r="D613" s="72" t="str">
        <f t="shared" si="1"/>
        <v>No Nuevo</v>
      </c>
    </row>
    <row r="614" ht="15.75" customHeight="1">
      <c r="A614" s="71" t="str">
        <f>Registros!A614</f>
        <v>1325@gmail.com</v>
      </c>
      <c r="B614" s="5">
        <f>Registros!B614</f>
        <v>43950.66667</v>
      </c>
      <c r="C614" s="18" t="str">
        <f>IFNA(VLOOKUP(A614,'Registros - No nuevos'!A:A,1,0),"Nuevo")</f>
        <v>1325@gmail.com</v>
      </c>
      <c r="D614" s="72" t="str">
        <f t="shared" si="1"/>
        <v>No Nuevo</v>
      </c>
    </row>
    <row r="615" ht="15.75" customHeight="1">
      <c r="A615" s="71" t="str">
        <f>Registros!A615</f>
        <v>1328@gmail.com</v>
      </c>
      <c r="B615" s="5">
        <f>Registros!B615</f>
        <v>43950.66458</v>
      </c>
      <c r="C615" s="18" t="str">
        <f>IFNA(VLOOKUP(A615,'Registros - No nuevos'!A:A,1,0),"Nuevo")</f>
        <v>1328@gmail.com</v>
      </c>
      <c r="D615" s="72" t="str">
        <f t="shared" si="1"/>
        <v>No Nuevo</v>
      </c>
    </row>
    <row r="616" ht="15.75" customHeight="1">
      <c r="A616" s="71" t="str">
        <f>Registros!A616</f>
        <v>1332@novarquia.es</v>
      </c>
      <c r="B616" s="5">
        <f>Registros!B616</f>
        <v>43950.65556</v>
      </c>
      <c r="C616" s="18" t="str">
        <f>IFNA(VLOOKUP(A616,'Registros - No nuevos'!A:A,1,0),"Nuevo")</f>
        <v>1332@novarquia.es</v>
      </c>
      <c r="D616" s="72" t="str">
        <f t="shared" si="1"/>
        <v>No Nuevo</v>
      </c>
    </row>
    <row r="617" ht="15.75" customHeight="1">
      <c r="A617" s="71" t="str">
        <f>Registros!A617</f>
        <v>1339@electrogalmar.es</v>
      </c>
      <c r="B617" s="5">
        <f>Registros!B617</f>
        <v>43950.64861</v>
      </c>
      <c r="C617" s="18" t="str">
        <f>IFNA(VLOOKUP(A617,'Registros - No nuevos'!A:A,1,0),"Nuevo")</f>
        <v>1339@electrogalmar.es</v>
      </c>
      <c r="D617" s="72" t="str">
        <f t="shared" si="1"/>
        <v>No Nuevo</v>
      </c>
    </row>
    <row r="618" ht="15.75" customHeight="1">
      <c r="A618" s="71" t="str">
        <f>Registros!A618</f>
        <v>1349@gmail.com</v>
      </c>
      <c r="B618" s="5">
        <f>Registros!B618</f>
        <v>43950.62222</v>
      </c>
      <c r="C618" s="18" t="str">
        <f>IFNA(VLOOKUP(A618,'Registros - No nuevos'!A:A,1,0),"Nuevo")</f>
        <v>1349@gmail.com</v>
      </c>
      <c r="D618" s="72" t="str">
        <f t="shared" si="1"/>
        <v>No Nuevo</v>
      </c>
    </row>
    <row r="619" ht="15.75" customHeight="1">
      <c r="A619" s="71" t="str">
        <f>Registros!A619</f>
        <v>1352@autelec.net</v>
      </c>
      <c r="B619" s="5">
        <f>Registros!B619</f>
        <v>43950.61806</v>
      </c>
      <c r="C619" s="18" t="str">
        <f>IFNA(VLOOKUP(A619,'Registros - No nuevos'!A:A,1,0),"Nuevo")</f>
        <v>1352@autelec.net</v>
      </c>
      <c r="D619" s="72" t="str">
        <f t="shared" si="1"/>
        <v>No Nuevo</v>
      </c>
    </row>
    <row r="620" ht="15.75" customHeight="1">
      <c r="A620" s="71" t="str">
        <f>Registros!A620</f>
        <v>1351@conselldemallorca.net</v>
      </c>
      <c r="B620" s="5">
        <f>Registros!B620</f>
        <v>43950.61806</v>
      </c>
      <c r="C620" s="18" t="str">
        <f>IFNA(VLOOKUP(A620,'Registros - No nuevos'!A:A,1,0),"Nuevo")</f>
        <v>1351@conselldemallorca.net</v>
      </c>
      <c r="D620" s="72" t="str">
        <f t="shared" si="1"/>
        <v>No Nuevo</v>
      </c>
    </row>
    <row r="621" ht="15.75" customHeight="1">
      <c r="A621" s="71" t="str">
        <f>Registros!A621</f>
        <v>1354@hotmail.com</v>
      </c>
      <c r="B621" s="5">
        <f>Registros!B621</f>
        <v>43950.60972</v>
      </c>
      <c r="C621" s="18" t="str">
        <f>IFNA(VLOOKUP(A621,'Registros - No nuevos'!A:A,1,0),"Nuevo")</f>
        <v>1354@hotmail.com</v>
      </c>
      <c r="D621" s="72" t="str">
        <f t="shared" si="1"/>
        <v>No Nuevo</v>
      </c>
    </row>
    <row r="622" ht="15.75" customHeight="1">
      <c r="A622" s="71" t="str">
        <f>Registros!A622</f>
        <v>1358@gmail.com</v>
      </c>
      <c r="B622" s="5">
        <f>Registros!B622</f>
        <v>43950.60417</v>
      </c>
      <c r="C622" s="18" t="str">
        <f>IFNA(VLOOKUP(A622,'Registros - No nuevos'!A:A,1,0),"Nuevo")</f>
        <v>1358@gmail.com</v>
      </c>
      <c r="D622" s="72" t="str">
        <f t="shared" si="1"/>
        <v>No Nuevo</v>
      </c>
    </row>
    <row r="623" ht="15.75" customHeight="1">
      <c r="A623" s="71" t="str">
        <f>Registros!A623</f>
        <v>1361@gmail.com</v>
      </c>
      <c r="B623" s="5">
        <f>Registros!B623</f>
        <v>43950.60278</v>
      </c>
      <c r="C623" s="18" t="str">
        <f>IFNA(VLOOKUP(A623,'Registros - No nuevos'!A:A,1,0),"Nuevo")</f>
        <v>1361@gmail.com</v>
      </c>
      <c r="D623" s="72" t="str">
        <f t="shared" si="1"/>
        <v>No Nuevo</v>
      </c>
    </row>
    <row r="624" ht="15.75" customHeight="1">
      <c r="A624" s="71" t="str">
        <f>Registros!A624</f>
        <v>1367@telecable.es</v>
      </c>
      <c r="B624" s="5">
        <f>Registros!B624</f>
        <v>43950.58889</v>
      </c>
      <c r="C624" s="18" t="str">
        <f>IFNA(VLOOKUP(A624,'Registros - No nuevos'!A:A,1,0),"Nuevo")</f>
        <v>1367@telecable.es</v>
      </c>
      <c r="D624" s="72" t="str">
        <f t="shared" si="1"/>
        <v>No Nuevo</v>
      </c>
    </row>
    <row r="625" ht="15.75" customHeight="1">
      <c r="A625" s="71" t="str">
        <f>Registros!A625</f>
        <v>1369@atribal.es</v>
      </c>
      <c r="B625" s="5">
        <f>Registros!B625</f>
        <v>43950.58681</v>
      </c>
      <c r="C625" s="18" t="str">
        <f>IFNA(VLOOKUP(A625,'Registros - No nuevos'!A:A,1,0),"Nuevo")</f>
        <v>1369@atribal.es</v>
      </c>
      <c r="D625" s="72" t="str">
        <f t="shared" si="1"/>
        <v>No Nuevo</v>
      </c>
    </row>
    <row r="626" ht="15.75" customHeight="1">
      <c r="A626" s="71" t="str">
        <f>Registros!A626</f>
        <v>1371@gmail.com</v>
      </c>
      <c r="B626" s="5">
        <f>Registros!B626</f>
        <v>43950.58611</v>
      </c>
      <c r="C626" s="18" t="str">
        <f>IFNA(VLOOKUP(A626,'Registros - No nuevos'!A:A,1,0),"Nuevo")</f>
        <v>1371@gmail.com</v>
      </c>
      <c r="D626" s="72" t="str">
        <f t="shared" si="1"/>
        <v>No Nuevo</v>
      </c>
    </row>
    <row r="627" ht="15.75" customHeight="1">
      <c r="A627" s="71" t="str">
        <f>Registros!A627</f>
        <v>1374@autelec.net</v>
      </c>
      <c r="B627" s="5">
        <f>Registros!B627</f>
        <v>43950.58264</v>
      </c>
      <c r="C627" s="18" t="str">
        <f>IFNA(VLOOKUP(A627,'Registros - No nuevos'!A:A,1,0),"Nuevo")</f>
        <v>1374@autelec.net</v>
      </c>
      <c r="D627" s="72" t="str">
        <f t="shared" si="1"/>
        <v>No Nuevo</v>
      </c>
    </row>
    <row r="628" ht="15.75" customHeight="1">
      <c r="A628" s="71" t="str">
        <f>Registros!A628</f>
        <v>921@gmail.com</v>
      </c>
      <c r="B628" s="5">
        <f>Registros!B628</f>
        <v>43950.575</v>
      </c>
      <c r="C628" s="18" t="str">
        <f>IFNA(VLOOKUP(A628,'Registros - No nuevos'!A:A,1,0),"Nuevo")</f>
        <v>921@gmail.com</v>
      </c>
      <c r="D628" s="72" t="str">
        <f t="shared" si="1"/>
        <v>No Nuevo</v>
      </c>
    </row>
    <row r="629" ht="15.75" customHeight="1">
      <c r="A629" s="71" t="str">
        <f>Registros!A629</f>
        <v>1383@grupoazmont.com</v>
      </c>
      <c r="B629" s="5">
        <f>Registros!B629</f>
        <v>43950.57361</v>
      </c>
      <c r="C629" s="18" t="str">
        <f>IFNA(VLOOKUP(A629,'Registros - No nuevos'!A:A,1,0),"Nuevo")</f>
        <v>1383@grupoazmont.com</v>
      </c>
      <c r="D629" s="72" t="str">
        <f t="shared" si="1"/>
        <v>No Nuevo</v>
      </c>
    </row>
    <row r="630" ht="15.75" customHeight="1">
      <c r="A630" s="71" t="str">
        <f>Registros!A630</f>
        <v>1386@grupoevc.es</v>
      </c>
      <c r="B630" s="5">
        <f>Registros!B630</f>
        <v>43950.57083</v>
      </c>
      <c r="C630" s="18" t="str">
        <f>IFNA(VLOOKUP(A630,'Registros - No nuevos'!A:A,1,0),"Nuevo")</f>
        <v>1386@grupoevc.es</v>
      </c>
      <c r="D630" s="72" t="str">
        <f t="shared" si="1"/>
        <v>No Nuevo</v>
      </c>
    </row>
    <row r="631" ht="15.75" customHeight="1">
      <c r="A631" s="71" t="str">
        <f>Registros!A631</f>
        <v>963@gmail.com</v>
      </c>
      <c r="B631" s="5">
        <f>Registros!B631</f>
        <v>43950.57083</v>
      </c>
      <c r="C631" s="18" t="str">
        <f>IFNA(VLOOKUP(A631,'Registros - No nuevos'!A:A,1,0),"Nuevo")</f>
        <v>963@gmail.com</v>
      </c>
      <c r="D631" s="72" t="str">
        <f t="shared" si="1"/>
        <v>No Nuevo</v>
      </c>
    </row>
    <row r="632" ht="15.75" customHeight="1">
      <c r="A632" s="71" t="str">
        <f>Registros!A632</f>
        <v>1389@hotmail.com</v>
      </c>
      <c r="B632" s="5">
        <f>Registros!B632</f>
        <v>43950.57014</v>
      </c>
      <c r="C632" s="18" t="str">
        <f>IFNA(VLOOKUP(A632,'Registros - No nuevos'!A:A,1,0),"Nuevo")</f>
        <v>1389@hotmail.com</v>
      </c>
      <c r="D632" s="72" t="str">
        <f t="shared" si="1"/>
        <v>No Nuevo</v>
      </c>
    </row>
    <row r="633" ht="15.75" customHeight="1">
      <c r="A633" s="71" t="str">
        <f>Registros!A633</f>
        <v>1388@covama.es</v>
      </c>
      <c r="B633" s="5">
        <f>Registros!B633</f>
        <v>43950.57014</v>
      </c>
      <c r="C633" s="18" t="str">
        <f>IFNA(VLOOKUP(A633,'Registros - No nuevos'!A:A,1,0),"Nuevo")</f>
        <v>1388@covama.es</v>
      </c>
      <c r="D633" s="72" t="str">
        <f t="shared" si="1"/>
        <v>No Nuevo</v>
      </c>
    </row>
    <row r="634" ht="15.75" customHeight="1">
      <c r="A634" s="71" t="str">
        <f>Registros!A634</f>
        <v>1390@gmail.com</v>
      </c>
      <c r="B634" s="5">
        <f>Registros!B634</f>
        <v>43950.56944</v>
      </c>
      <c r="C634" s="18" t="str">
        <f>IFNA(VLOOKUP(A634,'Registros - No nuevos'!A:A,1,0),"Nuevo")</f>
        <v>1390@gmail.com</v>
      </c>
      <c r="D634" s="72" t="str">
        <f t="shared" si="1"/>
        <v>No Nuevo</v>
      </c>
    </row>
    <row r="635" ht="15.75" customHeight="1">
      <c r="A635" s="71" t="str">
        <f>Registros!A635</f>
        <v>1016@coitt.es</v>
      </c>
      <c r="B635" s="5">
        <f>Registros!B635</f>
        <v>43950.5625</v>
      </c>
      <c r="C635" s="18" t="str">
        <f>IFNA(VLOOKUP(A635,'Registros - No nuevos'!A:A,1,0),"Nuevo")</f>
        <v>1016@coitt.es</v>
      </c>
      <c r="D635" s="72" t="str">
        <f t="shared" si="1"/>
        <v>No Nuevo</v>
      </c>
    </row>
    <row r="636" ht="15.75" customHeight="1">
      <c r="A636" s="71" t="str">
        <f>Registros!A636</f>
        <v>1396@telefonica.net</v>
      </c>
      <c r="B636" s="5">
        <f>Registros!B636</f>
        <v>43950.56181</v>
      </c>
      <c r="C636" s="18" t="str">
        <f>IFNA(VLOOKUP(A636,'Registros - No nuevos'!A:A,1,0),"Nuevo")</f>
        <v>1396@telefonica.net</v>
      </c>
      <c r="D636" s="72" t="str">
        <f t="shared" si="1"/>
        <v>No Nuevo</v>
      </c>
    </row>
    <row r="637" ht="15.75" customHeight="1">
      <c r="A637" s="71" t="str">
        <f>Registros!A637</f>
        <v>1400@apeh.org</v>
      </c>
      <c r="B637" s="5">
        <f>Registros!B637</f>
        <v>43950.55903</v>
      </c>
      <c r="C637" s="18" t="str">
        <f>IFNA(VLOOKUP(A637,'Registros - No nuevos'!A:A,1,0),"Nuevo")</f>
        <v>1400@apeh.org</v>
      </c>
      <c r="D637" s="72" t="str">
        <f t="shared" si="1"/>
        <v>No Nuevo</v>
      </c>
    </row>
    <row r="638" ht="15.75" customHeight="1">
      <c r="A638" s="71" t="str">
        <f>Registros!A638</f>
        <v>1417@gmail.com</v>
      </c>
      <c r="B638" s="5">
        <f>Registros!B638</f>
        <v>43950.54653</v>
      </c>
      <c r="C638" s="18" t="str">
        <f>IFNA(VLOOKUP(A638,'Registros - No nuevos'!A:A,1,0),"Nuevo")</f>
        <v>1417@gmail.com</v>
      </c>
      <c r="D638" s="72" t="str">
        <f t="shared" si="1"/>
        <v>No Nuevo</v>
      </c>
    </row>
    <row r="639" ht="15.75" customHeight="1">
      <c r="A639" s="71" t="str">
        <f>Registros!A639</f>
        <v>581@gmail.com</v>
      </c>
      <c r="B639" s="5">
        <f>Registros!B639</f>
        <v>43950.54444</v>
      </c>
      <c r="C639" s="18" t="str">
        <f>IFNA(VLOOKUP(A639,'Registros - No nuevos'!A:A,1,0),"Nuevo")</f>
        <v>581@gmail.com</v>
      </c>
      <c r="D639" s="72" t="str">
        <f t="shared" si="1"/>
        <v>No Nuevo</v>
      </c>
    </row>
    <row r="640" ht="15.75" customHeight="1">
      <c r="A640" s="71" t="str">
        <f>Registros!A640</f>
        <v>1421@itesasl.com</v>
      </c>
      <c r="B640" s="5">
        <f>Registros!B640</f>
        <v>43950.54375</v>
      </c>
      <c r="C640" s="18" t="str">
        <f>IFNA(VLOOKUP(A640,'Registros - No nuevos'!A:A,1,0),"Nuevo")</f>
        <v>1421@itesasl.com</v>
      </c>
      <c r="D640" s="72" t="str">
        <f t="shared" si="1"/>
        <v>No Nuevo</v>
      </c>
    </row>
    <row r="641" ht="15.75" customHeight="1">
      <c r="A641" s="71" t="str">
        <f>Registros!A641</f>
        <v>1430@outlook.es</v>
      </c>
      <c r="B641" s="5">
        <f>Registros!B641</f>
        <v>43950.53889</v>
      </c>
      <c r="C641" s="18" t="str">
        <f>IFNA(VLOOKUP(A641,'Registros - No nuevos'!A:A,1,0),"Nuevo")</f>
        <v>1430@outlook.es</v>
      </c>
      <c r="D641" s="72" t="str">
        <f t="shared" si="1"/>
        <v>No Nuevo</v>
      </c>
    </row>
    <row r="642" ht="15.75" customHeight="1">
      <c r="A642" s="71" t="str">
        <f>Registros!A642</f>
        <v>1428@gadeaingenieros.com</v>
      </c>
      <c r="B642" s="5">
        <f>Registros!B642</f>
        <v>43950.53889</v>
      </c>
      <c r="C642" s="18" t="str">
        <f>IFNA(VLOOKUP(A642,'Registros - No nuevos'!A:A,1,0),"Nuevo")</f>
        <v>1428@gadeaingenieros.com</v>
      </c>
      <c r="D642" s="72" t="str">
        <f t="shared" si="1"/>
        <v>No Nuevo</v>
      </c>
    </row>
    <row r="643" ht="15.75" customHeight="1">
      <c r="A643" s="71" t="str">
        <f>Registros!A643</f>
        <v>1429@yahoo.es</v>
      </c>
      <c r="B643" s="5">
        <f>Registros!B643</f>
        <v>43950.53889</v>
      </c>
      <c r="C643" s="18" t="str">
        <f>IFNA(VLOOKUP(A643,'Registros - No nuevos'!A:A,1,0),"Nuevo")</f>
        <v>1429@yahoo.es</v>
      </c>
      <c r="D643" s="72" t="str">
        <f t="shared" si="1"/>
        <v>No Nuevo</v>
      </c>
    </row>
    <row r="644" ht="15.75" customHeight="1">
      <c r="A644" s="71" t="str">
        <f>Registros!A644</f>
        <v>1436@deerns.com</v>
      </c>
      <c r="B644" s="5">
        <f>Registros!B644</f>
        <v>43950.53472</v>
      </c>
      <c r="C644" s="18" t="str">
        <f>IFNA(VLOOKUP(A644,'Registros - No nuevos'!A:A,1,0),"Nuevo")</f>
        <v>1436@deerns.com</v>
      </c>
      <c r="D644" s="72" t="str">
        <f t="shared" si="1"/>
        <v>No Nuevo</v>
      </c>
    </row>
    <row r="645" ht="15.75" customHeight="1">
      <c r="A645" s="71" t="str">
        <f>Registros!A645</f>
        <v>1437@indal-tec.com</v>
      </c>
      <c r="B645" s="5">
        <f>Registros!B645</f>
        <v>43950.53403</v>
      </c>
      <c r="C645" s="18" t="str">
        <f>IFNA(VLOOKUP(A645,'Registros - No nuevos'!A:A,1,0),"Nuevo")</f>
        <v>1437@indal-tec.com</v>
      </c>
      <c r="D645" s="72" t="str">
        <f t="shared" si="1"/>
        <v>No Nuevo</v>
      </c>
    </row>
    <row r="646" ht="15.75" customHeight="1">
      <c r="A646" s="71" t="str">
        <f>Registros!A646</f>
        <v>1438@hotmail.com</v>
      </c>
      <c r="B646" s="5">
        <f>Registros!B646</f>
        <v>43950.53403</v>
      </c>
      <c r="C646" s="18" t="str">
        <f>IFNA(VLOOKUP(A646,'Registros - No nuevos'!A:A,1,0),"Nuevo")</f>
        <v>1438@hotmail.com</v>
      </c>
      <c r="D646" s="72" t="str">
        <f t="shared" si="1"/>
        <v>No Nuevo</v>
      </c>
    </row>
    <row r="647" ht="15.75" customHeight="1">
      <c r="A647" s="71" t="str">
        <f>Registros!A647</f>
        <v>187@castelyfernandez.es</v>
      </c>
      <c r="B647" s="5">
        <f>Registros!B647</f>
        <v>43950.53125</v>
      </c>
      <c r="C647" s="18" t="str">
        <f>IFNA(VLOOKUP(A647,'Registros - No nuevos'!A:A,1,0),"Nuevo")</f>
        <v>187@castelyfernandez.es</v>
      </c>
      <c r="D647" s="72" t="str">
        <f t="shared" si="1"/>
        <v>No Nuevo</v>
      </c>
    </row>
    <row r="648" ht="15.75" customHeight="1">
      <c r="A648" s="71" t="str">
        <f>Registros!A648</f>
        <v>1445@gmail.com</v>
      </c>
      <c r="B648" s="5">
        <f>Registros!B648</f>
        <v>43950.52778</v>
      </c>
      <c r="C648" s="18" t="str">
        <f>IFNA(VLOOKUP(A648,'Registros - No nuevos'!A:A,1,0),"Nuevo")</f>
        <v>1445@gmail.com</v>
      </c>
      <c r="D648" s="72" t="str">
        <f t="shared" si="1"/>
        <v>No Nuevo</v>
      </c>
    </row>
    <row r="649" ht="15.75" customHeight="1">
      <c r="A649" s="71" t="str">
        <f>Registros!A649</f>
        <v>1451@electrocuebar.com</v>
      </c>
      <c r="B649" s="5">
        <f>Registros!B649</f>
        <v>43950.52431</v>
      </c>
      <c r="C649" s="18" t="str">
        <f>IFNA(VLOOKUP(A649,'Registros - No nuevos'!A:A,1,0),"Nuevo")</f>
        <v>1451@electrocuebar.com</v>
      </c>
      <c r="D649" s="72" t="str">
        <f t="shared" si="1"/>
        <v>No Nuevo</v>
      </c>
    </row>
    <row r="650" ht="15.75" customHeight="1">
      <c r="A650" s="71" t="str">
        <f>Registros!A650</f>
        <v>1452@ricarsat.com</v>
      </c>
      <c r="B650" s="5">
        <f>Registros!B650</f>
        <v>43950.52431</v>
      </c>
      <c r="C650" s="18" t="str">
        <f>IFNA(VLOOKUP(A650,'Registros - No nuevos'!A:A,1,0),"Nuevo")</f>
        <v>1452@ricarsat.com</v>
      </c>
      <c r="D650" s="72" t="str">
        <f t="shared" si="1"/>
        <v>No Nuevo</v>
      </c>
    </row>
    <row r="651" ht="15.75" customHeight="1">
      <c r="A651" s="71" t="str">
        <f>Registros!A651</f>
        <v>217@esypro.net</v>
      </c>
      <c r="B651" s="5">
        <f>Registros!B651</f>
        <v>43950.52361</v>
      </c>
      <c r="C651" s="18" t="str">
        <f>IFNA(VLOOKUP(A651,'Registros - No nuevos'!A:A,1,0),"Nuevo")</f>
        <v>217@esypro.net</v>
      </c>
      <c r="D651" s="72" t="str">
        <f t="shared" si="1"/>
        <v>No Nuevo</v>
      </c>
    </row>
    <row r="652" ht="15.75" customHeight="1">
      <c r="A652" s="71" t="str">
        <f>Registros!A652</f>
        <v>1453@ingenierosdecadiz.es</v>
      </c>
      <c r="B652" s="5">
        <f>Registros!B652</f>
        <v>43950.52361</v>
      </c>
      <c r="C652" s="18" t="str">
        <f>IFNA(VLOOKUP(A652,'Registros - No nuevos'!A:A,1,0),"Nuevo")</f>
        <v>1453@ingenierosdecadiz.es</v>
      </c>
      <c r="D652" s="72" t="str">
        <f t="shared" si="1"/>
        <v>No Nuevo</v>
      </c>
    </row>
    <row r="653" ht="15.75" customHeight="1">
      <c r="A653" s="71" t="str">
        <f>Registros!A653</f>
        <v>1457@covama.es</v>
      </c>
      <c r="B653" s="5">
        <f>Registros!B653</f>
        <v>43950.52153</v>
      </c>
      <c r="C653" s="18" t="str">
        <f>IFNA(VLOOKUP(A653,'Registros - No nuevos'!A:A,1,0),"Nuevo")</f>
        <v>1457@covama.es</v>
      </c>
      <c r="D653" s="72" t="str">
        <f t="shared" si="1"/>
        <v>No Nuevo</v>
      </c>
    </row>
    <row r="654" ht="15.75" customHeight="1">
      <c r="A654" s="71" t="str">
        <f>Registros!A654</f>
        <v>1460@gmail.com</v>
      </c>
      <c r="B654" s="5">
        <f>Registros!B654</f>
        <v>43950.52014</v>
      </c>
      <c r="C654" s="18" t="str">
        <f>IFNA(VLOOKUP(A654,'Registros - No nuevos'!A:A,1,0),"Nuevo")</f>
        <v>1460@gmail.com</v>
      </c>
      <c r="D654" s="72" t="str">
        <f t="shared" si="1"/>
        <v>No Nuevo</v>
      </c>
    </row>
    <row r="655" ht="15.75" customHeight="1">
      <c r="A655" s="71" t="str">
        <f>Registros!A655</f>
        <v>1461@gmail.com</v>
      </c>
      <c r="B655" s="5">
        <f>Registros!B655</f>
        <v>43950.52014</v>
      </c>
      <c r="C655" s="18" t="str">
        <f>IFNA(VLOOKUP(A655,'Registros - No nuevos'!A:A,1,0),"Nuevo")</f>
        <v>1461@gmail.com</v>
      </c>
      <c r="D655" s="72" t="str">
        <f t="shared" si="1"/>
        <v>No Nuevo</v>
      </c>
    </row>
    <row r="656" ht="15.75" customHeight="1">
      <c r="A656" s="71" t="str">
        <f>Registros!A656</f>
        <v>1462@cadlan.com</v>
      </c>
      <c r="B656" s="5">
        <f>Registros!B656</f>
        <v>43950.51944</v>
      </c>
      <c r="C656" s="18" t="str">
        <f>IFNA(VLOOKUP(A656,'Registros - No nuevos'!A:A,1,0),"Nuevo")</f>
        <v>1462@cadlan.com</v>
      </c>
      <c r="D656" s="72" t="str">
        <f t="shared" si="1"/>
        <v>No Nuevo</v>
      </c>
    </row>
    <row r="657" ht="15.75" customHeight="1">
      <c r="A657" s="71" t="str">
        <f>Registros!A657</f>
        <v>1466@telegrado.es</v>
      </c>
      <c r="B657" s="5">
        <f>Registros!B657</f>
        <v>43950.51736</v>
      </c>
      <c r="C657" s="18" t="str">
        <f>IFNA(VLOOKUP(A657,'Registros - No nuevos'!A:A,1,0),"Nuevo")</f>
        <v>1466@telegrado.es</v>
      </c>
      <c r="D657" s="72" t="str">
        <f t="shared" si="1"/>
        <v>No Nuevo</v>
      </c>
    </row>
    <row r="658" ht="15.75" customHeight="1">
      <c r="A658" s="71" t="str">
        <f>Registros!A658</f>
        <v>1468@gmail.com</v>
      </c>
      <c r="B658" s="5">
        <f>Registros!B658</f>
        <v>43950.51667</v>
      </c>
      <c r="C658" s="18" t="str">
        <f>IFNA(VLOOKUP(A658,'Registros - No nuevos'!A:A,1,0),"Nuevo")</f>
        <v>1468@gmail.com</v>
      </c>
      <c r="D658" s="72" t="str">
        <f t="shared" si="1"/>
        <v>No Nuevo</v>
      </c>
    </row>
    <row r="659" ht="15.75" customHeight="1">
      <c r="A659" s="71" t="str">
        <f>Registros!A659</f>
        <v>1473@hotmail.com</v>
      </c>
      <c r="B659" s="5">
        <f>Registros!B659</f>
        <v>43950.51319</v>
      </c>
      <c r="C659" s="18" t="str">
        <f>IFNA(VLOOKUP(A659,'Registros - No nuevos'!A:A,1,0),"Nuevo")</f>
        <v>1473@hotmail.com</v>
      </c>
      <c r="D659" s="72" t="str">
        <f t="shared" si="1"/>
        <v>No Nuevo</v>
      </c>
    </row>
    <row r="660" ht="15.75" customHeight="1">
      <c r="A660" s="71" t="str">
        <f>Registros!A660</f>
        <v>1478@gmail.com</v>
      </c>
      <c r="B660" s="5">
        <f>Registros!B660</f>
        <v>43950.51181</v>
      </c>
      <c r="C660" s="18" t="str">
        <f>IFNA(VLOOKUP(A660,'Registros - No nuevos'!A:A,1,0),"Nuevo")</f>
        <v>1478@gmail.com</v>
      </c>
      <c r="D660" s="72" t="str">
        <f t="shared" si="1"/>
        <v>No Nuevo</v>
      </c>
    </row>
    <row r="661" ht="15.75" customHeight="1">
      <c r="A661" s="71" t="str">
        <f>Registros!A661</f>
        <v>951@tenerasa.es</v>
      </c>
      <c r="B661" s="5">
        <f>Registros!B661</f>
        <v>43950.51181</v>
      </c>
      <c r="C661" s="18" t="str">
        <f>IFNA(VLOOKUP(A661,'Registros - No nuevos'!A:A,1,0),"Nuevo")</f>
        <v>951@tenerasa.es</v>
      </c>
      <c r="D661" s="72" t="str">
        <f t="shared" si="1"/>
        <v>No Nuevo</v>
      </c>
    </row>
    <row r="662" ht="15.75" customHeight="1">
      <c r="A662" s="71" t="str">
        <f>Registros!A662</f>
        <v>1019@ingeralbaida.es</v>
      </c>
      <c r="B662" s="5">
        <f>Registros!B662</f>
        <v>43950.50556</v>
      </c>
      <c r="C662" s="18" t="str">
        <f>IFNA(VLOOKUP(A662,'Registros - No nuevos'!A:A,1,0),"Nuevo")</f>
        <v>1019@ingeralbaida.es</v>
      </c>
      <c r="D662" s="72" t="str">
        <f t="shared" si="1"/>
        <v>No Nuevo</v>
      </c>
    </row>
    <row r="663" ht="15.75" customHeight="1">
      <c r="A663" s="71" t="str">
        <f>Registros!A663</f>
        <v>3043@yahoo.es</v>
      </c>
      <c r="B663" s="5">
        <f>Registros!B663</f>
        <v>43950.50417</v>
      </c>
      <c r="C663" s="18" t="str">
        <f>IFNA(VLOOKUP(A663,'Registros - No nuevos'!A:A,1,0),"Nuevo")</f>
        <v>3043@yahoo.es</v>
      </c>
      <c r="D663" s="72" t="str">
        <f t="shared" si="1"/>
        <v>No Nuevo</v>
      </c>
    </row>
    <row r="664" ht="15.75" customHeight="1">
      <c r="A664" s="71" t="str">
        <f>Registros!A664</f>
        <v>973@live.com</v>
      </c>
      <c r="B664" s="5">
        <f>Registros!B664</f>
        <v>43950.50139</v>
      </c>
      <c r="C664" s="18" t="str">
        <f>IFNA(VLOOKUP(A664,'Registros - No nuevos'!A:A,1,0),"Nuevo")</f>
        <v>973@live.com</v>
      </c>
      <c r="D664" s="72" t="str">
        <f t="shared" si="1"/>
        <v>No Nuevo</v>
      </c>
    </row>
    <row r="665" ht="15.75" customHeight="1">
      <c r="A665" s="71" t="str">
        <f>Registros!A665</f>
        <v>297@hotmail.com</v>
      </c>
      <c r="B665" s="5">
        <f>Registros!B665</f>
        <v>43950.49583</v>
      </c>
      <c r="C665" s="18" t="str">
        <f>IFNA(VLOOKUP(A665,'Registros - No nuevos'!A:A,1,0),"Nuevo")</f>
        <v>297@hotmail.com</v>
      </c>
      <c r="D665" s="72" t="str">
        <f t="shared" si="1"/>
        <v>No Nuevo</v>
      </c>
    </row>
    <row r="666" ht="15.75" customHeight="1">
      <c r="A666" s="71" t="str">
        <f>Registros!A666</f>
        <v>1509@xonxa.com</v>
      </c>
      <c r="B666" s="5">
        <f>Registros!B666</f>
        <v>43950.49375</v>
      </c>
      <c r="C666" s="18" t="str">
        <f>IFNA(VLOOKUP(A666,'Registros - No nuevos'!A:A,1,0),"Nuevo")</f>
        <v>1509@xonxa.com</v>
      </c>
      <c r="D666" s="72" t="str">
        <f t="shared" si="1"/>
        <v>No Nuevo</v>
      </c>
    </row>
    <row r="667" ht="15.75" customHeight="1">
      <c r="A667" s="71" t="str">
        <f>Registros!A667</f>
        <v>374@copitima.com</v>
      </c>
      <c r="B667" s="5">
        <f>Registros!B667</f>
        <v>43950.49028</v>
      </c>
      <c r="C667" s="18" t="str">
        <f>IFNA(VLOOKUP(A667,'Registros - No nuevos'!A:A,1,0),"Nuevo")</f>
        <v>374@copitima.com</v>
      </c>
      <c r="D667" s="72" t="str">
        <f t="shared" si="1"/>
        <v>No Nuevo</v>
      </c>
    </row>
    <row r="668" ht="15.75" customHeight="1">
      <c r="A668" s="71" t="str">
        <f>Registros!A668</f>
        <v>1028@ingenierosvalladolid.es</v>
      </c>
      <c r="B668" s="5">
        <f>Registros!B668</f>
        <v>43950.48681</v>
      </c>
      <c r="C668" s="18" t="str">
        <f>IFNA(VLOOKUP(A668,'Registros - No nuevos'!A:A,1,0),"Nuevo")</f>
        <v>1028@ingenierosvalladolid.es</v>
      </c>
      <c r="D668" s="72" t="str">
        <f t="shared" si="1"/>
        <v>No Nuevo</v>
      </c>
    </row>
    <row r="669" ht="15.75" customHeight="1">
      <c r="A669" s="71" t="str">
        <f>Registros!A669</f>
        <v>1519@tadelec.com</v>
      </c>
      <c r="B669" s="5">
        <f>Registros!B669</f>
        <v>43950.48611</v>
      </c>
      <c r="C669" s="18" t="str">
        <f>IFNA(VLOOKUP(A669,'Registros - No nuevos'!A:A,1,0),"Nuevo")</f>
        <v>1519@tadelec.com</v>
      </c>
      <c r="D669" s="72" t="str">
        <f t="shared" si="1"/>
        <v>No Nuevo</v>
      </c>
    </row>
    <row r="670" ht="15.75" customHeight="1">
      <c r="A670" s="71" t="str">
        <f>Registros!A670</f>
        <v>873@eutikes.com</v>
      </c>
      <c r="B670" s="5">
        <f>Registros!B670</f>
        <v>43950.48611</v>
      </c>
      <c r="C670" s="18" t="str">
        <f>IFNA(VLOOKUP(A670,'Registros - No nuevos'!A:A,1,0),"Nuevo")</f>
        <v>873@eutikes.com</v>
      </c>
      <c r="D670" s="72" t="str">
        <f t="shared" si="1"/>
        <v>No Nuevo</v>
      </c>
    </row>
    <row r="671" ht="15.75" customHeight="1">
      <c r="A671" s="71" t="str">
        <f>Registros!A671</f>
        <v>1520@cebrinsa.es</v>
      </c>
      <c r="B671" s="5">
        <f>Registros!B671</f>
        <v>43950.48472</v>
      </c>
      <c r="C671" s="18" t="str">
        <f>IFNA(VLOOKUP(A671,'Registros - No nuevos'!A:A,1,0),"Nuevo")</f>
        <v>1520@cebrinsa.es</v>
      </c>
      <c r="D671" s="72" t="str">
        <f t="shared" si="1"/>
        <v>No Nuevo</v>
      </c>
    </row>
    <row r="672" ht="15.75" customHeight="1">
      <c r="A672" s="71" t="str">
        <f>Registros!A672</f>
        <v>1521@hotmail.com</v>
      </c>
      <c r="B672" s="5">
        <f>Registros!B672</f>
        <v>43950.48403</v>
      </c>
      <c r="C672" s="18" t="str">
        <f>IFNA(VLOOKUP(A672,'Registros - No nuevos'!A:A,1,0),"Nuevo")</f>
        <v>1521@hotmail.com</v>
      </c>
      <c r="D672" s="72" t="str">
        <f t="shared" si="1"/>
        <v>No Nuevo</v>
      </c>
    </row>
    <row r="673" ht="15.75" customHeight="1">
      <c r="A673" s="71" t="str">
        <f>Registros!A673</f>
        <v>1523@ofitep.com</v>
      </c>
      <c r="B673" s="5">
        <f>Registros!B673</f>
        <v>43950.48333</v>
      </c>
      <c r="C673" s="18" t="str">
        <f>IFNA(VLOOKUP(A673,'Registros - No nuevos'!A:A,1,0),"Nuevo")</f>
        <v>1523@ofitep.com</v>
      </c>
      <c r="D673" s="72" t="str">
        <f t="shared" si="1"/>
        <v>No Nuevo</v>
      </c>
    </row>
    <row r="674" ht="15.75" customHeight="1">
      <c r="A674" s="71" t="str">
        <f>Registros!A674</f>
        <v>1528@sitiaingenieria.com</v>
      </c>
      <c r="B674" s="5">
        <f>Registros!B674</f>
        <v>43950.48056</v>
      </c>
      <c r="C674" s="18" t="str">
        <f>IFNA(VLOOKUP(A674,'Registros - No nuevos'!A:A,1,0),"Nuevo")</f>
        <v>1528@sitiaingenieria.com</v>
      </c>
      <c r="D674" s="72" t="str">
        <f t="shared" si="1"/>
        <v>No Nuevo</v>
      </c>
    </row>
    <row r="675" ht="15.75" customHeight="1">
      <c r="A675" s="71" t="str">
        <f>Registros!A675</f>
        <v>1022@uhu.es</v>
      </c>
      <c r="B675" s="5">
        <f>Registros!B675</f>
        <v>43950.47986</v>
      </c>
      <c r="C675" s="18" t="str">
        <f>IFNA(VLOOKUP(A675,'Registros - No nuevos'!A:A,1,0),"Nuevo")</f>
        <v>1022@uhu.es</v>
      </c>
      <c r="D675" s="72" t="str">
        <f t="shared" si="1"/>
        <v>No Nuevo</v>
      </c>
    </row>
    <row r="676" ht="15.75" customHeight="1">
      <c r="A676" s="71" t="str">
        <f>Registros!A676</f>
        <v>1530@aller.es</v>
      </c>
      <c r="B676" s="5">
        <f>Registros!B676</f>
        <v>43950.47986</v>
      </c>
      <c r="C676" s="18" t="str">
        <f>IFNA(VLOOKUP(A676,'Registros - No nuevos'!A:A,1,0),"Nuevo")</f>
        <v>1530@aller.es</v>
      </c>
      <c r="D676" s="72" t="str">
        <f t="shared" si="1"/>
        <v>No Nuevo</v>
      </c>
    </row>
    <row r="677" ht="15.75" customHeight="1">
      <c r="A677" s="71" t="str">
        <f>Registros!A677</f>
        <v>1536@estudiosyproyectos.com</v>
      </c>
      <c r="B677" s="5">
        <f>Registros!B677</f>
        <v>43950.47778</v>
      </c>
      <c r="C677" s="18" t="str">
        <f>IFNA(VLOOKUP(A677,'Registros - No nuevos'!A:A,1,0),"Nuevo")</f>
        <v>1536@estudiosyproyectos.com</v>
      </c>
      <c r="D677" s="72" t="str">
        <f t="shared" si="1"/>
        <v>No Nuevo</v>
      </c>
    </row>
    <row r="678" ht="15.75" customHeight="1">
      <c r="A678" s="71" t="str">
        <f>Registros!A678</f>
        <v>1539@hotmail.com</v>
      </c>
      <c r="B678" s="5">
        <f>Registros!B678</f>
        <v>43950.47778</v>
      </c>
      <c r="C678" s="18" t="str">
        <f>IFNA(VLOOKUP(A678,'Registros - No nuevos'!A:A,1,0),"Nuevo")</f>
        <v>1539@hotmail.com</v>
      </c>
      <c r="D678" s="72" t="str">
        <f t="shared" si="1"/>
        <v>No Nuevo</v>
      </c>
    </row>
    <row r="679" ht="15.75" customHeight="1">
      <c r="A679" s="71" t="str">
        <f>Registros!A679</f>
        <v>1542@meomsl.com</v>
      </c>
      <c r="B679" s="5">
        <f>Registros!B679</f>
        <v>43950.47639</v>
      </c>
      <c r="C679" s="18" t="str">
        <f>IFNA(VLOOKUP(A679,'Registros - No nuevos'!A:A,1,0),"Nuevo")</f>
        <v>1542@meomsl.com</v>
      </c>
      <c r="D679" s="72" t="str">
        <f t="shared" si="1"/>
        <v>No Nuevo</v>
      </c>
    </row>
    <row r="680" ht="15.75" customHeight="1">
      <c r="A680" s="71" t="str">
        <f>Registros!A680</f>
        <v>1546@gmail.com</v>
      </c>
      <c r="B680" s="5">
        <f>Registros!B680</f>
        <v>43950.47569</v>
      </c>
      <c r="C680" s="18" t="str">
        <f>IFNA(VLOOKUP(A680,'Registros - No nuevos'!A:A,1,0),"Nuevo")</f>
        <v>1546@gmail.com</v>
      </c>
      <c r="D680" s="72" t="str">
        <f t="shared" si="1"/>
        <v>No Nuevo</v>
      </c>
    </row>
    <row r="681" ht="15.75" customHeight="1">
      <c r="A681" s="71" t="str">
        <f>Registros!A681</f>
        <v>877@gmail.com</v>
      </c>
      <c r="B681" s="5">
        <f>Registros!B681</f>
        <v>43950.47569</v>
      </c>
      <c r="C681" s="18" t="str">
        <f>IFNA(VLOOKUP(A681,'Registros - No nuevos'!A:A,1,0),"Nuevo")</f>
        <v>877@gmail.com</v>
      </c>
      <c r="D681" s="72" t="str">
        <f t="shared" si="1"/>
        <v>No Nuevo</v>
      </c>
    </row>
    <row r="682" ht="15.75" customHeight="1">
      <c r="A682" s="71" t="str">
        <f>Registros!A682</f>
        <v>1551@avatry.es</v>
      </c>
      <c r="B682" s="5">
        <f>Registros!B682</f>
        <v>43950.47292</v>
      </c>
      <c r="C682" s="18" t="str">
        <f>IFNA(VLOOKUP(A682,'Registros - No nuevos'!A:A,1,0),"Nuevo")</f>
        <v>1551@avatry.es</v>
      </c>
      <c r="D682" s="72" t="str">
        <f t="shared" si="1"/>
        <v>No Nuevo</v>
      </c>
    </row>
    <row r="683" ht="15.75" customHeight="1">
      <c r="A683" s="71" t="str">
        <f>Registros!A683</f>
        <v>1552@yahoo.es</v>
      </c>
      <c r="B683" s="5">
        <f>Registros!B683</f>
        <v>43950.47292</v>
      </c>
      <c r="C683" s="18" t="str">
        <f>IFNA(VLOOKUP(A683,'Registros - No nuevos'!A:A,1,0),"Nuevo")</f>
        <v>1552@yahoo.es</v>
      </c>
      <c r="D683" s="72" t="str">
        <f t="shared" si="1"/>
        <v>No Nuevo</v>
      </c>
    </row>
    <row r="684" ht="15.75" customHeight="1">
      <c r="A684" s="71" t="str">
        <f>Registros!A684</f>
        <v>1561@elecvic.com</v>
      </c>
      <c r="B684" s="5">
        <f>Registros!B684</f>
        <v>43950.47014</v>
      </c>
      <c r="C684" s="18" t="str">
        <f>IFNA(VLOOKUP(A684,'Registros - No nuevos'!A:A,1,0),"Nuevo")</f>
        <v>1561@elecvic.com</v>
      </c>
      <c r="D684" s="72" t="str">
        <f t="shared" si="1"/>
        <v>No Nuevo</v>
      </c>
    </row>
    <row r="685" ht="15.75" customHeight="1">
      <c r="A685" s="71" t="str">
        <f>Registros!A685</f>
        <v>1564@dimelsa.es</v>
      </c>
      <c r="B685" s="5">
        <f>Registros!B685</f>
        <v>43950.46875</v>
      </c>
      <c r="C685" s="18" t="str">
        <f>IFNA(VLOOKUP(A685,'Registros - No nuevos'!A:A,1,0),"Nuevo")</f>
        <v>1564@dimelsa.es</v>
      </c>
      <c r="D685" s="72" t="str">
        <f t="shared" si="1"/>
        <v>No Nuevo</v>
      </c>
    </row>
    <row r="686" ht="15.75" customHeight="1">
      <c r="A686" s="71" t="str">
        <f>Registros!A686</f>
        <v>1567@egarriga.com</v>
      </c>
      <c r="B686" s="5">
        <f>Registros!B686</f>
        <v>43950.46806</v>
      </c>
      <c r="C686" s="18" t="str">
        <f>IFNA(VLOOKUP(A686,'Registros - No nuevos'!A:A,1,0),"Nuevo")</f>
        <v>1567@egarriga.com</v>
      </c>
      <c r="D686" s="72" t="str">
        <f t="shared" si="1"/>
        <v>No Nuevo</v>
      </c>
    </row>
    <row r="687" ht="15.75" customHeight="1">
      <c r="A687" s="71" t="str">
        <f>Registros!A687</f>
        <v>1573@hotmail.com</v>
      </c>
      <c r="B687" s="5">
        <f>Registros!B687</f>
        <v>43950.46667</v>
      </c>
      <c r="C687" s="18" t="str">
        <f>IFNA(VLOOKUP(A687,'Registros - No nuevos'!A:A,1,0),"Nuevo")</f>
        <v>1573@hotmail.com</v>
      </c>
      <c r="D687" s="72" t="str">
        <f t="shared" si="1"/>
        <v>No Nuevo</v>
      </c>
    </row>
    <row r="688" ht="15.75" customHeight="1">
      <c r="A688" s="71" t="str">
        <f>Registros!A688</f>
        <v>1577@cimelsa.com</v>
      </c>
      <c r="B688" s="5">
        <f>Registros!B688</f>
        <v>43950.46597</v>
      </c>
      <c r="C688" s="18" t="str">
        <f>IFNA(VLOOKUP(A688,'Registros - No nuevos'!A:A,1,0),"Nuevo")</f>
        <v>1577@cimelsa.com</v>
      </c>
      <c r="D688" s="72" t="str">
        <f t="shared" si="1"/>
        <v>No Nuevo</v>
      </c>
    </row>
    <row r="689" ht="15.75" customHeight="1">
      <c r="A689" s="71" t="str">
        <f>Registros!A689</f>
        <v>1578@covama.es</v>
      </c>
      <c r="B689" s="5">
        <f>Registros!B689</f>
        <v>43950.46458</v>
      </c>
      <c r="C689" s="18" t="str">
        <f>IFNA(VLOOKUP(A689,'Registros - No nuevos'!A:A,1,0),"Nuevo")</f>
        <v>1578@covama.es</v>
      </c>
      <c r="D689" s="72" t="str">
        <f t="shared" si="1"/>
        <v>No Nuevo</v>
      </c>
    </row>
    <row r="690" ht="15.75" customHeight="1">
      <c r="A690" s="71" t="str">
        <f>Registros!A690</f>
        <v>329@covama.es</v>
      </c>
      <c r="B690" s="5">
        <f>Registros!B690</f>
        <v>43950.46389</v>
      </c>
      <c r="C690" s="18" t="str">
        <f>IFNA(VLOOKUP(A690,'Registros - No nuevos'!A:A,1,0),"Nuevo")</f>
        <v>329@covama.es</v>
      </c>
      <c r="D690" s="72" t="str">
        <f t="shared" si="1"/>
        <v>No Nuevo</v>
      </c>
    </row>
    <row r="691" ht="15.75" customHeight="1">
      <c r="A691" s="71" t="str">
        <f>Registros!A691</f>
        <v>1586@genserma.es</v>
      </c>
      <c r="B691" s="5">
        <f>Registros!B691</f>
        <v>43950.4625</v>
      </c>
      <c r="C691" s="18" t="str">
        <f>IFNA(VLOOKUP(A691,'Registros - No nuevos'!A:A,1,0),"Nuevo")</f>
        <v>1586@genserma.es</v>
      </c>
      <c r="D691" s="72" t="str">
        <f t="shared" si="1"/>
        <v>No Nuevo</v>
      </c>
    </row>
    <row r="692" ht="15.75" customHeight="1">
      <c r="A692" s="71" t="str">
        <f>Registros!A692</f>
        <v>1011@gmail.com</v>
      </c>
      <c r="B692" s="5">
        <f>Registros!B692</f>
        <v>43950.4625</v>
      </c>
      <c r="C692" s="18" t="str">
        <f>IFNA(VLOOKUP(A692,'Registros - No nuevos'!A:A,1,0),"Nuevo")</f>
        <v>1011@gmail.com</v>
      </c>
      <c r="D692" s="72" t="str">
        <f t="shared" si="1"/>
        <v>No Nuevo</v>
      </c>
    </row>
    <row r="693" ht="15.75" customHeight="1">
      <c r="A693" s="71" t="str">
        <f>Registros!A693</f>
        <v>1592@mesenergia.cat</v>
      </c>
      <c r="B693" s="5">
        <f>Registros!B693</f>
        <v>43950.46181</v>
      </c>
      <c r="C693" s="18" t="str">
        <f>IFNA(VLOOKUP(A693,'Registros - No nuevos'!A:A,1,0),"Nuevo")</f>
        <v>1592@mesenergia.cat</v>
      </c>
      <c r="D693" s="72" t="str">
        <f t="shared" si="1"/>
        <v>No Nuevo</v>
      </c>
    </row>
    <row r="694" ht="15.75" customHeight="1">
      <c r="A694" s="71" t="str">
        <f>Registros!A694</f>
        <v>1588@jgingenieros.es</v>
      </c>
      <c r="B694" s="5">
        <f>Registros!B694</f>
        <v>43950.46181</v>
      </c>
      <c r="C694" s="18" t="str">
        <f>IFNA(VLOOKUP(A694,'Registros - No nuevos'!A:A,1,0),"Nuevo")</f>
        <v>1588@jgingenieros.es</v>
      </c>
      <c r="D694" s="72" t="str">
        <f t="shared" si="1"/>
        <v>No Nuevo</v>
      </c>
    </row>
    <row r="695" ht="15.75" customHeight="1">
      <c r="A695" s="71" t="str">
        <f>Registros!A695</f>
        <v>875@orange.es</v>
      </c>
      <c r="B695" s="5">
        <f>Registros!B695</f>
        <v>43950.45694</v>
      </c>
      <c r="C695" s="18" t="str">
        <f>IFNA(VLOOKUP(A695,'Registros - No nuevos'!A:A,1,0),"Nuevo")</f>
        <v>875@orange.es</v>
      </c>
      <c r="D695" s="72" t="str">
        <f t="shared" si="1"/>
        <v>No Nuevo</v>
      </c>
    </row>
    <row r="696" ht="15.75" customHeight="1">
      <c r="A696" s="71" t="str">
        <f>Registros!A696</f>
        <v>1004@telefonica.net</v>
      </c>
      <c r="B696" s="5">
        <f>Registros!B696</f>
        <v>43950.45625</v>
      </c>
      <c r="C696" s="18" t="str">
        <f>IFNA(VLOOKUP(A696,'Registros - No nuevos'!A:A,1,0),"Nuevo")</f>
        <v>1004@telefonica.net</v>
      </c>
      <c r="D696" s="72" t="str">
        <f t="shared" si="1"/>
        <v>No Nuevo</v>
      </c>
    </row>
    <row r="697" ht="15.75" customHeight="1">
      <c r="A697" s="71" t="str">
        <f>Registros!A697</f>
        <v>1612@gmail.com</v>
      </c>
      <c r="B697" s="5">
        <f>Registros!B697</f>
        <v>43950.45486</v>
      </c>
      <c r="C697" s="18" t="str">
        <f>IFNA(VLOOKUP(A697,'Registros - No nuevos'!A:A,1,0),"Nuevo")</f>
        <v>1612@gmail.com</v>
      </c>
      <c r="D697" s="72" t="str">
        <f t="shared" si="1"/>
        <v>No Nuevo</v>
      </c>
    </row>
    <row r="698" ht="15.75" customHeight="1">
      <c r="A698" s="71" t="str">
        <f>Registros!A698</f>
        <v>1614@electronalon.es</v>
      </c>
      <c r="B698" s="5">
        <f>Registros!B698</f>
        <v>43950.45347</v>
      </c>
      <c r="C698" s="18" t="str">
        <f>IFNA(VLOOKUP(A698,'Registros - No nuevos'!A:A,1,0),"Nuevo")</f>
        <v>1614@electronalon.es</v>
      </c>
      <c r="D698" s="72" t="str">
        <f t="shared" si="1"/>
        <v>No Nuevo</v>
      </c>
    </row>
    <row r="699" ht="15.75" customHeight="1">
      <c r="A699" s="71" t="str">
        <f>Registros!A699</f>
        <v>642@ecoviv.eu</v>
      </c>
      <c r="B699" s="5">
        <f>Registros!B699</f>
        <v>43950.45278</v>
      </c>
      <c r="C699" s="18" t="str">
        <f>IFNA(VLOOKUP(A699,'Registros - No nuevos'!A:A,1,0),"Nuevo")</f>
        <v>642@ecoviv.eu</v>
      </c>
      <c r="D699" s="72" t="str">
        <f t="shared" si="1"/>
        <v>No Nuevo</v>
      </c>
    </row>
    <row r="700" ht="15.75" customHeight="1">
      <c r="A700" s="71" t="str">
        <f>Registros!A700</f>
        <v>1631@sri.es</v>
      </c>
      <c r="B700" s="5">
        <f>Registros!B700</f>
        <v>43950.45</v>
      </c>
      <c r="C700" s="18" t="str">
        <f>IFNA(VLOOKUP(A700,'Registros - No nuevos'!A:A,1,0),"Nuevo")</f>
        <v>1631@sri.es</v>
      </c>
      <c r="D700" s="72" t="str">
        <f t="shared" si="1"/>
        <v>No Nuevo</v>
      </c>
    </row>
    <row r="701" ht="15.75" customHeight="1">
      <c r="A701" s="71" t="str">
        <f>Registros!A701</f>
        <v>1636@yahoo.es</v>
      </c>
      <c r="B701" s="5">
        <f>Registros!B701</f>
        <v>43950.44931</v>
      </c>
      <c r="C701" s="18" t="str">
        <f>IFNA(VLOOKUP(A701,'Registros - No nuevos'!A:A,1,0),"Nuevo")</f>
        <v>1636@yahoo.es</v>
      </c>
      <c r="D701" s="72" t="str">
        <f t="shared" si="1"/>
        <v>No Nuevo</v>
      </c>
    </row>
    <row r="702" ht="15.75" customHeight="1">
      <c r="A702" s="71" t="str">
        <f>Registros!A702</f>
        <v>1646@geserelectric.es</v>
      </c>
      <c r="B702" s="5">
        <f>Registros!B702</f>
        <v>43950.44792</v>
      </c>
      <c r="C702" s="18" t="str">
        <f>IFNA(VLOOKUP(A702,'Registros - No nuevos'!A:A,1,0),"Nuevo")</f>
        <v>1646@geserelectric.es</v>
      </c>
      <c r="D702" s="72" t="str">
        <f t="shared" si="1"/>
        <v>No Nuevo</v>
      </c>
    </row>
    <row r="703" ht="15.75" customHeight="1">
      <c r="A703" s="71" t="str">
        <f>Registros!A703</f>
        <v>1651@gmail.com</v>
      </c>
      <c r="B703" s="5">
        <f>Registros!B703</f>
        <v>43950.44653</v>
      </c>
      <c r="C703" s="18" t="str">
        <f>IFNA(VLOOKUP(A703,'Registros - No nuevos'!A:A,1,0),"Nuevo")</f>
        <v>1651@gmail.com</v>
      </c>
      <c r="D703" s="72" t="str">
        <f t="shared" si="1"/>
        <v>No Nuevo</v>
      </c>
    </row>
    <row r="704" ht="15.75" customHeight="1">
      <c r="A704" s="71" t="str">
        <f>Registros!A704</f>
        <v>1015@aziraelectricidad.com</v>
      </c>
      <c r="B704" s="5">
        <f>Registros!B704</f>
        <v>43950.44583</v>
      </c>
      <c r="C704" s="18" t="str">
        <f>IFNA(VLOOKUP(A704,'Registros - No nuevos'!A:A,1,0),"Nuevo")</f>
        <v>1015@aziraelectricidad.com</v>
      </c>
      <c r="D704" s="72" t="str">
        <f t="shared" si="1"/>
        <v>No Nuevo</v>
      </c>
    </row>
    <row r="705" ht="15.75" customHeight="1">
      <c r="A705" s="71" t="str">
        <f>Registros!A705</f>
        <v>1656@gmx.es</v>
      </c>
      <c r="B705" s="5">
        <f>Registros!B705</f>
        <v>43950.44444</v>
      </c>
      <c r="C705" s="18" t="str">
        <f>IFNA(VLOOKUP(A705,'Registros - No nuevos'!A:A,1,0),"Nuevo")</f>
        <v>1656@gmx.es</v>
      </c>
      <c r="D705" s="72" t="str">
        <f t="shared" si="1"/>
        <v>No Nuevo</v>
      </c>
    </row>
    <row r="706" ht="15.75" customHeight="1">
      <c r="A706" s="71" t="str">
        <f>Registros!A706</f>
        <v>1664@jgingenieros.es</v>
      </c>
      <c r="B706" s="5">
        <f>Registros!B706</f>
        <v>43950.44306</v>
      </c>
      <c r="C706" s="18" t="str">
        <f>IFNA(VLOOKUP(A706,'Registros - No nuevos'!A:A,1,0),"Nuevo")</f>
        <v>1664@jgingenieros.es</v>
      </c>
      <c r="D706" s="72" t="str">
        <f t="shared" si="1"/>
        <v>No Nuevo</v>
      </c>
    </row>
    <row r="707" ht="15.75" customHeight="1">
      <c r="A707" s="71" t="str">
        <f>Registros!A707</f>
        <v>1668@negratin.com</v>
      </c>
      <c r="B707" s="5">
        <f>Registros!B707</f>
        <v>43950.44167</v>
      </c>
      <c r="C707" s="18" t="str">
        <f>IFNA(VLOOKUP(A707,'Registros - No nuevos'!A:A,1,0),"Nuevo")</f>
        <v>1668@negratin.com</v>
      </c>
      <c r="D707" s="72" t="str">
        <f t="shared" si="1"/>
        <v>No Nuevo</v>
      </c>
    </row>
    <row r="708" ht="15.75" customHeight="1">
      <c r="A708" s="71" t="str">
        <f>Registros!A708</f>
        <v>1009@ccatlantico.com</v>
      </c>
      <c r="B708" s="5">
        <f>Registros!B708</f>
        <v>43950.44167</v>
      </c>
      <c r="C708" s="18" t="str">
        <f>IFNA(VLOOKUP(A708,'Registros - No nuevos'!A:A,1,0),"Nuevo")</f>
        <v>1009@ccatlantico.com</v>
      </c>
      <c r="D708" s="72" t="str">
        <f t="shared" si="1"/>
        <v>No Nuevo</v>
      </c>
    </row>
    <row r="709" ht="15.75" customHeight="1">
      <c r="A709" s="71" t="str">
        <f>Registros!A709</f>
        <v>1674@gmail.com</v>
      </c>
      <c r="B709" s="5">
        <f>Registros!B709</f>
        <v>43950.44097</v>
      </c>
      <c r="C709" s="18" t="str">
        <f>IFNA(VLOOKUP(A709,'Registros - No nuevos'!A:A,1,0),"Nuevo")</f>
        <v>1674@gmail.com</v>
      </c>
      <c r="D709" s="72" t="str">
        <f t="shared" si="1"/>
        <v>No Nuevo</v>
      </c>
    </row>
    <row r="710" ht="15.75" customHeight="1">
      <c r="A710" s="71" t="str">
        <f>Registros!A710</f>
        <v>1680@trelec.es</v>
      </c>
      <c r="B710" s="5">
        <f>Registros!B710</f>
        <v>43950.43958</v>
      </c>
      <c r="C710" s="18" t="str">
        <f>IFNA(VLOOKUP(A710,'Registros - No nuevos'!A:A,1,0),"Nuevo")</f>
        <v>1680@trelec.es</v>
      </c>
      <c r="D710" s="72" t="str">
        <f t="shared" si="1"/>
        <v>No Nuevo</v>
      </c>
    </row>
    <row r="711" ht="15.75" customHeight="1">
      <c r="A711" s="71" t="str">
        <f>Registros!A711</f>
        <v>1689@jlgingenieria.com</v>
      </c>
      <c r="B711" s="5">
        <f>Registros!B711</f>
        <v>43950.43889</v>
      </c>
      <c r="C711" s="18" t="str">
        <f>IFNA(VLOOKUP(A711,'Registros - No nuevos'!A:A,1,0),"Nuevo")</f>
        <v>1689@jlgingenieria.com</v>
      </c>
      <c r="D711" s="72" t="str">
        <f t="shared" si="1"/>
        <v>No Nuevo</v>
      </c>
    </row>
    <row r="712" ht="15.75" customHeight="1">
      <c r="A712" s="71" t="str">
        <f>Registros!A712</f>
        <v>1688@muringenieros.es</v>
      </c>
      <c r="B712" s="5">
        <f>Registros!B712</f>
        <v>43950.43889</v>
      </c>
      <c r="C712" s="18" t="str">
        <f>IFNA(VLOOKUP(A712,'Registros - No nuevos'!A:A,1,0),"Nuevo")</f>
        <v>1688@muringenieros.es</v>
      </c>
      <c r="D712" s="72" t="str">
        <f t="shared" si="1"/>
        <v>No Nuevo</v>
      </c>
    </row>
    <row r="713" ht="15.75" customHeight="1">
      <c r="A713" s="71" t="str">
        <f>Registros!A713</f>
        <v>990@gmail.com</v>
      </c>
      <c r="B713" s="5">
        <f>Registros!B713</f>
        <v>43950.43819</v>
      </c>
      <c r="C713" s="18" t="str">
        <f>IFNA(VLOOKUP(A713,'Registros - No nuevos'!A:A,1,0),"Nuevo")</f>
        <v>990@gmail.com</v>
      </c>
      <c r="D713" s="72" t="str">
        <f t="shared" si="1"/>
        <v>No Nuevo</v>
      </c>
    </row>
    <row r="714" ht="15.75" customHeight="1">
      <c r="A714" s="71" t="str">
        <f>Registros!A714</f>
        <v>1699@panchofernandez.com</v>
      </c>
      <c r="B714" s="5">
        <f>Registros!B714</f>
        <v>43950.43611</v>
      </c>
      <c r="C714" s="18" t="str">
        <f>IFNA(VLOOKUP(A714,'Registros - No nuevos'!A:A,1,0),"Nuevo")</f>
        <v>1699@panchofernandez.com</v>
      </c>
      <c r="D714" s="72" t="str">
        <f t="shared" si="1"/>
        <v>No Nuevo</v>
      </c>
    </row>
    <row r="715" ht="15.75" customHeight="1">
      <c r="A715" s="71" t="str">
        <f>Registros!A715</f>
        <v>1701@insmarbella.com</v>
      </c>
      <c r="B715" s="5">
        <f>Registros!B715</f>
        <v>43950.43611</v>
      </c>
      <c r="C715" s="18" t="str">
        <f>IFNA(VLOOKUP(A715,'Registros - No nuevos'!A:A,1,0),"Nuevo")</f>
        <v>1701@insmarbella.com</v>
      </c>
      <c r="D715" s="72" t="str">
        <f t="shared" si="1"/>
        <v>No Nuevo</v>
      </c>
    </row>
    <row r="716" ht="15.75" customHeight="1">
      <c r="A716" s="71" t="str">
        <f>Registros!A716</f>
        <v>1703@laelectrica.com</v>
      </c>
      <c r="B716" s="5">
        <f>Registros!B716</f>
        <v>43950.43542</v>
      </c>
      <c r="C716" s="18" t="str">
        <f>IFNA(VLOOKUP(A716,'Registros - No nuevos'!A:A,1,0),"Nuevo")</f>
        <v>1703@laelectrica.com</v>
      </c>
      <c r="D716" s="72" t="str">
        <f t="shared" si="1"/>
        <v>No Nuevo</v>
      </c>
    </row>
    <row r="717" ht="15.75" customHeight="1">
      <c r="A717" s="71" t="str">
        <f>Registros!A717</f>
        <v>1716@fuengiroluz.es</v>
      </c>
      <c r="B717" s="5">
        <f>Registros!B717</f>
        <v>43950.43403</v>
      </c>
      <c r="C717" s="18" t="str">
        <f>IFNA(VLOOKUP(A717,'Registros - No nuevos'!A:A,1,0),"Nuevo")</f>
        <v>1716@fuengiroluz.es</v>
      </c>
      <c r="D717" s="72" t="str">
        <f t="shared" si="1"/>
        <v>No Nuevo</v>
      </c>
    </row>
    <row r="718" ht="15.75" customHeight="1">
      <c r="A718" s="71" t="str">
        <f>Registros!A718</f>
        <v>1710@gmail.com</v>
      </c>
      <c r="B718" s="5">
        <f>Registros!B718</f>
        <v>43950.43403</v>
      </c>
      <c r="C718" s="18" t="str">
        <f>IFNA(VLOOKUP(A718,'Registros - No nuevos'!A:A,1,0),"Nuevo")</f>
        <v>1710@gmail.com</v>
      </c>
      <c r="D718" s="72" t="str">
        <f t="shared" si="1"/>
        <v>No Nuevo</v>
      </c>
    </row>
    <row r="719" ht="15.75" customHeight="1">
      <c r="A719" s="71" t="str">
        <f>Registros!A719</f>
        <v>1722@folgarona.com</v>
      </c>
      <c r="B719" s="5">
        <f>Registros!B719</f>
        <v>43950.43264</v>
      </c>
      <c r="C719" s="18" t="str">
        <f>IFNA(VLOOKUP(A719,'Registros - No nuevos'!A:A,1,0),"Nuevo")</f>
        <v>1722@folgarona.com</v>
      </c>
      <c r="D719" s="72" t="str">
        <f t="shared" si="1"/>
        <v>No Nuevo</v>
      </c>
    </row>
    <row r="720" ht="15.75" customHeight="1">
      <c r="A720" s="71" t="str">
        <f>Registros!A720</f>
        <v>1723@gmail.com</v>
      </c>
      <c r="B720" s="5">
        <f>Registros!B720</f>
        <v>43950.43264</v>
      </c>
      <c r="C720" s="18" t="str">
        <f>IFNA(VLOOKUP(A720,'Registros - No nuevos'!A:A,1,0),"Nuevo")</f>
        <v>1723@gmail.com</v>
      </c>
      <c r="D720" s="72" t="str">
        <f t="shared" si="1"/>
        <v>No Nuevo</v>
      </c>
    </row>
    <row r="721" ht="15.75" customHeight="1">
      <c r="A721" s="71" t="str">
        <f>Registros!A721</f>
        <v>1728@gmail.com</v>
      </c>
      <c r="B721" s="5">
        <f>Registros!B721</f>
        <v>43950.43194</v>
      </c>
      <c r="C721" s="18" t="str">
        <f>IFNA(VLOOKUP(A721,'Registros - No nuevos'!A:A,1,0),"Nuevo")</f>
        <v>1728@gmail.com</v>
      </c>
      <c r="D721" s="72" t="str">
        <f t="shared" si="1"/>
        <v>No Nuevo</v>
      </c>
    </row>
    <row r="722" ht="15.75" customHeight="1">
      <c r="A722" s="71" t="str">
        <f>Registros!A722</f>
        <v>1725@coelbe.com</v>
      </c>
      <c r="B722" s="5">
        <f>Registros!B722</f>
        <v>43950.43194</v>
      </c>
      <c r="C722" s="18" t="str">
        <f>IFNA(VLOOKUP(A722,'Registros - No nuevos'!A:A,1,0),"Nuevo")</f>
        <v>1725@coelbe.com</v>
      </c>
      <c r="D722" s="72" t="str">
        <f t="shared" si="1"/>
        <v>No Nuevo</v>
      </c>
    </row>
    <row r="723" ht="15.75" customHeight="1">
      <c r="A723" s="71" t="str">
        <f>Registros!A723</f>
        <v>1739@jh-internacional.com</v>
      </c>
      <c r="B723" s="5">
        <f>Registros!B723</f>
        <v>43950.43125</v>
      </c>
      <c r="C723" s="18" t="str">
        <f>IFNA(VLOOKUP(A723,'Registros - No nuevos'!A:A,1,0),"Nuevo")</f>
        <v>1739@jh-internacional.com</v>
      </c>
      <c r="D723" s="72" t="str">
        <f t="shared" si="1"/>
        <v>No Nuevo</v>
      </c>
    </row>
    <row r="724" ht="15.75" customHeight="1">
      <c r="A724" s="71" t="str">
        <f>Registros!A724</f>
        <v>1743@ceymo.es</v>
      </c>
      <c r="B724" s="5">
        <f>Registros!B724</f>
        <v>43950.43125</v>
      </c>
      <c r="C724" s="18" t="str">
        <f>IFNA(VLOOKUP(A724,'Registros - No nuevos'!A:A,1,0),"Nuevo")</f>
        <v>1743@ceymo.es</v>
      </c>
      <c r="D724" s="72" t="str">
        <f t="shared" si="1"/>
        <v>No Nuevo</v>
      </c>
    </row>
    <row r="725" ht="15.75" customHeight="1">
      <c r="A725" s="71" t="str">
        <f>Registros!A725</f>
        <v>1738@msn.com</v>
      </c>
      <c r="B725" s="5">
        <f>Registros!B725</f>
        <v>43950.43125</v>
      </c>
      <c r="C725" s="18" t="str">
        <f>IFNA(VLOOKUP(A725,'Registros - No nuevos'!A:A,1,0),"Nuevo")</f>
        <v>1738@msn.com</v>
      </c>
      <c r="D725" s="72" t="str">
        <f t="shared" si="1"/>
        <v>No Nuevo</v>
      </c>
    </row>
    <row r="726" ht="15.75" customHeight="1">
      <c r="A726" s="71" t="str">
        <f>Registros!A726</f>
        <v>1750@itecnal.com</v>
      </c>
      <c r="B726" s="5">
        <f>Registros!B726</f>
        <v>43950.42986</v>
      </c>
      <c r="C726" s="18" t="str">
        <f>IFNA(VLOOKUP(A726,'Registros - No nuevos'!A:A,1,0),"Nuevo")</f>
        <v>1750@itecnal.com</v>
      </c>
      <c r="D726" s="72" t="str">
        <f t="shared" si="1"/>
        <v>No Nuevo</v>
      </c>
    </row>
    <row r="727" ht="15.75" customHeight="1">
      <c r="A727" s="71" t="str">
        <f>Registros!A727</f>
        <v>1766@gmail.com</v>
      </c>
      <c r="B727" s="5">
        <f>Registros!B727</f>
        <v>43950.42847</v>
      </c>
      <c r="C727" s="18" t="str">
        <f>IFNA(VLOOKUP(A727,'Registros - No nuevos'!A:A,1,0),"Nuevo")</f>
        <v>1766@gmail.com</v>
      </c>
      <c r="D727" s="72" t="str">
        <f t="shared" si="1"/>
        <v>No Nuevo</v>
      </c>
    </row>
    <row r="728" ht="15.75" customHeight="1">
      <c r="A728" s="71" t="str">
        <f>Registros!A728</f>
        <v>1767@gmail.com</v>
      </c>
      <c r="B728" s="5">
        <f>Registros!B728</f>
        <v>43950.42847</v>
      </c>
      <c r="C728" s="18" t="str">
        <f>IFNA(VLOOKUP(A728,'Registros - No nuevos'!A:A,1,0),"Nuevo")</f>
        <v>1767@gmail.com</v>
      </c>
      <c r="D728" s="72" t="str">
        <f t="shared" si="1"/>
        <v>No Nuevo</v>
      </c>
    </row>
    <row r="729" ht="15.75" customHeight="1">
      <c r="A729" s="71" t="str">
        <f>Registros!A729</f>
        <v>1772@cosmoseguridad.com</v>
      </c>
      <c r="B729" s="5">
        <f>Registros!B729</f>
        <v>43950.42778</v>
      </c>
      <c r="C729" s="18" t="str">
        <f>IFNA(VLOOKUP(A729,'Registros - No nuevos'!A:A,1,0),"Nuevo")</f>
        <v>1772@cosmoseguridad.com</v>
      </c>
      <c r="D729" s="72" t="str">
        <f t="shared" si="1"/>
        <v>No Nuevo</v>
      </c>
    </row>
    <row r="730" ht="15.75" customHeight="1">
      <c r="A730" s="71" t="str">
        <f>Registros!A730</f>
        <v>1030@inmaser-integral.es</v>
      </c>
      <c r="B730" s="5">
        <f>Registros!B730</f>
        <v>43950.42778</v>
      </c>
      <c r="C730" s="18" t="str">
        <f>IFNA(VLOOKUP(A730,'Registros - No nuevos'!A:A,1,0),"Nuevo")</f>
        <v>1030@inmaser-integral.es</v>
      </c>
      <c r="D730" s="72" t="str">
        <f t="shared" si="1"/>
        <v>No Nuevo</v>
      </c>
    </row>
    <row r="731" ht="15.75" customHeight="1">
      <c r="A731" s="71" t="str">
        <f>Registros!A731</f>
        <v>1769@gmail.com</v>
      </c>
      <c r="B731" s="5">
        <f>Registros!B731</f>
        <v>43950.42778</v>
      </c>
      <c r="C731" s="18" t="str">
        <f>IFNA(VLOOKUP(A731,'Registros - No nuevos'!A:A,1,0),"Nuevo")</f>
        <v>1769@gmail.com</v>
      </c>
      <c r="D731" s="72" t="str">
        <f t="shared" si="1"/>
        <v>No Nuevo</v>
      </c>
    </row>
    <row r="732" ht="15.75" customHeight="1">
      <c r="A732" s="71" t="str">
        <f>Registros!A732</f>
        <v>980@coiiar.org</v>
      </c>
      <c r="B732" s="5">
        <f>Registros!B732</f>
        <v>43950.42708</v>
      </c>
      <c r="C732" s="18" t="str">
        <f>IFNA(VLOOKUP(A732,'Registros - No nuevos'!A:A,1,0),"Nuevo")</f>
        <v>980@coiiar.org</v>
      </c>
      <c r="D732" s="72" t="str">
        <f t="shared" si="1"/>
        <v>No Nuevo</v>
      </c>
    </row>
    <row r="733" ht="15.75" customHeight="1">
      <c r="A733" s="71" t="str">
        <f>Registros!A733</f>
        <v>1778@gmail.com</v>
      </c>
      <c r="B733" s="5">
        <f>Registros!B733</f>
        <v>43950.42708</v>
      </c>
      <c r="C733" s="18" t="str">
        <f>IFNA(VLOOKUP(A733,'Registros - No nuevos'!A:A,1,0),"Nuevo")</f>
        <v>1778@gmail.com</v>
      </c>
      <c r="D733" s="72" t="str">
        <f t="shared" si="1"/>
        <v>No Nuevo</v>
      </c>
    </row>
    <row r="734" ht="15.75" customHeight="1">
      <c r="A734" s="71" t="str">
        <f>Registros!A734</f>
        <v>1781@autoradiomontijo.es</v>
      </c>
      <c r="B734" s="5">
        <f>Registros!B734</f>
        <v>43950.42639</v>
      </c>
      <c r="C734" s="18" t="str">
        <f>IFNA(VLOOKUP(A734,'Registros - No nuevos'!A:A,1,0),"Nuevo")</f>
        <v>1781@autoradiomontijo.es</v>
      </c>
      <c r="D734" s="72" t="str">
        <f t="shared" si="1"/>
        <v>No Nuevo</v>
      </c>
    </row>
    <row r="735" ht="15.75" customHeight="1">
      <c r="A735" s="71" t="str">
        <f>Registros!A735</f>
        <v>1783@telefonica.net</v>
      </c>
      <c r="B735" s="5">
        <f>Registros!B735</f>
        <v>43950.42639</v>
      </c>
      <c r="C735" s="18" t="str">
        <f>IFNA(VLOOKUP(A735,'Registros - No nuevos'!A:A,1,0),"Nuevo")</f>
        <v>1783@telefonica.net</v>
      </c>
      <c r="D735" s="72" t="str">
        <f t="shared" si="1"/>
        <v>No Nuevo</v>
      </c>
    </row>
    <row r="736" ht="15.75" customHeight="1">
      <c r="A736" s="71" t="str">
        <f>Registros!A736</f>
        <v>1792@incober.es</v>
      </c>
      <c r="B736" s="5">
        <f>Registros!B736</f>
        <v>43950.42569</v>
      </c>
      <c r="C736" s="18" t="str">
        <f>IFNA(VLOOKUP(A736,'Registros - No nuevos'!A:A,1,0),"Nuevo")</f>
        <v>1792@incober.es</v>
      </c>
      <c r="D736" s="72" t="str">
        <f t="shared" si="1"/>
        <v>No Nuevo</v>
      </c>
    </row>
    <row r="737" ht="15.75" customHeight="1">
      <c r="A737" s="71" t="str">
        <f>Registros!A737</f>
        <v>1812@ext.mpsa.com</v>
      </c>
      <c r="B737" s="5">
        <f>Registros!B737</f>
        <v>43950.42361</v>
      </c>
      <c r="C737" s="18" t="str">
        <f>IFNA(VLOOKUP(A737,'Registros - No nuevos'!A:A,1,0),"Nuevo")</f>
        <v>1812@ext.mpsa.com</v>
      </c>
      <c r="D737" s="72" t="str">
        <f t="shared" si="1"/>
        <v>No Nuevo</v>
      </c>
    </row>
    <row r="738" ht="15.75" customHeight="1">
      <c r="A738" s="71" t="str">
        <f>Registros!A738</f>
        <v>1829@1aingenieros.com</v>
      </c>
      <c r="B738" s="5">
        <f>Registros!B738</f>
        <v>43950.42222</v>
      </c>
      <c r="C738" s="18" t="str">
        <f>IFNA(VLOOKUP(A738,'Registros - No nuevos'!A:A,1,0),"Nuevo")</f>
        <v>1829@1aingenieros.com</v>
      </c>
      <c r="D738" s="72" t="str">
        <f t="shared" si="1"/>
        <v>No Nuevo</v>
      </c>
    </row>
    <row r="739" ht="15.75" customHeight="1">
      <c r="A739" s="71" t="str">
        <f>Registros!A739</f>
        <v>1830@gmail.com</v>
      </c>
      <c r="B739" s="5">
        <f>Registros!B739</f>
        <v>43950.42222</v>
      </c>
      <c r="C739" s="18" t="str">
        <f>IFNA(VLOOKUP(A739,'Registros - No nuevos'!A:A,1,0),"Nuevo")</f>
        <v>1830@gmail.com</v>
      </c>
      <c r="D739" s="72" t="str">
        <f t="shared" si="1"/>
        <v>No Nuevo</v>
      </c>
    </row>
    <row r="740" ht="15.75" customHeight="1">
      <c r="A740" s="71" t="str">
        <f>Registros!A740</f>
        <v>1840@ingenierosvigo.com</v>
      </c>
      <c r="B740" s="5">
        <f>Registros!B740</f>
        <v>43950.42222</v>
      </c>
      <c r="C740" s="18" t="str">
        <f>IFNA(VLOOKUP(A740,'Registros - No nuevos'!A:A,1,0),"Nuevo")</f>
        <v>1840@ingenierosvigo.com</v>
      </c>
      <c r="D740" s="72" t="str">
        <f t="shared" si="1"/>
        <v>No Nuevo</v>
      </c>
    </row>
    <row r="741" ht="15.75" customHeight="1">
      <c r="A741" s="71" t="str">
        <f>Registros!A741</f>
        <v>1848@gmail.com</v>
      </c>
      <c r="B741" s="5">
        <f>Registros!B741</f>
        <v>43950.41736</v>
      </c>
      <c r="C741" s="18" t="str">
        <f>IFNA(VLOOKUP(A741,'Registros - No nuevos'!A:A,1,0),"Nuevo")</f>
        <v>1848@gmail.com</v>
      </c>
      <c r="D741" s="72" t="str">
        <f t="shared" si="1"/>
        <v>No Nuevo</v>
      </c>
    </row>
    <row r="742" ht="15.75" customHeight="1">
      <c r="A742" s="71" t="str">
        <f>Registros!A742</f>
        <v>1849@minsait.com</v>
      </c>
      <c r="B742" s="5">
        <f>Registros!B742</f>
        <v>43950.35694</v>
      </c>
      <c r="C742" s="18" t="str">
        <f>IFNA(VLOOKUP(A742,'Registros - No nuevos'!A:A,1,0),"Nuevo")</f>
        <v>1849@minsait.com</v>
      </c>
      <c r="D742" s="72" t="str">
        <f t="shared" si="1"/>
        <v>No Nuevo</v>
      </c>
    </row>
    <row r="743" ht="15.75" customHeight="1">
      <c r="A743" s="71" t="str">
        <f>Registros!A743</f>
        <v>1852@gmail.com</v>
      </c>
      <c r="B743" s="5">
        <f>Registros!B743</f>
        <v>43949.83889</v>
      </c>
      <c r="C743" s="18" t="str">
        <f>IFNA(VLOOKUP(A743,'Registros - No nuevos'!A:A,1,0),"Nuevo")</f>
        <v>1852@gmail.com</v>
      </c>
      <c r="D743" s="72" t="str">
        <f t="shared" si="1"/>
        <v>No Nuevo</v>
      </c>
    </row>
    <row r="744" ht="15.75" customHeight="1">
      <c r="A744" s="71" t="str">
        <f>Registros!A744</f>
        <v>1853@hotmail.com</v>
      </c>
      <c r="B744" s="5">
        <f>Registros!B744</f>
        <v>43949.76806</v>
      </c>
      <c r="C744" s="18" t="str">
        <f>IFNA(VLOOKUP(A744,'Registros - No nuevos'!A:A,1,0),"Nuevo")</f>
        <v>1853@hotmail.com</v>
      </c>
      <c r="D744" s="72" t="str">
        <f t="shared" si="1"/>
        <v>No Nuevo</v>
      </c>
    </row>
    <row r="745" ht="15.75" customHeight="1">
      <c r="A745" s="71" t="str">
        <f>Registros!A745</f>
        <v>1854@hotmail.com</v>
      </c>
      <c r="B745" s="5">
        <f>Registros!B745</f>
        <v>43949.76389</v>
      </c>
      <c r="C745" s="18" t="str">
        <f>IFNA(VLOOKUP(A745,'Registros - No nuevos'!A:A,1,0),"Nuevo")</f>
        <v>1854@hotmail.com</v>
      </c>
      <c r="D745" s="72" t="str">
        <f t="shared" si="1"/>
        <v>No Nuevo</v>
      </c>
    </row>
    <row r="746" ht="15.75" customHeight="1">
      <c r="A746" s="71" t="str">
        <f>Registros!A746</f>
        <v>1073@grupolasser.com</v>
      </c>
      <c r="B746" s="5">
        <f>Registros!B746</f>
        <v>43949.57083</v>
      </c>
      <c r="C746" s="18" t="str">
        <f>IFNA(VLOOKUP(A746,'Registros - No nuevos'!A:A,1,0),"Nuevo")</f>
        <v>1073@grupolasser.com</v>
      </c>
      <c r="D746" s="72" t="str">
        <f t="shared" si="1"/>
        <v>No Nuevo</v>
      </c>
    </row>
    <row r="747" ht="15.75" customHeight="1">
      <c r="A747" s="71" t="str">
        <f>Registros!A747</f>
        <v>1856@hotmail.com</v>
      </c>
      <c r="B747" s="5">
        <f>Registros!B747</f>
        <v>43949.56458</v>
      </c>
      <c r="C747" s="18" t="str">
        <f>IFNA(VLOOKUP(A747,'Registros - No nuevos'!A:A,1,0),"Nuevo")</f>
        <v>1856@hotmail.com</v>
      </c>
      <c r="D747" s="72" t="str">
        <f t="shared" si="1"/>
        <v>No Nuevo</v>
      </c>
    </row>
    <row r="748" ht="15.75" customHeight="1">
      <c r="A748" s="71" t="str">
        <f>Registros!A748</f>
        <v>1424@gmail.com</v>
      </c>
      <c r="B748" s="5">
        <f>Registros!B748</f>
        <v>43949.43403</v>
      </c>
      <c r="C748" s="18" t="str">
        <f>IFNA(VLOOKUP(A748,'Registros - No nuevos'!A:A,1,0),"Nuevo")</f>
        <v>1424@gmail.com</v>
      </c>
      <c r="D748" s="72" t="str">
        <f t="shared" si="1"/>
        <v>No Nuevo</v>
      </c>
    </row>
    <row r="749" ht="15.75" customHeight="1">
      <c r="A749" s="71" t="str">
        <f>Registros!A749</f>
        <v>1533@gmail.com</v>
      </c>
      <c r="B749" s="5">
        <f>Registros!B749</f>
        <v>43949.37778</v>
      </c>
      <c r="C749" s="18" t="str">
        <f>IFNA(VLOOKUP(A749,'Registros - No nuevos'!A:A,1,0),"Nuevo")</f>
        <v>1533@gmail.com</v>
      </c>
      <c r="D749" s="72" t="str">
        <f t="shared" si="1"/>
        <v>No Nuevo</v>
      </c>
    </row>
    <row r="750" ht="15.75" customHeight="1">
      <c r="A750" s="71" t="str">
        <f>Registros!A750</f>
        <v>1861@gmail.com</v>
      </c>
      <c r="B750" s="5">
        <f>Registros!B750</f>
        <v>43948.89653</v>
      </c>
      <c r="C750" s="18" t="str">
        <f>IFNA(VLOOKUP(A750,'Registros - No nuevos'!A:A,1,0),"Nuevo")</f>
        <v>1861@gmail.com</v>
      </c>
      <c r="D750" s="72" t="str">
        <f t="shared" si="1"/>
        <v>No Nuevo</v>
      </c>
    </row>
    <row r="751" ht="15.75" customHeight="1">
      <c r="A751" s="71" t="str">
        <f>Registros!A751</f>
        <v>1862@gmail.com</v>
      </c>
      <c r="B751" s="5">
        <f>Registros!B751</f>
        <v>43948.88681</v>
      </c>
      <c r="C751" s="18" t="str">
        <f>IFNA(VLOOKUP(A751,'Registros - No nuevos'!A:A,1,0),"Nuevo")</f>
        <v>1862@gmail.com</v>
      </c>
      <c r="D751" s="72" t="str">
        <f t="shared" si="1"/>
        <v>No Nuevo</v>
      </c>
    </row>
    <row r="752" ht="15.75" customHeight="1">
      <c r="A752" s="71" t="str">
        <f>Registros!A752</f>
        <v>1865@gmail.com</v>
      </c>
      <c r="B752" s="5">
        <f>Registros!B752</f>
        <v>43948.81319</v>
      </c>
      <c r="C752" s="18" t="str">
        <f>IFNA(VLOOKUP(A752,'Registros - No nuevos'!A:A,1,0),"Nuevo")</f>
        <v>1865@gmail.com</v>
      </c>
      <c r="D752" s="72" t="str">
        <f t="shared" si="1"/>
        <v>No Nuevo</v>
      </c>
    </row>
    <row r="753" ht="15.75" customHeight="1">
      <c r="A753" s="71" t="str">
        <f>Registros!A753</f>
        <v>1867@cbringenieria.es</v>
      </c>
      <c r="B753" s="5">
        <f>Registros!B753</f>
        <v>43948.72431</v>
      </c>
      <c r="C753" s="18" t="str">
        <f>IFNA(VLOOKUP(A753,'Registros - No nuevos'!A:A,1,0),"Nuevo")</f>
        <v>1867@cbringenieria.es</v>
      </c>
      <c r="D753" s="72" t="str">
        <f t="shared" si="1"/>
        <v>No Nuevo</v>
      </c>
    </row>
    <row r="754" ht="15.75" customHeight="1">
      <c r="A754" s="71" t="str">
        <f>Registros!A754</f>
        <v>1868@hotmail.com</v>
      </c>
      <c r="B754" s="5">
        <f>Registros!B754</f>
        <v>43948.72014</v>
      </c>
      <c r="C754" s="18" t="str">
        <f>IFNA(VLOOKUP(A754,'Registros - No nuevos'!A:A,1,0),"Nuevo")</f>
        <v>1868@hotmail.com</v>
      </c>
      <c r="D754" s="72" t="str">
        <f t="shared" si="1"/>
        <v>No Nuevo</v>
      </c>
    </row>
    <row r="755" ht="15.75" customHeight="1">
      <c r="A755" s="71" t="str">
        <f>Registros!A755</f>
        <v>1871@abc.gob.ar</v>
      </c>
      <c r="B755" s="5">
        <f>Registros!B755</f>
        <v>43948.60833</v>
      </c>
      <c r="C755" s="18" t="str">
        <f>IFNA(VLOOKUP(A755,'Registros - No nuevos'!A:A,1,0),"Nuevo")</f>
        <v>1871@abc.gob.ar</v>
      </c>
      <c r="D755" s="72" t="str">
        <f t="shared" si="1"/>
        <v>No Nuevo</v>
      </c>
    </row>
    <row r="756" ht="15.75" customHeight="1">
      <c r="A756" s="71" t="str">
        <f>Registros!A756</f>
        <v>1873@rodosa.com</v>
      </c>
      <c r="B756" s="5">
        <f>Registros!B756</f>
        <v>43948.56944</v>
      </c>
      <c r="C756" s="18" t="str">
        <f>IFNA(VLOOKUP(A756,'Registros - No nuevos'!A:A,1,0),"Nuevo")</f>
        <v>1873@rodosa.com</v>
      </c>
      <c r="D756" s="72" t="str">
        <f t="shared" si="1"/>
        <v>No Nuevo</v>
      </c>
    </row>
    <row r="757" ht="15.75" customHeight="1">
      <c r="A757" s="71" t="str">
        <f>Registros!A757</f>
        <v>1874@gesel.ie.ufrj.br</v>
      </c>
      <c r="B757" s="5">
        <f>Registros!B757</f>
        <v>43948.52708</v>
      </c>
      <c r="C757" s="18" t="str">
        <f>IFNA(VLOOKUP(A757,'Registros - No nuevos'!A:A,1,0),"Nuevo")</f>
        <v>1874@gesel.ie.ufrj.br</v>
      </c>
      <c r="D757" s="72" t="str">
        <f t="shared" si="1"/>
        <v>No Nuevo</v>
      </c>
    </row>
    <row r="758" ht="15.75" customHeight="1">
      <c r="A758" s="71" t="str">
        <f>Registros!A758</f>
        <v>1875@gmail.com</v>
      </c>
      <c r="B758" s="5">
        <f>Registros!B758</f>
        <v>43948.50694</v>
      </c>
      <c r="C758" s="18" t="str">
        <f>IFNA(VLOOKUP(A758,'Registros - No nuevos'!A:A,1,0),"Nuevo")</f>
        <v>1875@gmail.com</v>
      </c>
      <c r="D758" s="72" t="str">
        <f t="shared" si="1"/>
        <v>No Nuevo</v>
      </c>
    </row>
    <row r="759" ht="15.75" customHeight="1">
      <c r="A759" s="71" t="str">
        <f>Registros!A759</f>
        <v>1887@gmail.com</v>
      </c>
      <c r="B759" s="5">
        <f>Registros!B759</f>
        <v>43948.38264</v>
      </c>
      <c r="C759" s="18" t="str">
        <f>IFNA(VLOOKUP(A759,'Registros - No nuevos'!A:A,1,0),"Nuevo")</f>
        <v>1887@gmail.com</v>
      </c>
      <c r="D759" s="72" t="str">
        <f t="shared" si="1"/>
        <v>No Nuevo</v>
      </c>
    </row>
    <row r="760" ht="15.75" customHeight="1">
      <c r="A760" s="71" t="str">
        <f>Registros!A760</f>
        <v>1893@byguk.com</v>
      </c>
      <c r="B760" s="5">
        <f>Registros!B760</f>
        <v>43948.34931</v>
      </c>
      <c r="C760" s="18" t="str">
        <f>IFNA(VLOOKUP(A760,'Registros - No nuevos'!A:A,1,0),"Nuevo")</f>
        <v>1893@byguk.com</v>
      </c>
      <c r="D760" s="72" t="str">
        <f t="shared" si="1"/>
        <v>No Nuevo</v>
      </c>
    </row>
    <row r="761" ht="15.75" customHeight="1">
      <c r="A761" s="71" t="str">
        <f>Registros!A761</f>
        <v>1896@gmail.com</v>
      </c>
      <c r="B761" s="5">
        <f>Registros!B761</f>
        <v>43948.13542</v>
      </c>
      <c r="C761" s="18" t="str">
        <f>IFNA(VLOOKUP(A761,'Registros - No nuevos'!A:A,1,0),"Nuevo")</f>
        <v>1896@gmail.com</v>
      </c>
      <c r="D761" s="72" t="str">
        <f t="shared" si="1"/>
        <v>No Nuevo</v>
      </c>
    </row>
    <row r="762" ht="15.75" customHeight="1">
      <c r="A762" s="71" t="str">
        <f>Registros!A762</f>
        <v>1897@hotmail.es</v>
      </c>
      <c r="B762" s="5">
        <f>Registros!B762</f>
        <v>43947.87361</v>
      </c>
      <c r="C762" s="18" t="str">
        <f>IFNA(VLOOKUP(A762,'Registros - No nuevos'!A:A,1,0),"Nuevo")</f>
        <v>1897@hotmail.es</v>
      </c>
      <c r="D762" s="72" t="str">
        <f t="shared" si="1"/>
        <v>No Nuevo</v>
      </c>
    </row>
    <row r="763" ht="15.75" customHeight="1">
      <c r="A763" s="71" t="str">
        <f>Registros!A763</f>
        <v>1899@gmail.com</v>
      </c>
      <c r="B763" s="5">
        <f>Registros!B763</f>
        <v>43947.8</v>
      </c>
      <c r="C763" s="18" t="str">
        <f>IFNA(VLOOKUP(A763,'Registros - No nuevos'!A:A,1,0),"Nuevo")</f>
        <v>1899@gmail.com</v>
      </c>
      <c r="D763" s="72" t="str">
        <f t="shared" si="1"/>
        <v>No Nuevo</v>
      </c>
    </row>
    <row r="764" ht="15.75" customHeight="1">
      <c r="A764" s="71" t="str">
        <f>Registros!A764</f>
        <v>1900@hotmail.com</v>
      </c>
      <c r="B764" s="5">
        <f>Registros!B764</f>
        <v>43947.78472</v>
      </c>
      <c r="C764" s="18" t="str">
        <f>IFNA(VLOOKUP(A764,'Registros - No nuevos'!A:A,1,0),"Nuevo")</f>
        <v>1900@hotmail.com</v>
      </c>
      <c r="D764" s="72" t="str">
        <f t="shared" si="1"/>
        <v>No Nuevo</v>
      </c>
    </row>
    <row r="765" ht="15.75" customHeight="1">
      <c r="A765" s="71" t="str">
        <f>Registros!A765</f>
        <v>346@gmail.com</v>
      </c>
      <c r="B765" s="5">
        <f>Registros!B765</f>
        <v>43947.76736</v>
      </c>
      <c r="C765" s="18" t="str">
        <f>IFNA(VLOOKUP(A765,'Registros - No nuevos'!A:A,1,0),"Nuevo")</f>
        <v>346@gmail.com</v>
      </c>
      <c r="D765" s="72" t="str">
        <f t="shared" si="1"/>
        <v>No Nuevo</v>
      </c>
    </row>
    <row r="766" ht="15.75" customHeight="1">
      <c r="A766" s="71" t="str">
        <f>Registros!A766</f>
        <v>1901@gmail.com</v>
      </c>
      <c r="B766" s="5">
        <f>Registros!B766</f>
        <v>43947.49514</v>
      </c>
      <c r="C766" s="18" t="str">
        <f>IFNA(VLOOKUP(A766,'Registros - No nuevos'!A:A,1,0),"Nuevo")</f>
        <v>1901@gmail.com</v>
      </c>
      <c r="D766" s="72" t="str">
        <f t="shared" si="1"/>
        <v>No Nuevo</v>
      </c>
    </row>
    <row r="767" ht="15.75" customHeight="1">
      <c r="A767" s="71" t="str">
        <f>Registros!A767</f>
        <v>1902@hotmail.com</v>
      </c>
      <c r="B767" s="5">
        <f>Registros!B767</f>
        <v>43947.35417</v>
      </c>
      <c r="C767" s="18" t="str">
        <f>IFNA(VLOOKUP(A767,'Registros - No nuevos'!A:A,1,0),"Nuevo")</f>
        <v>1902@hotmail.com</v>
      </c>
      <c r="D767" s="72" t="str">
        <f t="shared" si="1"/>
        <v>No Nuevo</v>
      </c>
    </row>
    <row r="768" ht="15.75" customHeight="1">
      <c r="A768" s="71" t="str">
        <f>Registros!A768</f>
        <v>986@hotmail.com</v>
      </c>
      <c r="B768" s="5">
        <f>Registros!B768</f>
        <v>43946.67292</v>
      </c>
      <c r="C768" s="18" t="str">
        <f>IFNA(VLOOKUP(A768,'Registros - No nuevos'!A:A,1,0),"Nuevo")</f>
        <v>986@hotmail.com</v>
      </c>
      <c r="D768" s="72" t="str">
        <f t="shared" si="1"/>
        <v>No Nuevo</v>
      </c>
    </row>
    <row r="769" ht="15.75" customHeight="1">
      <c r="A769" s="71" t="str">
        <f>Registros!A769</f>
        <v>1905@gmail.com</v>
      </c>
      <c r="B769" s="5">
        <f>Registros!B769</f>
        <v>43946.66736</v>
      </c>
      <c r="C769" s="18" t="str">
        <f>IFNA(VLOOKUP(A769,'Registros - No nuevos'!A:A,1,0),"Nuevo")</f>
        <v>1905@gmail.com</v>
      </c>
      <c r="D769" s="72" t="str">
        <f t="shared" si="1"/>
        <v>No Nuevo</v>
      </c>
    </row>
    <row r="770" ht="15.75" customHeight="1">
      <c r="A770" s="71" t="str">
        <f>Registros!A770</f>
        <v>1907@yahoo.es</v>
      </c>
      <c r="B770" s="5">
        <f>Registros!B770</f>
        <v>43946.63542</v>
      </c>
      <c r="C770" s="18" t="str">
        <f>IFNA(VLOOKUP(A770,'Registros - No nuevos'!A:A,1,0),"Nuevo")</f>
        <v>1907@yahoo.es</v>
      </c>
      <c r="D770" s="72" t="str">
        <f t="shared" si="1"/>
        <v>No Nuevo</v>
      </c>
    </row>
    <row r="771" ht="15.75" customHeight="1">
      <c r="A771" s="71" t="str">
        <f>Registros!A771</f>
        <v>1735@gruponovelec.com</v>
      </c>
      <c r="B771" s="5">
        <f>Registros!B771</f>
        <v>43946.51042</v>
      </c>
      <c r="C771" s="18" t="str">
        <f>IFNA(VLOOKUP(A771,'Registros - No nuevos'!A:A,1,0),"Nuevo")</f>
        <v>1735@gruponovelec.com</v>
      </c>
      <c r="D771" s="72" t="str">
        <f t="shared" si="1"/>
        <v>No Nuevo</v>
      </c>
    </row>
    <row r="772" ht="15.75" customHeight="1">
      <c r="A772" s="71" t="str">
        <f>Registros!A772</f>
        <v>1908@enel.com</v>
      </c>
      <c r="B772" s="5">
        <f>Registros!B772</f>
        <v>43946.48958</v>
      </c>
      <c r="C772" s="18" t="str">
        <f>IFNA(VLOOKUP(A772,'Registros - No nuevos'!A:A,1,0),"Nuevo")</f>
        <v>1908@enel.com</v>
      </c>
      <c r="D772" s="72" t="str">
        <f t="shared" si="1"/>
        <v>No Nuevo</v>
      </c>
    </row>
    <row r="773" ht="15.75" customHeight="1">
      <c r="A773" s="71" t="str">
        <f>Registros!A773</f>
        <v>1909@gmail.com</v>
      </c>
      <c r="B773" s="5">
        <f>Registros!B773</f>
        <v>43946.48333</v>
      </c>
      <c r="C773" s="18" t="str">
        <f>IFNA(VLOOKUP(A773,'Registros - No nuevos'!A:A,1,0),"Nuevo")</f>
        <v>1909@gmail.com</v>
      </c>
      <c r="D773" s="72" t="str">
        <f t="shared" si="1"/>
        <v>No Nuevo</v>
      </c>
    </row>
    <row r="774" ht="15.75" customHeight="1">
      <c r="A774" s="71" t="str">
        <f>Registros!A774</f>
        <v>1911@gmail.com</v>
      </c>
      <c r="B774" s="5">
        <f>Registros!B774</f>
        <v>43945.77361</v>
      </c>
      <c r="C774" s="18" t="str">
        <f>IFNA(VLOOKUP(A774,'Registros - No nuevos'!A:A,1,0),"Nuevo")</f>
        <v>1911@gmail.com</v>
      </c>
      <c r="D774" s="72" t="str">
        <f t="shared" si="1"/>
        <v>No Nuevo</v>
      </c>
    </row>
    <row r="775" ht="15.75" customHeight="1">
      <c r="A775" s="71" t="str">
        <f>Registros!A775</f>
        <v>1918@sgx.cat</v>
      </c>
      <c r="B775" s="5">
        <f>Registros!B775</f>
        <v>43945.72292</v>
      </c>
      <c r="C775" s="18" t="str">
        <f>IFNA(VLOOKUP(A775,'Registros - No nuevos'!A:A,1,0),"Nuevo")</f>
        <v>1918@sgx.cat</v>
      </c>
      <c r="D775" s="72" t="str">
        <f t="shared" si="1"/>
        <v>No Nuevo</v>
      </c>
    </row>
    <row r="776" ht="15.75" customHeight="1">
      <c r="A776" s="71" t="str">
        <f>Registros!A776</f>
        <v>1920@gmail.com</v>
      </c>
      <c r="B776" s="5">
        <f>Registros!B776</f>
        <v>43945.65694</v>
      </c>
      <c r="C776" s="18" t="str">
        <f>IFNA(VLOOKUP(A776,'Registros - No nuevos'!A:A,1,0),"Nuevo")</f>
        <v>1920@gmail.com</v>
      </c>
      <c r="D776" s="72" t="str">
        <f t="shared" si="1"/>
        <v>No Nuevo</v>
      </c>
    </row>
    <row r="777" ht="15.75" customHeight="1">
      <c r="A777" s="71" t="str">
        <f>Registros!A777</f>
        <v>1921@msn.com</v>
      </c>
      <c r="B777" s="5">
        <f>Registros!B777</f>
        <v>43945.63403</v>
      </c>
      <c r="C777" s="18" t="str">
        <f>IFNA(VLOOKUP(A777,'Registros - No nuevos'!A:A,1,0),"Nuevo")</f>
        <v>1921@msn.com</v>
      </c>
      <c r="D777" s="72" t="str">
        <f t="shared" si="1"/>
        <v>No Nuevo</v>
      </c>
    </row>
    <row r="778" ht="15.75" customHeight="1">
      <c r="A778" s="71" t="str">
        <f>Registros!A778</f>
        <v>1401@auditenergia.com</v>
      </c>
      <c r="B778" s="5">
        <f>Registros!B778</f>
        <v>43945.50903</v>
      </c>
      <c r="C778" s="18" t="str">
        <f>IFNA(VLOOKUP(A778,'Registros - No nuevos'!A:A,1,0),"Nuevo")</f>
        <v>1401@auditenergia.com</v>
      </c>
      <c r="D778" s="72" t="str">
        <f t="shared" si="1"/>
        <v>No Nuevo</v>
      </c>
    </row>
    <row r="779" ht="15.75" customHeight="1">
      <c r="A779" s="71" t="str">
        <f>Registros!A779</f>
        <v>809@naturgy.com</v>
      </c>
      <c r="B779" s="5">
        <f>Registros!B779</f>
        <v>43945.39722</v>
      </c>
      <c r="C779" s="18" t="str">
        <f>IFNA(VLOOKUP(A779,'Registros - No nuevos'!A:A,1,0),"Nuevo")</f>
        <v>809@naturgy.com</v>
      </c>
      <c r="D779" s="72" t="str">
        <f t="shared" si="1"/>
        <v>No Nuevo</v>
      </c>
    </row>
    <row r="780" ht="15.75" customHeight="1">
      <c r="A780" s="71" t="str">
        <f>Registros!A780</f>
        <v>211@elgremi.cat</v>
      </c>
      <c r="B780" s="5">
        <f>Registros!B780</f>
        <v>43945.39653</v>
      </c>
      <c r="C780" s="18" t="str">
        <f>IFNA(VLOOKUP(A780,'Registros - No nuevos'!A:A,1,0),"Nuevo")</f>
        <v>211@elgremi.cat</v>
      </c>
      <c r="D780" s="72" t="str">
        <f t="shared" si="1"/>
        <v>No Nuevo</v>
      </c>
    </row>
    <row r="781" ht="15.75" customHeight="1">
      <c r="A781" s="71" t="str">
        <f>Registros!A781</f>
        <v>1924@merlosl.es</v>
      </c>
      <c r="B781" s="5">
        <f>Registros!B781</f>
        <v>43945.38889</v>
      </c>
      <c r="C781" s="18" t="str">
        <f>IFNA(VLOOKUP(A781,'Registros - No nuevos'!A:A,1,0),"Nuevo")</f>
        <v>1924@merlosl.es</v>
      </c>
      <c r="D781" s="72" t="str">
        <f t="shared" si="1"/>
        <v>No Nuevo</v>
      </c>
    </row>
    <row r="782" ht="15.75" customHeight="1">
      <c r="A782" s="71" t="str">
        <f>Registros!A782</f>
        <v>1926@elecam.com</v>
      </c>
      <c r="B782" s="5">
        <f>Registros!B782</f>
        <v>43945.34236</v>
      </c>
      <c r="C782" s="18" t="str">
        <f>IFNA(VLOOKUP(A782,'Registros - No nuevos'!A:A,1,0),"Nuevo")</f>
        <v>1926@elecam.com</v>
      </c>
      <c r="D782" s="72" t="str">
        <f t="shared" si="1"/>
        <v>No Nuevo</v>
      </c>
    </row>
    <row r="783" ht="15.75" customHeight="1">
      <c r="A783" s="71" t="str">
        <f>Registros!A783</f>
        <v>701@gmail.com</v>
      </c>
      <c r="B783" s="5">
        <f>Registros!B783</f>
        <v>43945.34097</v>
      </c>
      <c r="C783" s="18" t="str">
        <f>IFNA(VLOOKUP(A783,'Registros - No nuevos'!A:A,1,0),"Nuevo")</f>
        <v>701@gmail.com</v>
      </c>
      <c r="D783" s="72" t="str">
        <f t="shared" si="1"/>
        <v>No Nuevo</v>
      </c>
    </row>
    <row r="784" ht="15.75" customHeight="1">
      <c r="A784" s="71" t="str">
        <f>Registros!A784</f>
        <v>1031@grupoitesa.com</v>
      </c>
      <c r="B784" s="5">
        <f>Registros!B784</f>
        <v>43945.34028</v>
      </c>
      <c r="C784" s="18" t="str">
        <f>IFNA(VLOOKUP(A784,'Registros - No nuevos'!A:A,1,0),"Nuevo")</f>
        <v>1031@grupoitesa.com</v>
      </c>
      <c r="D784" s="72" t="str">
        <f t="shared" si="1"/>
        <v>No Nuevo</v>
      </c>
    </row>
    <row r="785" ht="15.75" customHeight="1">
      <c r="A785" s="71" t="str">
        <f>Registros!A785</f>
        <v>1928@gmail.com</v>
      </c>
      <c r="B785" s="5">
        <f>Registros!B785</f>
        <v>43945.22361</v>
      </c>
      <c r="C785" s="18" t="str">
        <f>IFNA(VLOOKUP(A785,'Registros - No nuevos'!A:A,1,0),"Nuevo")</f>
        <v>1928@gmail.com</v>
      </c>
      <c r="D785" s="72" t="str">
        <f t="shared" si="1"/>
        <v>No Nuevo</v>
      </c>
    </row>
    <row r="786" ht="15.75" customHeight="1">
      <c r="A786" s="71" t="str">
        <f>Registros!A786</f>
        <v>1929@hotmail.com</v>
      </c>
      <c r="B786" s="5">
        <f>Registros!B786</f>
        <v>43945.00903</v>
      </c>
      <c r="C786" s="18" t="str">
        <f>IFNA(VLOOKUP(A786,'Registros - No nuevos'!A:A,1,0),"Nuevo")</f>
        <v>1929@hotmail.com</v>
      </c>
      <c r="D786" s="72" t="str">
        <f t="shared" si="1"/>
        <v>No Nuevo</v>
      </c>
    </row>
    <row r="787" ht="15.75" customHeight="1">
      <c r="A787" s="71" t="str">
        <f>Registros!A787</f>
        <v>1930@gmail.com</v>
      </c>
      <c r="B787" s="5">
        <f>Registros!B787</f>
        <v>43944.95625</v>
      </c>
      <c r="C787" s="18" t="str">
        <f>IFNA(VLOOKUP(A787,'Registros - No nuevos'!A:A,1,0),"Nuevo")</f>
        <v>1930@gmail.com</v>
      </c>
      <c r="D787" s="72" t="str">
        <f t="shared" si="1"/>
        <v>No Nuevo</v>
      </c>
    </row>
    <row r="788" ht="15.75" customHeight="1">
      <c r="A788" s="71" t="str">
        <f>Registros!A788</f>
        <v>1882@gmail.com</v>
      </c>
      <c r="B788" s="5">
        <f>Registros!B788</f>
        <v>43944.93264</v>
      </c>
      <c r="C788" s="18" t="str">
        <f>IFNA(VLOOKUP(A788,'Registros - No nuevos'!A:A,1,0),"Nuevo")</f>
        <v>1882@gmail.com</v>
      </c>
      <c r="D788" s="72" t="str">
        <f t="shared" si="1"/>
        <v>No Nuevo</v>
      </c>
    </row>
    <row r="789" ht="15.75" customHeight="1">
      <c r="A789" s="71" t="str">
        <f>Registros!A789</f>
        <v>1931@gmail.com</v>
      </c>
      <c r="B789" s="5">
        <f>Registros!B789</f>
        <v>43944.92778</v>
      </c>
      <c r="C789" s="18" t="str">
        <f>IFNA(VLOOKUP(A789,'Registros - No nuevos'!A:A,1,0),"Nuevo")</f>
        <v>1931@gmail.com</v>
      </c>
      <c r="D789" s="72" t="str">
        <f t="shared" si="1"/>
        <v>No Nuevo</v>
      </c>
    </row>
    <row r="790" ht="15.75" customHeight="1">
      <c r="A790" s="71" t="str">
        <f>Registros!A790</f>
        <v>1932@cotelsa.com</v>
      </c>
      <c r="B790" s="5">
        <f>Registros!B790</f>
        <v>43944.88889</v>
      </c>
      <c r="C790" s="18" t="str">
        <f>IFNA(VLOOKUP(A790,'Registros - No nuevos'!A:A,1,0),"Nuevo")</f>
        <v>1932@cotelsa.com</v>
      </c>
      <c r="D790" s="72" t="str">
        <f t="shared" si="1"/>
        <v>No Nuevo</v>
      </c>
    </row>
    <row r="791" ht="15.75" customHeight="1">
      <c r="A791" s="71" t="str">
        <f>Registros!A791</f>
        <v>1487@gmail.com</v>
      </c>
      <c r="B791" s="5">
        <f>Registros!B791</f>
        <v>43944.88542</v>
      </c>
      <c r="C791" s="18" t="str">
        <f>IFNA(VLOOKUP(A791,'Registros - No nuevos'!A:A,1,0),"Nuevo")</f>
        <v>1487@gmail.com</v>
      </c>
      <c r="D791" s="72" t="str">
        <f t="shared" si="1"/>
        <v>No Nuevo</v>
      </c>
    </row>
    <row r="792" ht="15.75" customHeight="1">
      <c r="A792" s="71" t="str">
        <f>Registros!A792</f>
        <v>1880@dipta.cat</v>
      </c>
      <c r="B792" s="5">
        <f>Registros!B792</f>
        <v>43944.88125</v>
      </c>
      <c r="C792" s="18" t="str">
        <f>IFNA(VLOOKUP(A792,'Registros - No nuevos'!A:A,1,0),"Nuevo")</f>
        <v>1880@dipta.cat</v>
      </c>
      <c r="D792" s="72" t="str">
        <f t="shared" si="1"/>
        <v>No Nuevo</v>
      </c>
    </row>
    <row r="793" ht="15.75" customHeight="1">
      <c r="A793" s="71" t="str">
        <f>Registros!A793</f>
        <v>1933@lujama.com</v>
      </c>
      <c r="B793" s="5">
        <f>Registros!B793</f>
        <v>43944.87847</v>
      </c>
      <c r="C793" s="18" t="str">
        <f>IFNA(VLOOKUP(A793,'Registros - No nuevos'!A:A,1,0),"Nuevo")</f>
        <v>1933@lujama.com</v>
      </c>
      <c r="D793" s="72" t="str">
        <f t="shared" si="1"/>
        <v>No Nuevo</v>
      </c>
    </row>
    <row r="794" ht="15.75" customHeight="1">
      <c r="A794" s="71" t="str">
        <f>Registros!A794</f>
        <v>1934@ferrovial.com</v>
      </c>
      <c r="B794" s="5">
        <f>Registros!B794</f>
        <v>43944.85833</v>
      </c>
      <c r="C794" s="18" t="str">
        <f>IFNA(VLOOKUP(A794,'Registros - No nuevos'!A:A,1,0),"Nuevo")</f>
        <v>1934@ferrovial.com</v>
      </c>
      <c r="D794" s="72" t="str">
        <f t="shared" si="1"/>
        <v>No Nuevo</v>
      </c>
    </row>
    <row r="795" ht="15.75" customHeight="1">
      <c r="A795" s="71" t="str">
        <f>Registros!A795</f>
        <v>260@hotmail.com</v>
      </c>
      <c r="B795" s="5">
        <f>Registros!B795</f>
        <v>43944.83125</v>
      </c>
      <c r="C795" s="18" t="str">
        <f>IFNA(VLOOKUP(A795,'Registros - No nuevos'!A:A,1,0),"Nuevo")</f>
        <v>260@hotmail.com</v>
      </c>
      <c r="D795" s="72" t="str">
        <f t="shared" si="1"/>
        <v>No Nuevo</v>
      </c>
    </row>
    <row r="796" ht="15.75" customHeight="1">
      <c r="A796" s="71" t="str">
        <f>Registros!A796</f>
        <v>1935@telefonica.net</v>
      </c>
      <c r="B796" s="5">
        <f>Registros!B796</f>
        <v>43944.82847</v>
      </c>
      <c r="C796" s="18" t="str">
        <f>IFNA(VLOOKUP(A796,'Registros - No nuevos'!A:A,1,0),"Nuevo")</f>
        <v>1935@telefonica.net</v>
      </c>
      <c r="D796" s="72" t="str">
        <f t="shared" si="1"/>
        <v>No Nuevo</v>
      </c>
    </row>
    <row r="797" ht="15.75" customHeight="1">
      <c r="A797" s="71" t="str">
        <f>Registros!A797</f>
        <v>1889@cetim.cat</v>
      </c>
      <c r="B797" s="5">
        <f>Registros!B797</f>
        <v>43944.79792</v>
      </c>
      <c r="C797" s="18" t="str">
        <f>IFNA(VLOOKUP(A797,'Registros - No nuevos'!A:A,1,0),"Nuevo")</f>
        <v>1889@cetim.cat</v>
      </c>
      <c r="D797" s="72" t="str">
        <f t="shared" si="1"/>
        <v>No Nuevo</v>
      </c>
    </row>
    <row r="798" ht="15.75" customHeight="1">
      <c r="A798" s="71" t="str">
        <f>Registros!A798</f>
        <v>1675@exinor.com</v>
      </c>
      <c r="B798" s="5">
        <f>Registros!B798</f>
        <v>43944.77708</v>
      </c>
      <c r="C798" s="18" t="str">
        <f>IFNA(VLOOKUP(A798,'Registros - No nuevos'!A:A,1,0),"Nuevo")</f>
        <v>1675@exinor.com</v>
      </c>
      <c r="D798" s="72" t="str">
        <f t="shared" si="1"/>
        <v>No Nuevo</v>
      </c>
    </row>
    <row r="799" ht="15.75" customHeight="1">
      <c r="A799" s="71" t="str">
        <f>Registros!A799</f>
        <v>1940@electromercantil.es</v>
      </c>
      <c r="B799" s="5">
        <f>Registros!B799</f>
        <v>43944.77569</v>
      </c>
      <c r="C799" s="18" t="str">
        <f>IFNA(VLOOKUP(A799,'Registros - No nuevos'!A:A,1,0),"Nuevo")</f>
        <v>1940@electromercantil.es</v>
      </c>
      <c r="D799" s="72" t="str">
        <f t="shared" si="1"/>
        <v>No Nuevo</v>
      </c>
    </row>
    <row r="800" ht="15.75" customHeight="1">
      <c r="A800" s="71" t="str">
        <f>Registros!A800</f>
        <v>1941@hotmail.com</v>
      </c>
      <c r="B800" s="5">
        <f>Registros!B800</f>
        <v>43944.775</v>
      </c>
      <c r="C800" s="18" t="str">
        <f>IFNA(VLOOKUP(A800,'Registros - No nuevos'!A:A,1,0),"Nuevo")</f>
        <v>1941@hotmail.com</v>
      </c>
      <c r="D800" s="72" t="str">
        <f t="shared" si="1"/>
        <v>No Nuevo</v>
      </c>
    </row>
    <row r="801" ht="15.75" customHeight="1">
      <c r="A801" s="71" t="str">
        <f>Registros!A801</f>
        <v>1604@geinstal.com</v>
      </c>
      <c r="B801" s="5">
        <f>Registros!B801</f>
        <v>43944.77361</v>
      </c>
      <c r="C801" s="18" t="str">
        <f>IFNA(VLOOKUP(A801,'Registros - No nuevos'!A:A,1,0),"Nuevo")</f>
        <v>1604@geinstal.com</v>
      </c>
      <c r="D801" s="72" t="str">
        <f t="shared" si="1"/>
        <v>No Nuevo</v>
      </c>
    </row>
    <row r="802" ht="15.75" customHeight="1">
      <c r="A802" s="71" t="str">
        <f>Registros!A802</f>
        <v>1942@ciudaddelosmuchachos.com</v>
      </c>
      <c r="B802" s="5">
        <f>Registros!B802</f>
        <v>43944.77292</v>
      </c>
      <c r="C802" s="18" t="str">
        <f>IFNA(VLOOKUP(A802,'Registros - No nuevos'!A:A,1,0),"Nuevo")</f>
        <v>1942@ciudaddelosmuchachos.com</v>
      </c>
      <c r="D802" s="72" t="str">
        <f t="shared" si="1"/>
        <v>No Nuevo</v>
      </c>
    </row>
    <row r="803" ht="15.75" customHeight="1">
      <c r="A803" s="71" t="str">
        <f>Registros!A803</f>
        <v>1945@ip21ingenieria.com</v>
      </c>
      <c r="B803" s="5">
        <f>Registros!B803</f>
        <v>43944.77222</v>
      </c>
      <c r="C803" s="18" t="str">
        <f>IFNA(VLOOKUP(A803,'Registros - No nuevos'!A:A,1,0),"Nuevo")</f>
        <v>1945@ip21ingenieria.com</v>
      </c>
      <c r="D803" s="72" t="str">
        <f t="shared" si="1"/>
        <v>No Nuevo</v>
      </c>
    </row>
    <row r="804" ht="15.75" customHeight="1">
      <c r="A804" s="71" t="str">
        <f>Registros!A804</f>
        <v>1946@gmail.com</v>
      </c>
      <c r="B804" s="5">
        <f>Registros!B804</f>
        <v>43944.77222</v>
      </c>
      <c r="C804" s="18" t="str">
        <f>IFNA(VLOOKUP(A804,'Registros - No nuevos'!A:A,1,0),"Nuevo")</f>
        <v>1946@gmail.com</v>
      </c>
      <c r="D804" s="72" t="str">
        <f t="shared" si="1"/>
        <v>No Nuevo</v>
      </c>
    </row>
    <row r="805" ht="15.75" customHeight="1">
      <c r="A805" s="71" t="str">
        <f>Registros!A805</f>
        <v>1953@proyteczaragoza.com</v>
      </c>
      <c r="B805" s="5">
        <f>Registros!B805</f>
        <v>43944.77222</v>
      </c>
      <c r="C805" s="18" t="str">
        <f>IFNA(VLOOKUP(A805,'Registros - No nuevos'!A:A,1,0),"Nuevo")</f>
        <v>1953@proyteczaragoza.com</v>
      </c>
      <c r="D805" s="72" t="str">
        <f t="shared" si="1"/>
        <v>No Nuevo</v>
      </c>
    </row>
    <row r="806" ht="15.75" customHeight="1">
      <c r="A806" s="71" t="str">
        <f>Registros!A806</f>
        <v>1951@engimatica.com</v>
      </c>
      <c r="B806" s="5">
        <f>Registros!B806</f>
        <v>43944.77222</v>
      </c>
      <c r="C806" s="18" t="str">
        <f>IFNA(VLOOKUP(A806,'Registros - No nuevos'!A:A,1,0),"Nuevo")</f>
        <v>1951@engimatica.com</v>
      </c>
      <c r="D806" s="72" t="str">
        <f t="shared" si="1"/>
        <v>No Nuevo</v>
      </c>
    </row>
    <row r="807" ht="15.75" customHeight="1">
      <c r="A807" s="71" t="str">
        <f>Registros!A807</f>
        <v>1956@gmail.com</v>
      </c>
      <c r="B807" s="5">
        <f>Registros!B807</f>
        <v>43944.77222</v>
      </c>
      <c r="C807" s="18" t="str">
        <f>IFNA(VLOOKUP(A807,'Registros - No nuevos'!A:A,1,0),"Nuevo")</f>
        <v>1956@gmail.com</v>
      </c>
      <c r="D807" s="72" t="str">
        <f t="shared" si="1"/>
        <v>No Nuevo</v>
      </c>
    </row>
    <row r="808" ht="15.75" customHeight="1">
      <c r="A808" s="71" t="str">
        <f>Registros!A808</f>
        <v>1696@gmail.com</v>
      </c>
      <c r="B808" s="5">
        <f>Registros!B808</f>
        <v>43944.77222</v>
      </c>
      <c r="C808" s="18" t="str">
        <f>IFNA(VLOOKUP(A808,'Registros - No nuevos'!A:A,1,0),"Nuevo")</f>
        <v>1696@gmail.com</v>
      </c>
      <c r="D808" s="72" t="str">
        <f t="shared" si="1"/>
        <v>No Nuevo</v>
      </c>
    </row>
    <row r="809" ht="15.75" customHeight="1">
      <c r="A809" s="71" t="str">
        <f>Registros!A809</f>
        <v>1228@entax.es</v>
      </c>
      <c r="B809" s="5">
        <f>Registros!B809</f>
        <v>43944.77222</v>
      </c>
      <c r="C809" s="18" t="str">
        <f>IFNA(VLOOKUP(A809,'Registros - No nuevos'!A:A,1,0),"Nuevo")</f>
        <v>1228@entax.es</v>
      </c>
      <c r="D809" s="72" t="str">
        <f t="shared" si="1"/>
        <v>No Nuevo</v>
      </c>
    </row>
    <row r="810" ht="15.75" customHeight="1">
      <c r="A810" s="71" t="str">
        <f>Registros!A810</f>
        <v>1948@culmar.net</v>
      </c>
      <c r="B810" s="5">
        <f>Registros!B810</f>
        <v>43944.77222</v>
      </c>
      <c r="C810" s="18" t="str">
        <f>IFNA(VLOOKUP(A810,'Registros - No nuevos'!A:A,1,0),"Nuevo")</f>
        <v>1948@culmar.net</v>
      </c>
      <c r="D810" s="72" t="str">
        <f t="shared" si="1"/>
        <v>No Nuevo</v>
      </c>
    </row>
    <row r="811" ht="15.75" customHeight="1">
      <c r="A811" s="71" t="str">
        <f>Registros!A811</f>
        <v>1947@gmail.com</v>
      </c>
      <c r="B811" s="5">
        <f>Registros!B811</f>
        <v>43944.77222</v>
      </c>
      <c r="C811" s="18" t="str">
        <f>IFNA(VLOOKUP(A811,'Registros - No nuevos'!A:A,1,0),"Nuevo")</f>
        <v>1947@gmail.com</v>
      </c>
      <c r="D811" s="72" t="str">
        <f t="shared" si="1"/>
        <v>No Nuevo</v>
      </c>
    </row>
    <row r="812" ht="15.75" customHeight="1">
      <c r="A812" s="71" t="str">
        <f>Registros!A812</f>
        <v>1955@salesianos.edu</v>
      </c>
      <c r="B812" s="5">
        <f>Registros!B812</f>
        <v>43944.77222</v>
      </c>
      <c r="C812" s="18" t="str">
        <f>IFNA(VLOOKUP(A812,'Registros - No nuevos'!A:A,1,0),"Nuevo")</f>
        <v>1955@salesianos.edu</v>
      </c>
      <c r="D812" s="72" t="str">
        <f t="shared" si="1"/>
        <v>No Nuevo</v>
      </c>
    </row>
    <row r="813" ht="15.75" customHeight="1">
      <c r="A813" s="71" t="str">
        <f>Registros!A813</f>
        <v>1957@msn.com</v>
      </c>
      <c r="B813" s="5">
        <f>Registros!B813</f>
        <v>43944.77222</v>
      </c>
      <c r="C813" s="18" t="str">
        <f>IFNA(VLOOKUP(A813,'Registros - No nuevos'!A:A,1,0),"Nuevo")</f>
        <v>1957@msn.com</v>
      </c>
      <c r="D813" s="72" t="str">
        <f t="shared" si="1"/>
        <v>No Nuevo</v>
      </c>
    </row>
    <row r="814" ht="15.75" customHeight="1">
      <c r="A814" s="71" t="str">
        <f>Registros!A814</f>
        <v>1959@gmail.com</v>
      </c>
      <c r="B814" s="5">
        <f>Registros!B814</f>
        <v>43944.77222</v>
      </c>
      <c r="C814" s="18" t="str">
        <f>IFNA(VLOOKUP(A814,'Registros - No nuevos'!A:A,1,0),"Nuevo")</f>
        <v>1959@gmail.com</v>
      </c>
      <c r="D814" s="72" t="str">
        <f t="shared" si="1"/>
        <v>No Nuevo</v>
      </c>
    </row>
    <row r="815" ht="15.75" customHeight="1">
      <c r="A815" s="71" t="str">
        <f>Registros!A815</f>
        <v>1949@suno.cat</v>
      </c>
      <c r="B815" s="5">
        <f>Registros!B815</f>
        <v>43944.77222</v>
      </c>
      <c r="C815" s="18" t="str">
        <f>IFNA(VLOOKUP(A815,'Registros - No nuevos'!A:A,1,0),"Nuevo")</f>
        <v>1949@suno.cat</v>
      </c>
      <c r="D815" s="72" t="str">
        <f t="shared" si="1"/>
        <v>No Nuevo</v>
      </c>
    </row>
    <row r="816" ht="15.75" customHeight="1">
      <c r="A816" s="71" t="str">
        <f>Registros!A816</f>
        <v>1944@didacticaformacion.es</v>
      </c>
      <c r="B816" s="5">
        <f>Registros!B816</f>
        <v>43944.77222</v>
      </c>
      <c r="C816" s="18" t="str">
        <f>IFNA(VLOOKUP(A816,'Registros - No nuevos'!A:A,1,0),"Nuevo")</f>
        <v>1944@didacticaformacion.es</v>
      </c>
      <c r="D816" s="72" t="str">
        <f t="shared" si="1"/>
        <v>No Nuevo</v>
      </c>
    </row>
    <row r="817" ht="15.75" customHeight="1">
      <c r="A817" s="71" t="str">
        <f>Registros!A817</f>
        <v>1952@tinet.cat</v>
      </c>
      <c r="B817" s="5">
        <f>Registros!B817</f>
        <v>43944.77222</v>
      </c>
      <c r="C817" s="18" t="str">
        <f>IFNA(VLOOKUP(A817,'Registros - No nuevos'!A:A,1,0),"Nuevo")</f>
        <v>1952@tinet.cat</v>
      </c>
      <c r="D817" s="72" t="str">
        <f t="shared" si="1"/>
        <v>No Nuevo</v>
      </c>
    </row>
    <row r="818" ht="15.75" customHeight="1">
      <c r="A818" s="71" t="str">
        <f>Registros!A818</f>
        <v>1969@fundacionmasaveu.com</v>
      </c>
      <c r="B818" s="5">
        <f>Registros!B818</f>
        <v>43944.77153</v>
      </c>
      <c r="C818" s="18" t="str">
        <f>IFNA(VLOOKUP(A818,'Registros - No nuevos'!A:A,1,0),"Nuevo")</f>
        <v>1969@fundacionmasaveu.com</v>
      </c>
      <c r="D818" s="72" t="str">
        <f t="shared" si="1"/>
        <v>No Nuevo</v>
      </c>
    </row>
    <row r="819" ht="15.75" customHeight="1">
      <c r="A819" s="71" t="str">
        <f>Registros!A819</f>
        <v>1961@hotmail.com</v>
      </c>
      <c r="B819" s="5">
        <f>Registros!B819</f>
        <v>43944.77153</v>
      </c>
      <c r="C819" s="18" t="str">
        <f>IFNA(VLOOKUP(A819,'Registros - No nuevos'!A:A,1,0),"Nuevo")</f>
        <v>1961@hotmail.com</v>
      </c>
      <c r="D819" s="72" t="str">
        <f t="shared" si="1"/>
        <v>No Nuevo</v>
      </c>
    </row>
    <row r="820" ht="15.75" customHeight="1">
      <c r="A820" s="71" t="str">
        <f>Registros!A820</f>
        <v>1872@gmail.com</v>
      </c>
      <c r="B820" s="5">
        <f>Registros!B820</f>
        <v>43944.77153</v>
      </c>
      <c r="C820" s="18" t="str">
        <f>IFNA(VLOOKUP(A820,'Registros - No nuevos'!A:A,1,0),"Nuevo")</f>
        <v>1872@gmail.com</v>
      </c>
      <c r="D820" s="72" t="str">
        <f t="shared" si="1"/>
        <v>No Nuevo</v>
      </c>
    </row>
    <row r="821" ht="15.75" customHeight="1">
      <c r="A821" s="71" t="str">
        <f>Registros!A821</f>
        <v>1164@projecat.com</v>
      </c>
      <c r="B821" s="5">
        <f>Registros!B821</f>
        <v>43944.77153</v>
      </c>
      <c r="C821" s="18" t="str">
        <f>IFNA(VLOOKUP(A821,'Registros - No nuevos'!A:A,1,0),"Nuevo")</f>
        <v>1164@projecat.com</v>
      </c>
      <c r="D821" s="72" t="str">
        <f t="shared" si="1"/>
        <v>No Nuevo</v>
      </c>
    </row>
    <row r="822" ht="15.75" customHeight="1">
      <c r="A822" s="71" t="str">
        <f>Registros!A822</f>
        <v>1966@gmail.com</v>
      </c>
      <c r="B822" s="5">
        <f>Registros!B822</f>
        <v>43944.77153</v>
      </c>
      <c r="C822" s="18" t="str">
        <f>IFNA(VLOOKUP(A822,'Registros - No nuevos'!A:A,1,0),"Nuevo")</f>
        <v>1966@gmail.com</v>
      </c>
      <c r="D822" s="72" t="str">
        <f t="shared" si="1"/>
        <v>No Nuevo</v>
      </c>
    </row>
    <row r="823" ht="15.75" customHeight="1">
      <c r="A823" s="71" t="str">
        <f>Registros!A823</f>
        <v>1963@atisistemas.com</v>
      </c>
      <c r="B823" s="5">
        <f>Registros!B823</f>
        <v>43944.77153</v>
      </c>
      <c r="C823" s="18" t="str">
        <f>IFNA(VLOOKUP(A823,'Registros - No nuevos'!A:A,1,0),"Nuevo")</f>
        <v>1963@atisistemas.com</v>
      </c>
      <c r="D823" s="72" t="str">
        <f t="shared" si="1"/>
        <v>No Nuevo</v>
      </c>
    </row>
    <row r="824" ht="15.75" customHeight="1">
      <c r="A824" s="71" t="str">
        <f>Registros!A824</f>
        <v>1943@gmail.com</v>
      </c>
      <c r="B824" s="5">
        <f>Registros!B824</f>
        <v>43944.77153</v>
      </c>
      <c r="C824" s="18" t="str">
        <f>IFNA(VLOOKUP(A824,'Registros - No nuevos'!A:A,1,0),"Nuevo")</f>
        <v>1943@gmail.com</v>
      </c>
      <c r="D824" s="72" t="str">
        <f t="shared" si="1"/>
        <v>No Nuevo</v>
      </c>
    </row>
    <row r="825" ht="15.75" customHeight="1">
      <c r="A825" s="71" t="str">
        <f>Registros!A825</f>
        <v>1968@gmail.com</v>
      </c>
      <c r="B825" s="5">
        <f>Registros!B825</f>
        <v>43944.77153</v>
      </c>
      <c r="C825" s="18" t="str">
        <f>IFNA(VLOOKUP(A825,'Registros - No nuevos'!A:A,1,0),"Nuevo")</f>
        <v>1968@gmail.com</v>
      </c>
      <c r="D825" s="72" t="str">
        <f t="shared" si="1"/>
        <v>No Nuevo</v>
      </c>
    </row>
    <row r="826" ht="15.75" customHeight="1">
      <c r="A826" s="71" t="str">
        <f>Registros!A826</f>
        <v>1967@ferrovial.com</v>
      </c>
      <c r="B826" s="5">
        <f>Registros!B826</f>
        <v>43944.77153</v>
      </c>
      <c r="C826" s="18" t="str">
        <f>IFNA(VLOOKUP(A826,'Registros - No nuevos'!A:A,1,0),"Nuevo")</f>
        <v>1967@ferrovial.com</v>
      </c>
      <c r="D826" s="72" t="str">
        <f t="shared" si="1"/>
        <v>No Nuevo</v>
      </c>
    </row>
    <row r="827" ht="15.75" customHeight="1">
      <c r="A827" s="71" t="str">
        <f>Registros!A827</f>
        <v>1876@gmail.com</v>
      </c>
      <c r="B827" s="5">
        <f>Registros!B827</f>
        <v>43944.77153</v>
      </c>
      <c r="C827" s="18" t="str">
        <f>IFNA(VLOOKUP(A827,'Registros - No nuevos'!A:A,1,0),"Nuevo")</f>
        <v>1876@gmail.com</v>
      </c>
      <c r="D827" s="72" t="str">
        <f t="shared" si="1"/>
        <v>No Nuevo</v>
      </c>
    </row>
    <row r="828" ht="15.75" customHeight="1">
      <c r="A828" s="71" t="str">
        <f>Registros!A828</f>
        <v>1962@lliro.com</v>
      </c>
      <c r="B828" s="5">
        <f>Registros!B828</f>
        <v>43944.77153</v>
      </c>
      <c r="C828" s="18" t="str">
        <f>IFNA(VLOOKUP(A828,'Registros - No nuevos'!A:A,1,0),"Nuevo")</f>
        <v>1962@lliro.com</v>
      </c>
      <c r="D828" s="72" t="str">
        <f t="shared" si="1"/>
        <v>No Nuevo</v>
      </c>
    </row>
    <row r="829" ht="15.75" customHeight="1">
      <c r="A829" s="71" t="str">
        <f>Registros!A829</f>
        <v>1858@yahoo.es</v>
      </c>
      <c r="B829" s="5">
        <f>Registros!B829</f>
        <v>43944.77153</v>
      </c>
      <c r="C829" s="18" t="str">
        <f>IFNA(VLOOKUP(A829,'Registros - No nuevos'!A:A,1,0),"Nuevo")</f>
        <v>1858@yahoo.es</v>
      </c>
      <c r="D829" s="72" t="str">
        <f t="shared" si="1"/>
        <v>No Nuevo</v>
      </c>
    </row>
    <row r="830" ht="15.75" customHeight="1">
      <c r="A830" s="71" t="str">
        <f>Registros!A830</f>
        <v>1954@dicsl.com</v>
      </c>
      <c r="B830" s="5">
        <f>Registros!B830</f>
        <v>43944.77153</v>
      </c>
      <c r="C830" s="18" t="str">
        <f>IFNA(VLOOKUP(A830,'Registros - No nuevos'!A:A,1,0),"Nuevo")</f>
        <v>1954@dicsl.com</v>
      </c>
      <c r="D830" s="72" t="str">
        <f t="shared" si="1"/>
        <v>No Nuevo</v>
      </c>
    </row>
    <row r="831" ht="15.75" customHeight="1">
      <c r="A831" s="71" t="str">
        <f>Registros!A831</f>
        <v>1811@ansiel.eu</v>
      </c>
      <c r="B831" s="5">
        <f>Registros!B831</f>
        <v>43944.77153</v>
      </c>
      <c r="C831" s="18" t="str">
        <f>IFNA(VLOOKUP(A831,'Registros - No nuevos'!A:A,1,0),"Nuevo")</f>
        <v>1811@ansiel.eu</v>
      </c>
      <c r="D831" s="72" t="str">
        <f t="shared" si="1"/>
        <v>No Nuevo</v>
      </c>
    </row>
    <row r="832" ht="15.75" customHeight="1">
      <c r="A832" s="71" t="str">
        <f>Registros!A832</f>
        <v>954@aiguesmanresa.cat</v>
      </c>
      <c r="B832" s="5">
        <f>Registros!B832</f>
        <v>43944.77153</v>
      </c>
      <c r="C832" s="18" t="str">
        <f>IFNA(VLOOKUP(A832,'Registros - No nuevos'!A:A,1,0),"Nuevo")</f>
        <v>954@aiguesmanresa.cat</v>
      </c>
      <c r="D832" s="72" t="str">
        <f t="shared" si="1"/>
        <v>No Nuevo</v>
      </c>
    </row>
    <row r="833" ht="15.75" customHeight="1">
      <c r="A833" s="71" t="str">
        <f>Registros!A833</f>
        <v>1878@gmail.com</v>
      </c>
      <c r="B833" s="5">
        <f>Registros!B833</f>
        <v>43944.77153</v>
      </c>
      <c r="C833" s="18" t="str">
        <f>IFNA(VLOOKUP(A833,'Registros - No nuevos'!A:A,1,0),"Nuevo")</f>
        <v>1878@gmail.com</v>
      </c>
      <c r="D833" s="72" t="str">
        <f t="shared" si="1"/>
        <v>No Nuevo</v>
      </c>
    </row>
    <row r="834" ht="15.75" customHeight="1">
      <c r="A834" s="71" t="str">
        <f>Registros!A834</f>
        <v>1965@tienda-gasnatural.com</v>
      </c>
      <c r="B834" s="5">
        <f>Registros!B834</f>
        <v>43944.76389</v>
      </c>
      <c r="C834" s="18" t="str">
        <f>IFNA(VLOOKUP(A834,'Registros - No nuevos'!A:A,1,0),"Nuevo")</f>
        <v>1965@tienda-gasnatural.com</v>
      </c>
      <c r="D834" s="72" t="str">
        <f t="shared" si="1"/>
        <v>No Nuevo</v>
      </c>
    </row>
    <row r="835" ht="15.75" customHeight="1">
      <c r="A835" s="71" t="str">
        <f>Registros!A835</f>
        <v>1976@electronavia.com</v>
      </c>
      <c r="B835" s="5">
        <f>Registros!B835</f>
        <v>43944.75556</v>
      </c>
      <c r="C835" s="18" t="str">
        <f>IFNA(VLOOKUP(A835,'Registros - No nuevos'!A:A,1,0),"Nuevo")</f>
        <v>1976@electronavia.com</v>
      </c>
      <c r="D835" s="72" t="str">
        <f t="shared" si="1"/>
        <v>No Nuevo</v>
      </c>
    </row>
    <row r="836" ht="15.75" customHeight="1">
      <c r="A836" s="71" t="str">
        <f>Registros!A836</f>
        <v>1036@grupoelectrostocks.com</v>
      </c>
      <c r="B836" s="5">
        <f>Registros!B836</f>
        <v>43944.74444</v>
      </c>
      <c r="C836" s="18" t="str">
        <f>IFNA(VLOOKUP(A836,'Registros - No nuevos'!A:A,1,0),"Nuevo")</f>
        <v>1036@grupoelectrostocks.com</v>
      </c>
      <c r="D836" s="72" t="str">
        <f t="shared" si="1"/>
        <v>No Nuevo</v>
      </c>
    </row>
    <row r="837" ht="15.75" customHeight="1">
      <c r="A837" s="71" t="str">
        <f>Registros!A837</f>
        <v>1884@zuecoingenieria.com</v>
      </c>
      <c r="B837" s="5">
        <f>Registros!B837</f>
        <v>43944.74444</v>
      </c>
      <c r="C837" s="18" t="str">
        <f>IFNA(VLOOKUP(A837,'Registros - No nuevos'!A:A,1,0),"Nuevo")</f>
        <v>1884@zuecoingenieria.com</v>
      </c>
      <c r="D837" s="72" t="str">
        <f t="shared" si="1"/>
        <v>No Nuevo</v>
      </c>
    </row>
    <row r="838" ht="15.75" customHeight="1">
      <c r="A838" s="71" t="str">
        <f>Registros!A838</f>
        <v>1978@hotmail.com</v>
      </c>
      <c r="B838" s="5">
        <f>Registros!B838</f>
        <v>43944.73542</v>
      </c>
      <c r="C838" s="18" t="str">
        <f>IFNA(VLOOKUP(A838,'Registros - No nuevos'!A:A,1,0),"Nuevo")</f>
        <v>1978@hotmail.com</v>
      </c>
      <c r="D838" s="72" t="str">
        <f t="shared" si="1"/>
        <v>No Nuevo</v>
      </c>
    </row>
    <row r="839" ht="15.75" customHeight="1">
      <c r="A839" s="71" t="str">
        <f>Registros!A839</f>
        <v>1866@inrobadajoz.com</v>
      </c>
      <c r="B839" s="5">
        <f>Registros!B839</f>
        <v>43944.73333</v>
      </c>
      <c r="C839" s="18" t="str">
        <f>IFNA(VLOOKUP(A839,'Registros - No nuevos'!A:A,1,0),"Nuevo")</f>
        <v>1866@inrobadajoz.com</v>
      </c>
      <c r="D839" s="72" t="str">
        <f t="shared" si="1"/>
        <v>No Nuevo</v>
      </c>
    </row>
    <row r="840" ht="15.75" customHeight="1">
      <c r="A840" s="71" t="str">
        <f>Registros!A840</f>
        <v>1983@suno.cat</v>
      </c>
      <c r="B840" s="5">
        <f>Registros!B840</f>
        <v>43944.73056</v>
      </c>
      <c r="C840" s="18" t="str">
        <f>IFNA(VLOOKUP(A840,'Registros - No nuevos'!A:A,1,0),"Nuevo")</f>
        <v>1983@suno.cat</v>
      </c>
      <c r="D840" s="72" t="str">
        <f t="shared" si="1"/>
        <v>No Nuevo</v>
      </c>
    </row>
    <row r="841" ht="15.75" customHeight="1">
      <c r="A841" s="71" t="str">
        <f>Registros!A841</f>
        <v>1991@gmail.com</v>
      </c>
      <c r="B841" s="5">
        <f>Registros!B841</f>
        <v>43944.72847</v>
      </c>
      <c r="C841" s="18" t="str">
        <f>IFNA(VLOOKUP(A841,'Registros - No nuevos'!A:A,1,0),"Nuevo")</f>
        <v>1991@gmail.com</v>
      </c>
      <c r="D841" s="72" t="str">
        <f t="shared" si="1"/>
        <v>No Nuevo</v>
      </c>
    </row>
    <row r="842" ht="15.75" customHeight="1">
      <c r="A842" s="71" t="str">
        <f>Registros!A842</f>
        <v>1748@salesianosatocha.es</v>
      </c>
      <c r="B842" s="5">
        <f>Registros!B842</f>
        <v>43944.72847</v>
      </c>
      <c r="C842" s="18" t="str">
        <f>IFNA(VLOOKUP(A842,'Registros - No nuevos'!A:A,1,0),"Nuevo")</f>
        <v>1748@salesianosatocha.es</v>
      </c>
      <c r="D842" s="72" t="str">
        <f t="shared" si="1"/>
        <v>No Nuevo</v>
      </c>
    </row>
    <row r="843" ht="15.75" customHeight="1">
      <c r="A843" s="71" t="str">
        <f>Registros!A843</f>
        <v>1996@gmail.com</v>
      </c>
      <c r="B843" s="5">
        <f>Registros!B843</f>
        <v>43944.72778</v>
      </c>
      <c r="C843" s="18" t="str">
        <f>IFNA(VLOOKUP(A843,'Registros - No nuevos'!A:A,1,0),"Nuevo")</f>
        <v>1996@gmail.com</v>
      </c>
      <c r="D843" s="72" t="str">
        <f t="shared" si="1"/>
        <v>No Nuevo</v>
      </c>
    </row>
    <row r="844" ht="15.75" customHeight="1">
      <c r="A844" s="71" t="str">
        <f>Registros!A844</f>
        <v>1995@gmail.com</v>
      </c>
      <c r="B844" s="5">
        <f>Registros!B844</f>
        <v>43944.72708</v>
      </c>
      <c r="C844" s="18" t="str">
        <f>IFNA(VLOOKUP(A844,'Registros - No nuevos'!A:A,1,0),"Nuevo")</f>
        <v>1995@gmail.com</v>
      </c>
      <c r="D844" s="72" t="str">
        <f t="shared" si="1"/>
        <v>No Nuevo</v>
      </c>
    </row>
    <row r="845" ht="15.75" customHeight="1">
      <c r="A845" s="71" t="str">
        <f>Registros!A845</f>
        <v>1877@gmail.com</v>
      </c>
      <c r="B845" s="5">
        <f>Registros!B845</f>
        <v>43944.72708</v>
      </c>
      <c r="C845" s="18" t="str">
        <f>IFNA(VLOOKUP(A845,'Registros - No nuevos'!A:A,1,0),"Nuevo")</f>
        <v>1877@gmail.com</v>
      </c>
      <c r="D845" s="72" t="str">
        <f t="shared" si="1"/>
        <v>No Nuevo</v>
      </c>
    </row>
    <row r="846" ht="15.75" customHeight="1">
      <c r="A846" s="71" t="str">
        <f>Registros!A846</f>
        <v>910@sogesa.es</v>
      </c>
      <c r="B846" s="5">
        <f>Registros!B846</f>
        <v>43944.72708</v>
      </c>
      <c r="C846" s="18" t="str">
        <f>IFNA(VLOOKUP(A846,'Registros - No nuevos'!A:A,1,0),"Nuevo")</f>
        <v>910@sogesa.es</v>
      </c>
      <c r="D846" s="72" t="str">
        <f t="shared" si="1"/>
        <v>No Nuevo</v>
      </c>
    </row>
    <row r="847" ht="15.75" customHeight="1">
      <c r="A847" s="71" t="str">
        <f>Registros!A847</f>
        <v>1883@adingenieros.es</v>
      </c>
      <c r="B847" s="5">
        <f>Registros!B847</f>
        <v>43944.72708</v>
      </c>
      <c r="C847" s="18" t="str">
        <f>IFNA(VLOOKUP(A847,'Registros - No nuevos'!A:A,1,0),"Nuevo")</f>
        <v>1883@adingenieros.es</v>
      </c>
      <c r="D847" s="72" t="str">
        <f t="shared" si="1"/>
        <v>No Nuevo</v>
      </c>
    </row>
    <row r="848" ht="15.75" customHeight="1">
      <c r="A848" s="71" t="str">
        <f>Registros!A848</f>
        <v>1994@gmail.com</v>
      </c>
      <c r="B848" s="5">
        <f>Registros!B848</f>
        <v>43944.72708</v>
      </c>
      <c r="C848" s="18" t="str">
        <f>IFNA(VLOOKUP(A848,'Registros - No nuevos'!A:A,1,0),"Nuevo")</f>
        <v>1994@gmail.com</v>
      </c>
      <c r="D848" s="72" t="str">
        <f t="shared" si="1"/>
        <v>No Nuevo</v>
      </c>
    </row>
    <row r="849" ht="15.75" customHeight="1">
      <c r="A849" s="71" t="str">
        <f>Registros!A849</f>
        <v>2001@alainsa.com</v>
      </c>
      <c r="B849" s="5">
        <f>Registros!B849</f>
        <v>43944.72569</v>
      </c>
      <c r="C849" s="18" t="str">
        <f>IFNA(VLOOKUP(A849,'Registros - No nuevos'!A:A,1,0),"Nuevo")</f>
        <v>2001@alainsa.com</v>
      </c>
      <c r="D849" s="72" t="str">
        <f t="shared" si="1"/>
        <v>No Nuevo</v>
      </c>
    </row>
    <row r="850" ht="15.75" customHeight="1">
      <c r="A850" s="71" t="str">
        <f>Registros!A850</f>
        <v>1859@gmail.com</v>
      </c>
      <c r="B850" s="5">
        <f>Registros!B850</f>
        <v>43944.725</v>
      </c>
      <c r="C850" s="18" t="str">
        <f>IFNA(VLOOKUP(A850,'Registros - No nuevos'!A:A,1,0),"Nuevo")</f>
        <v>1859@gmail.com</v>
      </c>
      <c r="D850" s="72" t="str">
        <f t="shared" si="1"/>
        <v>No Nuevo</v>
      </c>
    </row>
    <row r="851" ht="15.75" customHeight="1">
      <c r="A851" s="71" t="str">
        <f>Registros!A851</f>
        <v>2002@camarasaragon.com</v>
      </c>
      <c r="B851" s="5">
        <f>Registros!B851</f>
        <v>43944.725</v>
      </c>
      <c r="C851" s="18" t="str">
        <f>IFNA(VLOOKUP(A851,'Registros - No nuevos'!A:A,1,0),"Nuevo")</f>
        <v>2002@camarasaragon.com</v>
      </c>
      <c r="D851" s="72" t="str">
        <f t="shared" si="1"/>
        <v>No Nuevo</v>
      </c>
    </row>
    <row r="852" ht="15.75" customHeight="1">
      <c r="A852" s="71" t="str">
        <f>Registros!A852</f>
        <v>1980@hotmail.com</v>
      </c>
      <c r="B852" s="5">
        <f>Registros!B852</f>
        <v>43944.72431</v>
      </c>
      <c r="C852" s="18" t="str">
        <f>IFNA(VLOOKUP(A852,'Registros - No nuevos'!A:A,1,0),"Nuevo")</f>
        <v>1980@hotmail.com</v>
      </c>
      <c r="D852" s="72" t="str">
        <f t="shared" si="1"/>
        <v>No Nuevo</v>
      </c>
    </row>
    <row r="853" ht="15.75" customHeight="1">
      <c r="A853" s="71" t="str">
        <f>Registros!A853</f>
        <v>2004@mcamps.es</v>
      </c>
      <c r="B853" s="5">
        <f>Registros!B853</f>
        <v>43944.72431</v>
      </c>
      <c r="C853" s="18" t="str">
        <f>IFNA(VLOOKUP(A853,'Registros - No nuevos'!A:A,1,0),"Nuevo")</f>
        <v>2004@mcamps.es</v>
      </c>
      <c r="D853" s="72" t="str">
        <f t="shared" si="1"/>
        <v>No Nuevo</v>
      </c>
    </row>
    <row r="854" ht="15.75" customHeight="1">
      <c r="A854" s="71" t="str">
        <f>Registros!A854</f>
        <v>1992@proecoingenieria.com</v>
      </c>
      <c r="B854" s="5">
        <f>Registros!B854</f>
        <v>43944.72431</v>
      </c>
      <c r="C854" s="18" t="str">
        <f>IFNA(VLOOKUP(A854,'Registros - No nuevos'!A:A,1,0),"Nuevo")</f>
        <v>1992@proecoingenieria.com</v>
      </c>
      <c r="D854" s="72" t="str">
        <f t="shared" si="1"/>
        <v>No Nuevo</v>
      </c>
    </row>
    <row r="855" ht="15.75" customHeight="1">
      <c r="A855" s="71" t="str">
        <f>Registros!A855</f>
        <v>1971@tienda-gasnatural.com</v>
      </c>
      <c r="B855" s="5">
        <f>Registros!B855</f>
        <v>43944.72431</v>
      </c>
      <c r="C855" s="18" t="str">
        <f>IFNA(VLOOKUP(A855,'Registros - No nuevos'!A:A,1,0),"Nuevo")</f>
        <v>1971@tienda-gasnatural.com</v>
      </c>
      <c r="D855" s="72" t="str">
        <f t="shared" si="1"/>
        <v>No Nuevo</v>
      </c>
    </row>
    <row r="856" ht="15.75" customHeight="1">
      <c r="A856" s="71" t="str">
        <f>Registros!A856</f>
        <v>1894@arasolutions.es</v>
      </c>
      <c r="B856" s="5">
        <f>Registros!B856</f>
        <v>43944.72431</v>
      </c>
      <c r="C856" s="18" t="str">
        <f>IFNA(VLOOKUP(A856,'Registros - No nuevos'!A:A,1,0),"Nuevo")</f>
        <v>1894@arasolutions.es</v>
      </c>
      <c r="D856" s="72" t="str">
        <f t="shared" si="1"/>
        <v>No Nuevo</v>
      </c>
    </row>
    <row r="857" ht="15.75" customHeight="1">
      <c r="A857" s="71" t="str">
        <f>Registros!A857</f>
        <v>2010@incasl.com</v>
      </c>
      <c r="B857" s="5">
        <f>Registros!B857</f>
        <v>43944.72361</v>
      </c>
      <c r="C857" s="18" t="str">
        <f>IFNA(VLOOKUP(A857,'Registros - No nuevos'!A:A,1,0),"Nuevo")</f>
        <v>2010@incasl.com</v>
      </c>
      <c r="D857" s="72" t="str">
        <f t="shared" si="1"/>
        <v>No Nuevo</v>
      </c>
    </row>
    <row r="858" ht="15.75" customHeight="1">
      <c r="A858" s="71" t="str">
        <f>Registros!A858</f>
        <v>2006@masteringenieria.com</v>
      </c>
      <c r="B858" s="5">
        <f>Registros!B858</f>
        <v>43944.72361</v>
      </c>
      <c r="C858" s="18" t="str">
        <f>IFNA(VLOOKUP(A858,'Registros - No nuevos'!A:A,1,0),"Nuevo")</f>
        <v>2006@masteringenieria.com</v>
      </c>
      <c r="D858" s="72" t="str">
        <f t="shared" si="1"/>
        <v>No Nuevo</v>
      </c>
    </row>
    <row r="859" ht="15.75" customHeight="1">
      <c r="A859" s="71" t="str">
        <f>Registros!A859</f>
        <v>2009@gmail.com</v>
      </c>
      <c r="B859" s="5">
        <f>Registros!B859</f>
        <v>43944.72361</v>
      </c>
      <c r="C859" s="18" t="str">
        <f>IFNA(VLOOKUP(A859,'Registros - No nuevos'!A:A,1,0),"Nuevo")</f>
        <v>2009@gmail.com</v>
      </c>
      <c r="D859" s="72" t="str">
        <f t="shared" si="1"/>
        <v>No Nuevo</v>
      </c>
    </row>
    <row r="860" ht="15.75" customHeight="1">
      <c r="A860" s="71" t="str">
        <f>Registros!A860</f>
        <v>563@salesianospamplona.net</v>
      </c>
      <c r="B860" s="5">
        <f>Registros!B860</f>
        <v>43944.72361</v>
      </c>
      <c r="C860" s="18" t="str">
        <f>IFNA(VLOOKUP(A860,'Registros - No nuevos'!A:A,1,0),"Nuevo")</f>
        <v>563@salesianospamplona.net</v>
      </c>
      <c r="D860" s="72" t="str">
        <f t="shared" si="1"/>
        <v>No Nuevo</v>
      </c>
    </row>
    <row r="861" ht="15.75" customHeight="1">
      <c r="A861" s="71" t="str">
        <f>Registros!A861</f>
        <v>2012@gmail.com</v>
      </c>
      <c r="B861" s="5">
        <f>Registros!B861</f>
        <v>43944.72361</v>
      </c>
      <c r="C861" s="18" t="str">
        <f>IFNA(VLOOKUP(A861,'Registros - No nuevos'!A:A,1,0),"Nuevo")</f>
        <v>2012@gmail.com</v>
      </c>
      <c r="D861" s="72" t="str">
        <f t="shared" si="1"/>
        <v>No Nuevo</v>
      </c>
    </row>
    <row r="862" ht="15.75" customHeight="1">
      <c r="A862" s="71" t="str">
        <f>Registros!A862</f>
        <v>1327@tinet.org</v>
      </c>
      <c r="B862" s="5">
        <f>Registros!B862</f>
        <v>43944.72361</v>
      </c>
      <c r="C862" s="18" t="str">
        <f>IFNA(VLOOKUP(A862,'Registros - No nuevos'!A:A,1,0),"Nuevo")</f>
        <v>1327@tinet.org</v>
      </c>
      <c r="D862" s="72" t="str">
        <f t="shared" si="1"/>
        <v>No Nuevo</v>
      </c>
    </row>
    <row r="863" ht="15.75" customHeight="1">
      <c r="A863" s="71" t="str">
        <f>Registros!A863</f>
        <v>2008@yahoo.es</v>
      </c>
      <c r="B863" s="5">
        <f>Registros!B863</f>
        <v>43944.72361</v>
      </c>
      <c r="C863" s="18" t="str">
        <f>IFNA(VLOOKUP(A863,'Registros - No nuevos'!A:A,1,0),"Nuevo")</f>
        <v>2008@yahoo.es</v>
      </c>
      <c r="D863" s="72" t="str">
        <f t="shared" si="1"/>
        <v>No Nuevo</v>
      </c>
    </row>
    <row r="864" ht="15.75" customHeight="1">
      <c r="A864" s="71" t="str">
        <f>Registros!A864</f>
        <v>2013@ecopimeprojects.com</v>
      </c>
      <c r="B864" s="5">
        <f>Registros!B864</f>
        <v>43944.72292</v>
      </c>
      <c r="C864" s="18" t="str">
        <f>IFNA(VLOOKUP(A864,'Registros - No nuevos'!A:A,1,0),"Nuevo")</f>
        <v>2013@ecopimeprojects.com</v>
      </c>
      <c r="D864" s="72" t="str">
        <f t="shared" si="1"/>
        <v>No Nuevo</v>
      </c>
    </row>
    <row r="865" ht="15.75" customHeight="1">
      <c r="A865" s="71" t="str">
        <f>Registros!A865</f>
        <v>2011@gmail.com</v>
      </c>
      <c r="B865" s="5">
        <f>Registros!B865</f>
        <v>43944.72222</v>
      </c>
      <c r="C865" s="18" t="str">
        <f>IFNA(VLOOKUP(A865,'Registros - No nuevos'!A:A,1,0),"Nuevo")</f>
        <v>2011@gmail.com</v>
      </c>
      <c r="D865" s="72" t="str">
        <f t="shared" si="1"/>
        <v>No Nuevo</v>
      </c>
    </row>
    <row r="866" ht="15.75" customHeight="1">
      <c r="A866" s="71" t="str">
        <f>Registros!A866</f>
        <v>2019@didacticaformacion.es</v>
      </c>
      <c r="B866" s="5">
        <f>Registros!B866</f>
        <v>43944.71458</v>
      </c>
      <c r="C866" s="18" t="str">
        <f>IFNA(VLOOKUP(A866,'Registros - No nuevos'!A:A,1,0),"Nuevo")</f>
        <v>2019@didacticaformacion.es</v>
      </c>
      <c r="D866" s="72" t="str">
        <f t="shared" si="1"/>
        <v>No Nuevo</v>
      </c>
    </row>
    <row r="867" ht="15.75" customHeight="1">
      <c r="A867" s="71" t="str">
        <f>Registros!A867</f>
        <v>1986@martipala.com</v>
      </c>
      <c r="B867" s="5">
        <f>Registros!B867</f>
        <v>43944.71389</v>
      </c>
      <c r="C867" s="18" t="str">
        <f>IFNA(VLOOKUP(A867,'Registros - No nuevos'!A:A,1,0),"Nuevo")</f>
        <v>1986@martipala.com</v>
      </c>
      <c r="D867" s="72" t="str">
        <f t="shared" si="1"/>
        <v>No Nuevo</v>
      </c>
    </row>
    <row r="868" ht="15.75" customHeight="1">
      <c r="A868" s="71" t="str">
        <f>Registros!A868</f>
        <v>1324@hotmail.com</v>
      </c>
      <c r="B868" s="5">
        <f>Registros!B868</f>
        <v>43944.71319</v>
      </c>
      <c r="C868" s="18" t="str">
        <f>IFNA(VLOOKUP(A868,'Registros - No nuevos'!A:A,1,0),"Nuevo")</f>
        <v>1324@hotmail.com</v>
      </c>
      <c r="D868" s="72" t="str">
        <f t="shared" si="1"/>
        <v>No Nuevo</v>
      </c>
    </row>
    <row r="869" ht="15.75" customHeight="1">
      <c r="A869" s="71" t="str">
        <f>Registros!A869</f>
        <v>1886@outlook.com</v>
      </c>
      <c r="B869" s="5">
        <f>Registros!B869</f>
        <v>43944.71319</v>
      </c>
      <c r="C869" s="18" t="str">
        <f>IFNA(VLOOKUP(A869,'Registros - No nuevos'!A:A,1,0),"Nuevo")</f>
        <v>1886@outlook.com</v>
      </c>
      <c r="D869" s="72" t="str">
        <f t="shared" si="1"/>
        <v>No Nuevo</v>
      </c>
    </row>
    <row r="870" ht="15.75" customHeight="1">
      <c r="A870" s="71" t="str">
        <f>Registros!A870</f>
        <v>1870@marlexingenieria.com</v>
      </c>
      <c r="B870" s="5">
        <f>Registros!B870</f>
        <v>43944.7125</v>
      </c>
      <c r="C870" s="18" t="str">
        <f>IFNA(VLOOKUP(A870,'Registros - No nuevos'!A:A,1,0),"Nuevo")</f>
        <v>1870@marlexingenieria.com</v>
      </c>
      <c r="D870" s="72" t="str">
        <f t="shared" si="1"/>
        <v>No Nuevo</v>
      </c>
    </row>
    <row r="871" ht="15.75" customHeight="1">
      <c r="A871" s="71" t="str">
        <f>Registros!A871</f>
        <v>2021@osnova.net</v>
      </c>
      <c r="B871" s="5">
        <f>Registros!B871</f>
        <v>43944.7125</v>
      </c>
      <c r="C871" s="18" t="str">
        <f>IFNA(VLOOKUP(A871,'Registros - No nuevos'!A:A,1,0),"Nuevo")</f>
        <v>2021@osnova.net</v>
      </c>
      <c r="D871" s="72" t="str">
        <f t="shared" si="1"/>
        <v>No Nuevo</v>
      </c>
    </row>
    <row r="872" ht="15.75" customHeight="1">
      <c r="A872" s="71" t="str">
        <f>Registros!A872</f>
        <v>1999@obrelsa.com</v>
      </c>
      <c r="B872" s="5">
        <f>Registros!B872</f>
        <v>43944.7125</v>
      </c>
      <c r="C872" s="18" t="str">
        <f>IFNA(VLOOKUP(A872,'Registros - No nuevos'!A:A,1,0),"Nuevo")</f>
        <v>1999@obrelsa.com</v>
      </c>
      <c r="D872" s="72" t="str">
        <f t="shared" si="1"/>
        <v>No Nuevo</v>
      </c>
    </row>
    <row r="873" ht="15.75" customHeight="1">
      <c r="A873" s="71" t="str">
        <f>Registros!A873</f>
        <v>1108@enginyerstarragona.cat</v>
      </c>
      <c r="B873" s="5">
        <f>Registros!B873</f>
        <v>43944.7125</v>
      </c>
      <c r="C873" s="18" t="str">
        <f>IFNA(VLOOKUP(A873,'Registros - No nuevos'!A:A,1,0),"Nuevo")</f>
        <v>1108@enginyerstarragona.cat</v>
      </c>
      <c r="D873" s="72" t="str">
        <f t="shared" si="1"/>
        <v>No Nuevo</v>
      </c>
    </row>
    <row r="874" ht="15.75" customHeight="1">
      <c r="A874" s="71" t="str">
        <f>Registros!A874</f>
        <v>2020@forestaldelatlantico.com</v>
      </c>
      <c r="B874" s="5">
        <f>Registros!B874</f>
        <v>43944.7125</v>
      </c>
      <c r="C874" s="18" t="str">
        <f>IFNA(VLOOKUP(A874,'Registros - No nuevos'!A:A,1,0),"Nuevo")</f>
        <v>2020@forestaldelatlantico.com</v>
      </c>
      <c r="D874" s="72" t="str">
        <f t="shared" si="1"/>
        <v>No Nuevo</v>
      </c>
    </row>
    <row r="875" ht="15.75" customHeight="1">
      <c r="A875" s="71" t="str">
        <f>Registros!A875</f>
        <v>2024@grupooca.com</v>
      </c>
      <c r="B875" s="5">
        <f>Registros!B875</f>
        <v>43944.7125</v>
      </c>
      <c r="C875" s="18" t="str">
        <f>IFNA(VLOOKUP(A875,'Registros - No nuevos'!A:A,1,0),"Nuevo")</f>
        <v>2024@grupooca.com</v>
      </c>
      <c r="D875" s="72" t="str">
        <f t="shared" si="1"/>
        <v>No Nuevo</v>
      </c>
    </row>
    <row r="876" ht="15.75" customHeight="1">
      <c r="A876" s="71" t="str">
        <f>Registros!A876</f>
        <v>1891@ciudaddelosmuchachos.com</v>
      </c>
      <c r="B876" s="5">
        <f>Registros!B876</f>
        <v>43944.7125</v>
      </c>
      <c r="C876" s="18" t="str">
        <f>IFNA(VLOOKUP(A876,'Registros - No nuevos'!A:A,1,0),"Nuevo")</f>
        <v>1891@ciudaddelosmuchachos.com</v>
      </c>
      <c r="D876" s="72" t="str">
        <f t="shared" si="1"/>
        <v>No Nuevo</v>
      </c>
    </row>
    <row r="877" ht="15.75" customHeight="1">
      <c r="A877" s="71" t="str">
        <f>Registros!A877</f>
        <v>1892@soltecingenieros.com</v>
      </c>
      <c r="B877" s="5">
        <f>Registros!B877</f>
        <v>43944.7125</v>
      </c>
      <c r="C877" s="18" t="str">
        <f>IFNA(VLOOKUP(A877,'Registros - No nuevos'!A:A,1,0),"Nuevo")</f>
        <v>1892@soltecingenieros.com</v>
      </c>
      <c r="D877" s="72" t="str">
        <f t="shared" si="1"/>
        <v>No Nuevo</v>
      </c>
    </row>
    <row r="878" ht="15.75" customHeight="1">
      <c r="A878" s="71" t="str">
        <f>Registros!A878</f>
        <v>1890@setenergia.com</v>
      </c>
      <c r="B878" s="5">
        <f>Registros!B878</f>
        <v>43944.7125</v>
      </c>
      <c r="C878" s="18" t="str">
        <f>IFNA(VLOOKUP(A878,'Registros - No nuevos'!A:A,1,0),"Nuevo")</f>
        <v>1890@setenergia.com</v>
      </c>
      <c r="D878" s="72" t="str">
        <f t="shared" si="1"/>
        <v>No Nuevo</v>
      </c>
    </row>
    <row r="879" ht="15.75" customHeight="1">
      <c r="A879" s="71" t="str">
        <f>Registros!A879</f>
        <v>2036@sece.com</v>
      </c>
      <c r="B879" s="5">
        <f>Registros!B879</f>
        <v>43944.71181</v>
      </c>
      <c r="C879" s="18" t="str">
        <f>IFNA(VLOOKUP(A879,'Registros - No nuevos'!A:A,1,0),"Nuevo")</f>
        <v>2036@sece.com</v>
      </c>
      <c r="D879" s="72" t="str">
        <f t="shared" si="1"/>
        <v>No Nuevo</v>
      </c>
    </row>
    <row r="880" ht="15.75" customHeight="1">
      <c r="A880" s="71" t="str">
        <f>Registros!A880</f>
        <v>2025@gmail.com</v>
      </c>
      <c r="B880" s="5">
        <f>Registros!B880</f>
        <v>43944.71181</v>
      </c>
      <c r="C880" s="18" t="str">
        <f>IFNA(VLOOKUP(A880,'Registros - No nuevos'!A:A,1,0),"Nuevo")</f>
        <v>2025@gmail.com</v>
      </c>
      <c r="D880" s="72" t="str">
        <f t="shared" si="1"/>
        <v>No Nuevo</v>
      </c>
    </row>
    <row r="881" ht="15.75" customHeight="1">
      <c r="A881" s="71" t="str">
        <f>Registros!A881</f>
        <v>2030@gmail.com</v>
      </c>
      <c r="B881" s="5">
        <f>Registros!B881</f>
        <v>43944.71181</v>
      </c>
      <c r="C881" s="18" t="str">
        <f>IFNA(VLOOKUP(A881,'Registros - No nuevos'!A:A,1,0),"Nuevo")</f>
        <v>2030@gmail.com</v>
      </c>
      <c r="D881" s="72" t="str">
        <f t="shared" si="1"/>
        <v>No Nuevo</v>
      </c>
    </row>
    <row r="882" ht="15.75" customHeight="1">
      <c r="A882" s="71" t="str">
        <f>Registros!A882</f>
        <v>2023@gmail.com</v>
      </c>
      <c r="B882" s="5">
        <f>Registros!B882</f>
        <v>43944.71181</v>
      </c>
      <c r="C882" s="18" t="str">
        <f>IFNA(VLOOKUP(A882,'Registros - No nuevos'!A:A,1,0),"Nuevo")</f>
        <v>2023@gmail.com</v>
      </c>
      <c r="D882" s="72" t="str">
        <f t="shared" si="1"/>
        <v>No Nuevo</v>
      </c>
    </row>
    <row r="883" ht="15.75" customHeight="1">
      <c r="A883" s="71" t="str">
        <f>Registros!A883</f>
        <v>2022@solarinspain.com</v>
      </c>
      <c r="B883" s="5">
        <f>Registros!B883</f>
        <v>43944.71181</v>
      </c>
      <c r="C883" s="18" t="str">
        <f>IFNA(VLOOKUP(A883,'Registros - No nuevos'!A:A,1,0),"Nuevo")</f>
        <v>2022@solarinspain.com</v>
      </c>
      <c r="D883" s="72" t="str">
        <f t="shared" si="1"/>
        <v>No Nuevo</v>
      </c>
    </row>
    <row r="884" ht="15.75" customHeight="1">
      <c r="A884" s="71" t="str">
        <f>Registros!A884</f>
        <v>1869@gmail.com</v>
      </c>
      <c r="B884" s="5">
        <f>Registros!B884</f>
        <v>43944.71181</v>
      </c>
      <c r="C884" s="18" t="str">
        <f>IFNA(VLOOKUP(A884,'Registros - No nuevos'!A:A,1,0),"Nuevo")</f>
        <v>1869@gmail.com</v>
      </c>
      <c r="D884" s="72" t="str">
        <f t="shared" si="1"/>
        <v>No Nuevo</v>
      </c>
    </row>
    <row r="885" ht="15.75" customHeight="1">
      <c r="A885" s="71" t="str">
        <f>Registros!A885</f>
        <v>2027@hotmail.com</v>
      </c>
      <c r="B885" s="5">
        <f>Registros!B885</f>
        <v>43944.71181</v>
      </c>
      <c r="C885" s="18" t="str">
        <f>IFNA(VLOOKUP(A885,'Registros - No nuevos'!A:A,1,0),"Nuevo")</f>
        <v>2027@hotmail.com</v>
      </c>
      <c r="D885" s="72" t="str">
        <f t="shared" si="1"/>
        <v>No Nuevo</v>
      </c>
    </row>
    <row r="886" ht="15.75" customHeight="1">
      <c r="A886" s="71" t="str">
        <f>Registros!A886</f>
        <v>1879@jafenginyeria.cat</v>
      </c>
      <c r="B886" s="5">
        <f>Registros!B886</f>
        <v>43944.71181</v>
      </c>
      <c r="C886" s="18" t="str">
        <f>IFNA(VLOOKUP(A886,'Registros - No nuevos'!A:A,1,0),"Nuevo")</f>
        <v>1879@jafenginyeria.cat</v>
      </c>
      <c r="D886" s="72" t="str">
        <f t="shared" si="1"/>
        <v>No Nuevo</v>
      </c>
    </row>
    <row r="887" ht="15.75" customHeight="1">
      <c r="A887" s="71" t="str">
        <f>Registros!A887</f>
        <v>1985@tinet.org</v>
      </c>
      <c r="B887" s="5">
        <f>Registros!B887</f>
        <v>43944.70903</v>
      </c>
      <c r="C887" s="18" t="str">
        <f>IFNA(VLOOKUP(A887,'Registros - No nuevos'!A:A,1,0),"Nuevo")</f>
        <v>1985@tinet.org</v>
      </c>
      <c r="D887" s="72" t="str">
        <f t="shared" si="1"/>
        <v>No Nuevo</v>
      </c>
    </row>
    <row r="888" ht="15.75" customHeight="1">
      <c r="A888" s="71" t="str">
        <f>Registros!A888</f>
        <v>2037@agefred.es</v>
      </c>
      <c r="B888" s="5">
        <f>Registros!B888</f>
        <v>43944.70903</v>
      </c>
      <c r="C888" s="18" t="str">
        <f>IFNA(VLOOKUP(A888,'Registros - No nuevos'!A:A,1,0),"Nuevo")</f>
        <v>2037@agefred.es</v>
      </c>
      <c r="D888" s="72" t="str">
        <f t="shared" si="1"/>
        <v>No Nuevo</v>
      </c>
    </row>
    <row r="889" ht="15.75" customHeight="1">
      <c r="A889" s="71" t="str">
        <f>Registros!A889</f>
        <v>2041@electromercantil.es</v>
      </c>
      <c r="B889" s="5">
        <f>Registros!B889</f>
        <v>43944.70833</v>
      </c>
      <c r="C889" s="18" t="str">
        <f>IFNA(VLOOKUP(A889,'Registros - No nuevos'!A:A,1,0),"Nuevo")</f>
        <v>2041@electromercantil.es</v>
      </c>
      <c r="D889" s="72" t="str">
        <f t="shared" si="1"/>
        <v>No Nuevo</v>
      </c>
    </row>
    <row r="890" ht="15.75" customHeight="1">
      <c r="A890" s="71" t="str">
        <f>Registros!A890</f>
        <v>2035@yahoo.es</v>
      </c>
      <c r="B890" s="5">
        <f>Registros!B890</f>
        <v>43944.70833</v>
      </c>
      <c r="C890" s="18" t="str">
        <f>IFNA(VLOOKUP(A890,'Registros - No nuevos'!A:A,1,0),"Nuevo")</f>
        <v>2035@yahoo.es</v>
      </c>
      <c r="D890" s="72" t="str">
        <f t="shared" si="1"/>
        <v>No Nuevo</v>
      </c>
    </row>
    <row r="891" ht="15.75" customHeight="1">
      <c r="A891" s="71" t="str">
        <f>Registros!A891</f>
        <v>2000@hotmail.com</v>
      </c>
      <c r="B891" s="5">
        <f>Registros!B891</f>
        <v>43944.70833</v>
      </c>
      <c r="C891" s="18" t="str">
        <f>IFNA(VLOOKUP(A891,'Registros - No nuevos'!A:A,1,0),"Nuevo")</f>
        <v>2000@hotmail.com</v>
      </c>
      <c r="D891" s="72" t="str">
        <f t="shared" si="1"/>
        <v>No Nuevo</v>
      </c>
    </row>
    <row r="892" ht="15.75" customHeight="1">
      <c r="A892" s="71" t="str">
        <f>Registros!A892</f>
        <v>1998@gmail.com</v>
      </c>
      <c r="B892" s="5">
        <f>Registros!B892</f>
        <v>43944.70833</v>
      </c>
      <c r="C892" s="18" t="str">
        <f>IFNA(VLOOKUP(A892,'Registros - No nuevos'!A:A,1,0),"Nuevo")</f>
        <v>1998@gmail.com</v>
      </c>
      <c r="D892" s="72" t="str">
        <f t="shared" si="1"/>
        <v>No Nuevo</v>
      </c>
    </row>
    <row r="893" ht="15.75" customHeight="1">
      <c r="A893" s="71" t="str">
        <f>Registros!A893</f>
        <v>2028@grupooca.com</v>
      </c>
      <c r="B893" s="5">
        <f>Registros!B893</f>
        <v>43944.70833</v>
      </c>
      <c r="C893" s="18" t="str">
        <f>IFNA(VLOOKUP(A893,'Registros - No nuevos'!A:A,1,0),"Nuevo")</f>
        <v>2028@grupooca.com</v>
      </c>
      <c r="D893" s="72" t="str">
        <f t="shared" si="1"/>
        <v>No Nuevo</v>
      </c>
    </row>
    <row r="894" ht="15.75" customHeight="1">
      <c r="A894" s="71" t="str">
        <f>Registros!A894</f>
        <v>1970@electrificacionesparra.es</v>
      </c>
      <c r="B894" s="5">
        <f>Registros!B894</f>
        <v>43944.70764</v>
      </c>
      <c r="C894" s="18" t="str">
        <f>IFNA(VLOOKUP(A894,'Registros - No nuevos'!A:A,1,0),"Nuevo")</f>
        <v>1970@electrificacionesparra.es</v>
      </c>
      <c r="D894" s="72" t="str">
        <f t="shared" si="1"/>
        <v>No Nuevo</v>
      </c>
    </row>
    <row r="895" ht="15.75" customHeight="1">
      <c r="A895" s="71" t="str">
        <f>Registros!A895</f>
        <v>2042@gmail.com</v>
      </c>
      <c r="B895" s="5">
        <f>Registros!B895</f>
        <v>43944.70764</v>
      </c>
      <c r="C895" s="18" t="str">
        <f>IFNA(VLOOKUP(A895,'Registros - No nuevos'!A:A,1,0),"Nuevo")</f>
        <v>2042@gmail.com</v>
      </c>
      <c r="D895" s="72" t="str">
        <f t="shared" si="1"/>
        <v>No Nuevo</v>
      </c>
    </row>
    <row r="896" ht="15.75" customHeight="1">
      <c r="A896" s="71" t="str">
        <f>Registros!A896</f>
        <v>2045@gmail.com</v>
      </c>
      <c r="B896" s="5">
        <f>Registros!B896</f>
        <v>43944.70694</v>
      </c>
      <c r="C896" s="18" t="str">
        <f>IFNA(VLOOKUP(A896,'Registros - No nuevos'!A:A,1,0),"Nuevo")</f>
        <v>2045@gmail.com</v>
      </c>
      <c r="D896" s="72" t="str">
        <f t="shared" si="1"/>
        <v>No Nuevo</v>
      </c>
    </row>
    <row r="897" ht="15.75" customHeight="1">
      <c r="A897" s="71" t="str">
        <f>Registros!A897</f>
        <v>2046@gmail.com</v>
      </c>
      <c r="B897" s="5">
        <f>Registros!B897</f>
        <v>43944.70417</v>
      </c>
      <c r="C897" s="18" t="str">
        <f>IFNA(VLOOKUP(A897,'Registros - No nuevos'!A:A,1,0),"Nuevo")</f>
        <v>2046@gmail.com</v>
      </c>
      <c r="D897" s="72" t="str">
        <f t="shared" si="1"/>
        <v>No Nuevo</v>
      </c>
    </row>
    <row r="898" ht="15.75" customHeight="1">
      <c r="A898" s="71" t="str">
        <f>Registros!A898</f>
        <v>1118@coitiar.es</v>
      </c>
      <c r="B898" s="5">
        <f>Registros!B898</f>
        <v>43944.70208</v>
      </c>
      <c r="C898" s="18" t="str">
        <f>IFNA(VLOOKUP(A898,'Registros - No nuevos'!A:A,1,0),"Nuevo")</f>
        <v>1118@coitiar.es</v>
      </c>
      <c r="D898" s="72" t="str">
        <f t="shared" si="1"/>
        <v>No Nuevo</v>
      </c>
    </row>
    <row r="899" ht="15.75" customHeight="1">
      <c r="A899" s="71" t="str">
        <f>Registros!A899</f>
        <v>1676@unex.net</v>
      </c>
      <c r="B899" s="5">
        <f>Registros!B899</f>
        <v>43944.69861</v>
      </c>
      <c r="C899" s="18" t="str">
        <f>IFNA(VLOOKUP(A899,'Registros - No nuevos'!A:A,1,0),"Nuevo")</f>
        <v>1676@unex.net</v>
      </c>
      <c r="D899" s="72" t="str">
        <f t="shared" si="1"/>
        <v>No Nuevo</v>
      </c>
    </row>
    <row r="900" ht="15.75" customHeight="1">
      <c r="A900" s="71" t="str">
        <f>Registros!A900</f>
        <v>2049@telefonica.net</v>
      </c>
      <c r="B900" s="5">
        <f>Registros!B900</f>
        <v>43944.69792</v>
      </c>
      <c r="C900" s="18" t="str">
        <f>IFNA(VLOOKUP(A900,'Registros - No nuevos'!A:A,1,0),"Nuevo")</f>
        <v>2049@telefonica.net</v>
      </c>
      <c r="D900" s="72" t="str">
        <f t="shared" si="1"/>
        <v>No Nuevo</v>
      </c>
    </row>
    <row r="901" ht="15.75" customHeight="1">
      <c r="A901" s="71" t="str">
        <f>Registros!A901</f>
        <v>1972@projecal.com</v>
      </c>
      <c r="B901" s="5">
        <f>Registros!B901</f>
        <v>43944.69792</v>
      </c>
      <c r="C901" s="18" t="str">
        <f>IFNA(VLOOKUP(A901,'Registros - No nuevos'!A:A,1,0),"Nuevo")</f>
        <v>1972@projecal.com</v>
      </c>
      <c r="D901" s="72" t="str">
        <f t="shared" si="1"/>
        <v>No Nuevo</v>
      </c>
    </row>
    <row r="902" ht="15.75" customHeight="1">
      <c r="A902" s="71" t="str">
        <f>Registros!A902</f>
        <v>2047@gmail.com</v>
      </c>
      <c r="B902" s="5">
        <f>Registros!B902</f>
        <v>43944.69792</v>
      </c>
      <c r="C902" s="18" t="str">
        <f>IFNA(VLOOKUP(A902,'Registros - No nuevos'!A:A,1,0),"Nuevo")</f>
        <v>2047@gmail.com</v>
      </c>
      <c r="D902" s="72" t="str">
        <f t="shared" si="1"/>
        <v>No Nuevo</v>
      </c>
    </row>
    <row r="903" ht="15.75" customHeight="1">
      <c r="A903" s="71" t="str">
        <f>Registros!A903</f>
        <v>1834@valls.cat</v>
      </c>
      <c r="B903" s="5">
        <f>Registros!B903</f>
        <v>43944.69792</v>
      </c>
      <c r="C903" s="18" t="str">
        <f>IFNA(VLOOKUP(A903,'Registros - No nuevos'!A:A,1,0),"Nuevo")</f>
        <v>1834@valls.cat</v>
      </c>
      <c r="D903" s="72" t="str">
        <f t="shared" si="1"/>
        <v>No Nuevo</v>
      </c>
    </row>
    <row r="904" ht="15.75" customHeight="1">
      <c r="A904" s="71" t="str">
        <f>Registros!A904</f>
        <v>2048@visioelectric.es</v>
      </c>
      <c r="B904" s="5">
        <f>Registros!B904</f>
        <v>43944.69792</v>
      </c>
      <c r="C904" s="18" t="str">
        <f>IFNA(VLOOKUP(A904,'Registros - No nuevos'!A:A,1,0),"Nuevo")</f>
        <v>2048@visioelectric.es</v>
      </c>
      <c r="D904" s="72" t="str">
        <f t="shared" si="1"/>
        <v>No Nuevo</v>
      </c>
    </row>
    <row r="905" ht="15.75" customHeight="1">
      <c r="A905" s="71" t="str">
        <f>Registros!A905</f>
        <v>1543@cotpa.com</v>
      </c>
      <c r="B905" s="5">
        <f>Registros!B905</f>
        <v>43944.69792</v>
      </c>
      <c r="C905" s="18" t="str">
        <f>IFNA(VLOOKUP(A905,'Registros - No nuevos'!A:A,1,0),"Nuevo")</f>
        <v>1543@cotpa.com</v>
      </c>
      <c r="D905" s="72" t="str">
        <f t="shared" si="1"/>
        <v>No Nuevo</v>
      </c>
    </row>
    <row r="906" ht="15.75" customHeight="1">
      <c r="A906" s="71" t="str">
        <f>Registros!A906</f>
        <v>406@gmail.com</v>
      </c>
      <c r="B906" s="5">
        <f>Registros!B906</f>
        <v>43944.69792</v>
      </c>
      <c r="C906" s="18" t="str">
        <f>IFNA(VLOOKUP(A906,'Registros - No nuevos'!A:A,1,0),"Nuevo")</f>
        <v>406@gmail.com</v>
      </c>
      <c r="D906" s="72" t="str">
        <f t="shared" si="1"/>
        <v>No Nuevo</v>
      </c>
    </row>
    <row r="907" ht="15.75" customHeight="1">
      <c r="A907" s="71" t="str">
        <f>Registros!A907</f>
        <v>2014@gmail.com</v>
      </c>
      <c r="B907" s="5">
        <f>Registros!B907</f>
        <v>43944.69792</v>
      </c>
      <c r="C907" s="18" t="str">
        <f>IFNA(VLOOKUP(A907,'Registros - No nuevos'!A:A,1,0),"Nuevo")</f>
        <v>2014@gmail.com</v>
      </c>
      <c r="D907" s="72" t="str">
        <f t="shared" si="1"/>
        <v>No Nuevo</v>
      </c>
    </row>
    <row r="908" ht="15.75" customHeight="1">
      <c r="A908" s="71" t="str">
        <f>Registros!A908</f>
        <v>2034@tienda-gasnatural.com</v>
      </c>
      <c r="B908" s="5">
        <f>Registros!B908</f>
        <v>43944.69792</v>
      </c>
      <c r="C908" s="18" t="str">
        <f>IFNA(VLOOKUP(A908,'Registros - No nuevos'!A:A,1,0),"Nuevo")</f>
        <v>2034@tienda-gasnatural.com</v>
      </c>
      <c r="D908" s="72" t="str">
        <f t="shared" si="1"/>
        <v>No Nuevo</v>
      </c>
    </row>
    <row r="909" ht="15.75" customHeight="1">
      <c r="A909" s="71" t="str">
        <f>Registros!A909</f>
        <v>2053@sades.es</v>
      </c>
      <c r="B909" s="5">
        <f>Registros!B909</f>
        <v>43944.69722</v>
      </c>
      <c r="C909" s="18" t="str">
        <f>IFNA(VLOOKUP(A909,'Registros - No nuevos'!A:A,1,0),"Nuevo")</f>
        <v>2053@sades.es</v>
      </c>
      <c r="D909" s="72" t="str">
        <f t="shared" si="1"/>
        <v>No Nuevo</v>
      </c>
    </row>
    <row r="910" ht="15.75" customHeight="1">
      <c r="A910" s="71" t="str">
        <f>Registros!A910</f>
        <v>1990@gmail.com</v>
      </c>
      <c r="B910" s="5">
        <f>Registros!B910</f>
        <v>43944.69722</v>
      </c>
      <c r="C910" s="18" t="str">
        <f>IFNA(VLOOKUP(A910,'Registros - No nuevos'!A:A,1,0),"Nuevo")</f>
        <v>1990@gmail.com</v>
      </c>
      <c r="D910" s="72" t="str">
        <f t="shared" si="1"/>
        <v>No Nuevo</v>
      </c>
    </row>
    <row r="911" ht="15.75" customHeight="1">
      <c r="A911" s="71" t="str">
        <f>Registros!A911</f>
        <v>1973@ingekor.com</v>
      </c>
      <c r="B911" s="5">
        <f>Registros!B911</f>
        <v>43944.69722</v>
      </c>
      <c r="C911" s="18" t="str">
        <f>IFNA(VLOOKUP(A911,'Registros - No nuevos'!A:A,1,0),"Nuevo")</f>
        <v>1973@ingekor.com</v>
      </c>
      <c r="D911" s="72" t="str">
        <f t="shared" si="1"/>
        <v>No Nuevo</v>
      </c>
    </row>
    <row r="912" ht="15.75" customHeight="1">
      <c r="A912" s="71" t="str">
        <f>Registros!A912</f>
        <v>2055@gmail.com</v>
      </c>
      <c r="B912" s="5">
        <f>Registros!B912</f>
        <v>43944.69653</v>
      </c>
      <c r="C912" s="18" t="str">
        <f>IFNA(VLOOKUP(A912,'Registros - No nuevos'!A:A,1,0),"Nuevo")</f>
        <v>2055@gmail.com</v>
      </c>
      <c r="D912" s="72" t="str">
        <f t="shared" si="1"/>
        <v>No Nuevo</v>
      </c>
    </row>
    <row r="913" ht="15.75" customHeight="1">
      <c r="A913" s="71" t="str">
        <f>Registros!A913</f>
        <v>2056@hotmail.com</v>
      </c>
      <c r="B913" s="5">
        <f>Registros!B913</f>
        <v>43944.65764</v>
      </c>
      <c r="C913" s="18" t="str">
        <f>IFNA(VLOOKUP(A913,'Registros - No nuevos'!A:A,1,0),"Nuevo")</f>
        <v>2056@hotmail.com</v>
      </c>
      <c r="D913" s="72" t="str">
        <f t="shared" si="1"/>
        <v>No Nuevo</v>
      </c>
    </row>
    <row r="914" ht="15.75" customHeight="1">
      <c r="A914" s="71" t="str">
        <f>Registros!A914</f>
        <v>2057@gmail.com</v>
      </c>
      <c r="B914" s="5">
        <f>Registros!B914</f>
        <v>43944.62431</v>
      </c>
      <c r="C914" s="18" t="str">
        <f>IFNA(VLOOKUP(A914,'Registros - No nuevos'!A:A,1,0),"Nuevo")</f>
        <v>2057@gmail.com</v>
      </c>
      <c r="D914" s="72" t="str">
        <f t="shared" si="1"/>
        <v>No Nuevo</v>
      </c>
    </row>
    <row r="915" ht="15.75" customHeight="1">
      <c r="A915" s="71" t="str">
        <f>Registros!A915</f>
        <v>1355@gmail.com</v>
      </c>
      <c r="B915" s="5">
        <f>Registros!B915</f>
        <v>43944.57222</v>
      </c>
      <c r="C915" s="18" t="str">
        <f>IFNA(VLOOKUP(A915,'Registros - No nuevos'!A:A,1,0),"Nuevo")</f>
        <v>1355@gmail.com</v>
      </c>
      <c r="D915" s="72" t="str">
        <f t="shared" si="1"/>
        <v>No Nuevo</v>
      </c>
    </row>
    <row r="916" ht="15.75" customHeight="1">
      <c r="A916" s="71" t="str">
        <f>Registros!A916</f>
        <v>55@hotmail.com</v>
      </c>
      <c r="B916" s="5">
        <f>Registros!B916</f>
        <v>43944.36528</v>
      </c>
      <c r="C916" s="18" t="str">
        <f>IFNA(VLOOKUP(A916,'Registros - No nuevos'!A:A,1,0),"Nuevo")</f>
        <v>55@hotmail.com</v>
      </c>
      <c r="D916" s="72" t="str">
        <f t="shared" si="1"/>
        <v>No Nuevo</v>
      </c>
    </row>
    <row r="917" ht="15.75" customHeight="1">
      <c r="A917" s="71" t="str">
        <f>Registros!A917</f>
        <v>2059@gmail.com</v>
      </c>
      <c r="B917" s="5">
        <f>Registros!B917</f>
        <v>43944.34931</v>
      </c>
      <c r="C917" s="18" t="str">
        <f>IFNA(VLOOKUP(A917,'Registros - No nuevos'!A:A,1,0),"Nuevo")</f>
        <v>2059@gmail.com</v>
      </c>
      <c r="D917" s="72" t="str">
        <f t="shared" si="1"/>
        <v>No Nuevo</v>
      </c>
    </row>
    <row r="918" ht="15.75" customHeight="1">
      <c r="A918" s="71" t="str">
        <f>Registros!A918</f>
        <v>2060@gmail.com</v>
      </c>
      <c r="B918" s="5">
        <f>Registros!B918</f>
        <v>43944.23611</v>
      </c>
      <c r="C918" s="18" t="str">
        <f>IFNA(VLOOKUP(A918,'Registros - No nuevos'!A:A,1,0),"Nuevo")</f>
        <v>2060@gmail.com</v>
      </c>
      <c r="D918" s="72" t="str">
        <f t="shared" si="1"/>
        <v>No Nuevo</v>
      </c>
    </row>
    <row r="919" ht="15.75" customHeight="1">
      <c r="A919" s="71" t="str">
        <f>Registros!A919</f>
        <v>2061@hotmail.es</v>
      </c>
      <c r="B919" s="5">
        <f>Registros!B919</f>
        <v>43943.80972</v>
      </c>
      <c r="C919" s="18" t="str">
        <f>IFNA(VLOOKUP(A919,'Registros - No nuevos'!A:A,1,0),"Nuevo")</f>
        <v>2061@hotmail.es</v>
      </c>
      <c r="D919" s="72" t="str">
        <f t="shared" si="1"/>
        <v>No Nuevo</v>
      </c>
    </row>
    <row r="920" ht="15.75" customHeight="1">
      <c r="A920" s="71" t="str">
        <f>Registros!A920</f>
        <v>837@gmail.com</v>
      </c>
      <c r="B920" s="5">
        <f>Registros!B920</f>
        <v>43943.7</v>
      </c>
      <c r="C920" s="18" t="str">
        <f>IFNA(VLOOKUP(A920,'Registros - No nuevos'!A:A,1,0),"Nuevo")</f>
        <v>837@gmail.com</v>
      </c>
      <c r="D920" s="72" t="str">
        <f t="shared" si="1"/>
        <v>No Nuevo</v>
      </c>
    </row>
    <row r="921" ht="15.75" customHeight="1">
      <c r="A921" s="71" t="str">
        <f>Registros!A921</f>
        <v>2063@gmail.com</v>
      </c>
      <c r="B921" s="5">
        <f>Registros!B921</f>
        <v>43943.53681</v>
      </c>
      <c r="C921" s="18" t="str">
        <f>IFNA(VLOOKUP(A921,'Registros - No nuevos'!A:A,1,0),"Nuevo")</f>
        <v>2063@gmail.com</v>
      </c>
      <c r="D921" s="72" t="str">
        <f t="shared" si="1"/>
        <v>No Nuevo</v>
      </c>
    </row>
    <row r="922" ht="15.75" customHeight="1">
      <c r="A922" s="71" t="str">
        <f>Registros!A922</f>
        <v>1535@hotmail.com</v>
      </c>
      <c r="B922" s="5">
        <f>Registros!B922</f>
        <v>43943.40417</v>
      </c>
      <c r="C922" s="18" t="str">
        <f>IFNA(VLOOKUP(A922,'Registros - No nuevos'!A:A,1,0),"Nuevo")</f>
        <v>1535@hotmail.com</v>
      </c>
      <c r="D922" s="72" t="str">
        <f t="shared" si="1"/>
        <v>No Nuevo</v>
      </c>
    </row>
    <row r="923" ht="15.75" customHeight="1">
      <c r="A923" s="71" t="str">
        <f>Registros!A923</f>
        <v>2064@hotmail.com</v>
      </c>
      <c r="B923" s="5">
        <f>Registros!B923</f>
        <v>43943.025</v>
      </c>
      <c r="C923" s="18" t="str">
        <f>IFNA(VLOOKUP(A923,'Registros - No nuevos'!A:A,1,0),"Nuevo")</f>
        <v>2064@hotmail.com</v>
      </c>
      <c r="D923" s="72" t="str">
        <f t="shared" si="1"/>
        <v>No Nuevo</v>
      </c>
    </row>
    <row r="924" ht="15.75" customHeight="1">
      <c r="A924" s="71" t="str">
        <f>Registros!A924</f>
        <v>2065@gmail.com</v>
      </c>
      <c r="B924" s="5">
        <f>Registros!B924</f>
        <v>43942.97361</v>
      </c>
      <c r="C924" s="18" t="str">
        <f>IFNA(VLOOKUP(A924,'Registros - No nuevos'!A:A,1,0),"Nuevo")</f>
        <v>2065@gmail.com</v>
      </c>
      <c r="D924" s="72" t="str">
        <f t="shared" si="1"/>
        <v>No Nuevo</v>
      </c>
    </row>
    <row r="925" ht="15.75" customHeight="1">
      <c r="A925" s="71" t="str">
        <f>Registros!A925</f>
        <v>152@gmail.com</v>
      </c>
      <c r="B925" s="5">
        <f>Registros!B925</f>
        <v>43942.96875</v>
      </c>
      <c r="C925" s="18" t="str">
        <f>IFNA(VLOOKUP(A925,'Registros - No nuevos'!A:A,1,0),"Nuevo")</f>
        <v>152@gmail.com</v>
      </c>
      <c r="D925" s="72" t="str">
        <f t="shared" si="1"/>
        <v>No Nuevo</v>
      </c>
    </row>
    <row r="926" ht="15.75" customHeight="1">
      <c r="A926" s="71" t="str">
        <f>Registros!A926</f>
        <v>1982@hotmail.com</v>
      </c>
      <c r="B926" s="5">
        <f>Registros!B926</f>
        <v>43942.86806</v>
      </c>
      <c r="C926" s="18" t="str">
        <f>IFNA(VLOOKUP(A926,'Registros - No nuevos'!A:A,1,0),"Nuevo")</f>
        <v>1982@hotmail.com</v>
      </c>
      <c r="D926" s="72" t="str">
        <f t="shared" si="1"/>
        <v>No Nuevo</v>
      </c>
    </row>
    <row r="927" ht="15.75" customHeight="1">
      <c r="A927" s="71" t="str">
        <f>Registros!A927</f>
        <v>2068@gencat.cat</v>
      </c>
      <c r="B927" s="5">
        <f>Registros!B927</f>
        <v>43942.75625</v>
      </c>
      <c r="C927" s="18" t="str">
        <f>IFNA(VLOOKUP(A927,'Registros - No nuevos'!A:A,1,0),"Nuevo")</f>
        <v>2068@gencat.cat</v>
      </c>
      <c r="D927" s="72" t="str">
        <f t="shared" si="1"/>
        <v>No Nuevo</v>
      </c>
    </row>
    <row r="928" ht="15.75" customHeight="1">
      <c r="A928" s="71" t="str">
        <f>Registros!A928</f>
        <v>2070@hotmail.com</v>
      </c>
      <c r="B928" s="5">
        <f>Registros!B928</f>
        <v>43942.75486</v>
      </c>
      <c r="C928" s="18" t="str">
        <f>IFNA(VLOOKUP(A928,'Registros - No nuevos'!A:A,1,0),"Nuevo")</f>
        <v>2070@hotmail.com</v>
      </c>
      <c r="D928" s="72" t="str">
        <f t="shared" si="1"/>
        <v>No Nuevo</v>
      </c>
    </row>
    <row r="929" ht="15.75" customHeight="1">
      <c r="A929" s="71" t="str">
        <f>Registros!A929</f>
        <v>2071@gmail.com</v>
      </c>
      <c r="B929" s="5">
        <f>Registros!B929</f>
        <v>43942.69583</v>
      </c>
      <c r="C929" s="18" t="str">
        <f>IFNA(VLOOKUP(A929,'Registros - No nuevos'!A:A,1,0),"Nuevo")</f>
        <v>2071@gmail.com</v>
      </c>
      <c r="D929" s="72" t="str">
        <f t="shared" si="1"/>
        <v>No Nuevo</v>
      </c>
    </row>
    <row r="930" ht="15.75" customHeight="1">
      <c r="A930" s="71" t="str">
        <f>Registros!A930</f>
        <v>180@aquambiente.es</v>
      </c>
      <c r="B930" s="5">
        <f>Registros!B930</f>
        <v>43942.42569</v>
      </c>
      <c r="C930" s="18" t="str">
        <f>IFNA(VLOOKUP(A930,'Registros - No nuevos'!A:A,1,0),"Nuevo")</f>
        <v>180@aquambiente.es</v>
      </c>
      <c r="D930" s="72" t="str">
        <f t="shared" si="1"/>
        <v>No Nuevo</v>
      </c>
    </row>
    <row r="931" ht="15.75" customHeight="1">
      <c r="A931" s="71" t="str">
        <f>Registros!A931</f>
        <v>1927@anbatel.com</v>
      </c>
      <c r="B931" s="5">
        <f>Registros!B931</f>
        <v>43942.35486</v>
      </c>
      <c r="C931" s="18" t="str">
        <f>IFNA(VLOOKUP(A931,'Registros - No nuevos'!A:A,1,0),"Nuevo")</f>
        <v>1927@anbatel.com</v>
      </c>
      <c r="D931" s="72" t="str">
        <f t="shared" si="1"/>
        <v>No Nuevo</v>
      </c>
    </row>
    <row r="932" ht="15.75" customHeight="1">
      <c r="A932" s="71" t="str">
        <f>Registros!A932</f>
        <v>476@hotmail.com</v>
      </c>
      <c r="B932" s="5">
        <f>Registros!B932</f>
        <v>43942.27222</v>
      </c>
      <c r="C932" s="18" t="str">
        <f>IFNA(VLOOKUP(A932,'Registros - No nuevos'!A:A,1,0),"Nuevo")</f>
        <v>476@hotmail.com</v>
      </c>
      <c r="D932" s="72" t="str">
        <f t="shared" si="1"/>
        <v>No Nuevo</v>
      </c>
    </row>
    <row r="933" ht="15.75" customHeight="1">
      <c r="A933" s="71" t="str">
        <f>Registros!A933</f>
        <v>2072@gmail.com</v>
      </c>
      <c r="B933" s="5">
        <f>Registros!B933</f>
        <v>43942.14167</v>
      </c>
      <c r="C933" s="18" t="str">
        <f>IFNA(VLOOKUP(A933,'Registros - No nuevos'!A:A,1,0),"Nuevo")</f>
        <v>2072@gmail.com</v>
      </c>
      <c r="D933" s="72" t="str">
        <f t="shared" si="1"/>
        <v>No Nuevo</v>
      </c>
    </row>
    <row r="934" ht="15.75" customHeight="1">
      <c r="A934" s="71" t="str">
        <f>Registros!A934</f>
        <v>2073@gmail.com</v>
      </c>
      <c r="B934" s="5">
        <f>Registros!B934</f>
        <v>43941.91875</v>
      </c>
      <c r="C934" s="18" t="str">
        <f>IFNA(VLOOKUP(A934,'Registros - No nuevos'!A:A,1,0),"Nuevo")</f>
        <v>2073@gmail.com</v>
      </c>
      <c r="D934" s="72" t="str">
        <f t="shared" si="1"/>
        <v>No Nuevo</v>
      </c>
    </row>
    <row r="935" ht="15.75" customHeight="1">
      <c r="A935" s="71" t="str">
        <f>Registros!A935</f>
        <v>2076@gmail.com</v>
      </c>
      <c r="B935" s="5">
        <f>Registros!B935</f>
        <v>43941.82083</v>
      </c>
      <c r="C935" s="18" t="str">
        <f>IFNA(VLOOKUP(A935,'Registros - No nuevos'!A:A,1,0),"Nuevo")</f>
        <v>2076@gmail.com</v>
      </c>
      <c r="D935" s="72" t="str">
        <f t="shared" si="1"/>
        <v>No Nuevo</v>
      </c>
    </row>
    <row r="936" ht="15.75" customHeight="1">
      <c r="A936" s="71" t="str">
        <f>Registros!A936</f>
        <v>1441@gmail.com</v>
      </c>
      <c r="B936" s="5">
        <f>Registros!B936</f>
        <v>43941.75347</v>
      </c>
      <c r="C936" s="18" t="str">
        <f>IFNA(VLOOKUP(A936,'Registros - No nuevos'!A:A,1,0),"Nuevo")</f>
        <v>1441@gmail.com</v>
      </c>
      <c r="D936" s="72" t="str">
        <f t="shared" si="1"/>
        <v>No Nuevo</v>
      </c>
    </row>
    <row r="937" ht="15.75" customHeight="1">
      <c r="A937" s="71" t="str">
        <f>Registros!A937</f>
        <v>543@andreumanteniment.com</v>
      </c>
      <c r="B937" s="5">
        <f>Registros!B937</f>
        <v>43941.73403</v>
      </c>
      <c r="C937" s="18" t="str">
        <f>IFNA(VLOOKUP(A937,'Registros - No nuevos'!A:A,1,0),"Nuevo")</f>
        <v>543@andreumanteniment.com</v>
      </c>
      <c r="D937" s="72" t="str">
        <f t="shared" si="1"/>
        <v>No Nuevo</v>
      </c>
    </row>
    <row r="938" ht="15.75" customHeight="1">
      <c r="A938" s="71" t="str">
        <f>Registros!A938</f>
        <v>2079@gmail.com</v>
      </c>
      <c r="B938" s="5">
        <f>Registros!B938</f>
        <v>43941.55278</v>
      </c>
      <c r="C938" s="18" t="str">
        <f>IFNA(VLOOKUP(A938,'Registros - No nuevos'!A:A,1,0),"Nuevo")</f>
        <v>2079@gmail.com</v>
      </c>
      <c r="D938" s="72" t="str">
        <f t="shared" si="1"/>
        <v>No Nuevo</v>
      </c>
    </row>
    <row r="939" ht="15.75" customHeight="1">
      <c r="A939" s="71" t="str">
        <f>Registros!A939</f>
        <v>2080@grupoelectrostocks.com</v>
      </c>
      <c r="B939" s="5">
        <f>Registros!B939</f>
        <v>43941.46389</v>
      </c>
      <c r="C939" s="18" t="str">
        <f>IFNA(VLOOKUP(A939,'Registros - No nuevos'!A:A,1,0),"Nuevo")</f>
        <v>2080@grupoelectrostocks.com</v>
      </c>
      <c r="D939" s="72" t="str">
        <f t="shared" si="1"/>
        <v>No Nuevo</v>
      </c>
    </row>
    <row r="940" ht="15.75" customHeight="1">
      <c r="A940" s="71" t="str">
        <f>Registros!A940</f>
        <v>2082@hotmail.com</v>
      </c>
      <c r="B940" s="5">
        <f>Registros!B940</f>
        <v>43941.06458</v>
      </c>
      <c r="C940" s="18" t="str">
        <f>IFNA(VLOOKUP(A940,'Registros - No nuevos'!A:A,1,0),"Nuevo")</f>
        <v>2082@hotmail.com</v>
      </c>
      <c r="D940" s="72" t="str">
        <f t="shared" si="1"/>
        <v>No Nuevo</v>
      </c>
    </row>
    <row r="941" ht="15.75" customHeight="1">
      <c r="A941" s="71" t="str">
        <f>Registros!A941</f>
        <v>2086@farelle.com</v>
      </c>
      <c r="B941" s="5">
        <f>Registros!B941</f>
        <v>43940.62778</v>
      </c>
      <c r="C941" s="18" t="str">
        <f>IFNA(VLOOKUP(A941,'Registros - No nuevos'!A:A,1,0),"Nuevo")</f>
        <v>2086@farelle.com</v>
      </c>
      <c r="D941" s="72" t="str">
        <f t="shared" si="1"/>
        <v>No Nuevo</v>
      </c>
    </row>
    <row r="942" ht="15.75" customHeight="1">
      <c r="A942" s="71" t="str">
        <f>Registros!A942</f>
        <v>2087@hotmail.com</v>
      </c>
      <c r="B942" s="5">
        <f>Registros!B942</f>
        <v>43940.49722</v>
      </c>
      <c r="C942" s="18" t="str">
        <f>IFNA(VLOOKUP(A942,'Registros - No nuevos'!A:A,1,0),"Nuevo")</f>
        <v>2087@hotmail.com</v>
      </c>
      <c r="D942" s="72" t="str">
        <f t="shared" si="1"/>
        <v>No Nuevo</v>
      </c>
    </row>
    <row r="943" ht="15.75" customHeight="1">
      <c r="A943" s="71" t="str">
        <f>Registros!A943</f>
        <v>2088@gmail.com</v>
      </c>
      <c r="B943" s="5">
        <f>Registros!B943</f>
        <v>43940.39167</v>
      </c>
      <c r="C943" s="18" t="str">
        <f>IFNA(VLOOKUP(A943,'Registros - No nuevos'!A:A,1,0),"Nuevo")</f>
        <v>2088@gmail.com</v>
      </c>
      <c r="D943" s="72" t="str">
        <f t="shared" si="1"/>
        <v>No Nuevo</v>
      </c>
    </row>
    <row r="944" ht="15.75" customHeight="1">
      <c r="A944" s="71" t="str">
        <f>Registros!A944</f>
        <v>2089@hotmail.com</v>
      </c>
      <c r="B944" s="5">
        <f>Registros!B944</f>
        <v>43940.37639</v>
      </c>
      <c r="C944" s="18" t="str">
        <f>IFNA(VLOOKUP(A944,'Registros - No nuevos'!A:A,1,0),"Nuevo")</f>
        <v>2089@hotmail.com</v>
      </c>
      <c r="D944" s="72" t="str">
        <f t="shared" si="1"/>
        <v>No Nuevo</v>
      </c>
    </row>
    <row r="945" ht="15.75" customHeight="1">
      <c r="A945" s="71" t="str">
        <f>Registros!A945</f>
        <v>2090@estabanell.cat</v>
      </c>
      <c r="B945" s="5">
        <f>Registros!B945</f>
        <v>43939.83542</v>
      </c>
      <c r="C945" s="18" t="str">
        <f>IFNA(VLOOKUP(A945,'Registros - No nuevos'!A:A,1,0),"Nuevo")</f>
        <v>2090@estabanell.cat</v>
      </c>
      <c r="D945" s="72" t="str">
        <f t="shared" si="1"/>
        <v>No Nuevo</v>
      </c>
    </row>
    <row r="946" ht="15.75" customHeight="1">
      <c r="A946" s="71" t="str">
        <f>Registros!A946</f>
        <v>2091@gmail.com</v>
      </c>
      <c r="B946" s="5">
        <f>Registros!B946</f>
        <v>43939.66111</v>
      </c>
      <c r="C946" s="18" t="str">
        <f>IFNA(VLOOKUP(A946,'Registros - No nuevos'!A:A,1,0),"Nuevo")</f>
        <v>2091@gmail.com</v>
      </c>
      <c r="D946" s="72" t="str">
        <f t="shared" si="1"/>
        <v>No Nuevo</v>
      </c>
    </row>
    <row r="947" ht="15.75" customHeight="1">
      <c r="A947" s="71" t="str">
        <f>Registros!A947</f>
        <v>2092@outlook.com</v>
      </c>
      <c r="B947" s="5">
        <f>Registros!B947</f>
        <v>43939.27708</v>
      </c>
      <c r="C947" s="18" t="str">
        <f>IFNA(VLOOKUP(A947,'Registros - No nuevos'!A:A,1,0),"Nuevo")</f>
        <v>2092@outlook.com</v>
      </c>
      <c r="D947" s="72" t="str">
        <f t="shared" si="1"/>
        <v>No Nuevo</v>
      </c>
    </row>
    <row r="948" ht="15.75" customHeight="1">
      <c r="A948" s="71" t="str">
        <f>Registros!A948</f>
        <v>2093@gmail.com</v>
      </c>
      <c r="B948" s="5">
        <f>Registros!B948</f>
        <v>43939.03264</v>
      </c>
      <c r="C948" s="18" t="str">
        <f>IFNA(VLOOKUP(A948,'Registros - No nuevos'!A:A,1,0),"Nuevo")</f>
        <v>2093@gmail.com</v>
      </c>
      <c r="D948" s="72" t="str">
        <f t="shared" si="1"/>
        <v>No Nuevo</v>
      </c>
    </row>
    <row r="949" ht="15.75" customHeight="1">
      <c r="A949" s="71" t="str">
        <f>Registros!A949</f>
        <v>3044@electricidadaldama.com</v>
      </c>
      <c r="B949" s="5">
        <f>Registros!B949</f>
        <v>43938.89653</v>
      </c>
      <c r="C949" s="18" t="str">
        <f>IFNA(VLOOKUP(A949,'Registros - No nuevos'!A:A,1,0),"Nuevo")</f>
        <v>3044@electricidadaldama.com</v>
      </c>
      <c r="D949" s="72" t="str">
        <f t="shared" si="1"/>
        <v>No Nuevo</v>
      </c>
    </row>
    <row r="950" ht="15.75" customHeight="1">
      <c r="A950" s="71" t="str">
        <f>Registros!A950</f>
        <v>2095@hotmail.com</v>
      </c>
      <c r="B950" s="5">
        <f>Registros!B950</f>
        <v>43938.84236</v>
      </c>
      <c r="C950" s="18" t="str">
        <f>IFNA(VLOOKUP(A950,'Registros - No nuevos'!A:A,1,0),"Nuevo")</f>
        <v>2095@hotmail.com</v>
      </c>
      <c r="D950" s="72" t="str">
        <f t="shared" si="1"/>
        <v>No Nuevo</v>
      </c>
    </row>
    <row r="951" ht="15.75" customHeight="1">
      <c r="A951" s="71" t="str">
        <f>Registros!A951</f>
        <v>2096@formasymateriales.com</v>
      </c>
      <c r="B951" s="5">
        <f>Registros!B951</f>
        <v>43938.67917</v>
      </c>
      <c r="C951" s="18" t="str">
        <f>IFNA(VLOOKUP(A951,'Registros - No nuevos'!A:A,1,0),"Nuevo")</f>
        <v>2096@formasymateriales.com</v>
      </c>
      <c r="D951" s="72" t="str">
        <f t="shared" si="1"/>
        <v>No Nuevo</v>
      </c>
    </row>
    <row r="952" ht="15.75" customHeight="1">
      <c r="A952" s="71" t="str">
        <f>Registros!A952</f>
        <v>2099@grupoelectrostocks.com</v>
      </c>
      <c r="B952" s="5">
        <f>Registros!B952</f>
        <v>43938.36528</v>
      </c>
      <c r="C952" s="18" t="str">
        <f>IFNA(VLOOKUP(A952,'Registros - No nuevos'!A:A,1,0),"Nuevo")</f>
        <v>2099@grupoelectrostocks.com</v>
      </c>
      <c r="D952" s="72" t="str">
        <f t="shared" si="1"/>
        <v>No Nuevo</v>
      </c>
    </row>
    <row r="953" ht="15.75" customHeight="1">
      <c r="A953" s="71" t="str">
        <f>Registros!A953</f>
        <v>2097@hotmail.com</v>
      </c>
      <c r="B953" s="5">
        <f>Registros!B953</f>
        <v>43938.33958</v>
      </c>
      <c r="C953" s="18" t="str">
        <f>IFNA(VLOOKUP(A953,'Registros - No nuevos'!A:A,1,0),"Nuevo")</f>
        <v>2097@hotmail.com</v>
      </c>
      <c r="D953" s="72" t="str">
        <f t="shared" si="1"/>
        <v>No Nuevo</v>
      </c>
    </row>
    <row r="954" ht="15.75" customHeight="1">
      <c r="A954" s="71" t="str">
        <f>Registros!A954</f>
        <v>2101@gmail.com</v>
      </c>
      <c r="B954" s="5">
        <f>Registros!B954</f>
        <v>43937.86806</v>
      </c>
      <c r="C954" s="18" t="str">
        <f>IFNA(VLOOKUP(A954,'Registros - No nuevos'!A:A,1,0),"Nuevo")</f>
        <v>2101@gmail.com</v>
      </c>
      <c r="D954" s="72" t="str">
        <f t="shared" si="1"/>
        <v>No Nuevo</v>
      </c>
    </row>
    <row r="955" ht="15.75" customHeight="1">
      <c r="A955" s="71" t="str">
        <f>Registros!A955</f>
        <v>2103@hotmail.com</v>
      </c>
      <c r="B955" s="5">
        <f>Registros!B955</f>
        <v>43937.73889</v>
      </c>
      <c r="C955" s="18" t="str">
        <f>IFNA(VLOOKUP(A955,'Registros - No nuevos'!A:A,1,0),"Nuevo")</f>
        <v>2103@hotmail.com</v>
      </c>
      <c r="D955" s="72" t="str">
        <f t="shared" si="1"/>
        <v>No Nuevo</v>
      </c>
    </row>
    <row r="956" ht="15.75" customHeight="1">
      <c r="A956" s="71" t="str">
        <f>Registros!A956</f>
        <v>2105@nauta.cu</v>
      </c>
      <c r="B956" s="5">
        <f>Registros!B956</f>
        <v>43937.70972</v>
      </c>
      <c r="C956" s="18" t="str">
        <f>IFNA(VLOOKUP(A956,'Registros - No nuevos'!A:A,1,0),"Nuevo")</f>
        <v>2105@nauta.cu</v>
      </c>
      <c r="D956" s="72" t="str">
        <f t="shared" si="1"/>
        <v>No Nuevo</v>
      </c>
    </row>
    <row r="957" ht="15.75" customHeight="1">
      <c r="A957" s="71" t="str">
        <f>Registros!A957</f>
        <v>2108@emvisesa.org</v>
      </c>
      <c r="B957" s="5">
        <f>Registros!B957</f>
        <v>43937.525</v>
      </c>
      <c r="C957" s="18" t="str">
        <f>IFNA(VLOOKUP(A957,'Registros - No nuevos'!A:A,1,0),"Nuevo")</f>
        <v>2108@emvisesa.org</v>
      </c>
      <c r="D957" s="72" t="str">
        <f t="shared" si="1"/>
        <v>No Nuevo</v>
      </c>
    </row>
    <row r="958" ht="15.75" customHeight="1">
      <c r="A958" s="71" t="str">
        <f>Registros!A958</f>
        <v>2109@huelvanorte.es</v>
      </c>
      <c r="B958" s="5">
        <f>Registros!B958</f>
        <v>43937.48403</v>
      </c>
      <c r="C958" s="18" t="str">
        <f>IFNA(VLOOKUP(A958,'Registros - No nuevos'!A:A,1,0),"Nuevo")</f>
        <v>2109@huelvanorte.es</v>
      </c>
      <c r="D958" s="72" t="str">
        <f t="shared" si="1"/>
        <v>No Nuevo</v>
      </c>
    </row>
    <row r="959" ht="15.75" customHeight="1">
      <c r="A959" s="71" t="str">
        <f>Registros!A959</f>
        <v>2110@ingeconsulting.com</v>
      </c>
      <c r="B959" s="5">
        <f>Registros!B959</f>
        <v>43937.48194</v>
      </c>
      <c r="C959" s="18" t="str">
        <f>IFNA(VLOOKUP(A959,'Registros - No nuevos'!A:A,1,0),"Nuevo")</f>
        <v>2110@ingeconsulting.com</v>
      </c>
      <c r="D959" s="72" t="str">
        <f t="shared" si="1"/>
        <v>No Nuevo</v>
      </c>
    </row>
    <row r="960" ht="15.75" customHeight="1">
      <c r="A960" s="71" t="str">
        <f>Registros!A960</f>
        <v>400@arquired.es</v>
      </c>
      <c r="B960" s="5">
        <f>Registros!B960</f>
        <v>43937.46181</v>
      </c>
      <c r="C960" s="18" t="str">
        <f>IFNA(VLOOKUP(A960,'Registros - No nuevos'!A:A,1,0),"Nuevo")</f>
        <v>400@arquired.es</v>
      </c>
      <c r="D960" s="72" t="str">
        <f t="shared" si="1"/>
        <v>No Nuevo</v>
      </c>
    </row>
    <row r="961" ht="15.75" customHeight="1">
      <c r="A961" s="71" t="str">
        <f>Registros!A961</f>
        <v>2112@gmail.com</v>
      </c>
      <c r="B961" s="5">
        <f>Registros!B961</f>
        <v>43937.37639</v>
      </c>
      <c r="C961" s="18" t="str">
        <f>IFNA(VLOOKUP(A961,'Registros - No nuevos'!A:A,1,0),"Nuevo")</f>
        <v>2112@gmail.com</v>
      </c>
      <c r="D961" s="72" t="str">
        <f t="shared" si="1"/>
        <v>No Nuevo</v>
      </c>
    </row>
    <row r="962" ht="15.75" customHeight="1">
      <c r="A962" s="71" t="str">
        <f>Registros!A962</f>
        <v>2113@gmail.com</v>
      </c>
      <c r="B962" s="5">
        <f>Registros!B962</f>
        <v>43936.70833</v>
      </c>
      <c r="C962" s="18" t="str">
        <f>IFNA(VLOOKUP(A962,'Registros - No nuevos'!A:A,1,0),"Nuevo")</f>
        <v>2113@gmail.com</v>
      </c>
      <c r="D962" s="72" t="str">
        <f t="shared" si="1"/>
        <v>No Nuevo</v>
      </c>
    </row>
    <row r="963" ht="15.75" customHeight="1">
      <c r="A963" s="71" t="str">
        <f>Registros!A963</f>
        <v>1418@gmail.com</v>
      </c>
      <c r="B963" s="5">
        <f>Registros!B963</f>
        <v>43936.54306</v>
      </c>
      <c r="C963" s="18" t="str">
        <f>IFNA(VLOOKUP(A963,'Registros - No nuevos'!A:A,1,0),"Nuevo")</f>
        <v>1418@gmail.com</v>
      </c>
      <c r="D963" s="72" t="str">
        <f t="shared" si="1"/>
        <v>No Nuevo</v>
      </c>
    </row>
    <row r="964" ht="15.75" customHeight="1">
      <c r="A964" s="71" t="str">
        <f>Registros!A964</f>
        <v>3045@donbany.com</v>
      </c>
      <c r="B964" s="5">
        <f>Registros!B964</f>
        <v>43936.44514</v>
      </c>
      <c r="C964" s="18" t="str">
        <f>IFNA(VLOOKUP(A964,'Registros - No nuevos'!A:A,1,0),"Nuevo")</f>
        <v>3045@donbany.com</v>
      </c>
      <c r="D964" s="72" t="str">
        <f t="shared" si="1"/>
        <v>No Nuevo</v>
      </c>
    </row>
    <row r="965" ht="15.75" customHeight="1">
      <c r="A965" s="71" t="str">
        <f>Registros!A965</f>
        <v>2115@outlook.es</v>
      </c>
      <c r="B965" s="5">
        <f>Registros!B965</f>
        <v>43936.42708</v>
      </c>
      <c r="C965" s="18" t="str">
        <f>IFNA(VLOOKUP(A965,'Registros - No nuevos'!A:A,1,0),"Nuevo")</f>
        <v>2115@outlook.es</v>
      </c>
      <c r="D965" s="72" t="str">
        <f t="shared" si="1"/>
        <v>No Nuevo</v>
      </c>
    </row>
    <row r="966" ht="15.75" customHeight="1">
      <c r="A966" s="71" t="str">
        <f>Registros!A966</f>
        <v>2116@gmail.com</v>
      </c>
      <c r="B966" s="5">
        <f>Registros!B966</f>
        <v>43936.37431</v>
      </c>
      <c r="C966" s="18" t="str">
        <f>IFNA(VLOOKUP(A966,'Registros - No nuevos'!A:A,1,0),"Nuevo")</f>
        <v>2116@gmail.com</v>
      </c>
      <c r="D966" s="72" t="str">
        <f t="shared" si="1"/>
        <v>No Nuevo</v>
      </c>
    </row>
    <row r="967" ht="15.75" customHeight="1">
      <c r="A967" s="71" t="str">
        <f>Registros!A967</f>
        <v>2117@gmail.com</v>
      </c>
      <c r="B967" s="5">
        <f>Registros!B967</f>
        <v>43935.97569</v>
      </c>
      <c r="C967" s="18" t="str">
        <f>IFNA(VLOOKUP(A967,'Registros - No nuevos'!A:A,1,0),"Nuevo")</f>
        <v>2117@gmail.com</v>
      </c>
      <c r="D967" s="72" t="str">
        <f t="shared" si="1"/>
        <v>No Nuevo</v>
      </c>
    </row>
    <row r="968" ht="15.75" customHeight="1">
      <c r="A968" s="71" t="str">
        <f>Registros!A968</f>
        <v>2118@hotmail.com</v>
      </c>
      <c r="B968" s="5">
        <f>Registros!B968</f>
        <v>43935.78056</v>
      </c>
      <c r="C968" s="18" t="str">
        <f>IFNA(VLOOKUP(A968,'Registros - No nuevos'!A:A,1,0),"Nuevo")</f>
        <v>2118@hotmail.com</v>
      </c>
      <c r="D968" s="72" t="str">
        <f t="shared" si="1"/>
        <v>No Nuevo</v>
      </c>
    </row>
    <row r="969" ht="15.75" customHeight="1">
      <c r="A969" s="71" t="str">
        <f>Registros!A969</f>
        <v>2120@gmail.com</v>
      </c>
      <c r="B969" s="5">
        <f>Registros!B969</f>
        <v>43935.74444</v>
      </c>
      <c r="C969" s="18" t="str">
        <f>IFNA(VLOOKUP(A969,'Registros - No nuevos'!A:A,1,0),"Nuevo")</f>
        <v>2120@gmail.com</v>
      </c>
      <c r="D969" s="72" t="str">
        <f t="shared" si="1"/>
        <v>No Nuevo</v>
      </c>
    </row>
    <row r="970" ht="15.75" customHeight="1">
      <c r="A970" s="71" t="str">
        <f>Registros!A970</f>
        <v>2121@gmail.com</v>
      </c>
      <c r="B970" s="5">
        <f>Registros!B970</f>
        <v>43935.32014</v>
      </c>
      <c r="C970" s="18" t="str">
        <f>IFNA(VLOOKUP(A970,'Registros - No nuevos'!A:A,1,0),"Nuevo")</f>
        <v>2121@gmail.com</v>
      </c>
      <c r="D970" s="72" t="str">
        <f t="shared" si="1"/>
        <v>No Nuevo</v>
      </c>
    </row>
    <row r="971" ht="15.75" customHeight="1">
      <c r="A971" s="71" t="str">
        <f>Registros!A971</f>
        <v>2122@somains.com</v>
      </c>
      <c r="B971" s="5">
        <f>Registros!B971</f>
        <v>43934.94236</v>
      </c>
      <c r="C971" s="18" t="str">
        <f>IFNA(VLOOKUP(A971,'Registros - No nuevos'!A:A,1,0),"Nuevo")</f>
        <v>2122@somains.com</v>
      </c>
      <c r="D971" s="72" t="str">
        <f t="shared" si="1"/>
        <v>No Nuevo</v>
      </c>
    </row>
    <row r="972" ht="15.75" customHeight="1">
      <c r="A972" s="71" t="str">
        <f>Registros!A972</f>
        <v>2123@gmail.com</v>
      </c>
      <c r="B972" s="5">
        <f>Registros!B972</f>
        <v>43934.79444</v>
      </c>
      <c r="C972" s="18" t="str">
        <f>IFNA(VLOOKUP(A972,'Registros - No nuevos'!A:A,1,0),"Nuevo")</f>
        <v>2123@gmail.com</v>
      </c>
      <c r="D972" s="72" t="str">
        <f t="shared" si="1"/>
        <v>No Nuevo</v>
      </c>
    </row>
    <row r="973" ht="15.75" customHeight="1">
      <c r="A973" s="71" t="str">
        <f>Registros!A973</f>
        <v>2062@euskalnet.net</v>
      </c>
      <c r="B973" s="5">
        <f>Registros!B973</f>
        <v>43934.41042</v>
      </c>
      <c r="C973" s="18" t="str">
        <f>IFNA(VLOOKUP(A973,'Registros - No nuevos'!A:A,1,0),"Nuevo")</f>
        <v>2062@euskalnet.net</v>
      </c>
      <c r="D973" s="72" t="str">
        <f t="shared" si="1"/>
        <v>No Nuevo</v>
      </c>
    </row>
    <row r="974" ht="15.75" customHeight="1">
      <c r="A974" s="71" t="str">
        <f>Registros!A974</f>
        <v>1845@hotmail.com</v>
      </c>
      <c r="B974" s="5">
        <f>Registros!B974</f>
        <v>43934.18472</v>
      </c>
      <c r="C974" s="18" t="str">
        <f>IFNA(VLOOKUP(A974,'Registros - No nuevos'!A:A,1,0),"Nuevo")</f>
        <v>1845@hotmail.com</v>
      </c>
      <c r="D974" s="72" t="str">
        <f t="shared" si="1"/>
        <v>No Nuevo</v>
      </c>
    </row>
    <row r="975" ht="15.75" customHeight="1">
      <c r="A975" s="71" t="str">
        <f>Registros!A975</f>
        <v>2127@hotmail.com</v>
      </c>
      <c r="B975" s="5">
        <f>Registros!B975</f>
        <v>43934.07361</v>
      </c>
      <c r="C975" s="18" t="str">
        <f>IFNA(VLOOKUP(A975,'Registros - No nuevos'!A:A,1,0),"Nuevo")</f>
        <v>2127@hotmail.com</v>
      </c>
      <c r="D975" s="72" t="str">
        <f t="shared" si="1"/>
        <v>No Nuevo</v>
      </c>
    </row>
    <row r="976" ht="15.75" customHeight="1">
      <c r="A976" s="71" t="str">
        <f>Registros!A976</f>
        <v>799@yahoo.es</v>
      </c>
      <c r="B976" s="5">
        <f>Registros!B976</f>
        <v>43933.86597</v>
      </c>
      <c r="C976" s="18" t="str">
        <f>IFNA(VLOOKUP(A976,'Registros - No nuevos'!A:A,1,0),"Nuevo")</f>
        <v>799@yahoo.es</v>
      </c>
      <c r="D976" s="72" t="str">
        <f t="shared" si="1"/>
        <v>No Nuevo</v>
      </c>
    </row>
    <row r="977" ht="15.75" customHeight="1">
      <c r="A977" s="71" t="str">
        <f>Registros!A977</f>
        <v>2128@gmail.com</v>
      </c>
      <c r="B977" s="5">
        <f>Registros!B977</f>
        <v>43933.65208</v>
      </c>
      <c r="C977" s="18" t="str">
        <f>IFNA(VLOOKUP(A977,'Registros - No nuevos'!A:A,1,0),"Nuevo")</f>
        <v>2128@gmail.com</v>
      </c>
      <c r="D977" s="72" t="str">
        <f t="shared" si="1"/>
        <v>No Nuevo</v>
      </c>
    </row>
    <row r="978" ht="15.75" customHeight="1">
      <c r="A978" s="71" t="str">
        <f>Registros!A978</f>
        <v>2131@gmail.com</v>
      </c>
      <c r="B978" s="5">
        <f>Registros!B978</f>
        <v>43933.49792</v>
      </c>
      <c r="C978" s="18" t="str">
        <f>IFNA(VLOOKUP(A978,'Registros - No nuevos'!A:A,1,0),"Nuevo")</f>
        <v>2131@gmail.com</v>
      </c>
      <c r="D978" s="72" t="str">
        <f t="shared" si="1"/>
        <v>No Nuevo</v>
      </c>
    </row>
    <row r="979" ht="15.75" customHeight="1">
      <c r="A979" s="71" t="str">
        <f>Registros!A979</f>
        <v>3046@gmail.com</v>
      </c>
      <c r="B979" s="5">
        <f>Registros!B979</f>
        <v>43933.45972</v>
      </c>
      <c r="C979" s="18" t="str">
        <f>IFNA(VLOOKUP(A979,'Registros - No nuevos'!A:A,1,0),"Nuevo")</f>
        <v>3046@gmail.com</v>
      </c>
      <c r="D979" s="72" t="str">
        <f t="shared" si="1"/>
        <v>No Nuevo</v>
      </c>
    </row>
    <row r="980" ht="15.75" customHeight="1">
      <c r="A980" s="71" t="str">
        <f>Registros!A980</f>
        <v>2132@hotmail.com</v>
      </c>
      <c r="B980" s="5">
        <f>Registros!B980</f>
        <v>43933.28472</v>
      </c>
      <c r="C980" s="18" t="str">
        <f>IFNA(VLOOKUP(A980,'Registros - No nuevos'!A:A,1,0),"Nuevo")</f>
        <v>2132@hotmail.com</v>
      </c>
      <c r="D980" s="72" t="str">
        <f t="shared" si="1"/>
        <v>No Nuevo</v>
      </c>
    </row>
    <row r="981" ht="15.75" customHeight="1">
      <c r="A981" s="71" t="str">
        <f>Registros!A981</f>
        <v>2133@gmail.com</v>
      </c>
      <c r="B981" s="5">
        <f>Registros!B981</f>
        <v>43933.0875</v>
      </c>
      <c r="C981" s="18" t="str">
        <f>IFNA(VLOOKUP(A981,'Registros - No nuevos'!A:A,1,0),"Nuevo")</f>
        <v>2133@gmail.com</v>
      </c>
      <c r="D981" s="72" t="str">
        <f t="shared" si="1"/>
        <v>No Nuevo</v>
      </c>
    </row>
    <row r="982" ht="15.75" customHeight="1">
      <c r="A982" s="71" t="str">
        <f>Registros!A982</f>
        <v>2134@gmx.es</v>
      </c>
      <c r="B982" s="5">
        <f>Registros!B982</f>
        <v>43932.88472</v>
      </c>
      <c r="C982" s="18" t="str">
        <f>IFNA(VLOOKUP(A982,'Registros - No nuevos'!A:A,1,0),"Nuevo")</f>
        <v>2134@gmx.es</v>
      </c>
      <c r="D982" s="72" t="str">
        <f t="shared" si="1"/>
        <v>No Nuevo</v>
      </c>
    </row>
    <row r="983" ht="15.75" customHeight="1">
      <c r="A983" s="71" t="str">
        <f>Registros!A983</f>
        <v>1157@himalayaclimatizacionycontrol.es</v>
      </c>
      <c r="B983" s="5">
        <f>Registros!B983</f>
        <v>43932.82153</v>
      </c>
      <c r="C983" s="18" t="str">
        <f>IFNA(VLOOKUP(A983,'Registros - No nuevos'!A:A,1,0),"Nuevo")</f>
        <v>1157@himalayaclimatizacionycontrol.es</v>
      </c>
      <c r="D983" s="72" t="str">
        <f t="shared" si="1"/>
        <v>No Nuevo</v>
      </c>
    </row>
    <row r="984" ht="15.75" customHeight="1">
      <c r="A984" s="71" t="str">
        <f>Registros!A984</f>
        <v>2135@gmail.com</v>
      </c>
      <c r="B984" s="5">
        <f>Registros!B984</f>
        <v>43932.62778</v>
      </c>
      <c r="C984" s="18" t="str">
        <f>IFNA(VLOOKUP(A984,'Registros - No nuevos'!A:A,1,0),"Nuevo")</f>
        <v>2135@gmail.com</v>
      </c>
      <c r="D984" s="72" t="str">
        <f t="shared" si="1"/>
        <v>No Nuevo</v>
      </c>
    </row>
    <row r="985" ht="15.75" customHeight="1">
      <c r="A985" s="71" t="str">
        <f>Registros!A985</f>
        <v>2136@gmail.com</v>
      </c>
      <c r="B985" s="5">
        <f>Registros!B985</f>
        <v>43932.5625</v>
      </c>
      <c r="C985" s="18" t="str">
        <f>IFNA(VLOOKUP(A985,'Registros - No nuevos'!A:A,1,0),"Nuevo")</f>
        <v>2136@gmail.com</v>
      </c>
      <c r="D985" s="72" t="str">
        <f t="shared" si="1"/>
        <v>No Nuevo</v>
      </c>
    </row>
    <row r="986" ht="15.75" customHeight="1">
      <c r="A986" s="71" t="str">
        <f>Registros!A986</f>
        <v>2137@hotmail.com</v>
      </c>
      <c r="B986" s="5">
        <f>Registros!B986</f>
        <v>43932.50278</v>
      </c>
      <c r="C986" s="18" t="str">
        <f>IFNA(VLOOKUP(A986,'Registros - No nuevos'!A:A,1,0),"Nuevo")</f>
        <v>2137@hotmail.com</v>
      </c>
      <c r="D986" s="72" t="str">
        <f t="shared" si="1"/>
        <v>No Nuevo</v>
      </c>
    </row>
    <row r="987" ht="15.75" customHeight="1">
      <c r="A987" s="71" t="str">
        <f>Registros!A987</f>
        <v>2138@gmail.com</v>
      </c>
      <c r="B987" s="5">
        <f>Registros!B987</f>
        <v>43932.09722</v>
      </c>
      <c r="C987" s="18" t="str">
        <f>IFNA(VLOOKUP(A987,'Registros - No nuevos'!A:A,1,0),"Nuevo")</f>
        <v>2138@gmail.com</v>
      </c>
      <c r="D987" s="72" t="str">
        <f t="shared" si="1"/>
        <v>No Nuevo</v>
      </c>
    </row>
    <row r="988" ht="15.75" customHeight="1">
      <c r="A988" s="71" t="str">
        <f>Registros!A988</f>
        <v>2139@gmail.com</v>
      </c>
      <c r="B988" s="5">
        <f>Registros!B988</f>
        <v>43932.09583</v>
      </c>
      <c r="C988" s="18" t="str">
        <f>IFNA(VLOOKUP(A988,'Registros - No nuevos'!A:A,1,0),"Nuevo")</f>
        <v>2139@gmail.com</v>
      </c>
      <c r="D988" s="72" t="str">
        <f t="shared" si="1"/>
        <v>No Nuevo</v>
      </c>
    </row>
    <row r="989" ht="15.75" customHeight="1">
      <c r="A989" s="71" t="str">
        <f>Registros!A989</f>
        <v>2125@ctac.es</v>
      </c>
      <c r="B989" s="5">
        <f>Registros!B989</f>
        <v>43931.78194</v>
      </c>
      <c r="C989" s="18" t="str">
        <f>IFNA(VLOOKUP(A989,'Registros - No nuevos'!A:A,1,0),"Nuevo")</f>
        <v>2125@ctac.es</v>
      </c>
      <c r="D989" s="72" t="str">
        <f t="shared" si="1"/>
        <v>No Nuevo</v>
      </c>
    </row>
    <row r="990" ht="15.75" customHeight="1">
      <c r="A990" s="71" t="str">
        <f>Registros!A990</f>
        <v>2143@gmail.com</v>
      </c>
      <c r="B990" s="5">
        <f>Registros!B990</f>
        <v>43931.76597</v>
      </c>
      <c r="C990" s="18" t="str">
        <f>IFNA(VLOOKUP(A990,'Registros - No nuevos'!A:A,1,0),"Nuevo")</f>
        <v>2143@gmail.com</v>
      </c>
      <c r="D990" s="72" t="str">
        <f t="shared" si="1"/>
        <v>No Nuevo</v>
      </c>
    </row>
    <row r="991" ht="15.75" customHeight="1">
      <c r="A991" s="71" t="str">
        <f>Registros!A991</f>
        <v>2144@gmail.com</v>
      </c>
      <c r="B991" s="5">
        <f>Registros!B991</f>
        <v>43931.62847</v>
      </c>
      <c r="C991" s="18" t="str">
        <f>IFNA(VLOOKUP(A991,'Registros - No nuevos'!A:A,1,0),"Nuevo")</f>
        <v>2144@gmail.com</v>
      </c>
      <c r="D991" s="72" t="str">
        <f t="shared" si="1"/>
        <v>No Nuevo</v>
      </c>
    </row>
    <row r="992" ht="15.75" customHeight="1">
      <c r="A992" s="71" t="str">
        <f>Registros!A992</f>
        <v>2145@gmail.com</v>
      </c>
      <c r="B992" s="5">
        <f>Registros!B992</f>
        <v>43931.575</v>
      </c>
      <c r="C992" s="18" t="str">
        <f>IFNA(VLOOKUP(A992,'Registros - No nuevos'!A:A,1,0),"Nuevo")</f>
        <v>2145@gmail.com</v>
      </c>
      <c r="D992" s="72" t="str">
        <f t="shared" si="1"/>
        <v>No Nuevo</v>
      </c>
    </row>
    <row r="993" ht="15.75" customHeight="1">
      <c r="A993" s="71" t="str">
        <f>Registros!A993</f>
        <v>2141@gmail.com</v>
      </c>
      <c r="B993" s="5">
        <f>Registros!B993</f>
        <v>43931.56181</v>
      </c>
      <c r="C993" s="18" t="str">
        <f>IFNA(VLOOKUP(A993,'Registros - No nuevos'!A:A,1,0),"Nuevo")</f>
        <v>2141@gmail.com</v>
      </c>
      <c r="D993" s="72" t="str">
        <f t="shared" si="1"/>
        <v>No Nuevo</v>
      </c>
    </row>
    <row r="994" ht="15.75" customHeight="1">
      <c r="A994" s="71" t="str">
        <f>Registros!A994</f>
        <v>2147@gmail.com</v>
      </c>
      <c r="B994" s="5">
        <f>Registros!B994</f>
        <v>43931.55278</v>
      </c>
      <c r="C994" s="18" t="str">
        <f>IFNA(VLOOKUP(A994,'Registros - No nuevos'!A:A,1,0),"Nuevo")</f>
        <v>2147@gmail.com</v>
      </c>
      <c r="D994" s="72" t="str">
        <f t="shared" si="1"/>
        <v>No Nuevo</v>
      </c>
    </row>
    <row r="995" ht="15.75" customHeight="1">
      <c r="A995" s="71" t="str">
        <f>Registros!A995</f>
        <v>2148@gmail.com</v>
      </c>
      <c r="B995" s="5">
        <f>Registros!B995</f>
        <v>43931.04514</v>
      </c>
      <c r="C995" s="18" t="str">
        <f>IFNA(VLOOKUP(A995,'Registros - No nuevos'!A:A,1,0),"Nuevo")</f>
        <v>2148@gmail.com</v>
      </c>
      <c r="D995" s="72" t="str">
        <f t="shared" si="1"/>
        <v>No Nuevo</v>
      </c>
    </row>
    <row r="996" ht="15.75" customHeight="1">
      <c r="A996" s="71" t="str">
        <f>Registros!A996</f>
        <v>2149@gmail.com</v>
      </c>
      <c r="B996" s="5">
        <f>Registros!B996</f>
        <v>43930.99722</v>
      </c>
      <c r="C996" s="18" t="str">
        <f>IFNA(VLOOKUP(A996,'Registros - No nuevos'!A:A,1,0),"Nuevo")</f>
        <v>2149@gmail.com</v>
      </c>
      <c r="D996" s="72" t="str">
        <f t="shared" si="1"/>
        <v>No Nuevo</v>
      </c>
    </row>
    <row r="997" ht="15.75" customHeight="1">
      <c r="A997" s="71" t="str">
        <f>Registros!A997</f>
        <v>1202@gmail.com</v>
      </c>
      <c r="B997" s="5">
        <f>Registros!B997</f>
        <v>43930.89861</v>
      </c>
      <c r="C997" s="18" t="str">
        <f>IFNA(VLOOKUP(A997,'Registros - No nuevos'!A:A,1,0),"Nuevo")</f>
        <v>1202@gmail.com</v>
      </c>
      <c r="D997" s="72" t="str">
        <f t="shared" si="1"/>
        <v>No Nuevo</v>
      </c>
    </row>
    <row r="998" ht="15.75" customHeight="1">
      <c r="A998" s="71" t="str">
        <f>Registros!A998</f>
        <v>2150@yahoo.es</v>
      </c>
      <c r="B998" s="5">
        <f>Registros!B998</f>
        <v>43930.74514</v>
      </c>
      <c r="C998" s="18" t="str">
        <f>IFNA(VLOOKUP(A998,'Registros - No nuevos'!A:A,1,0),"Nuevo")</f>
        <v>2150@yahoo.es</v>
      </c>
      <c r="D998" s="72" t="str">
        <f t="shared" si="1"/>
        <v>No Nuevo</v>
      </c>
    </row>
    <row r="999" ht="15.75" customHeight="1">
      <c r="A999" s="71" t="str">
        <f>Registros!A999</f>
        <v>2151@gmail.com</v>
      </c>
      <c r="B999" s="5">
        <f>Registros!B999</f>
        <v>43930.55694</v>
      </c>
      <c r="C999" s="18" t="str">
        <f>IFNA(VLOOKUP(A999,'Registros - No nuevos'!A:A,1,0),"Nuevo")</f>
        <v>2151@gmail.com</v>
      </c>
      <c r="D999" s="72" t="str">
        <f t="shared" si="1"/>
        <v>No Nuevo</v>
      </c>
    </row>
    <row r="1000" ht="15.75" customHeight="1">
      <c r="A1000" s="71" t="str">
        <f>Registros!A1000</f>
        <v>1764@gmail.com</v>
      </c>
      <c r="B1000" s="5">
        <f>Registros!B1000</f>
        <v>43930.42292</v>
      </c>
      <c r="C1000" s="18" t="str">
        <f>IFNA(VLOOKUP(A1000,'Registros - No nuevos'!A:A,1,0),"Nuevo")</f>
        <v>1764@gmail.com</v>
      </c>
      <c r="D1000" s="72" t="str">
        <f t="shared" si="1"/>
        <v>No Nuevo</v>
      </c>
    </row>
    <row r="1001" ht="15.75" customHeight="1">
      <c r="A1001" s="71" t="str">
        <f>Registros!A1001</f>
        <v>2153@gmail.com</v>
      </c>
      <c r="B1001" s="5">
        <f>Registros!B1001</f>
        <v>43930.39583</v>
      </c>
      <c r="C1001" s="18" t="str">
        <f>IFNA(VLOOKUP(A1001,'Registros - No nuevos'!A:A,1,0),"Nuevo")</f>
        <v>2153@gmail.com</v>
      </c>
      <c r="D1001" s="72" t="str">
        <f t="shared" si="1"/>
        <v>No Nuevo</v>
      </c>
    </row>
    <row r="1002" ht="15.75" customHeight="1">
      <c r="A1002" s="71" t="str">
        <f>Registros!A1002</f>
        <v>2154@gmail.com</v>
      </c>
      <c r="B1002" s="5">
        <f>Registros!B1002</f>
        <v>43930.37153</v>
      </c>
      <c r="C1002" s="18" t="str">
        <f>IFNA(VLOOKUP(A1002,'Registros - No nuevos'!A:A,1,0),"Nuevo")</f>
        <v>2154@gmail.com</v>
      </c>
      <c r="D1002" s="72" t="str">
        <f t="shared" si="1"/>
        <v>No Nuevo</v>
      </c>
    </row>
    <row r="1003" ht="15.75" customHeight="1">
      <c r="A1003" s="71" t="str">
        <f>Registros!A1003</f>
        <v>2155@gmail.com</v>
      </c>
      <c r="B1003" s="5">
        <f>Registros!B1003</f>
        <v>43930.05625</v>
      </c>
      <c r="C1003" s="18" t="str">
        <f>IFNA(VLOOKUP(A1003,'Registros - No nuevos'!A:A,1,0),"Nuevo")</f>
        <v>2155@gmail.com</v>
      </c>
      <c r="D1003" s="72" t="str">
        <f t="shared" si="1"/>
        <v>No Nuevo</v>
      </c>
    </row>
    <row r="1004" ht="15.75" customHeight="1">
      <c r="A1004" s="71" t="str">
        <f>Registros!A1004</f>
        <v>2156@gmail.com</v>
      </c>
      <c r="B1004" s="5">
        <f>Registros!B1004</f>
        <v>43930.05347</v>
      </c>
      <c r="C1004" s="18" t="str">
        <f>IFNA(VLOOKUP(A1004,'Registros - No nuevos'!A:A,1,0),"Nuevo")</f>
        <v>2156@gmail.com</v>
      </c>
      <c r="D1004" s="72" t="str">
        <f t="shared" si="1"/>
        <v>No Nuevo</v>
      </c>
    </row>
    <row r="1005" ht="15.75" customHeight="1">
      <c r="A1005" s="71" t="str">
        <f>Registros!A1005</f>
        <v>2157@hotmail.com</v>
      </c>
      <c r="B1005" s="5">
        <f>Registros!B1005</f>
        <v>43930.00764</v>
      </c>
      <c r="C1005" s="18" t="str">
        <f>IFNA(VLOOKUP(A1005,'Registros - No nuevos'!A:A,1,0),"Nuevo")</f>
        <v>2157@hotmail.com</v>
      </c>
      <c r="D1005" s="72" t="str">
        <f t="shared" si="1"/>
        <v>No Nuevo</v>
      </c>
    </row>
    <row r="1006" ht="15.75" customHeight="1">
      <c r="A1006" s="71" t="str">
        <f>Registros!A1006</f>
        <v>278@urbaser.com</v>
      </c>
      <c r="B1006" s="5">
        <f>Registros!B1006</f>
        <v>43929.97153</v>
      </c>
      <c r="C1006" s="18" t="str">
        <f>IFNA(VLOOKUP(A1006,'Registros - No nuevos'!A:A,1,0),"Nuevo")</f>
        <v>278@urbaser.com</v>
      </c>
      <c r="D1006" s="72" t="str">
        <f t="shared" si="1"/>
        <v>No Nuevo</v>
      </c>
    </row>
    <row r="1007" ht="15.75" customHeight="1">
      <c r="A1007" s="71" t="str">
        <f>Registros!A1007</f>
        <v>2158@gmail.com</v>
      </c>
      <c r="B1007" s="5">
        <f>Registros!B1007</f>
        <v>43929.95347</v>
      </c>
      <c r="C1007" s="18" t="str">
        <f>IFNA(VLOOKUP(A1007,'Registros - No nuevos'!A:A,1,0),"Nuevo")</f>
        <v>2158@gmail.com</v>
      </c>
      <c r="D1007" s="72" t="str">
        <f t="shared" si="1"/>
        <v>No Nuevo</v>
      </c>
    </row>
    <row r="1008" ht="15.75" customHeight="1">
      <c r="A1008" s="71" t="str">
        <f>Registros!A1008</f>
        <v>2159@hotmail.com</v>
      </c>
      <c r="B1008" s="5">
        <f>Registros!B1008</f>
        <v>43929.92639</v>
      </c>
      <c r="C1008" s="18" t="str">
        <f>IFNA(VLOOKUP(A1008,'Registros - No nuevos'!A:A,1,0),"Nuevo")</f>
        <v>2159@hotmail.com</v>
      </c>
      <c r="D1008" s="72" t="str">
        <f t="shared" si="1"/>
        <v>No Nuevo</v>
      </c>
    </row>
    <row r="1009" ht="15.75" customHeight="1">
      <c r="A1009" s="71" t="str">
        <f>Registros!A1009</f>
        <v>2160@yahoo.es</v>
      </c>
      <c r="B1009" s="5">
        <f>Registros!B1009</f>
        <v>43929.81944</v>
      </c>
      <c r="C1009" s="18" t="str">
        <f>IFNA(VLOOKUP(A1009,'Registros - No nuevos'!A:A,1,0),"Nuevo")</f>
        <v>2160@yahoo.es</v>
      </c>
      <c r="D1009" s="72" t="str">
        <f t="shared" si="1"/>
        <v>No Nuevo</v>
      </c>
    </row>
    <row r="1010" ht="15.75" customHeight="1">
      <c r="A1010" s="71" t="str">
        <f>Registros!A1010</f>
        <v>1018@esmassmart.com</v>
      </c>
      <c r="B1010" s="5">
        <f>Registros!B1010</f>
        <v>43929.76875</v>
      </c>
      <c r="C1010" s="18" t="str">
        <f>IFNA(VLOOKUP(A1010,'Registros - No nuevos'!A:A,1,0),"Nuevo")</f>
        <v>1018@esmassmart.com</v>
      </c>
      <c r="D1010" s="72" t="str">
        <f t="shared" si="1"/>
        <v>No Nuevo</v>
      </c>
    </row>
    <row r="1011" ht="15.75" customHeight="1">
      <c r="A1011" s="71" t="str">
        <f>Registros!A1011</f>
        <v>2152@igkarratu.com</v>
      </c>
      <c r="B1011" s="5">
        <f>Registros!B1011</f>
        <v>43929.58611</v>
      </c>
      <c r="C1011" s="18" t="str">
        <f>IFNA(VLOOKUP(A1011,'Registros - No nuevos'!A:A,1,0),"Nuevo")</f>
        <v>2152@igkarratu.com</v>
      </c>
      <c r="D1011" s="72" t="str">
        <f t="shared" si="1"/>
        <v>No Nuevo</v>
      </c>
    </row>
    <row r="1012" ht="15.75" customHeight="1">
      <c r="A1012" s="71" t="str">
        <f>Registros!A1012</f>
        <v>2162@gienergygroup.com</v>
      </c>
      <c r="B1012" s="5">
        <f>Registros!B1012</f>
        <v>43929.58056</v>
      </c>
      <c r="C1012" s="18" t="str">
        <f>IFNA(VLOOKUP(A1012,'Registros - No nuevos'!A:A,1,0),"Nuevo")</f>
        <v>2162@gienergygroup.com</v>
      </c>
      <c r="D1012" s="72" t="str">
        <f t="shared" si="1"/>
        <v>No Nuevo</v>
      </c>
    </row>
    <row r="1013" ht="15.75" customHeight="1">
      <c r="A1013" s="71" t="str">
        <f>Registros!A1013</f>
        <v>355@gmail.com</v>
      </c>
      <c r="B1013" s="5">
        <f>Registros!B1013</f>
        <v>43929.51111</v>
      </c>
      <c r="C1013" s="18" t="str">
        <f>IFNA(VLOOKUP(A1013,'Registros - No nuevos'!A:A,1,0),"Nuevo")</f>
        <v>355@gmail.com</v>
      </c>
      <c r="D1013" s="72" t="str">
        <f t="shared" si="1"/>
        <v>No Nuevo</v>
      </c>
    </row>
    <row r="1014" ht="15.75" customHeight="1">
      <c r="A1014" s="71" t="str">
        <f>Registros!A1014</f>
        <v>2163@hotmail.com</v>
      </c>
      <c r="B1014" s="5">
        <f>Registros!B1014</f>
        <v>43929.50764</v>
      </c>
      <c r="C1014" s="18" t="str">
        <f>IFNA(VLOOKUP(A1014,'Registros - No nuevos'!A:A,1,0),"Nuevo")</f>
        <v>2163@hotmail.com</v>
      </c>
      <c r="D1014" s="72" t="str">
        <f t="shared" si="1"/>
        <v>No Nuevo</v>
      </c>
    </row>
    <row r="1015" ht="15.75" customHeight="1">
      <c r="A1015" s="71" t="str">
        <f>Registros!A1015</f>
        <v>2164@macegroup.com</v>
      </c>
      <c r="B1015" s="5">
        <f>Registros!B1015</f>
        <v>43929.45972</v>
      </c>
      <c r="C1015" s="18" t="str">
        <f>IFNA(VLOOKUP(A1015,'Registros - No nuevos'!A:A,1,0),"Nuevo")</f>
        <v>2164@macegroup.com</v>
      </c>
      <c r="D1015" s="72" t="str">
        <f t="shared" si="1"/>
        <v>No Nuevo</v>
      </c>
    </row>
    <row r="1016" ht="15.75" customHeight="1">
      <c r="A1016" s="71" t="str">
        <f>Registros!A1016</f>
        <v>366@gmail.com</v>
      </c>
      <c r="B1016" s="5">
        <f>Registros!B1016</f>
        <v>43929.43333</v>
      </c>
      <c r="C1016" s="18" t="str">
        <f>IFNA(VLOOKUP(A1016,'Registros - No nuevos'!A:A,1,0),"Nuevo")</f>
        <v>366@gmail.com</v>
      </c>
      <c r="D1016" s="72" t="str">
        <f t="shared" si="1"/>
        <v>No Nuevo</v>
      </c>
    </row>
    <row r="1017" ht="15.75" customHeight="1">
      <c r="A1017" s="71" t="str">
        <f>Registros!A1017</f>
        <v>2165@orangemail.es</v>
      </c>
      <c r="B1017" s="5">
        <f>Registros!B1017</f>
        <v>43929.38264</v>
      </c>
      <c r="C1017" s="18" t="str">
        <f>IFNA(VLOOKUP(A1017,'Registros - No nuevos'!A:A,1,0),"Nuevo")</f>
        <v>2165@orangemail.es</v>
      </c>
      <c r="D1017" s="72" t="str">
        <f t="shared" si="1"/>
        <v>No Nuevo</v>
      </c>
    </row>
    <row r="1018" ht="15.75" customHeight="1">
      <c r="A1018" s="71" t="str">
        <f>Registros!A1018</f>
        <v>2166@gmail.com</v>
      </c>
      <c r="B1018" s="5">
        <f>Registros!B1018</f>
        <v>43929.05486</v>
      </c>
      <c r="C1018" s="18" t="str">
        <f>IFNA(VLOOKUP(A1018,'Registros - No nuevos'!A:A,1,0),"Nuevo")</f>
        <v>2166@gmail.com</v>
      </c>
      <c r="D1018" s="72" t="str">
        <f t="shared" si="1"/>
        <v>No Nuevo</v>
      </c>
    </row>
    <row r="1019" ht="15.75" customHeight="1">
      <c r="A1019" s="71" t="str">
        <f>Registros!A1019</f>
        <v>291@yahoo.es</v>
      </c>
      <c r="B1019" s="5">
        <f>Registros!B1019</f>
        <v>43928.90486</v>
      </c>
      <c r="C1019" s="18" t="str">
        <f>IFNA(VLOOKUP(A1019,'Registros - No nuevos'!A:A,1,0),"Nuevo")</f>
        <v>291@yahoo.es</v>
      </c>
      <c r="D1019" s="72" t="str">
        <f t="shared" si="1"/>
        <v>No Nuevo</v>
      </c>
    </row>
    <row r="1020" ht="15.75" customHeight="1">
      <c r="A1020" s="71" t="str">
        <f>Registros!A1020</f>
        <v>2169@gmail.com</v>
      </c>
      <c r="B1020" s="5">
        <f>Registros!B1020</f>
        <v>43928.71389</v>
      </c>
      <c r="C1020" s="18" t="str">
        <f>IFNA(VLOOKUP(A1020,'Registros - No nuevos'!A:A,1,0),"Nuevo")</f>
        <v>2169@gmail.com</v>
      </c>
      <c r="D1020" s="72" t="str">
        <f t="shared" si="1"/>
        <v>No Nuevo</v>
      </c>
    </row>
    <row r="1021" ht="15.75" customHeight="1">
      <c r="A1021" s="71" t="str">
        <f>Registros!A1021</f>
        <v>3047@gmail.com</v>
      </c>
      <c r="B1021" s="5">
        <f>Registros!B1021</f>
        <v>43928.56528</v>
      </c>
      <c r="C1021" s="18" t="str">
        <f>IFNA(VLOOKUP(A1021,'Registros - No nuevos'!A:A,1,0),"Nuevo")</f>
        <v>3047@gmail.com</v>
      </c>
      <c r="D1021" s="72" t="str">
        <f t="shared" si="1"/>
        <v>No Nuevo</v>
      </c>
    </row>
    <row r="1022" ht="15.75" customHeight="1">
      <c r="A1022" s="71" t="str">
        <f>Registros!A1022</f>
        <v>2173@menendezygamonal.com</v>
      </c>
      <c r="B1022" s="5">
        <f>Registros!B1022</f>
        <v>43928.55347</v>
      </c>
      <c r="C1022" s="18" t="str">
        <f>IFNA(VLOOKUP(A1022,'Registros - No nuevos'!A:A,1,0),"Nuevo")</f>
        <v>2173@menendezygamonal.com</v>
      </c>
      <c r="D1022" s="72" t="str">
        <f t="shared" si="1"/>
        <v>No Nuevo</v>
      </c>
    </row>
    <row r="1023" ht="15.75" customHeight="1">
      <c r="A1023" s="71" t="str">
        <f>Registros!A1023</f>
        <v>1558@gmail.com</v>
      </c>
      <c r="B1023" s="5">
        <f>Registros!B1023</f>
        <v>43928.55139</v>
      </c>
      <c r="C1023" s="18" t="str">
        <f>IFNA(VLOOKUP(A1023,'Registros - No nuevos'!A:A,1,0),"Nuevo")</f>
        <v>1558@gmail.com</v>
      </c>
      <c r="D1023" s="72" t="str">
        <f t="shared" si="1"/>
        <v>No Nuevo</v>
      </c>
    </row>
    <row r="1024" ht="15.75" customHeight="1">
      <c r="A1024" s="71" t="str">
        <f>Registros!A1024</f>
        <v>791@hotmail.com</v>
      </c>
      <c r="B1024" s="5">
        <f>Registros!B1024</f>
        <v>43928.44167</v>
      </c>
      <c r="C1024" s="18" t="str">
        <f>IFNA(VLOOKUP(A1024,'Registros - No nuevos'!A:A,1,0),"Nuevo")</f>
        <v>791@hotmail.com</v>
      </c>
      <c r="D1024" s="72" t="str">
        <f t="shared" si="1"/>
        <v>No Nuevo</v>
      </c>
    </row>
    <row r="1025" ht="15.75" customHeight="1">
      <c r="A1025" s="71" t="str">
        <f>Registros!A1025</f>
        <v>1860@gmail.com</v>
      </c>
      <c r="B1025" s="5">
        <f>Registros!B1025</f>
        <v>43928.41806</v>
      </c>
      <c r="C1025" s="18" t="str">
        <f>IFNA(VLOOKUP(A1025,'Registros - No nuevos'!A:A,1,0),"Nuevo")</f>
        <v>1860@gmail.com</v>
      </c>
      <c r="D1025" s="72" t="str">
        <f t="shared" si="1"/>
        <v>No Nuevo</v>
      </c>
    </row>
    <row r="1026" ht="15.75" customHeight="1">
      <c r="A1026" s="71" t="str">
        <f>Registros!A1026</f>
        <v>947@clysema.com</v>
      </c>
      <c r="B1026" s="5">
        <f>Registros!B1026</f>
        <v>43928.39306</v>
      </c>
      <c r="C1026" s="18" t="str">
        <f>IFNA(VLOOKUP(A1026,'Registros - No nuevos'!A:A,1,0),"Nuevo")</f>
        <v>947@clysema.com</v>
      </c>
      <c r="D1026" s="72" t="str">
        <f t="shared" si="1"/>
        <v>No Nuevo</v>
      </c>
    </row>
    <row r="1027" ht="15.75" customHeight="1">
      <c r="A1027" s="71" t="str">
        <f>Registros!A1027</f>
        <v>1550@die.upv.es</v>
      </c>
      <c r="B1027" s="5">
        <f>Registros!B1027</f>
        <v>43928.38958</v>
      </c>
      <c r="C1027" s="18" t="str">
        <f>IFNA(VLOOKUP(A1027,'Registros - No nuevos'!A:A,1,0),"Nuevo")</f>
        <v>1550@die.upv.es</v>
      </c>
      <c r="D1027" s="72" t="str">
        <f t="shared" si="1"/>
        <v>No Nuevo</v>
      </c>
    </row>
    <row r="1028" ht="15.75" customHeight="1">
      <c r="A1028" s="71" t="str">
        <f>Registros!A1028</f>
        <v>2175@canogarcia.es</v>
      </c>
      <c r="B1028" s="5">
        <f>Registros!B1028</f>
        <v>43928.05069</v>
      </c>
      <c r="C1028" s="18" t="str">
        <f>IFNA(VLOOKUP(A1028,'Registros - No nuevos'!A:A,1,0),"Nuevo")</f>
        <v>2175@canogarcia.es</v>
      </c>
      <c r="D1028" s="72" t="str">
        <f t="shared" si="1"/>
        <v>No Nuevo</v>
      </c>
    </row>
    <row r="1029" ht="15.75" customHeight="1">
      <c r="A1029" s="71" t="str">
        <f>Registros!A1029</f>
        <v>2176@hotmail.com</v>
      </c>
      <c r="B1029" s="5">
        <f>Registros!B1029</f>
        <v>43928.04722</v>
      </c>
      <c r="C1029" s="18" t="str">
        <f>IFNA(VLOOKUP(A1029,'Registros - No nuevos'!A:A,1,0),"Nuevo")</f>
        <v>2176@hotmail.com</v>
      </c>
      <c r="D1029" s="72" t="str">
        <f t="shared" si="1"/>
        <v>No Nuevo</v>
      </c>
    </row>
    <row r="1030" ht="15.75" customHeight="1">
      <c r="A1030" s="71" t="str">
        <f>Registros!A1030</f>
        <v>2178@altair.edu.es</v>
      </c>
      <c r="B1030" s="5">
        <f>Registros!B1030</f>
        <v>43927.82708</v>
      </c>
      <c r="C1030" s="18" t="str">
        <f>IFNA(VLOOKUP(A1030,'Registros - No nuevos'!A:A,1,0),"Nuevo")</f>
        <v>2178@altair.edu.es</v>
      </c>
      <c r="D1030" s="72" t="str">
        <f t="shared" si="1"/>
        <v>No Nuevo</v>
      </c>
    </row>
    <row r="1031" ht="15.75" customHeight="1">
      <c r="A1031" s="71" t="str">
        <f>Registros!A1031</f>
        <v>2180@hotmail.com</v>
      </c>
      <c r="B1031" s="5">
        <f>Registros!B1031</f>
        <v>43927.76528</v>
      </c>
      <c r="C1031" s="18" t="str">
        <f>IFNA(VLOOKUP(A1031,'Registros - No nuevos'!A:A,1,0),"Nuevo")</f>
        <v>2180@hotmail.com</v>
      </c>
      <c r="D1031" s="72" t="str">
        <f t="shared" si="1"/>
        <v>No Nuevo</v>
      </c>
    </row>
    <row r="1032" ht="15.75" customHeight="1">
      <c r="A1032" s="71" t="str">
        <f>Registros!A1032</f>
        <v>2182@hotmail.com</v>
      </c>
      <c r="B1032" s="5">
        <f>Registros!B1032</f>
        <v>43927.67847</v>
      </c>
      <c r="C1032" s="18" t="str">
        <f>IFNA(VLOOKUP(A1032,'Registros - No nuevos'!A:A,1,0),"Nuevo")</f>
        <v>2182@hotmail.com</v>
      </c>
      <c r="D1032" s="72" t="str">
        <f t="shared" si="1"/>
        <v>No Nuevo</v>
      </c>
    </row>
    <row r="1033" ht="15.75" customHeight="1">
      <c r="A1033" s="71" t="str">
        <f>Registros!A1033</f>
        <v>844@certis.cat</v>
      </c>
      <c r="B1033" s="5">
        <f>Registros!B1033</f>
        <v>43927.60694</v>
      </c>
      <c r="C1033" s="18" t="str">
        <f>IFNA(VLOOKUP(A1033,'Registros - No nuevos'!A:A,1,0),"Nuevo")</f>
        <v>844@certis.cat</v>
      </c>
      <c r="D1033" s="72" t="str">
        <f t="shared" si="1"/>
        <v>No Nuevo</v>
      </c>
    </row>
    <row r="1034" ht="15.75" customHeight="1">
      <c r="A1034" s="71" t="str">
        <f>Registros!A1034</f>
        <v>2184@suris.es</v>
      </c>
      <c r="B1034" s="5">
        <f>Registros!B1034</f>
        <v>43927.54792</v>
      </c>
      <c r="C1034" s="18" t="str">
        <f>IFNA(VLOOKUP(A1034,'Registros - No nuevos'!A:A,1,0),"Nuevo")</f>
        <v>2184@suris.es</v>
      </c>
      <c r="D1034" s="72" t="str">
        <f t="shared" si="1"/>
        <v>No Nuevo</v>
      </c>
    </row>
    <row r="1035" ht="15.75" customHeight="1">
      <c r="A1035" s="71" t="str">
        <f>Registros!A1035</f>
        <v>2185@gmail.com</v>
      </c>
      <c r="B1035" s="5">
        <f>Registros!B1035</f>
        <v>43927.54514</v>
      </c>
      <c r="C1035" s="18" t="str">
        <f>IFNA(VLOOKUP(A1035,'Registros - No nuevos'!A:A,1,0),"Nuevo")</f>
        <v>2185@gmail.com</v>
      </c>
      <c r="D1035" s="72" t="str">
        <f t="shared" si="1"/>
        <v>No Nuevo</v>
      </c>
    </row>
    <row r="1036" ht="15.75" customHeight="1">
      <c r="A1036" s="71" t="str">
        <f>Registros!A1036</f>
        <v>2189@infova.es</v>
      </c>
      <c r="B1036" s="5">
        <f>Registros!B1036</f>
        <v>43927.38333</v>
      </c>
      <c r="C1036" s="18" t="str">
        <f>IFNA(VLOOKUP(A1036,'Registros - No nuevos'!A:A,1,0),"Nuevo")</f>
        <v>2189@infova.es</v>
      </c>
      <c r="D1036" s="72" t="str">
        <f t="shared" si="1"/>
        <v>No Nuevo</v>
      </c>
    </row>
    <row r="1037" ht="15.75" customHeight="1">
      <c r="A1037" s="71" t="str">
        <f>Registros!A1037</f>
        <v>2190@hotmail.com</v>
      </c>
      <c r="B1037" s="5">
        <f>Registros!B1037</f>
        <v>43927.36389</v>
      </c>
      <c r="C1037" s="18" t="str">
        <f>IFNA(VLOOKUP(A1037,'Registros - No nuevos'!A:A,1,0),"Nuevo")</f>
        <v>2190@hotmail.com</v>
      </c>
      <c r="D1037" s="72" t="str">
        <f t="shared" si="1"/>
        <v>No Nuevo</v>
      </c>
    </row>
    <row r="1038" ht="15.75" customHeight="1">
      <c r="A1038" s="71" t="str">
        <f>Registros!A1038</f>
        <v>2191@hotmail.es</v>
      </c>
      <c r="B1038" s="5">
        <f>Registros!B1038</f>
        <v>43926.64583</v>
      </c>
      <c r="C1038" s="18" t="str">
        <f>IFNA(VLOOKUP(A1038,'Registros - No nuevos'!A:A,1,0),"Nuevo")</f>
        <v>2191@hotmail.es</v>
      </c>
      <c r="D1038" s="72" t="str">
        <f t="shared" si="1"/>
        <v>No Nuevo</v>
      </c>
    </row>
    <row r="1039" ht="15.75" customHeight="1">
      <c r="A1039" s="71" t="str">
        <f>Registros!A1039</f>
        <v>2192@itcl.es</v>
      </c>
      <c r="B1039" s="5">
        <f>Registros!B1039</f>
        <v>43926.59306</v>
      </c>
      <c r="C1039" s="18" t="str">
        <f>IFNA(VLOOKUP(A1039,'Registros - No nuevos'!A:A,1,0),"Nuevo")</f>
        <v>2192@itcl.es</v>
      </c>
      <c r="D1039" s="72" t="str">
        <f t="shared" si="1"/>
        <v>No Nuevo</v>
      </c>
    </row>
    <row r="1040" ht="15.75" customHeight="1">
      <c r="A1040" s="71" t="str">
        <f>Registros!A1040</f>
        <v>2193@gmail.com</v>
      </c>
      <c r="B1040" s="5">
        <f>Registros!B1040</f>
        <v>43926.575</v>
      </c>
      <c r="C1040" s="18" t="str">
        <f>IFNA(VLOOKUP(A1040,'Registros - No nuevos'!A:A,1,0),"Nuevo")</f>
        <v>2193@gmail.com</v>
      </c>
      <c r="D1040" s="72" t="str">
        <f t="shared" si="1"/>
        <v>No Nuevo</v>
      </c>
    </row>
    <row r="1041" ht="15.75" customHeight="1">
      <c r="A1041" s="71" t="str">
        <f>Registros!A1041</f>
        <v>2194@mesado.es</v>
      </c>
      <c r="B1041" s="5">
        <f>Registros!B1041</f>
        <v>43926.5125</v>
      </c>
      <c r="C1041" s="18" t="str">
        <f>IFNA(VLOOKUP(A1041,'Registros - No nuevos'!A:A,1,0),"Nuevo")</f>
        <v>2194@mesado.es</v>
      </c>
      <c r="D1041" s="72" t="str">
        <f t="shared" si="1"/>
        <v>No Nuevo</v>
      </c>
    </row>
    <row r="1042" ht="15.75" customHeight="1">
      <c r="A1042" s="71" t="str">
        <f>Registros!A1042</f>
        <v>2195@yahoo.es</v>
      </c>
      <c r="B1042" s="5">
        <f>Registros!B1042</f>
        <v>43926.025</v>
      </c>
      <c r="C1042" s="18" t="str">
        <f>IFNA(VLOOKUP(A1042,'Registros - No nuevos'!A:A,1,0),"Nuevo")</f>
        <v>2195@yahoo.es</v>
      </c>
      <c r="D1042" s="72" t="str">
        <f t="shared" si="1"/>
        <v>No Nuevo</v>
      </c>
    </row>
    <row r="1043" ht="15.75" customHeight="1">
      <c r="A1043" s="71" t="str">
        <f>Registros!A1043</f>
        <v>2196@telefonica.net</v>
      </c>
      <c r="B1043" s="5">
        <f>Registros!B1043</f>
        <v>43925.94792</v>
      </c>
      <c r="C1043" s="18" t="str">
        <f>IFNA(VLOOKUP(A1043,'Registros - No nuevos'!A:A,1,0),"Nuevo")</f>
        <v>2196@telefonica.net</v>
      </c>
      <c r="D1043" s="72" t="str">
        <f t="shared" si="1"/>
        <v>No Nuevo</v>
      </c>
    </row>
    <row r="1044" ht="15.75" customHeight="1">
      <c r="A1044" s="71" t="str">
        <f>Registros!A1044</f>
        <v>2198@gmail.com</v>
      </c>
      <c r="B1044" s="5">
        <f>Registros!B1044</f>
        <v>43925.72153</v>
      </c>
      <c r="C1044" s="18" t="str">
        <f>IFNA(VLOOKUP(A1044,'Registros - No nuevos'!A:A,1,0),"Nuevo")</f>
        <v>2198@gmail.com</v>
      </c>
      <c r="D1044" s="72" t="str">
        <f t="shared" si="1"/>
        <v>No Nuevo</v>
      </c>
    </row>
    <row r="1045" ht="15.75" customHeight="1">
      <c r="A1045" s="71" t="str">
        <f>Registros!A1045</f>
        <v>2199@gmail.com</v>
      </c>
      <c r="B1045" s="5">
        <f>Registros!B1045</f>
        <v>43925.69861</v>
      </c>
      <c r="C1045" s="18" t="str">
        <f>IFNA(VLOOKUP(A1045,'Registros - No nuevos'!A:A,1,0),"Nuevo")</f>
        <v>2199@gmail.com</v>
      </c>
      <c r="D1045" s="72" t="str">
        <f t="shared" si="1"/>
        <v>No Nuevo</v>
      </c>
    </row>
    <row r="1046" ht="15.75" customHeight="1">
      <c r="A1046" s="71" t="str">
        <f>Registros!A1046</f>
        <v>2140@gmail.com</v>
      </c>
      <c r="B1046" s="5">
        <f>Registros!B1046</f>
        <v>43925.64514</v>
      </c>
      <c r="C1046" s="18" t="str">
        <f>IFNA(VLOOKUP(A1046,'Registros - No nuevos'!A:A,1,0),"Nuevo")</f>
        <v>2140@gmail.com</v>
      </c>
      <c r="D1046" s="72" t="str">
        <f t="shared" si="1"/>
        <v>No Nuevo</v>
      </c>
    </row>
    <row r="1047" ht="15.75" customHeight="1">
      <c r="A1047" s="71" t="str">
        <f>Registros!A1047</f>
        <v>2200@gmail.com</v>
      </c>
      <c r="B1047" s="5">
        <f>Registros!B1047</f>
        <v>43925.61389</v>
      </c>
      <c r="C1047" s="18" t="str">
        <f>IFNA(VLOOKUP(A1047,'Registros - No nuevos'!A:A,1,0),"Nuevo")</f>
        <v>2200@gmail.com</v>
      </c>
      <c r="D1047" s="72" t="str">
        <f t="shared" si="1"/>
        <v>No Nuevo</v>
      </c>
    </row>
    <row r="1048" ht="15.75" customHeight="1">
      <c r="A1048" s="71" t="str">
        <f>Registros!A1048</f>
        <v>2201@4fils.es</v>
      </c>
      <c r="B1048" s="5">
        <f>Registros!B1048</f>
        <v>43925.10833</v>
      </c>
      <c r="C1048" s="18" t="str">
        <f>IFNA(VLOOKUP(A1048,'Registros - No nuevos'!A:A,1,0),"Nuevo")</f>
        <v>2201@4fils.es</v>
      </c>
      <c r="D1048" s="72" t="str">
        <f t="shared" si="1"/>
        <v>No Nuevo</v>
      </c>
    </row>
    <row r="1049" ht="15.75" customHeight="1">
      <c r="A1049" s="71" t="str">
        <f>Registros!A1049</f>
        <v>307@yahoo.es</v>
      </c>
      <c r="B1049" s="5">
        <f>Registros!B1049</f>
        <v>43924.94722</v>
      </c>
      <c r="C1049" s="18" t="str">
        <f>IFNA(VLOOKUP(A1049,'Registros - No nuevos'!A:A,1,0),"Nuevo")</f>
        <v>307@yahoo.es</v>
      </c>
      <c r="D1049" s="72" t="str">
        <f t="shared" si="1"/>
        <v>No Nuevo</v>
      </c>
    </row>
    <row r="1050" ht="15.75" customHeight="1">
      <c r="A1050" s="71" t="str">
        <f>Registros!A1050</f>
        <v>2203@gmail.com</v>
      </c>
      <c r="B1050" s="5">
        <f>Registros!B1050</f>
        <v>43924.87431</v>
      </c>
      <c r="C1050" s="18" t="str">
        <f>IFNA(VLOOKUP(A1050,'Registros - No nuevos'!A:A,1,0),"Nuevo")</f>
        <v>2203@gmail.com</v>
      </c>
      <c r="D1050" s="72" t="str">
        <f t="shared" si="1"/>
        <v>No Nuevo</v>
      </c>
    </row>
    <row r="1051" ht="15.75" customHeight="1">
      <c r="A1051" s="71" t="str">
        <f>Registros!A1051</f>
        <v>2204@hotmail.es</v>
      </c>
      <c r="B1051" s="5">
        <f>Registros!B1051</f>
        <v>43924.86181</v>
      </c>
      <c r="C1051" s="18" t="str">
        <f>IFNA(VLOOKUP(A1051,'Registros - No nuevos'!A:A,1,0),"Nuevo")</f>
        <v>2204@hotmail.es</v>
      </c>
      <c r="D1051" s="72" t="str">
        <f t="shared" si="1"/>
        <v>No Nuevo</v>
      </c>
    </row>
    <row r="1052" ht="15.75" customHeight="1">
      <c r="A1052" s="71" t="str">
        <f>Registros!A1052</f>
        <v>2205@gmail.com</v>
      </c>
      <c r="B1052" s="5">
        <f>Registros!B1052</f>
        <v>43924.84861</v>
      </c>
      <c r="C1052" s="18" t="str">
        <f>IFNA(VLOOKUP(A1052,'Registros - No nuevos'!A:A,1,0),"Nuevo")</f>
        <v>2205@gmail.com</v>
      </c>
      <c r="D1052" s="72" t="str">
        <f t="shared" si="1"/>
        <v>No Nuevo</v>
      </c>
    </row>
    <row r="1053" ht="15.75" customHeight="1">
      <c r="A1053" s="71" t="str">
        <f>Registros!A1053</f>
        <v>2206@gmail.com</v>
      </c>
      <c r="B1053" s="5">
        <f>Registros!B1053</f>
        <v>43924.70625</v>
      </c>
      <c r="C1053" s="18" t="str">
        <f>IFNA(VLOOKUP(A1053,'Registros - No nuevos'!A:A,1,0),"Nuevo")</f>
        <v>2206@gmail.com</v>
      </c>
      <c r="D1053" s="72" t="str">
        <f t="shared" si="1"/>
        <v>No Nuevo</v>
      </c>
    </row>
    <row r="1054" ht="15.75" customHeight="1">
      <c r="A1054" s="71" t="str">
        <f>Registros!A1054</f>
        <v>2207@gmail.com</v>
      </c>
      <c r="B1054" s="5">
        <f>Registros!B1054</f>
        <v>43924.66875</v>
      </c>
      <c r="C1054" s="18" t="str">
        <f>IFNA(VLOOKUP(A1054,'Registros - No nuevos'!A:A,1,0),"Nuevo")</f>
        <v>2207@gmail.com</v>
      </c>
      <c r="D1054" s="72" t="str">
        <f t="shared" si="1"/>
        <v>No Nuevo</v>
      </c>
    </row>
    <row r="1055" ht="15.75" customHeight="1">
      <c r="A1055" s="71" t="str">
        <f>Registros!A1055</f>
        <v>2208@wp.pl</v>
      </c>
      <c r="B1055" s="5">
        <f>Registros!B1055</f>
        <v>43924.62569</v>
      </c>
      <c r="C1055" s="18" t="str">
        <f>IFNA(VLOOKUP(A1055,'Registros - No nuevos'!A:A,1,0),"Nuevo")</f>
        <v>2208@wp.pl</v>
      </c>
      <c r="D1055" s="72" t="str">
        <f t="shared" si="1"/>
        <v>No Nuevo</v>
      </c>
    </row>
    <row r="1056" ht="15.75" customHeight="1">
      <c r="A1056" s="71" t="str">
        <f>Registros!A1056</f>
        <v>2210@hotmail.com</v>
      </c>
      <c r="B1056" s="5">
        <f>Registros!B1056</f>
        <v>43924.58333</v>
      </c>
      <c r="C1056" s="18" t="str">
        <f>IFNA(VLOOKUP(A1056,'Registros - No nuevos'!A:A,1,0),"Nuevo")</f>
        <v>2210@hotmail.com</v>
      </c>
      <c r="D1056" s="72" t="str">
        <f t="shared" si="1"/>
        <v>No Nuevo</v>
      </c>
    </row>
    <row r="1057" ht="15.75" customHeight="1">
      <c r="A1057" s="71" t="str">
        <f>Registros!A1057</f>
        <v>2197@outlook.es</v>
      </c>
      <c r="B1057" s="5">
        <f>Registros!B1057</f>
        <v>43924.48681</v>
      </c>
      <c r="C1057" s="18" t="str">
        <f>IFNA(VLOOKUP(A1057,'Registros - No nuevos'!A:A,1,0),"Nuevo")</f>
        <v>2197@outlook.es</v>
      </c>
      <c r="D1057" s="72" t="str">
        <f t="shared" si="1"/>
        <v>No Nuevo</v>
      </c>
    </row>
    <row r="1058" ht="15.75" customHeight="1">
      <c r="A1058" s="71" t="str">
        <f>Registros!A1058</f>
        <v>2212@pgiengineering.com</v>
      </c>
      <c r="B1058" s="5">
        <f>Registros!B1058</f>
        <v>43924.47361</v>
      </c>
      <c r="C1058" s="18" t="str">
        <f>IFNA(VLOOKUP(A1058,'Registros - No nuevos'!A:A,1,0),"Nuevo")</f>
        <v>2212@pgiengineering.com</v>
      </c>
      <c r="D1058" s="72" t="str">
        <f t="shared" si="1"/>
        <v>No Nuevo</v>
      </c>
    </row>
    <row r="1059" ht="15.75" customHeight="1">
      <c r="A1059" s="71" t="str">
        <f>Registros!A1059</f>
        <v>2214@hotmail.com</v>
      </c>
      <c r="B1059" s="5">
        <f>Registros!B1059</f>
        <v>43924.43472</v>
      </c>
      <c r="C1059" s="18" t="str">
        <f>IFNA(VLOOKUP(A1059,'Registros - No nuevos'!A:A,1,0),"Nuevo")</f>
        <v>2214@hotmail.com</v>
      </c>
      <c r="D1059" s="72" t="str">
        <f t="shared" si="1"/>
        <v>No Nuevo</v>
      </c>
    </row>
    <row r="1060" ht="15.75" customHeight="1">
      <c r="A1060" s="71" t="str">
        <f>Registros!A1060</f>
        <v>2215@gmail.com</v>
      </c>
      <c r="B1060" s="5">
        <f>Registros!B1060</f>
        <v>43924.38194</v>
      </c>
      <c r="C1060" s="18" t="str">
        <f>IFNA(VLOOKUP(A1060,'Registros - No nuevos'!A:A,1,0),"Nuevo")</f>
        <v>2215@gmail.com</v>
      </c>
      <c r="D1060" s="72" t="str">
        <f t="shared" si="1"/>
        <v>No Nuevo</v>
      </c>
    </row>
    <row r="1061" ht="15.75" customHeight="1">
      <c r="A1061" s="71" t="str">
        <f>Registros!A1061</f>
        <v>2217@gmail.com</v>
      </c>
      <c r="B1061" s="5">
        <f>Registros!B1061</f>
        <v>43924.01736</v>
      </c>
      <c r="C1061" s="18" t="str">
        <f>IFNA(VLOOKUP(A1061,'Registros - No nuevos'!A:A,1,0),"Nuevo")</f>
        <v>2217@gmail.com</v>
      </c>
      <c r="D1061" s="72" t="str">
        <f t="shared" si="1"/>
        <v>No Nuevo</v>
      </c>
    </row>
    <row r="1062" ht="15.75" customHeight="1">
      <c r="A1062" s="71" t="str">
        <f>Registros!A1062</f>
        <v>2219@teigatmi.es</v>
      </c>
      <c r="B1062" s="5">
        <f>Registros!B1062</f>
        <v>43923.91667</v>
      </c>
      <c r="C1062" s="18" t="str">
        <f>IFNA(VLOOKUP(A1062,'Registros - No nuevos'!A:A,1,0),"Nuevo")</f>
        <v>2219@teigatmi.es</v>
      </c>
      <c r="D1062" s="72" t="str">
        <f t="shared" si="1"/>
        <v>No Nuevo</v>
      </c>
    </row>
    <row r="1063" ht="15.75" customHeight="1">
      <c r="A1063" s="71" t="str">
        <f>Registros!A1063</f>
        <v>2220@hotmail.com</v>
      </c>
      <c r="B1063" s="5">
        <f>Registros!B1063</f>
        <v>43923.78889</v>
      </c>
      <c r="C1063" s="18" t="str">
        <f>IFNA(VLOOKUP(A1063,'Registros - No nuevos'!A:A,1,0),"Nuevo")</f>
        <v>2220@hotmail.com</v>
      </c>
      <c r="D1063" s="72" t="str">
        <f t="shared" si="1"/>
        <v>No Nuevo</v>
      </c>
    </row>
    <row r="1064" ht="15.75" customHeight="1">
      <c r="A1064" s="71" t="str">
        <f>Registros!A1064</f>
        <v>2221@hotmail.com</v>
      </c>
      <c r="B1064" s="5">
        <f>Registros!B1064</f>
        <v>43923.78333</v>
      </c>
      <c r="C1064" s="18" t="str">
        <f>IFNA(VLOOKUP(A1064,'Registros - No nuevos'!A:A,1,0),"Nuevo")</f>
        <v>2221@hotmail.com</v>
      </c>
      <c r="D1064" s="72" t="str">
        <f t="shared" si="1"/>
        <v>No Nuevo</v>
      </c>
    </row>
    <row r="1065" ht="15.75" customHeight="1">
      <c r="A1065" s="71" t="str">
        <f>Registros!A1065</f>
        <v>2223@hotmail.com</v>
      </c>
      <c r="B1065" s="5">
        <f>Registros!B1065</f>
        <v>43923.64583</v>
      </c>
      <c r="C1065" s="18" t="str">
        <f>IFNA(VLOOKUP(A1065,'Registros - No nuevos'!A:A,1,0),"Nuevo")</f>
        <v>2223@hotmail.com</v>
      </c>
      <c r="D1065" s="72" t="str">
        <f t="shared" si="1"/>
        <v>No Nuevo</v>
      </c>
    </row>
    <row r="1066" ht="15.75" customHeight="1">
      <c r="A1066" s="71" t="str">
        <f>Registros!A1066</f>
        <v>2224@gmail.com</v>
      </c>
      <c r="B1066" s="5">
        <f>Registros!B1066</f>
        <v>43923.55556</v>
      </c>
      <c r="C1066" s="18" t="str">
        <f>IFNA(VLOOKUP(A1066,'Registros - No nuevos'!A:A,1,0),"Nuevo")</f>
        <v>2224@gmail.com</v>
      </c>
      <c r="D1066" s="72" t="str">
        <f t="shared" si="1"/>
        <v>No Nuevo</v>
      </c>
    </row>
    <row r="1067" ht="15.75" customHeight="1">
      <c r="A1067" s="71" t="str">
        <f>Registros!A1067</f>
        <v>2225@evectra.es</v>
      </c>
      <c r="B1067" s="5">
        <f>Registros!B1067</f>
        <v>43923.50972</v>
      </c>
      <c r="C1067" s="18" t="str">
        <f>IFNA(VLOOKUP(A1067,'Registros - No nuevos'!A:A,1,0),"Nuevo")</f>
        <v>2225@evectra.es</v>
      </c>
      <c r="D1067" s="72" t="str">
        <f t="shared" si="1"/>
        <v>No Nuevo</v>
      </c>
    </row>
    <row r="1068" ht="15.75" customHeight="1">
      <c r="A1068" s="71" t="str">
        <f>Registros!A1068</f>
        <v>3048@ferrovial.com</v>
      </c>
      <c r="B1068" s="5">
        <f>Registros!B1068</f>
        <v>43923.48889</v>
      </c>
      <c r="C1068" s="18" t="str">
        <f>IFNA(VLOOKUP(A1068,'Registros - No nuevos'!A:A,1,0),"Nuevo")</f>
        <v>3048@ferrovial.com</v>
      </c>
      <c r="D1068" s="72" t="str">
        <f t="shared" si="1"/>
        <v>No Nuevo</v>
      </c>
    </row>
    <row r="1069" ht="15.75" customHeight="1">
      <c r="A1069" s="71" t="str">
        <f>Registros!A1069</f>
        <v>198@hotmail.es</v>
      </c>
      <c r="B1069" s="5">
        <f>Registros!B1069</f>
        <v>43923.48194</v>
      </c>
      <c r="C1069" s="18" t="str">
        <f>IFNA(VLOOKUP(A1069,'Registros - No nuevos'!A:A,1,0),"Nuevo")</f>
        <v>198@hotmail.es</v>
      </c>
      <c r="D1069" s="72" t="str">
        <f t="shared" si="1"/>
        <v>No Nuevo</v>
      </c>
    </row>
    <row r="1070" ht="15.75" customHeight="1">
      <c r="A1070" s="71" t="str">
        <f>Registros!A1070</f>
        <v>2226@hotmail.com</v>
      </c>
      <c r="B1070" s="5">
        <f>Registros!B1070</f>
        <v>43923.32014</v>
      </c>
      <c r="C1070" s="18" t="str">
        <f>IFNA(VLOOKUP(A1070,'Registros - No nuevos'!A:A,1,0),"Nuevo")</f>
        <v>2226@hotmail.com</v>
      </c>
      <c r="D1070" s="72" t="str">
        <f t="shared" si="1"/>
        <v>No Nuevo</v>
      </c>
    </row>
    <row r="1071" ht="15.75" customHeight="1">
      <c r="A1071" s="71" t="str">
        <f>Registros!A1071</f>
        <v>2077@gmail.com</v>
      </c>
      <c r="B1071" s="5">
        <f>Registros!B1071</f>
        <v>43923.07847</v>
      </c>
      <c r="C1071" s="18" t="str">
        <f>IFNA(VLOOKUP(A1071,'Registros - No nuevos'!A:A,1,0),"Nuevo")</f>
        <v>2077@gmail.com</v>
      </c>
      <c r="D1071" s="72" t="str">
        <f t="shared" si="1"/>
        <v>No Nuevo</v>
      </c>
    </row>
    <row r="1072" ht="15.75" customHeight="1">
      <c r="A1072" s="71" t="str">
        <f>Registros!A1072</f>
        <v>2228@gmail.com</v>
      </c>
      <c r="B1072" s="5">
        <f>Registros!B1072</f>
        <v>43922.99375</v>
      </c>
      <c r="C1072" s="18" t="str">
        <f>IFNA(VLOOKUP(A1072,'Registros - No nuevos'!A:A,1,0),"Nuevo")</f>
        <v>2228@gmail.com</v>
      </c>
      <c r="D1072" s="72" t="str">
        <f t="shared" si="1"/>
        <v>No Nuevo</v>
      </c>
    </row>
    <row r="1073" ht="15.75" customHeight="1">
      <c r="A1073" s="71" t="str">
        <f>Registros!A1073</f>
        <v>2229@enerluz.es</v>
      </c>
      <c r="B1073" s="5">
        <f>Registros!B1073</f>
        <v>43922.90556</v>
      </c>
      <c r="C1073" s="18" t="str">
        <f>IFNA(VLOOKUP(A1073,'Registros - No nuevos'!A:A,1,0),"Nuevo")</f>
        <v>2229@enerluz.es</v>
      </c>
      <c r="D1073" s="72" t="str">
        <f t="shared" si="1"/>
        <v>No Nuevo</v>
      </c>
    </row>
    <row r="1074" ht="15.75" customHeight="1">
      <c r="A1074" s="71" t="str">
        <f>Registros!A1074</f>
        <v>2230@hotmail.com</v>
      </c>
      <c r="B1074" s="5">
        <f>Registros!B1074</f>
        <v>43922.89167</v>
      </c>
      <c r="C1074" s="18" t="str">
        <f>IFNA(VLOOKUP(A1074,'Registros - No nuevos'!A:A,1,0),"Nuevo")</f>
        <v>2230@hotmail.com</v>
      </c>
      <c r="D1074" s="72" t="str">
        <f t="shared" si="1"/>
        <v>No Nuevo</v>
      </c>
    </row>
    <row r="1075" ht="15.75" customHeight="1">
      <c r="A1075" s="71" t="str">
        <f>Registros!A1075</f>
        <v>2231@hotmail.com</v>
      </c>
      <c r="B1075" s="5">
        <f>Registros!B1075</f>
        <v>43922.76181</v>
      </c>
      <c r="C1075" s="18" t="str">
        <f>IFNA(VLOOKUP(A1075,'Registros - No nuevos'!A:A,1,0),"Nuevo")</f>
        <v>2231@hotmail.com</v>
      </c>
      <c r="D1075" s="72" t="str">
        <f t="shared" si="1"/>
        <v>No Nuevo</v>
      </c>
    </row>
    <row r="1076" ht="15.75" customHeight="1">
      <c r="A1076" s="71" t="str">
        <f>Registros!A1076</f>
        <v>2233@gmail.com</v>
      </c>
      <c r="B1076" s="5">
        <f>Registros!B1076</f>
        <v>43922.75139</v>
      </c>
      <c r="C1076" s="18" t="str">
        <f>IFNA(VLOOKUP(A1076,'Registros - No nuevos'!A:A,1,0),"Nuevo")</f>
        <v>2233@gmail.com</v>
      </c>
      <c r="D1076" s="72" t="str">
        <f t="shared" si="1"/>
        <v>No Nuevo</v>
      </c>
    </row>
    <row r="1077" ht="15.75" customHeight="1">
      <c r="A1077" s="71" t="str">
        <f>Registros!A1077</f>
        <v>2234@hotmail.com</v>
      </c>
      <c r="B1077" s="5">
        <f>Registros!B1077</f>
        <v>43922.74306</v>
      </c>
      <c r="C1077" s="18" t="str">
        <f>IFNA(VLOOKUP(A1077,'Registros - No nuevos'!A:A,1,0),"Nuevo")</f>
        <v>2234@hotmail.com</v>
      </c>
      <c r="D1077" s="72" t="str">
        <f t="shared" si="1"/>
        <v>No Nuevo</v>
      </c>
    </row>
    <row r="1078" ht="15.75" customHeight="1">
      <c r="A1078" s="71" t="str">
        <f>Registros!A1078</f>
        <v>2235@hotmail.com</v>
      </c>
      <c r="B1078" s="5">
        <f>Registros!B1078</f>
        <v>43922.73264</v>
      </c>
      <c r="C1078" s="18" t="str">
        <f>IFNA(VLOOKUP(A1078,'Registros - No nuevos'!A:A,1,0),"Nuevo")</f>
        <v>2235@hotmail.com</v>
      </c>
      <c r="D1078" s="72" t="str">
        <f t="shared" si="1"/>
        <v>No Nuevo</v>
      </c>
    </row>
    <row r="1079" ht="15.75" customHeight="1">
      <c r="A1079" s="71" t="str">
        <f>Registros!A1079</f>
        <v>2236@hotmail.com</v>
      </c>
      <c r="B1079" s="5">
        <f>Registros!B1079</f>
        <v>43922.72569</v>
      </c>
      <c r="C1079" s="18" t="str">
        <f>IFNA(VLOOKUP(A1079,'Registros - No nuevos'!A:A,1,0),"Nuevo")</f>
        <v>2236@hotmail.com</v>
      </c>
      <c r="D1079" s="72" t="str">
        <f t="shared" si="1"/>
        <v>No Nuevo</v>
      </c>
    </row>
    <row r="1080" ht="15.75" customHeight="1">
      <c r="A1080" s="71" t="str">
        <f>Registros!A1080</f>
        <v>2238@hotmail.es</v>
      </c>
      <c r="B1080" s="5">
        <f>Registros!B1080</f>
        <v>43922.62014</v>
      </c>
      <c r="C1080" s="18" t="str">
        <f>IFNA(VLOOKUP(A1080,'Registros - No nuevos'!A:A,1,0),"Nuevo")</f>
        <v>2238@hotmail.es</v>
      </c>
      <c r="D1080" s="72" t="str">
        <f t="shared" si="1"/>
        <v>No Nuevo</v>
      </c>
    </row>
    <row r="1081" ht="15.75" customHeight="1">
      <c r="A1081" s="71" t="str">
        <f>Registros!A1081</f>
        <v>2239@gmail.com</v>
      </c>
      <c r="B1081" s="5">
        <f>Registros!B1081</f>
        <v>43922.54236</v>
      </c>
      <c r="C1081" s="18" t="str">
        <f>IFNA(VLOOKUP(A1081,'Registros - No nuevos'!A:A,1,0),"Nuevo")</f>
        <v>2239@gmail.com</v>
      </c>
      <c r="D1081" s="72" t="str">
        <f t="shared" si="1"/>
        <v>No Nuevo</v>
      </c>
    </row>
    <row r="1082" ht="15.75" customHeight="1">
      <c r="A1082" s="71" t="str">
        <f>Registros!A1082</f>
        <v>2240@coac.net</v>
      </c>
      <c r="B1082" s="5">
        <f>Registros!B1082</f>
        <v>43922.53611</v>
      </c>
      <c r="C1082" s="18" t="str">
        <f>IFNA(VLOOKUP(A1082,'Registros - No nuevos'!A:A,1,0),"Nuevo")</f>
        <v>2240@coac.net</v>
      </c>
      <c r="D1082" s="72" t="str">
        <f t="shared" si="1"/>
        <v>No Nuevo</v>
      </c>
    </row>
    <row r="1083" ht="15.75" customHeight="1">
      <c r="A1083" s="71" t="str">
        <f>Registros!A1083</f>
        <v>1681@gmail.com</v>
      </c>
      <c r="B1083" s="5">
        <f>Registros!B1083</f>
        <v>43922.49236</v>
      </c>
      <c r="C1083" s="18" t="str">
        <f>IFNA(VLOOKUP(A1083,'Registros - No nuevos'!A:A,1,0),"Nuevo")</f>
        <v>1681@gmail.com</v>
      </c>
      <c r="D1083" s="72" t="str">
        <f t="shared" si="1"/>
        <v>No Nuevo</v>
      </c>
    </row>
    <row r="1084" ht="15.75" customHeight="1">
      <c r="A1084" s="71" t="str">
        <f>Registros!A1084</f>
        <v>2243@gmail.com</v>
      </c>
      <c r="B1084" s="5">
        <f>Registros!B1084</f>
        <v>43922.39653</v>
      </c>
      <c r="C1084" s="18" t="str">
        <f>IFNA(VLOOKUP(A1084,'Registros - No nuevos'!A:A,1,0),"Nuevo")</f>
        <v>2243@gmail.com</v>
      </c>
      <c r="D1084" s="72" t="str">
        <f t="shared" si="1"/>
        <v>No Nuevo</v>
      </c>
    </row>
    <row r="1085" ht="15.75" customHeight="1">
      <c r="A1085" s="71" t="str">
        <f>Registros!A1085</f>
        <v>2069@gmail.com</v>
      </c>
      <c r="B1085" s="5">
        <f>Registros!B1085</f>
        <v>43922.00417</v>
      </c>
      <c r="C1085" s="18" t="str">
        <f>IFNA(VLOOKUP(A1085,'Registros - No nuevos'!A:A,1,0),"Nuevo")</f>
        <v>2069@gmail.com</v>
      </c>
      <c r="D1085" s="72" t="str">
        <f t="shared" si="1"/>
        <v>No Nuevo</v>
      </c>
    </row>
    <row r="1086" ht="15.75" customHeight="1">
      <c r="A1086" s="71" t="str">
        <f>Registros!A1086</f>
        <v>2244@outlook.com</v>
      </c>
      <c r="B1086" s="5">
        <f>Registros!B1086</f>
        <v>43921.99028</v>
      </c>
      <c r="C1086" s="18" t="str">
        <f>IFNA(VLOOKUP(A1086,'Registros - No nuevos'!A:A,1,0),"Nuevo")</f>
        <v>2244@outlook.com</v>
      </c>
      <c r="D1086" s="72" t="str">
        <f t="shared" si="1"/>
        <v>No Nuevo</v>
      </c>
    </row>
    <row r="1087" ht="15.75" customHeight="1">
      <c r="A1087" s="71" t="str">
        <f>Registros!A1087</f>
        <v>2124@gmail.com</v>
      </c>
      <c r="B1087" s="5">
        <f>Registros!B1087</f>
        <v>43921.89097</v>
      </c>
      <c r="C1087" s="18" t="str">
        <f>IFNA(VLOOKUP(A1087,'Registros - No nuevos'!A:A,1,0),"Nuevo")</f>
        <v>2124@gmail.com</v>
      </c>
      <c r="D1087" s="72" t="str">
        <f t="shared" si="1"/>
        <v>No Nuevo</v>
      </c>
    </row>
    <row r="1088" ht="15.75" customHeight="1">
      <c r="A1088" s="71" t="str">
        <f>Registros!A1088</f>
        <v>3049@suris.es</v>
      </c>
      <c r="B1088" s="5">
        <f>Registros!B1088</f>
        <v>43921.81458</v>
      </c>
      <c r="C1088" s="18" t="str">
        <f>IFNA(VLOOKUP(A1088,'Registros - No nuevos'!A:A,1,0),"Nuevo")</f>
        <v>3049@suris.es</v>
      </c>
      <c r="D1088" s="72" t="str">
        <f t="shared" si="1"/>
        <v>No Nuevo</v>
      </c>
    </row>
    <row r="1089" ht="15.75" customHeight="1">
      <c r="A1089" s="71" t="str">
        <f>Registros!A1089</f>
        <v>2213@gmail.com</v>
      </c>
      <c r="B1089" s="5">
        <f>Registros!B1089</f>
        <v>43921.76875</v>
      </c>
      <c r="C1089" s="18" t="str">
        <f>IFNA(VLOOKUP(A1089,'Registros - No nuevos'!A:A,1,0),"Nuevo")</f>
        <v>2213@gmail.com</v>
      </c>
      <c r="D1089" s="72" t="str">
        <f t="shared" si="1"/>
        <v>No Nuevo</v>
      </c>
    </row>
    <row r="1090" ht="15.75" customHeight="1">
      <c r="A1090" s="71" t="str">
        <f>Registros!A1090</f>
        <v>2247@gmail.com</v>
      </c>
      <c r="B1090" s="5">
        <f>Registros!B1090</f>
        <v>43921.64514</v>
      </c>
      <c r="C1090" s="18" t="str">
        <f>IFNA(VLOOKUP(A1090,'Registros - No nuevos'!A:A,1,0),"Nuevo")</f>
        <v>2247@gmail.com</v>
      </c>
      <c r="D1090" s="72" t="str">
        <f t="shared" si="1"/>
        <v>No Nuevo</v>
      </c>
    </row>
    <row r="1091" ht="15.75" customHeight="1">
      <c r="A1091" s="71" t="str">
        <f>Registros!A1091</f>
        <v>199@elektra-sa.es</v>
      </c>
      <c r="B1091" s="5">
        <f>Registros!B1091</f>
        <v>43921.39583</v>
      </c>
      <c r="C1091" s="18" t="str">
        <f>IFNA(VLOOKUP(A1091,'Registros - No nuevos'!A:A,1,0),"Nuevo")</f>
        <v>199@elektra-sa.es</v>
      </c>
      <c r="D1091" s="72" t="str">
        <f t="shared" si="1"/>
        <v>No Nuevo</v>
      </c>
    </row>
    <row r="1092" ht="15.75" customHeight="1">
      <c r="A1092" s="71" t="str">
        <f>Registros!A1092</f>
        <v>2250@gmail.com</v>
      </c>
      <c r="B1092" s="5">
        <f>Registros!B1092</f>
        <v>43921.37778</v>
      </c>
      <c r="C1092" s="18" t="str">
        <f>IFNA(VLOOKUP(A1092,'Registros - No nuevos'!A:A,1,0),"Nuevo")</f>
        <v>2250@gmail.com</v>
      </c>
      <c r="D1092" s="72" t="str">
        <f t="shared" si="1"/>
        <v>No Nuevo</v>
      </c>
    </row>
    <row r="1093" ht="15.75" customHeight="1">
      <c r="A1093" s="71" t="str">
        <f>Registros!A1093</f>
        <v>1850@yahoo.com</v>
      </c>
      <c r="B1093" s="5">
        <f>Registros!B1093</f>
        <v>43920.99514</v>
      </c>
      <c r="C1093" s="18" t="str">
        <f>IFNA(VLOOKUP(A1093,'Registros - No nuevos'!A:A,1,0),"Nuevo")</f>
        <v>1850@yahoo.com</v>
      </c>
      <c r="D1093" s="72" t="str">
        <f t="shared" si="1"/>
        <v>No Nuevo</v>
      </c>
    </row>
    <row r="1094" ht="15.75" customHeight="1">
      <c r="A1094" s="71" t="str">
        <f>Registros!A1094</f>
        <v>2253@hotmail.com</v>
      </c>
      <c r="B1094" s="5">
        <f>Registros!B1094</f>
        <v>43920.76181</v>
      </c>
      <c r="C1094" s="18" t="str">
        <f>IFNA(VLOOKUP(A1094,'Registros - No nuevos'!A:A,1,0),"Nuevo")</f>
        <v>2253@hotmail.com</v>
      </c>
      <c r="D1094" s="72" t="str">
        <f t="shared" si="1"/>
        <v>No Nuevo</v>
      </c>
    </row>
    <row r="1095" ht="15.75" customHeight="1">
      <c r="A1095" s="71" t="str">
        <f>Registros!A1095</f>
        <v>2254@gmail.com</v>
      </c>
      <c r="B1095" s="5">
        <f>Registros!B1095</f>
        <v>43920.75139</v>
      </c>
      <c r="C1095" s="18" t="str">
        <f>IFNA(VLOOKUP(A1095,'Registros - No nuevos'!A:A,1,0),"Nuevo")</f>
        <v>2254@gmail.com</v>
      </c>
      <c r="D1095" s="72" t="str">
        <f t="shared" si="1"/>
        <v>No Nuevo</v>
      </c>
    </row>
    <row r="1096" ht="15.75" customHeight="1">
      <c r="A1096" s="71" t="str">
        <f>Registros!A1096</f>
        <v>392@gmail.com</v>
      </c>
      <c r="B1096" s="5">
        <f>Registros!B1096</f>
        <v>43920.68403</v>
      </c>
      <c r="C1096" s="18" t="str">
        <f>IFNA(VLOOKUP(A1096,'Registros - No nuevos'!A:A,1,0),"Nuevo")</f>
        <v>392@gmail.com</v>
      </c>
      <c r="D1096" s="72" t="str">
        <f t="shared" si="1"/>
        <v>No Nuevo</v>
      </c>
    </row>
    <row r="1097" ht="15.75" customHeight="1">
      <c r="A1097" s="71" t="str">
        <f>Registros!A1097</f>
        <v>2256@gmail.com</v>
      </c>
      <c r="B1097" s="5">
        <f>Registros!B1097</f>
        <v>43920.66389</v>
      </c>
      <c r="C1097" s="18" t="str">
        <f>IFNA(VLOOKUP(A1097,'Registros - No nuevos'!A:A,1,0),"Nuevo")</f>
        <v>2256@gmail.com</v>
      </c>
      <c r="D1097" s="72" t="str">
        <f t="shared" si="1"/>
        <v>No Nuevo</v>
      </c>
    </row>
    <row r="1098" ht="15.75" customHeight="1">
      <c r="A1098" s="71" t="str">
        <f>Registros!A1098</f>
        <v>2257@hotmail.com</v>
      </c>
      <c r="B1098" s="5">
        <f>Registros!B1098</f>
        <v>43920.61389</v>
      </c>
      <c r="C1098" s="18" t="str">
        <f>IFNA(VLOOKUP(A1098,'Registros - No nuevos'!A:A,1,0),"Nuevo")</f>
        <v>2257@hotmail.com</v>
      </c>
      <c r="D1098" s="72" t="str">
        <f t="shared" si="1"/>
        <v>No Nuevo</v>
      </c>
    </row>
    <row r="1099" ht="15.75" customHeight="1">
      <c r="A1099" s="71" t="str">
        <f>Registros!A1099</f>
        <v>137@alcar2000.com</v>
      </c>
      <c r="B1099" s="5">
        <f>Registros!B1099</f>
        <v>43920.49653</v>
      </c>
      <c r="C1099" s="18" t="str">
        <f>IFNA(VLOOKUP(A1099,'Registros - No nuevos'!A:A,1,0),"Nuevo")</f>
        <v>137@alcar2000.com</v>
      </c>
      <c r="D1099" s="72" t="str">
        <f t="shared" si="1"/>
        <v>No Nuevo</v>
      </c>
    </row>
    <row r="1100" ht="15.75" customHeight="1">
      <c r="A1100" s="71" t="str">
        <f>Registros!A1100</f>
        <v>1443@hotmail.com</v>
      </c>
      <c r="B1100" s="5">
        <f>Registros!B1100</f>
        <v>43920.48889</v>
      </c>
      <c r="C1100" s="18" t="str">
        <f>IFNA(VLOOKUP(A1100,'Registros - No nuevos'!A:A,1,0),"Nuevo")</f>
        <v>1443@hotmail.com</v>
      </c>
      <c r="D1100" s="72" t="str">
        <f t="shared" si="1"/>
        <v>No Nuevo</v>
      </c>
    </row>
    <row r="1101" ht="15.75" customHeight="1">
      <c r="A1101" s="71" t="str">
        <f>Registros!A1101</f>
        <v>2261@grupoefelec.com</v>
      </c>
      <c r="B1101" s="5">
        <f>Registros!B1101</f>
        <v>43920.39722</v>
      </c>
      <c r="C1101" s="18" t="str">
        <f>IFNA(VLOOKUP(A1101,'Registros - No nuevos'!A:A,1,0),"Nuevo")</f>
        <v>2261@grupoefelec.com</v>
      </c>
      <c r="D1101" s="72" t="str">
        <f t="shared" si="1"/>
        <v>No Nuevo</v>
      </c>
    </row>
    <row r="1102" ht="15.75" customHeight="1">
      <c r="A1102" s="71" t="str">
        <f>Registros!A1102</f>
        <v>3050@gmail.com</v>
      </c>
      <c r="B1102" s="5">
        <f>Registros!B1102</f>
        <v>43920.35903</v>
      </c>
      <c r="C1102" s="18" t="str">
        <f>IFNA(VLOOKUP(A1102,'Registros - No nuevos'!A:A,1,0),"Nuevo")</f>
        <v>3050@gmail.com</v>
      </c>
      <c r="D1102" s="72" t="str">
        <f t="shared" si="1"/>
        <v>No Nuevo</v>
      </c>
    </row>
    <row r="1103" ht="15.75" customHeight="1">
      <c r="A1103" s="71" t="str">
        <f>Registros!A1103</f>
        <v>3051@hotmail.es</v>
      </c>
      <c r="B1103" s="5">
        <f>Registros!B1103</f>
        <v>43920.02431</v>
      </c>
      <c r="C1103" s="18" t="str">
        <f>IFNA(VLOOKUP(A1103,'Registros - No nuevos'!A:A,1,0),"Nuevo")</f>
        <v>3051@hotmail.es</v>
      </c>
      <c r="D1103" s="72" t="str">
        <f t="shared" si="1"/>
        <v>No Nuevo</v>
      </c>
    </row>
    <row r="1104" ht="15.75" customHeight="1">
      <c r="A1104" s="71" t="str">
        <f>Registros!A1104</f>
        <v>3052@elecnor.com</v>
      </c>
      <c r="B1104" s="5">
        <f>Registros!B1104</f>
        <v>43919.88819</v>
      </c>
      <c r="C1104" s="18" t="str">
        <f>IFNA(VLOOKUP(A1104,'Registros - No nuevos'!A:A,1,0),"Nuevo")</f>
        <v>3052@elecnor.com</v>
      </c>
      <c r="D1104" s="72" t="str">
        <f t="shared" si="1"/>
        <v>No Nuevo</v>
      </c>
    </row>
    <row r="1105" ht="15.75" customHeight="1">
      <c r="A1105" s="71" t="str">
        <f>Registros!A1105</f>
        <v>3053@gmail.com</v>
      </c>
      <c r="B1105" s="5">
        <f>Registros!B1105</f>
        <v>43919.78889</v>
      </c>
      <c r="C1105" s="18" t="str">
        <f>IFNA(VLOOKUP(A1105,'Registros - No nuevos'!A:A,1,0),"Nuevo")</f>
        <v>3053@gmail.com</v>
      </c>
      <c r="D1105" s="72" t="str">
        <f t="shared" si="1"/>
        <v>No Nuevo</v>
      </c>
    </row>
    <row r="1106" ht="15.75" customHeight="1">
      <c r="A1106" s="71" t="str">
        <f>Registros!A1106</f>
        <v>3054@autosvaliente.net</v>
      </c>
      <c r="B1106" s="5">
        <f>Registros!B1106</f>
        <v>43919.75</v>
      </c>
      <c r="C1106" s="18" t="str">
        <f>IFNA(VLOOKUP(A1106,'Registros - No nuevos'!A:A,1,0),"Nuevo")</f>
        <v>3054@autosvaliente.net</v>
      </c>
      <c r="D1106" s="72" t="str">
        <f t="shared" si="1"/>
        <v>No Nuevo</v>
      </c>
    </row>
    <row r="1107" ht="15.75" customHeight="1">
      <c r="A1107" s="71" t="str">
        <f>Registros!A1107</f>
        <v>2263@gmail.com</v>
      </c>
      <c r="B1107" s="5">
        <f>Registros!B1107</f>
        <v>43919.72778</v>
      </c>
      <c r="C1107" s="18" t="str">
        <f>IFNA(VLOOKUP(A1107,'Registros - No nuevos'!A:A,1,0),"Nuevo")</f>
        <v>2263@gmail.com</v>
      </c>
      <c r="D1107" s="72" t="str">
        <f t="shared" si="1"/>
        <v>No Nuevo</v>
      </c>
    </row>
    <row r="1108" ht="15.75" customHeight="1">
      <c r="A1108" s="71" t="str">
        <f>Registros!A1108</f>
        <v>3055@gatlantica.com</v>
      </c>
      <c r="B1108" s="5">
        <f>Registros!B1108</f>
        <v>43919.67361</v>
      </c>
      <c r="C1108" s="18" t="str">
        <f>IFNA(VLOOKUP(A1108,'Registros - No nuevos'!A:A,1,0),"Nuevo")</f>
        <v>3055@gatlantica.com</v>
      </c>
      <c r="D1108" s="72" t="str">
        <f t="shared" si="1"/>
        <v>No Nuevo</v>
      </c>
    </row>
    <row r="1109" ht="15.75" customHeight="1">
      <c r="A1109" s="71" t="str">
        <f>Registros!A1109</f>
        <v>595@centroasturianobarcelona.com</v>
      </c>
      <c r="B1109" s="5">
        <f>Registros!B1109</f>
        <v>43919.62847</v>
      </c>
      <c r="C1109" s="18" t="str">
        <f>IFNA(VLOOKUP(A1109,'Registros - No nuevos'!A:A,1,0),"Nuevo")</f>
        <v>595@centroasturianobarcelona.com</v>
      </c>
      <c r="D1109" s="72" t="str">
        <f t="shared" si="1"/>
        <v>No Nuevo</v>
      </c>
    </row>
    <row r="1110" ht="15.75" customHeight="1">
      <c r="A1110" s="71" t="str">
        <f>Registros!A1110</f>
        <v>3056@hotmail.com</v>
      </c>
      <c r="B1110" s="5">
        <f>Registros!B1110</f>
        <v>43919.58542</v>
      </c>
      <c r="C1110" s="18" t="str">
        <f>IFNA(VLOOKUP(A1110,'Registros - No nuevos'!A:A,1,0),"Nuevo")</f>
        <v>3056@hotmail.com</v>
      </c>
      <c r="D1110" s="72" t="str">
        <f t="shared" si="1"/>
        <v>No Nuevo</v>
      </c>
    </row>
    <row r="1111" ht="15.75" customHeight="1">
      <c r="A1111" s="71" t="str">
        <f>Registros!A1111</f>
        <v>2264@gmail.com</v>
      </c>
      <c r="B1111" s="5">
        <f>Registros!B1111</f>
        <v>43919.1875</v>
      </c>
      <c r="C1111" s="18" t="str">
        <f>IFNA(VLOOKUP(A1111,'Registros - No nuevos'!A:A,1,0),"Nuevo")</f>
        <v>2264@gmail.com</v>
      </c>
      <c r="D1111" s="72" t="str">
        <f t="shared" si="1"/>
        <v>No Nuevo</v>
      </c>
    </row>
    <row r="1112" ht="15.75" customHeight="1">
      <c r="A1112" s="71" t="str">
        <f>Registros!A1112</f>
        <v>2265@gmail.com</v>
      </c>
      <c r="B1112" s="5">
        <f>Registros!B1112</f>
        <v>43919.00139</v>
      </c>
      <c r="C1112" s="18" t="str">
        <f>IFNA(VLOOKUP(A1112,'Registros - No nuevos'!A:A,1,0),"Nuevo")</f>
        <v>2265@gmail.com</v>
      </c>
      <c r="D1112" s="72" t="str">
        <f t="shared" si="1"/>
        <v>No Nuevo</v>
      </c>
    </row>
    <row r="1113" ht="15.75" customHeight="1">
      <c r="A1113" s="71" t="str">
        <f>Registros!A1113</f>
        <v>1584@gmail.com</v>
      </c>
      <c r="B1113" s="5">
        <f>Registros!B1113</f>
        <v>43918.92014</v>
      </c>
      <c r="C1113" s="18" t="str">
        <f>IFNA(VLOOKUP(A1113,'Registros - No nuevos'!A:A,1,0),"Nuevo")</f>
        <v>1584@gmail.com</v>
      </c>
      <c r="D1113" s="72" t="str">
        <f t="shared" si="1"/>
        <v>No Nuevo</v>
      </c>
    </row>
    <row r="1114" ht="15.75" customHeight="1">
      <c r="A1114" s="71" t="str">
        <f>Registros!A1114</f>
        <v>3057@gmail.com</v>
      </c>
      <c r="B1114" s="5">
        <f>Registros!B1114</f>
        <v>43918.89028</v>
      </c>
      <c r="C1114" s="18" t="str">
        <f>IFNA(VLOOKUP(A1114,'Registros - No nuevos'!A:A,1,0),"Nuevo")</f>
        <v>3057@gmail.com</v>
      </c>
      <c r="D1114" s="72" t="str">
        <f t="shared" si="1"/>
        <v>No Nuevo</v>
      </c>
    </row>
    <row r="1115" ht="15.75" customHeight="1">
      <c r="A1115" s="71" t="str">
        <f>Registros!A1115</f>
        <v>1863@hotmail.com</v>
      </c>
      <c r="B1115" s="5">
        <f>Registros!B1115</f>
        <v>43918.77917</v>
      </c>
      <c r="C1115" s="18" t="str">
        <f>IFNA(VLOOKUP(A1115,'Registros - No nuevos'!A:A,1,0),"Nuevo")</f>
        <v>1863@hotmail.com</v>
      </c>
      <c r="D1115" s="72" t="str">
        <f t="shared" si="1"/>
        <v>No Nuevo</v>
      </c>
    </row>
    <row r="1116" ht="15.75" customHeight="1">
      <c r="A1116" s="71" t="str">
        <f>Registros!A1116</f>
        <v>3058@hotmail.es</v>
      </c>
      <c r="B1116" s="5">
        <f>Registros!B1116</f>
        <v>43918.67431</v>
      </c>
      <c r="C1116" s="18" t="str">
        <f>IFNA(VLOOKUP(A1116,'Registros - No nuevos'!A:A,1,0),"Nuevo")</f>
        <v>3058@hotmail.es</v>
      </c>
      <c r="D1116" s="72" t="str">
        <f t="shared" si="1"/>
        <v>No Nuevo</v>
      </c>
    </row>
    <row r="1117" ht="15.75" customHeight="1">
      <c r="A1117" s="71" t="str">
        <f>Registros!A1117</f>
        <v>3059@gmail.com</v>
      </c>
      <c r="B1117" s="5">
        <f>Registros!B1117</f>
        <v>43918.64792</v>
      </c>
      <c r="C1117" s="18" t="str">
        <f>IFNA(VLOOKUP(A1117,'Registros - No nuevos'!A:A,1,0),"Nuevo")</f>
        <v>3059@gmail.com</v>
      </c>
      <c r="D1117" s="72" t="str">
        <f t="shared" si="1"/>
        <v>No Nuevo</v>
      </c>
    </row>
    <row r="1118" ht="15.75" customHeight="1">
      <c r="A1118" s="71" t="str">
        <f>Registros!A1118</f>
        <v>3060@hotmail.com</v>
      </c>
      <c r="B1118" s="5">
        <f>Registros!B1118</f>
        <v>43918.61181</v>
      </c>
      <c r="C1118" s="18" t="str">
        <f>IFNA(VLOOKUP(A1118,'Registros - No nuevos'!A:A,1,0),"Nuevo")</f>
        <v>3060@hotmail.com</v>
      </c>
      <c r="D1118" s="72" t="str">
        <f t="shared" si="1"/>
        <v>No Nuevo</v>
      </c>
    </row>
    <row r="1119" ht="15.75" customHeight="1">
      <c r="A1119" s="71" t="str">
        <f>Registros!A1119</f>
        <v>3061@gmail.com</v>
      </c>
      <c r="B1119" s="5">
        <f>Registros!B1119</f>
        <v>43918.57986</v>
      </c>
      <c r="C1119" s="18" t="str">
        <f>IFNA(VLOOKUP(A1119,'Registros - No nuevos'!A:A,1,0),"Nuevo")</f>
        <v>3061@gmail.com</v>
      </c>
      <c r="D1119" s="72" t="str">
        <f t="shared" si="1"/>
        <v>No Nuevo</v>
      </c>
    </row>
    <row r="1120" ht="15.75" customHeight="1">
      <c r="A1120" s="71" t="str">
        <f>Registros!A1120</f>
        <v>2266@gmail.com</v>
      </c>
      <c r="B1120" s="5">
        <f>Registros!B1120</f>
        <v>43918.15347</v>
      </c>
      <c r="C1120" s="18" t="str">
        <f>IFNA(VLOOKUP(A1120,'Registros - No nuevos'!A:A,1,0),"Nuevo")</f>
        <v>2266@gmail.com</v>
      </c>
      <c r="D1120" s="72" t="str">
        <f t="shared" si="1"/>
        <v>No Nuevo</v>
      </c>
    </row>
    <row r="1121" ht="15.75" customHeight="1">
      <c r="A1121" s="71" t="str">
        <f>Registros!A1121</f>
        <v>1100@boffor.com</v>
      </c>
      <c r="B1121" s="5">
        <f>Registros!B1121</f>
        <v>43917.90139</v>
      </c>
      <c r="C1121" s="18" t="str">
        <f>IFNA(VLOOKUP(A1121,'Registros - No nuevos'!A:A,1,0),"Nuevo")</f>
        <v>1100@boffor.com</v>
      </c>
      <c r="D1121" s="72" t="str">
        <f t="shared" si="1"/>
        <v>No Nuevo</v>
      </c>
    </row>
    <row r="1122" ht="15.75" customHeight="1">
      <c r="A1122" s="71" t="str">
        <f>Registros!A1122</f>
        <v>2270@hotmail.com</v>
      </c>
      <c r="B1122" s="5">
        <f>Registros!B1122</f>
        <v>43917.81111</v>
      </c>
      <c r="C1122" s="18" t="str">
        <f>IFNA(VLOOKUP(A1122,'Registros - No nuevos'!A:A,1,0),"Nuevo")</f>
        <v>2270@hotmail.com</v>
      </c>
      <c r="D1122" s="72" t="str">
        <f t="shared" si="1"/>
        <v>No Nuevo</v>
      </c>
    </row>
    <row r="1123" ht="15.75" customHeight="1">
      <c r="A1123" s="71" t="str">
        <f>Registros!A1123</f>
        <v>296@gmail.com</v>
      </c>
      <c r="B1123" s="5">
        <f>Registros!B1123</f>
        <v>43917.52153</v>
      </c>
      <c r="C1123" s="18" t="str">
        <f>IFNA(VLOOKUP(A1123,'Registros - No nuevos'!A:A,1,0),"Nuevo")</f>
        <v>296@gmail.com</v>
      </c>
      <c r="D1123" s="72" t="str">
        <f t="shared" si="1"/>
        <v>No Nuevo</v>
      </c>
    </row>
    <row r="1124" ht="15.75" customHeight="1">
      <c r="A1124" s="71" t="str">
        <f>Registros!A1124</f>
        <v>3062@gmail.com</v>
      </c>
      <c r="B1124" s="5">
        <f>Registros!B1124</f>
        <v>43917.52153</v>
      </c>
      <c r="C1124" s="18" t="str">
        <f>IFNA(VLOOKUP(A1124,'Registros - No nuevos'!A:A,1,0),"Nuevo")</f>
        <v>3062@gmail.com</v>
      </c>
      <c r="D1124" s="72" t="str">
        <f t="shared" si="1"/>
        <v>No Nuevo</v>
      </c>
    </row>
    <row r="1125" ht="15.75" customHeight="1">
      <c r="A1125" s="71" t="str">
        <f>Registros!A1125</f>
        <v>404@hotmail.com</v>
      </c>
      <c r="B1125" s="5">
        <f>Registros!B1125</f>
        <v>43917.50972</v>
      </c>
      <c r="C1125" s="18" t="str">
        <f>IFNA(VLOOKUP(A1125,'Registros - No nuevos'!A:A,1,0),"Nuevo")</f>
        <v>404@hotmail.com</v>
      </c>
      <c r="D1125" s="72" t="str">
        <f t="shared" si="1"/>
        <v>No Nuevo</v>
      </c>
    </row>
    <row r="1126" ht="15.75" customHeight="1">
      <c r="A1126" s="71" t="str">
        <f>Registros!A1126</f>
        <v>3063@gmail.com</v>
      </c>
      <c r="B1126" s="5">
        <f>Registros!B1126</f>
        <v>43917.475</v>
      </c>
      <c r="C1126" s="18" t="str">
        <f>IFNA(VLOOKUP(A1126,'Registros - No nuevos'!A:A,1,0),"Nuevo")</f>
        <v>3063@gmail.com</v>
      </c>
      <c r="D1126" s="72" t="str">
        <f t="shared" si="1"/>
        <v>No Nuevo</v>
      </c>
    </row>
    <row r="1127" ht="15.75" customHeight="1">
      <c r="A1127" s="71" t="str">
        <f>Registros!A1127</f>
        <v>2188@gmail.com</v>
      </c>
      <c r="B1127" s="5">
        <f>Registros!B1127</f>
        <v>43917.40556</v>
      </c>
      <c r="C1127" s="18" t="str">
        <f>IFNA(VLOOKUP(A1127,'Registros - No nuevos'!A:A,1,0),"Nuevo")</f>
        <v>2188@gmail.com</v>
      </c>
      <c r="D1127" s="72" t="str">
        <f t="shared" si="1"/>
        <v>No Nuevo</v>
      </c>
    </row>
    <row r="1128" ht="15.75" customHeight="1">
      <c r="A1128" s="71" t="str">
        <f>Registros!A1128</f>
        <v>2248@telefonica.net</v>
      </c>
      <c r="B1128" s="5">
        <f>Registros!B1128</f>
        <v>43917.38472</v>
      </c>
      <c r="C1128" s="18" t="str">
        <f>IFNA(VLOOKUP(A1128,'Registros - No nuevos'!A:A,1,0),"Nuevo")</f>
        <v>2248@telefonica.net</v>
      </c>
      <c r="D1128" s="72" t="str">
        <f t="shared" si="1"/>
        <v>No Nuevo</v>
      </c>
    </row>
    <row r="1129" ht="15.75" customHeight="1">
      <c r="A1129" s="71" t="str">
        <f>Registros!A1129</f>
        <v>280@susaeta.net</v>
      </c>
      <c r="B1129" s="5">
        <f>Registros!B1129</f>
        <v>43917.35625</v>
      </c>
      <c r="C1129" s="18" t="str">
        <f>IFNA(VLOOKUP(A1129,'Registros - No nuevos'!A:A,1,0),"Nuevo")</f>
        <v>280@susaeta.net</v>
      </c>
      <c r="D1129" s="72" t="str">
        <f t="shared" si="1"/>
        <v>No Nuevo</v>
      </c>
    </row>
    <row r="1130" ht="15.75" customHeight="1">
      <c r="A1130" s="71" t="str">
        <f>Registros!A1130</f>
        <v>3064@upm.es</v>
      </c>
      <c r="B1130" s="5">
        <f>Registros!B1130</f>
        <v>43917.30972</v>
      </c>
      <c r="C1130" s="18" t="str">
        <f>IFNA(VLOOKUP(A1130,'Registros - No nuevos'!A:A,1,0),"Nuevo")</f>
        <v>3064@upm.es</v>
      </c>
      <c r="D1130" s="72" t="str">
        <f t="shared" si="1"/>
        <v>No Nuevo</v>
      </c>
    </row>
    <row r="1131" ht="15.75" customHeight="1">
      <c r="A1131" s="71" t="str">
        <f>Registros!A1131</f>
        <v>463@gmail.com</v>
      </c>
      <c r="B1131" s="5">
        <f>Registros!B1131</f>
        <v>43917.03403</v>
      </c>
      <c r="C1131" s="18" t="str">
        <f>IFNA(VLOOKUP(A1131,'Registros - No nuevos'!A:A,1,0),"Nuevo")</f>
        <v>463@gmail.com</v>
      </c>
      <c r="D1131" s="72" t="str">
        <f t="shared" si="1"/>
        <v>No Nuevo</v>
      </c>
    </row>
    <row r="1132" ht="15.75" customHeight="1">
      <c r="A1132" s="71" t="str">
        <f>Registros!A1132</f>
        <v>2129@gmail.com</v>
      </c>
      <c r="B1132" s="5">
        <f>Registros!B1132</f>
        <v>43917.03333</v>
      </c>
      <c r="C1132" s="18" t="str">
        <f>IFNA(VLOOKUP(A1132,'Registros - No nuevos'!A:A,1,0),"Nuevo")</f>
        <v>2129@gmail.com</v>
      </c>
      <c r="D1132" s="72" t="str">
        <f t="shared" si="1"/>
        <v>No Nuevo</v>
      </c>
    </row>
    <row r="1133" ht="15.75" customHeight="1">
      <c r="A1133" s="71" t="str">
        <f>Registros!A1133</f>
        <v>389@yahoo.es</v>
      </c>
      <c r="B1133" s="5">
        <f>Registros!B1133</f>
        <v>43916.99722</v>
      </c>
      <c r="C1133" s="18" t="str">
        <f>IFNA(VLOOKUP(A1133,'Registros - No nuevos'!A:A,1,0),"Nuevo")</f>
        <v>389@yahoo.es</v>
      </c>
      <c r="D1133" s="72" t="str">
        <f t="shared" si="1"/>
        <v>No Nuevo</v>
      </c>
    </row>
    <row r="1134" ht="15.75" customHeight="1">
      <c r="A1134" s="71" t="str">
        <f>Registros!A1134</f>
        <v>143@gmail.com</v>
      </c>
      <c r="B1134" s="5">
        <f>Registros!B1134</f>
        <v>43916.90069</v>
      </c>
      <c r="C1134" s="18" t="str">
        <f>IFNA(VLOOKUP(A1134,'Registros - No nuevos'!A:A,1,0),"Nuevo")</f>
        <v>143@gmail.com</v>
      </c>
      <c r="D1134" s="72" t="str">
        <f t="shared" si="1"/>
        <v>No Nuevo</v>
      </c>
    </row>
    <row r="1135" ht="15.75" customHeight="1">
      <c r="A1135" s="71" t="str">
        <f>Registros!A1135</f>
        <v>262@gmail.com</v>
      </c>
      <c r="B1135" s="5">
        <f>Registros!B1135</f>
        <v>43916.89236</v>
      </c>
      <c r="C1135" s="18" t="str">
        <f>IFNA(VLOOKUP(A1135,'Registros - No nuevos'!A:A,1,0),"Nuevo")</f>
        <v>262@gmail.com</v>
      </c>
      <c r="D1135" s="72" t="str">
        <f t="shared" si="1"/>
        <v>No Nuevo</v>
      </c>
    </row>
    <row r="1136" ht="15.75" customHeight="1">
      <c r="A1136" s="71" t="str">
        <f>Registros!A1136</f>
        <v>3065@sarria.salesians.cat</v>
      </c>
      <c r="B1136" s="5">
        <f>Registros!B1136</f>
        <v>43916.88264</v>
      </c>
      <c r="C1136" s="18" t="str">
        <f>IFNA(VLOOKUP(A1136,'Registros - No nuevos'!A:A,1,0),"Nuevo")</f>
        <v>3065@sarria.salesians.cat</v>
      </c>
      <c r="D1136" s="72" t="str">
        <f t="shared" si="1"/>
        <v>No Nuevo</v>
      </c>
    </row>
    <row r="1137" ht="15.75" customHeight="1">
      <c r="A1137" s="71" t="str">
        <f>Registros!A1137</f>
        <v>368@gmail.com</v>
      </c>
      <c r="B1137" s="5">
        <f>Registros!B1137</f>
        <v>43916.85069</v>
      </c>
      <c r="C1137" s="18" t="str">
        <f>IFNA(VLOOKUP(A1137,'Registros - No nuevos'!A:A,1,0),"Nuevo")</f>
        <v>368@gmail.com</v>
      </c>
      <c r="D1137" s="72" t="str">
        <f t="shared" si="1"/>
        <v>No Nuevo</v>
      </c>
    </row>
    <row r="1138" ht="15.75" customHeight="1">
      <c r="A1138" s="71" t="str">
        <f>Registros!A1138</f>
        <v>1402@gmail.com</v>
      </c>
      <c r="B1138" s="5">
        <f>Registros!B1138</f>
        <v>43916.84514</v>
      </c>
      <c r="C1138" s="18" t="str">
        <f>IFNA(VLOOKUP(A1138,'Registros - No nuevos'!A:A,1,0),"Nuevo")</f>
        <v>1402@gmail.com</v>
      </c>
      <c r="D1138" s="72" t="str">
        <f t="shared" si="1"/>
        <v>No Nuevo</v>
      </c>
    </row>
    <row r="1139" ht="15.75" customHeight="1">
      <c r="A1139" s="71" t="str">
        <f>Registros!A1139</f>
        <v>403@hotmail.com</v>
      </c>
      <c r="B1139" s="5">
        <f>Registros!B1139</f>
        <v>43916.79931</v>
      </c>
      <c r="C1139" s="18" t="str">
        <f>IFNA(VLOOKUP(A1139,'Registros - No nuevos'!A:A,1,0),"Nuevo")</f>
        <v>403@hotmail.com</v>
      </c>
      <c r="D1139" s="72" t="str">
        <f t="shared" si="1"/>
        <v>No Nuevo</v>
      </c>
    </row>
    <row r="1140" ht="15.75" customHeight="1">
      <c r="A1140" s="71" t="str">
        <f>Registros!A1140</f>
        <v>3066@gmail.com</v>
      </c>
      <c r="B1140" s="5">
        <f>Registros!B1140</f>
        <v>43916.75556</v>
      </c>
      <c r="C1140" s="18" t="str">
        <f>IFNA(VLOOKUP(A1140,'Registros - No nuevos'!A:A,1,0),"Nuevo")</f>
        <v>3066@gmail.com</v>
      </c>
      <c r="D1140" s="72" t="str">
        <f t="shared" si="1"/>
        <v>No Nuevo</v>
      </c>
    </row>
    <row r="1141" ht="15.75" customHeight="1">
      <c r="A1141" s="71" t="str">
        <f>Registros!A1141</f>
        <v>2066@gmail.com</v>
      </c>
      <c r="B1141" s="5">
        <f>Registros!B1141</f>
        <v>43916.74444</v>
      </c>
      <c r="C1141" s="18" t="str">
        <f>IFNA(VLOOKUP(A1141,'Registros - No nuevos'!A:A,1,0),"Nuevo")</f>
        <v>2066@gmail.com</v>
      </c>
      <c r="D1141" s="72" t="str">
        <f t="shared" si="1"/>
        <v>No Nuevo</v>
      </c>
    </row>
    <row r="1142" ht="15.75" customHeight="1">
      <c r="A1142" s="71" t="str">
        <f>Registros!A1142</f>
        <v>2280@gmail.com</v>
      </c>
      <c r="B1142" s="5">
        <f>Registros!B1142</f>
        <v>43916.71111</v>
      </c>
      <c r="C1142" s="18" t="str">
        <f>IFNA(VLOOKUP(A1142,'Registros - No nuevos'!A:A,1,0),"Nuevo")</f>
        <v>2280@gmail.com</v>
      </c>
      <c r="D1142" s="72" t="str">
        <f t="shared" si="1"/>
        <v>No Nuevo</v>
      </c>
    </row>
    <row r="1143" ht="15.75" customHeight="1">
      <c r="A1143" s="71" t="str">
        <f>Registros!A1143</f>
        <v>3067@gmail.com</v>
      </c>
      <c r="B1143" s="5">
        <f>Registros!B1143</f>
        <v>43916.70764</v>
      </c>
      <c r="C1143" s="18" t="str">
        <f>IFNA(VLOOKUP(A1143,'Registros - No nuevos'!A:A,1,0),"Nuevo")</f>
        <v>3067@gmail.com</v>
      </c>
      <c r="D1143" s="72" t="str">
        <f t="shared" si="1"/>
        <v>No Nuevo</v>
      </c>
    </row>
    <row r="1144" ht="15.75" customHeight="1">
      <c r="A1144" s="71" t="str">
        <f>Registros!A1144</f>
        <v>364@telefonica.net</v>
      </c>
      <c r="B1144" s="5">
        <f>Registros!B1144</f>
        <v>43916.69028</v>
      </c>
      <c r="C1144" s="18" t="str">
        <f>IFNA(VLOOKUP(A1144,'Registros - No nuevos'!A:A,1,0),"Nuevo")</f>
        <v>364@telefonica.net</v>
      </c>
      <c r="D1144" s="72" t="str">
        <f t="shared" si="1"/>
        <v>No Nuevo</v>
      </c>
    </row>
    <row r="1145" ht="15.75" customHeight="1">
      <c r="A1145" s="71" t="str">
        <f>Registros!A1145</f>
        <v>270@gmail.com</v>
      </c>
      <c r="B1145" s="5">
        <f>Registros!B1145</f>
        <v>43916.6875</v>
      </c>
      <c r="C1145" s="18" t="str">
        <f>IFNA(VLOOKUP(A1145,'Registros - No nuevos'!A:A,1,0),"Nuevo")</f>
        <v>270@gmail.com</v>
      </c>
      <c r="D1145" s="72" t="str">
        <f t="shared" si="1"/>
        <v>No Nuevo</v>
      </c>
    </row>
    <row r="1146" ht="15.75" customHeight="1">
      <c r="A1146" s="71" t="str">
        <f>Registros!A1146</f>
        <v>1218@gmail.com</v>
      </c>
      <c r="B1146" s="5">
        <f>Registros!B1146</f>
        <v>43916.67847</v>
      </c>
      <c r="C1146" s="18" t="str">
        <f>IFNA(VLOOKUP(A1146,'Registros - No nuevos'!A:A,1,0),"Nuevo")</f>
        <v>1218@gmail.com</v>
      </c>
      <c r="D1146" s="72" t="str">
        <f t="shared" si="1"/>
        <v>No Nuevo</v>
      </c>
    </row>
    <row r="1147" ht="15.75" customHeight="1">
      <c r="A1147" s="71" t="str">
        <f>Registros!A1147</f>
        <v>1093@edu.xunta.es</v>
      </c>
      <c r="B1147" s="5">
        <f>Registros!B1147</f>
        <v>43916.67778</v>
      </c>
      <c r="C1147" s="18" t="str">
        <f>IFNA(VLOOKUP(A1147,'Registros - No nuevos'!A:A,1,0),"Nuevo")</f>
        <v>1093@edu.xunta.es</v>
      </c>
      <c r="D1147" s="72" t="str">
        <f t="shared" si="1"/>
        <v>No Nuevo</v>
      </c>
    </row>
    <row r="1148" ht="15.75" customHeight="1">
      <c r="A1148" s="71" t="str">
        <f>Registros!A1148</f>
        <v>2255@yahoo.es</v>
      </c>
      <c r="B1148" s="5">
        <f>Registros!B1148</f>
        <v>43916.67153</v>
      </c>
      <c r="C1148" s="18" t="str">
        <f>IFNA(VLOOKUP(A1148,'Registros - No nuevos'!A:A,1,0),"Nuevo")</f>
        <v>2255@yahoo.es</v>
      </c>
      <c r="D1148" s="72" t="str">
        <f t="shared" si="1"/>
        <v>No Nuevo</v>
      </c>
    </row>
    <row r="1149" ht="15.75" customHeight="1">
      <c r="A1149" s="71" t="str">
        <f>Registros!A1149</f>
        <v>1913@gmail.com</v>
      </c>
      <c r="B1149" s="5">
        <f>Registros!B1149</f>
        <v>43916.66806</v>
      </c>
      <c r="C1149" s="18" t="str">
        <f>IFNA(VLOOKUP(A1149,'Registros - No nuevos'!A:A,1,0),"Nuevo")</f>
        <v>1913@gmail.com</v>
      </c>
      <c r="D1149" s="72" t="str">
        <f t="shared" si="1"/>
        <v>No Nuevo</v>
      </c>
    </row>
    <row r="1150" ht="15.75" customHeight="1">
      <c r="A1150" s="71" t="str">
        <f>Registros!A1150</f>
        <v>271@pkcgroup.com</v>
      </c>
      <c r="B1150" s="5">
        <f>Registros!B1150</f>
        <v>43916.66389</v>
      </c>
      <c r="C1150" s="18" t="str">
        <f>IFNA(VLOOKUP(A1150,'Registros - No nuevos'!A:A,1,0),"Nuevo")</f>
        <v>271@pkcgroup.com</v>
      </c>
      <c r="D1150" s="72" t="str">
        <f t="shared" si="1"/>
        <v>No Nuevo</v>
      </c>
    </row>
    <row r="1151" ht="15.75" customHeight="1">
      <c r="A1151" s="71" t="str">
        <f>Registros!A1151</f>
        <v>177@mobcn.org</v>
      </c>
      <c r="B1151" s="5">
        <f>Registros!B1151</f>
        <v>43916.66319</v>
      </c>
      <c r="C1151" s="18" t="str">
        <f>IFNA(VLOOKUP(A1151,'Registros - No nuevos'!A:A,1,0),"Nuevo")</f>
        <v>177@mobcn.org</v>
      </c>
      <c r="D1151" s="72" t="str">
        <f t="shared" si="1"/>
        <v>No Nuevo</v>
      </c>
    </row>
    <row r="1152" ht="15.75" customHeight="1">
      <c r="A1152" s="71" t="str">
        <f>Registros!A1152</f>
        <v>276@gmail.com</v>
      </c>
      <c r="B1152" s="5">
        <f>Registros!B1152</f>
        <v>43916.65764</v>
      </c>
      <c r="C1152" s="18" t="str">
        <f>IFNA(VLOOKUP(A1152,'Registros - No nuevos'!A:A,1,0),"Nuevo")</f>
        <v>276@gmail.com</v>
      </c>
      <c r="D1152" s="72" t="str">
        <f t="shared" si="1"/>
        <v>No Nuevo</v>
      </c>
    </row>
    <row r="1153" ht="15.75" customHeight="1">
      <c r="A1153" s="71" t="str">
        <f>Registros!A1153</f>
        <v>3068@irakasle.net</v>
      </c>
      <c r="B1153" s="5">
        <f>Registros!B1153</f>
        <v>43916.64653</v>
      </c>
      <c r="C1153" s="18" t="str">
        <f>IFNA(VLOOKUP(A1153,'Registros - No nuevos'!A:A,1,0),"Nuevo")</f>
        <v>3068@irakasle.net</v>
      </c>
      <c r="D1153" s="72" t="str">
        <f t="shared" si="1"/>
        <v>No Nuevo</v>
      </c>
    </row>
    <row r="1154" ht="15.75" customHeight="1">
      <c r="A1154" s="71" t="str">
        <f>Registros!A1154</f>
        <v>3069@coitim.es</v>
      </c>
      <c r="B1154" s="5">
        <f>Registros!B1154</f>
        <v>43916.49653</v>
      </c>
      <c r="C1154" s="18" t="str">
        <f>IFNA(VLOOKUP(A1154,'Registros - No nuevos'!A:A,1,0),"Nuevo")</f>
        <v>3069@coitim.es</v>
      </c>
      <c r="D1154" s="72" t="str">
        <f t="shared" si="1"/>
        <v>No Nuevo</v>
      </c>
    </row>
    <row r="1155" ht="15.75" customHeight="1">
      <c r="A1155" s="71" t="str">
        <f>Registros!A1155</f>
        <v>2268@gmail.com</v>
      </c>
      <c r="B1155" s="5">
        <f>Registros!B1155</f>
        <v>43916.49583</v>
      </c>
      <c r="C1155" s="18" t="str">
        <f>IFNA(VLOOKUP(A1155,'Registros - No nuevos'!A:A,1,0),"Nuevo")</f>
        <v>2268@gmail.com</v>
      </c>
      <c r="D1155" s="72" t="str">
        <f t="shared" si="1"/>
        <v>No Nuevo</v>
      </c>
    </row>
    <row r="1156" ht="15.75" customHeight="1">
      <c r="A1156" s="71" t="str">
        <f>Registros!A1156</f>
        <v>3070@gmail.com</v>
      </c>
      <c r="B1156" s="5">
        <f>Registros!B1156</f>
        <v>43916.37014</v>
      </c>
      <c r="C1156" s="18" t="str">
        <f>IFNA(VLOOKUP(A1156,'Registros - No nuevos'!A:A,1,0),"Nuevo")</f>
        <v>3070@gmail.com</v>
      </c>
      <c r="D1156" s="72" t="str">
        <f t="shared" si="1"/>
        <v>No Nuevo</v>
      </c>
    </row>
    <row r="1157" ht="15.75" customHeight="1">
      <c r="A1157" s="71" t="str">
        <f>Registros!A1157</f>
        <v>3071@garridoinstalaciones.com</v>
      </c>
      <c r="B1157" s="5">
        <f>Registros!B1157</f>
        <v>43916.34306</v>
      </c>
      <c r="C1157" s="18" t="str">
        <f>IFNA(VLOOKUP(A1157,'Registros - No nuevos'!A:A,1,0),"Nuevo")</f>
        <v>3071@garridoinstalaciones.com</v>
      </c>
      <c r="D1157" s="72" t="str">
        <f t="shared" si="1"/>
        <v>No Nuevo</v>
      </c>
    </row>
    <row r="1158" ht="15.75" customHeight="1">
      <c r="A1158" s="71" t="str">
        <f>Registros!A1158</f>
        <v>3072@hotmail.com</v>
      </c>
      <c r="B1158" s="5">
        <f>Registros!B1158</f>
        <v>43916.02014</v>
      </c>
      <c r="C1158" s="18" t="str">
        <f>IFNA(VLOOKUP(A1158,'Registros - No nuevos'!A:A,1,0),"Nuevo")</f>
        <v>3072@hotmail.com</v>
      </c>
      <c r="D1158" s="72" t="str">
        <f t="shared" si="1"/>
        <v>No Nuevo</v>
      </c>
    </row>
    <row r="1159" ht="15.75" customHeight="1">
      <c r="A1159" s="71" t="str">
        <f>Registros!A1159</f>
        <v>3073@gmail.com</v>
      </c>
      <c r="B1159" s="5">
        <f>Registros!B1159</f>
        <v>43916.01736</v>
      </c>
      <c r="C1159" s="18" t="str">
        <f>IFNA(VLOOKUP(A1159,'Registros - No nuevos'!A:A,1,0),"Nuevo")</f>
        <v>3073@gmail.com</v>
      </c>
      <c r="D1159" s="72" t="str">
        <f t="shared" si="1"/>
        <v>No Nuevo</v>
      </c>
    </row>
    <row r="1160" ht="15.75" customHeight="1">
      <c r="A1160" s="71" t="str">
        <f>Registros!A1160</f>
        <v>2289@hotmail.com</v>
      </c>
      <c r="B1160" s="5">
        <f>Registros!B1160</f>
        <v>43916.00486</v>
      </c>
      <c r="C1160" s="18" t="str">
        <f>IFNA(VLOOKUP(A1160,'Registros - No nuevos'!A:A,1,0),"Nuevo")</f>
        <v>2289@hotmail.com</v>
      </c>
      <c r="D1160" s="72" t="str">
        <f t="shared" si="1"/>
        <v>No Nuevo</v>
      </c>
    </row>
    <row r="1161" ht="15.75" customHeight="1">
      <c r="A1161" s="71" t="str">
        <f>Registros!A1161</f>
        <v>2297@sece.com</v>
      </c>
      <c r="B1161" s="5">
        <f>Registros!B1161</f>
        <v>43915.73958</v>
      </c>
      <c r="C1161" s="18" t="str">
        <f>IFNA(VLOOKUP(A1161,'Registros - No nuevos'!A:A,1,0),"Nuevo")</f>
        <v>2297@sece.com</v>
      </c>
      <c r="D1161" s="72" t="str">
        <f t="shared" si="1"/>
        <v>No Nuevo</v>
      </c>
    </row>
    <row r="1162" ht="15.75" customHeight="1">
      <c r="A1162" s="71" t="str">
        <f>Registros!A1162</f>
        <v>2300@grupoelectrostocks.com</v>
      </c>
      <c r="B1162" s="5">
        <f>Registros!B1162</f>
        <v>43915.72083</v>
      </c>
      <c r="C1162" s="18" t="str">
        <f>IFNA(VLOOKUP(A1162,'Registros - No nuevos'!A:A,1,0),"Nuevo")</f>
        <v>2300@grupoelectrostocks.com</v>
      </c>
      <c r="D1162" s="72" t="str">
        <f t="shared" si="1"/>
        <v>No Nuevo</v>
      </c>
    </row>
    <row r="1163" ht="15.75" customHeight="1">
      <c r="A1163" s="71" t="str">
        <f>Registros!A1163</f>
        <v>2302@agosa.es</v>
      </c>
      <c r="B1163" s="5">
        <f>Registros!B1163</f>
        <v>43915.70694</v>
      </c>
      <c r="C1163" s="18" t="str">
        <f>IFNA(VLOOKUP(A1163,'Registros - No nuevos'!A:A,1,0),"Nuevo")</f>
        <v>2302@agosa.es</v>
      </c>
      <c r="D1163" s="72" t="str">
        <f t="shared" si="1"/>
        <v>No Nuevo</v>
      </c>
    </row>
    <row r="1164" ht="15.75" customHeight="1">
      <c r="A1164" s="71" t="str">
        <f>Registros!A1164</f>
        <v>2306@somosemotion.es</v>
      </c>
      <c r="B1164" s="5">
        <f>Registros!B1164</f>
        <v>43915.68889</v>
      </c>
      <c r="C1164" s="18" t="str">
        <f>IFNA(VLOOKUP(A1164,'Registros - No nuevos'!A:A,1,0),"Nuevo")</f>
        <v>2306@somosemotion.es</v>
      </c>
      <c r="D1164" s="72" t="str">
        <f t="shared" si="1"/>
        <v>No Nuevo</v>
      </c>
    </row>
    <row r="1165" ht="15.75" customHeight="1">
      <c r="A1165" s="71" t="str">
        <f>Registros!A1165</f>
        <v>2308@gmail.com</v>
      </c>
      <c r="B1165" s="5">
        <f>Registros!B1165</f>
        <v>43915.64583</v>
      </c>
      <c r="C1165" s="18" t="str">
        <f>IFNA(VLOOKUP(A1165,'Registros - No nuevos'!A:A,1,0),"Nuevo")</f>
        <v>2308@gmail.com</v>
      </c>
      <c r="D1165" s="72" t="str">
        <f t="shared" si="1"/>
        <v>No Nuevo</v>
      </c>
    </row>
    <row r="1166" ht="15.75" customHeight="1">
      <c r="A1166" s="71" t="str">
        <f>Registros!A1166</f>
        <v>3074@gmail.com</v>
      </c>
      <c r="B1166" s="5">
        <f>Registros!B1166</f>
        <v>43915.56597</v>
      </c>
      <c r="C1166" s="18" t="str">
        <f>IFNA(VLOOKUP(A1166,'Registros - No nuevos'!A:A,1,0),"Nuevo")</f>
        <v>3074@gmail.com</v>
      </c>
      <c r="D1166" s="72" t="str">
        <f t="shared" si="1"/>
        <v>No Nuevo</v>
      </c>
    </row>
    <row r="1167" ht="15.75" customHeight="1">
      <c r="A1167" s="71" t="str">
        <f>Registros!A1167</f>
        <v>2316@telecable.es</v>
      </c>
      <c r="B1167" s="5">
        <f>Registros!B1167</f>
        <v>43915.46944</v>
      </c>
      <c r="C1167" s="18" t="str">
        <f>IFNA(VLOOKUP(A1167,'Registros - No nuevos'!A:A,1,0),"Nuevo")</f>
        <v>2316@telecable.es</v>
      </c>
      <c r="D1167" s="72" t="str">
        <f t="shared" si="1"/>
        <v>No Nuevo</v>
      </c>
    </row>
    <row r="1168" ht="15.75" customHeight="1">
      <c r="A1168" s="71" t="str">
        <f>Registros!A1168</f>
        <v>2318@grupo-jarama.com</v>
      </c>
      <c r="B1168" s="5">
        <f>Registros!B1168</f>
        <v>43915.45</v>
      </c>
      <c r="C1168" s="18" t="str">
        <f>IFNA(VLOOKUP(A1168,'Registros - No nuevos'!A:A,1,0),"Nuevo")</f>
        <v>2318@grupo-jarama.com</v>
      </c>
      <c r="D1168" s="72" t="str">
        <f t="shared" si="1"/>
        <v>No Nuevo</v>
      </c>
    </row>
    <row r="1169" ht="15.75" customHeight="1">
      <c r="A1169" s="71" t="str">
        <f>Registros!A1169</f>
        <v>2320@electrovizcaya.com</v>
      </c>
      <c r="B1169" s="5">
        <f>Registros!B1169</f>
        <v>43915.36736</v>
      </c>
      <c r="C1169" s="18" t="str">
        <f>IFNA(VLOOKUP(A1169,'Registros - No nuevos'!A:A,1,0),"Nuevo")</f>
        <v>2320@electrovizcaya.com</v>
      </c>
      <c r="D1169" s="72" t="str">
        <f t="shared" si="1"/>
        <v>No Nuevo</v>
      </c>
    </row>
    <row r="1170" ht="15.75" customHeight="1">
      <c r="A1170" s="71" t="str">
        <f>Registros!A1170</f>
        <v>2321@coto.pro</v>
      </c>
      <c r="B1170" s="5">
        <f>Registros!B1170</f>
        <v>43915.33056</v>
      </c>
      <c r="C1170" s="18" t="str">
        <f>IFNA(VLOOKUP(A1170,'Registros - No nuevos'!A:A,1,0),"Nuevo")</f>
        <v>2321@coto.pro</v>
      </c>
      <c r="D1170" s="72" t="str">
        <f t="shared" si="1"/>
        <v>No Nuevo</v>
      </c>
    </row>
    <row r="1171" ht="15.75" customHeight="1">
      <c r="A1171" s="71" t="str">
        <f>Registros!A1171</f>
        <v>2325@ingenierosvalladolid.es</v>
      </c>
      <c r="B1171" s="5">
        <f>Registros!B1171</f>
        <v>43914.97361</v>
      </c>
      <c r="C1171" s="18" t="str">
        <f>IFNA(VLOOKUP(A1171,'Registros - No nuevos'!A:A,1,0),"Nuevo")</f>
        <v>2325@ingenierosvalladolid.es</v>
      </c>
      <c r="D1171" s="72" t="str">
        <f t="shared" si="1"/>
        <v>No Nuevo</v>
      </c>
    </row>
    <row r="1172" ht="15.75" customHeight="1">
      <c r="A1172" s="71" t="str">
        <f>Registros!A1172</f>
        <v>2327@gmail.com</v>
      </c>
      <c r="B1172" s="5">
        <f>Registros!B1172</f>
        <v>43914.95278</v>
      </c>
      <c r="C1172" s="18" t="str">
        <f>IFNA(VLOOKUP(A1172,'Registros - No nuevos'!A:A,1,0),"Nuevo")</f>
        <v>2327@gmail.com</v>
      </c>
      <c r="D1172" s="72" t="str">
        <f t="shared" si="1"/>
        <v>No Nuevo</v>
      </c>
    </row>
    <row r="1173" ht="15.75" customHeight="1">
      <c r="A1173" s="71" t="str">
        <f>Registros!A1173</f>
        <v>3075@hotmail.com</v>
      </c>
      <c r="B1173" s="5">
        <f>Registros!B1173</f>
        <v>43914.89306</v>
      </c>
      <c r="C1173" s="18" t="str">
        <f>IFNA(VLOOKUP(A1173,'Registros - No nuevos'!A:A,1,0),"Nuevo")</f>
        <v>3075@hotmail.com</v>
      </c>
      <c r="D1173" s="72" t="str">
        <f t="shared" si="1"/>
        <v>No Nuevo</v>
      </c>
    </row>
    <row r="1174" ht="15.75" customHeight="1">
      <c r="A1174" s="71" t="str">
        <f>Registros!A1174</f>
        <v>3076@gmail.com</v>
      </c>
      <c r="B1174" s="5">
        <f>Registros!B1174</f>
        <v>43914.84444</v>
      </c>
      <c r="C1174" s="18" t="str">
        <f>IFNA(VLOOKUP(A1174,'Registros - No nuevos'!A:A,1,0),"Nuevo")</f>
        <v>3076@gmail.com</v>
      </c>
      <c r="D1174" s="72" t="str">
        <f t="shared" si="1"/>
        <v>No Nuevo</v>
      </c>
    </row>
    <row r="1175" ht="15.75" customHeight="1">
      <c r="A1175" s="71" t="str">
        <f>Registros!A1175</f>
        <v>2338@gmail.com</v>
      </c>
      <c r="B1175" s="5">
        <f>Registros!B1175</f>
        <v>43914.83472</v>
      </c>
      <c r="C1175" s="18" t="str">
        <f>IFNA(VLOOKUP(A1175,'Registros - No nuevos'!A:A,1,0),"Nuevo")</f>
        <v>2338@gmail.com</v>
      </c>
      <c r="D1175" s="72" t="str">
        <f t="shared" si="1"/>
        <v>No Nuevo</v>
      </c>
    </row>
    <row r="1176" ht="15.75" customHeight="1">
      <c r="A1176" s="71" t="str">
        <f>Registros!A1176</f>
        <v>2339@monlau.com</v>
      </c>
      <c r="B1176" s="5">
        <f>Registros!B1176</f>
        <v>43914.83194</v>
      </c>
      <c r="C1176" s="18" t="str">
        <f>IFNA(VLOOKUP(A1176,'Registros - No nuevos'!A:A,1,0),"Nuevo")</f>
        <v>2339@monlau.com</v>
      </c>
      <c r="D1176" s="72" t="str">
        <f t="shared" si="1"/>
        <v>No Nuevo</v>
      </c>
    </row>
    <row r="1177" ht="15.75" customHeight="1">
      <c r="A1177" s="71" t="str">
        <f>Registros!A1177</f>
        <v>1938@gmail.com</v>
      </c>
      <c r="B1177" s="5">
        <f>Registros!B1177</f>
        <v>43914.77708</v>
      </c>
      <c r="C1177" s="18" t="str">
        <f>IFNA(VLOOKUP(A1177,'Registros - No nuevos'!A:A,1,0),"Nuevo")</f>
        <v>1938@gmail.com</v>
      </c>
      <c r="D1177" s="72" t="str">
        <f t="shared" si="1"/>
        <v>No Nuevo</v>
      </c>
    </row>
    <row r="1178" ht="15.75" customHeight="1">
      <c r="A1178" s="71" t="str">
        <f>Registros!A1178</f>
        <v>2347@visaonomada.pt</v>
      </c>
      <c r="B1178" s="5">
        <f>Registros!B1178</f>
        <v>43914.74375</v>
      </c>
      <c r="C1178" s="18" t="str">
        <f>IFNA(VLOOKUP(A1178,'Registros - No nuevos'!A:A,1,0),"Nuevo")</f>
        <v>2347@visaonomada.pt</v>
      </c>
      <c r="D1178" s="72" t="str">
        <f t="shared" si="1"/>
        <v>No Nuevo</v>
      </c>
    </row>
    <row r="1179" ht="15.75" customHeight="1">
      <c r="A1179" s="71" t="str">
        <f>Registros!A1179</f>
        <v>2353@conecta-sistemas.com</v>
      </c>
      <c r="B1179" s="5">
        <f>Registros!B1179</f>
        <v>43914.7</v>
      </c>
      <c r="C1179" s="18" t="str">
        <f>IFNA(VLOOKUP(A1179,'Registros - No nuevos'!A:A,1,0),"Nuevo")</f>
        <v>2353@conecta-sistemas.com</v>
      </c>
      <c r="D1179" s="72" t="str">
        <f t="shared" si="1"/>
        <v>No Nuevo</v>
      </c>
    </row>
    <row r="1180" ht="15.75" customHeight="1">
      <c r="A1180" s="71" t="str">
        <f>Registros!A1180</f>
        <v>2356@infova.es</v>
      </c>
      <c r="B1180" s="5">
        <f>Registros!B1180</f>
        <v>43914.66111</v>
      </c>
      <c r="C1180" s="18" t="str">
        <f>IFNA(VLOOKUP(A1180,'Registros - No nuevos'!A:A,1,0),"Nuevo")</f>
        <v>2356@infova.es</v>
      </c>
      <c r="D1180" s="72" t="str">
        <f t="shared" si="1"/>
        <v>No Nuevo</v>
      </c>
    </row>
    <row r="1181" ht="15.75" customHeight="1">
      <c r="A1181" s="71" t="str">
        <f>Registros!A1181</f>
        <v>2366@energies.cat</v>
      </c>
      <c r="B1181" s="5">
        <f>Registros!B1181</f>
        <v>43914.59306</v>
      </c>
      <c r="C1181" s="18" t="str">
        <f>IFNA(VLOOKUP(A1181,'Registros - No nuevos'!A:A,1,0),"Nuevo")</f>
        <v>2366@energies.cat</v>
      </c>
      <c r="D1181" s="72" t="str">
        <f t="shared" si="1"/>
        <v>No Nuevo</v>
      </c>
    </row>
    <row r="1182" ht="15.75" customHeight="1">
      <c r="A1182" s="71" t="str">
        <f>Registros!A1182</f>
        <v>2368@gmail.com</v>
      </c>
      <c r="B1182" s="5">
        <f>Registros!B1182</f>
        <v>43914.57569</v>
      </c>
      <c r="C1182" s="18" t="str">
        <f>IFNA(VLOOKUP(A1182,'Registros - No nuevos'!A:A,1,0),"Nuevo")</f>
        <v>2368@gmail.com</v>
      </c>
      <c r="D1182" s="72" t="str">
        <f t="shared" si="1"/>
        <v>No Nuevo</v>
      </c>
    </row>
    <row r="1183" ht="15.75" customHeight="1">
      <c r="A1183" s="71" t="str">
        <f>Registros!A1183</f>
        <v>3077@gmail.co</v>
      </c>
      <c r="B1183" s="5">
        <f>Registros!B1183</f>
        <v>43914.57431</v>
      </c>
      <c r="C1183" s="18" t="str">
        <f>IFNA(VLOOKUP(A1183,'Registros - No nuevos'!A:A,1,0),"Nuevo")</f>
        <v>3077@gmail.co</v>
      </c>
      <c r="D1183" s="72" t="str">
        <f t="shared" si="1"/>
        <v>No Nuevo</v>
      </c>
    </row>
    <row r="1184" ht="15.75" customHeight="1">
      <c r="A1184" s="71" t="str">
        <f>Registros!A1184</f>
        <v>3078@hotmail.com</v>
      </c>
      <c r="B1184" s="5">
        <f>Registros!B1184</f>
        <v>43914.55486</v>
      </c>
      <c r="C1184" s="18" t="str">
        <f>IFNA(VLOOKUP(A1184,'Registros - No nuevos'!A:A,1,0),"Nuevo")</f>
        <v>3078@hotmail.com</v>
      </c>
      <c r="D1184" s="72" t="str">
        <f t="shared" si="1"/>
        <v>No Nuevo</v>
      </c>
    </row>
    <row r="1185" ht="15.75" customHeight="1">
      <c r="A1185" s="71" t="str">
        <f>Registros!A1185</f>
        <v>2373@grupoelectrostocks.com</v>
      </c>
      <c r="B1185" s="5">
        <f>Registros!B1185</f>
        <v>43914.54722</v>
      </c>
      <c r="C1185" s="18" t="str">
        <f>IFNA(VLOOKUP(A1185,'Registros - No nuevos'!A:A,1,0),"Nuevo")</f>
        <v>2373@grupoelectrostocks.com</v>
      </c>
      <c r="D1185" s="72" t="str">
        <f t="shared" si="1"/>
        <v>No Nuevo</v>
      </c>
    </row>
    <row r="1186" ht="15.75" customHeight="1">
      <c r="A1186" s="71" t="str">
        <f>Registros!A1186</f>
        <v>2379@erf.cat</v>
      </c>
      <c r="B1186" s="5">
        <f>Registros!B1186</f>
        <v>43914.53681</v>
      </c>
      <c r="C1186" s="18" t="str">
        <f>IFNA(VLOOKUP(A1186,'Registros - No nuevos'!A:A,1,0),"Nuevo")</f>
        <v>2379@erf.cat</v>
      </c>
      <c r="D1186" s="72" t="str">
        <f t="shared" si="1"/>
        <v>No Nuevo</v>
      </c>
    </row>
    <row r="1187" ht="15.75" customHeight="1">
      <c r="A1187" s="71" t="str">
        <f>Registros!A1187</f>
        <v>2382@hotmail.com</v>
      </c>
      <c r="B1187" s="5">
        <f>Registros!B1187</f>
        <v>43914.53125</v>
      </c>
      <c r="C1187" s="18" t="str">
        <f>IFNA(VLOOKUP(A1187,'Registros - No nuevos'!A:A,1,0),"Nuevo")</f>
        <v>2382@hotmail.com</v>
      </c>
      <c r="D1187" s="72" t="str">
        <f t="shared" si="1"/>
        <v>No Nuevo</v>
      </c>
    </row>
    <row r="1188" ht="15.75" customHeight="1">
      <c r="A1188" s="71" t="str">
        <f>Registros!A1188</f>
        <v>2174@wurth.es</v>
      </c>
      <c r="B1188" s="5">
        <f>Registros!B1188</f>
        <v>43914.52292</v>
      </c>
      <c r="C1188" s="18" t="str">
        <f>IFNA(VLOOKUP(A1188,'Registros - No nuevos'!A:A,1,0),"Nuevo")</f>
        <v>2174@wurth.es</v>
      </c>
      <c r="D1188" s="72" t="str">
        <f t="shared" si="1"/>
        <v>No Nuevo</v>
      </c>
    </row>
    <row r="1189" ht="15.75" customHeight="1">
      <c r="A1189" s="71" t="str">
        <f>Registros!A1189</f>
        <v>2216@bladis.com</v>
      </c>
      <c r="B1189" s="5">
        <f>Registros!B1189</f>
        <v>43914.51667</v>
      </c>
      <c r="C1189" s="18" t="str">
        <f>IFNA(VLOOKUP(A1189,'Registros - No nuevos'!A:A,1,0),"Nuevo")</f>
        <v>2216@bladis.com</v>
      </c>
      <c r="D1189" s="72" t="str">
        <f t="shared" si="1"/>
        <v>No Nuevo</v>
      </c>
    </row>
    <row r="1190" ht="15.75" customHeight="1">
      <c r="A1190" s="71" t="str">
        <f>Registros!A1190</f>
        <v>2406@gmail.com</v>
      </c>
      <c r="B1190" s="5">
        <f>Registros!B1190</f>
        <v>43914.49931</v>
      </c>
      <c r="C1190" s="18" t="str">
        <f>IFNA(VLOOKUP(A1190,'Registros - No nuevos'!A:A,1,0),"Nuevo")</f>
        <v>2406@gmail.com</v>
      </c>
      <c r="D1190" s="72" t="str">
        <f t="shared" si="1"/>
        <v>No Nuevo</v>
      </c>
    </row>
    <row r="1191" ht="15.75" customHeight="1">
      <c r="A1191" s="71" t="str">
        <f>Registros!A1191</f>
        <v>2408@me.com</v>
      </c>
      <c r="B1191" s="5">
        <f>Registros!B1191</f>
        <v>43914.49722</v>
      </c>
      <c r="C1191" s="18" t="str">
        <f>IFNA(VLOOKUP(A1191,'Registros - No nuevos'!A:A,1,0),"Nuevo")</f>
        <v>2408@me.com</v>
      </c>
      <c r="D1191" s="72" t="str">
        <f t="shared" si="1"/>
        <v>No Nuevo</v>
      </c>
    </row>
    <row r="1192" ht="15.75" customHeight="1">
      <c r="A1192" s="71" t="str">
        <f>Registros!A1192</f>
        <v>3079@yahoo.es</v>
      </c>
      <c r="B1192" s="5">
        <f>Registros!B1192</f>
        <v>43914.44583</v>
      </c>
      <c r="C1192" s="18" t="str">
        <f>IFNA(VLOOKUP(A1192,'Registros - No nuevos'!A:A,1,0),"Nuevo")</f>
        <v>3079@yahoo.es</v>
      </c>
      <c r="D1192" s="72" t="str">
        <f t="shared" si="1"/>
        <v>No Nuevo</v>
      </c>
    </row>
    <row r="1193" ht="15.75" customHeight="1">
      <c r="A1193" s="71" t="str">
        <f>Registros!A1193</f>
        <v>3080@gmail.com</v>
      </c>
      <c r="B1193" s="5">
        <f>Registros!B1193</f>
        <v>43914.00347</v>
      </c>
      <c r="C1193" s="18" t="str">
        <f>IFNA(VLOOKUP(A1193,'Registros - No nuevos'!A:A,1,0),"Nuevo")</f>
        <v>3080@gmail.com</v>
      </c>
      <c r="D1193" s="72" t="str">
        <f t="shared" si="1"/>
        <v>No Nuevo</v>
      </c>
    </row>
    <row r="1194" ht="15.75" customHeight="1">
      <c r="A1194" s="71" t="str">
        <f>Registros!A1194</f>
        <v>3081@yahoo.com</v>
      </c>
      <c r="B1194" s="5">
        <f>Registros!B1194</f>
        <v>43913.99028</v>
      </c>
      <c r="C1194" s="18" t="str">
        <f>IFNA(VLOOKUP(A1194,'Registros - No nuevos'!A:A,1,0),"Nuevo")</f>
        <v>3081@yahoo.com</v>
      </c>
      <c r="D1194" s="72" t="str">
        <f t="shared" si="1"/>
        <v>No Nuevo</v>
      </c>
    </row>
    <row r="1195" ht="15.75" customHeight="1">
      <c r="A1195" s="71" t="str">
        <f>Registros!A1195</f>
        <v>1233@hotmail.com</v>
      </c>
      <c r="B1195" s="5">
        <f>Registros!B1195</f>
        <v>43913.85903</v>
      </c>
      <c r="C1195" s="18" t="str">
        <f>IFNA(VLOOKUP(A1195,'Registros - No nuevos'!A:A,1,0),"Nuevo")</f>
        <v>1233@hotmail.com</v>
      </c>
      <c r="D1195" s="72" t="str">
        <f t="shared" si="1"/>
        <v>No Nuevo</v>
      </c>
    </row>
    <row r="1196" ht="15.75" customHeight="1">
      <c r="A1196" s="71" t="str">
        <f>Registros!A1196</f>
        <v>3082@gmail.com</v>
      </c>
      <c r="B1196" s="5">
        <f>Registros!B1196</f>
        <v>43913.76736</v>
      </c>
      <c r="C1196" s="18" t="str">
        <f>IFNA(VLOOKUP(A1196,'Registros - No nuevos'!A:A,1,0),"Nuevo")</f>
        <v>3082@gmail.com</v>
      </c>
      <c r="D1196" s="72" t="str">
        <f t="shared" si="1"/>
        <v>No Nuevo</v>
      </c>
    </row>
    <row r="1197" ht="15.75" customHeight="1">
      <c r="A1197" s="71" t="str">
        <f>Registros!A1197</f>
        <v>3083@hotmail.com</v>
      </c>
      <c r="B1197" s="5">
        <f>Registros!B1197</f>
        <v>43913.71944</v>
      </c>
      <c r="C1197" s="18" t="str">
        <f>IFNA(VLOOKUP(A1197,'Registros - No nuevos'!A:A,1,0),"Nuevo")</f>
        <v>3083@hotmail.com</v>
      </c>
      <c r="D1197" s="72" t="str">
        <f t="shared" si="1"/>
        <v>No Nuevo</v>
      </c>
    </row>
    <row r="1198" ht="15.75" customHeight="1">
      <c r="A1198" s="71" t="str">
        <f>Registros!A1198</f>
        <v>3084@hotmail.com</v>
      </c>
      <c r="B1198" s="5">
        <f>Registros!B1198</f>
        <v>43913.70764</v>
      </c>
      <c r="C1198" s="18" t="str">
        <f>IFNA(VLOOKUP(A1198,'Registros - No nuevos'!A:A,1,0),"Nuevo")</f>
        <v>3084@hotmail.com</v>
      </c>
      <c r="D1198" s="72" t="str">
        <f t="shared" si="1"/>
        <v>No Nuevo</v>
      </c>
    </row>
    <row r="1199" ht="15.75" customHeight="1">
      <c r="A1199" s="71" t="str">
        <f>Registros!A1199</f>
        <v>1687@gestilar.com</v>
      </c>
      <c r="B1199" s="5">
        <f>Registros!B1199</f>
        <v>43913.64236</v>
      </c>
      <c r="C1199" s="18" t="str">
        <f>IFNA(VLOOKUP(A1199,'Registros - No nuevos'!A:A,1,0),"Nuevo")</f>
        <v>1687@gestilar.com</v>
      </c>
      <c r="D1199" s="72" t="str">
        <f t="shared" si="1"/>
        <v>No Nuevo</v>
      </c>
    </row>
    <row r="1200" ht="15.75" customHeight="1">
      <c r="A1200" s="71" t="str">
        <f>Registros!A1200</f>
        <v>3085@gmail.com</v>
      </c>
      <c r="B1200" s="5">
        <f>Registros!B1200</f>
        <v>43913.47361</v>
      </c>
      <c r="C1200" s="18" t="str">
        <f>IFNA(VLOOKUP(A1200,'Registros - No nuevos'!A:A,1,0),"Nuevo")</f>
        <v>3085@gmail.com</v>
      </c>
      <c r="D1200" s="72" t="str">
        <f t="shared" si="1"/>
        <v>No Nuevo</v>
      </c>
    </row>
    <row r="1201" ht="15.75" customHeight="1">
      <c r="A1201" s="71" t="str">
        <f>Registros!A1201</f>
        <v>3086@gmail.com</v>
      </c>
      <c r="B1201" s="5">
        <f>Registros!B1201</f>
        <v>43912.87986</v>
      </c>
      <c r="C1201" s="18" t="str">
        <f>IFNA(VLOOKUP(A1201,'Registros - No nuevos'!A:A,1,0),"Nuevo")</f>
        <v>3086@gmail.com</v>
      </c>
      <c r="D1201" s="72" t="str">
        <f t="shared" si="1"/>
        <v>No Nuevo</v>
      </c>
    </row>
    <row r="1202" ht="15.75" customHeight="1">
      <c r="A1202" s="71" t="str">
        <f>Registros!A1202</f>
        <v>2358@hotmail.es</v>
      </c>
      <c r="B1202" s="5">
        <f>Registros!B1202</f>
        <v>43912.44653</v>
      </c>
      <c r="C1202" s="18" t="str">
        <f>IFNA(VLOOKUP(A1202,'Registros - No nuevos'!A:A,1,0),"Nuevo")</f>
        <v>2358@hotmail.es</v>
      </c>
      <c r="D1202" s="72" t="str">
        <f t="shared" si="1"/>
        <v>No Nuevo</v>
      </c>
    </row>
    <row r="1203" ht="15.75" customHeight="1">
      <c r="A1203" s="71" t="str">
        <f>Registros!A1203</f>
        <v>3087@gmail.com</v>
      </c>
      <c r="B1203" s="5">
        <f>Registros!B1203</f>
        <v>43911.98611</v>
      </c>
      <c r="C1203" s="18" t="str">
        <f>IFNA(VLOOKUP(A1203,'Registros - No nuevos'!A:A,1,0),"Nuevo")</f>
        <v>3087@gmail.com</v>
      </c>
      <c r="D1203" s="72" t="str">
        <f t="shared" si="1"/>
        <v>No Nuevo</v>
      </c>
    </row>
    <row r="1204" ht="15.75" customHeight="1">
      <c r="A1204" s="71" t="str">
        <f>Registros!A1204</f>
        <v>2187@hotmail.com</v>
      </c>
      <c r="B1204" s="5">
        <f>Registros!B1204</f>
        <v>43911.91597</v>
      </c>
      <c r="C1204" s="18" t="str">
        <f>IFNA(VLOOKUP(A1204,'Registros - No nuevos'!A:A,1,0),"Nuevo")</f>
        <v>2187@hotmail.com</v>
      </c>
      <c r="D1204" s="72" t="str">
        <f t="shared" si="1"/>
        <v>No Nuevo</v>
      </c>
    </row>
    <row r="1205" ht="15.75" customHeight="1">
      <c r="A1205" s="71" t="str">
        <f>Registros!A1205</f>
        <v>3088@grupoelectrostocks.com</v>
      </c>
      <c r="B1205" s="5">
        <f>Registros!B1205</f>
        <v>43911.58264</v>
      </c>
      <c r="C1205" s="18" t="str">
        <f>IFNA(VLOOKUP(A1205,'Registros - No nuevos'!A:A,1,0),"Nuevo")</f>
        <v>3088@grupoelectrostocks.com</v>
      </c>
      <c r="D1205" s="72" t="str">
        <f t="shared" si="1"/>
        <v>No Nuevo</v>
      </c>
    </row>
    <row r="1206" ht="15.75" customHeight="1">
      <c r="A1206" s="71" t="str">
        <f>Registros!A1206</f>
        <v>3089@yahoo.es</v>
      </c>
      <c r="B1206" s="5">
        <f>Registros!B1206</f>
        <v>43911.52569</v>
      </c>
      <c r="C1206" s="18" t="str">
        <f>IFNA(VLOOKUP(A1206,'Registros - No nuevos'!A:A,1,0),"Nuevo")</f>
        <v>3089@yahoo.es</v>
      </c>
      <c r="D1206" s="72" t="str">
        <f t="shared" si="1"/>
        <v>No Nuevo</v>
      </c>
    </row>
    <row r="1207" ht="15.75" customHeight="1">
      <c r="A1207" s="71" t="str">
        <f>Registros!A1207</f>
        <v>3090@hotmail.com</v>
      </c>
      <c r="B1207" s="5">
        <f>Registros!B1207</f>
        <v>43911.38403</v>
      </c>
      <c r="C1207" s="18" t="str">
        <f>IFNA(VLOOKUP(A1207,'Registros - No nuevos'!A:A,1,0),"Nuevo")</f>
        <v>3090@hotmail.com</v>
      </c>
      <c r="D1207" s="72" t="str">
        <f t="shared" si="1"/>
        <v>No Nuevo</v>
      </c>
    </row>
    <row r="1208" ht="15.75" customHeight="1">
      <c r="A1208" s="71" t="str">
        <f>Registros!A1208</f>
        <v>3091@hotmail.com</v>
      </c>
      <c r="B1208" s="5">
        <f>Registros!B1208</f>
        <v>43911.38194</v>
      </c>
      <c r="C1208" s="18" t="str">
        <f>IFNA(VLOOKUP(A1208,'Registros - No nuevos'!A:A,1,0),"Nuevo")</f>
        <v>3091@hotmail.com</v>
      </c>
      <c r="D1208" s="72" t="str">
        <f t="shared" si="1"/>
        <v>No Nuevo</v>
      </c>
    </row>
    <row r="1209" ht="15.75" customHeight="1">
      <c r="A1209" s="71" t="str">
        <f>Registros!A1209</f>
        <v>3092@hotmail.com</v>
      </c>
      <c r="B1209" s="5">
        <f>Registros!B1209</f>
        <v>43911.34375</v>
      </c>
      <c r="C1209" s="18" t="str">
        <f>IFNA(VLOOKUP(A1209,'Registros - No nuevos'!A:A,1,0),"Nuevo")</f>
        <v>3092@hotmail.com</v>
      </c>
      <c r="D1209" s="72" t="str">
        <f t="shared" si="1"/>
        <v>No Nuevo</v>
      </c>
    </row>
    <row r="1210" ht="15.75" customHeight="1">
      <c r="A1210" s="71" t="str">
        <f>Registros!A1210</f>
        <v>1411@ujaen.es</v>
      </c>
      <c r="B1210" s="5">
        <f>Registros!B1210</f>
        <v>43911.00486</v>
      </c>
      <c r="C1210" s="18" t="str">
        <f>IFNA(VLOOKUP(A1210,'Registros - No nuevos'!A:A,1,0),"Nuevo")</f>
        <v>1411@ujaen.es</v>
      </c>
      <c r="D1210" s="72" t="str">
        <f t="shared" si="1"/>
        <v>No Nuevo</v>
      </c>
    </row>
    <row r="1211" ht="15.75" customHeight="1">
      <c r="A1211" s="71" t="str">
        <f>Registros!A1211</f>
        <v>2444@gmail.com</v>
      </c>
      <c r="B1211" s="5">
        <f>Registros!B1211</f>
        <v>43910.65625</v>
      </c>
      <c r="C1211" s="18" t="str">
        <f>IFNA(VLOOKUP(A1211,'Registros - No nuevos'!A:A,1,0),"Nuevo")</f>
        <v>2444@gmail.com</v>
      </c>
      <c r="D1211" s="72" t="str">
        <f t="shared" si="1"/>
        <v>No Nuevo</v>
      </c>
    </row>
    <row r="1212" ht="15.75" customHeight="1">
      <c r="A1212" s="71" t="str">
        <f>Registros!A1212</f>
        <v>3093@gmail.com</v>
      </c>
      <c r="B1212" s="5">
        <f>Registros!B1212</f>
        <v>43910.60764</v>
      </c>
      <c r="C1212" s="18" t="str">
        <f>IFNA(VLOOKUP(A1212,'Registros - No nuevos'!A:A,1,0),"Nuevo")</f>
        <v>3093@gmail.com</v>
      </c>
      <c r="D1212" s="72" t="str">
        <f t="shared" si="1"/>
        <v>No Nuevo</v>
      </c>
    </row>
    <row r="1213" ht="15.75" customHeight="1">
      <c r="A1213" s="71" t="str">
        <f>Registros!A1213</f>
        <v>2446@hotmail.com</v>
      </c>
      <c r="B1213" s="5">
        <f>Registros!B1213</f>
        <v>43910.59306</v>
      </c>
      <c r="C1213" s="18" t="str">
        <f>IFNA(VLOOKUP(A1213,'Registros - No nuevos'!A:A,1,0),"Nuevo")</f>
        <v>2446@hotmail.com</v>
      </c>
      <c r="D1213" s="72" t="str">
        <f t="shared" si="1"/>
        <v>No Nuevo</v>
      </c>
    </row>
    <row r="1214" ht="15.75" customHeight="1">
      <c r="A1214" s="71" t="str">
        <f>Registros!A1214</f>
        <v>2447@etecnic.es</v>
      </c>
      <c r="B1214" s="5">
        <f>Registros!B1214</f>
        <v>43910.56736</v>
      </c>
      <c r="C1214" s="18" t="str">
        <f>IFNA(VLOOKUP(A1214,'Registros - No nuevos'!A:A,1,0),"Nuevo")</f>
        <v>2447@etecnic.es</v>
      </c>
      <c r="D1214" s="72" t="str">
        <f t="shared" si="1"/>
        <v>No Nuevo</v>
      </c>
    </row>
    <row r="1215" ht="15.75" customHeight="1">
      <c r="A1215" s="71" t="str">
        <f>Registros!A1215</f>
        <v>2448@uvigo.es</v>
      </c>
      <c r="B1215" s="5">
        <f>Registros!B1215</f>
        <v>43910.51597</v>
      </c>
      <c r="C1215" s="18" t="str">
        <f>IFNA(VLOOKUP(A1215,'Registros - No nuevos'!A:A,1,0),"Nuevo")</f>
        <v>2448@uvigo.es</v>
      </c>
      <c r="D1215" s="72" t="str">
        <f t="shared" si="1"/>
        <v>No Nuevo</v>
      </c>
    </row>
    <row r="1216" ht="15.75" customHeight="1">
      <c r="A1216" s="71" t="str">
        <f>Registros!A1216</f>
        <v>3094@hotmail.com</v>
      </c>
      <c r="B1216" s="5">
        <f>Registros!B1216</f>
        <v>43909.73403</v>
      </c>
      <c r="C1216" s="18" t="str">
        <f>IFNA(VLOOKUP(A1216,'Registros - No nuevos'!A:A,1,0),"Nuevo")</f>
        <v>3094@hotmail.com</v>
      </c>
      <c r="D1216" s="72" t="str">
        <f t="shared" si="1"/>
        <v>No Nuevo</v>
      </c>
    </row>
    <row r="1217" ht="15.75" customHeight="1">
      <c r="A1217" s="71" t="str">
        <f>Registros!A1217</f>
        <v>3095@wallbox.com</v>
      </c>
      <c r="B1217" s="5">
        <f>Registros!B1217</f>
        <v>43909.56181</v>
      </c>
      <c r="C1217" s="18" t="str">
        <f>IFNA(VLOOKUP(A1217,'Registros - No nuevos'!A:A,1,0),"Nuevo")</f>
        <v>3095@wallbox.com</v>
      </c>
      <c r="D1217" s="72" t="str">
        <f t="shared" si="1"/>
        <v>No Nuevo</v>
      </c>
    </row>
    <row r="1218" ht="15.75" customHeight="1">
      <c r="A1218" s="71" t="str">
        <f>Registros!A1218</f>
        <v>2449@magtel.es</v>
      </c>
      <c r="B1218" s="5">
        <f>Registros!B1218</f>
        <v>43909.34375</v>
      </c>
      <c r="C1218" s="18" t="str">
        <f>IFNA(VLOOKUP(A1218,'Registros - No nuevos'!A:A,1,0),"Nuevo")</f>
        <v>2449@magtel.es</v>
      </c>
      <c r="D1218" s="72" t="str">
        <f t="shared" si="1"/>
        <v>No Nuevo</v>
      </c>
    </row>
    <row r="1219" ht="15.75" customHeight="1">
      <c r="A1219" s="71" t="str">
        <f>Registros!A1219</f>
        <v>3096@hotmail.com</v>
      </c>
      <c r="B1219" s="5">
        <f>Registros!B1219</f>
        <v>43909.31042</v>
      </c>
      <c r="C1219" s="18" t="str">
        <f>IFNA(VLOOKUP(A1219,'Registros - No nuevos'!A:A,1,0),"Nuevo")</f>
        <v>3096@hotmail.com</v>
      </c>
      <c r="D1219" s="72" t="str">
        <f t="shared" si="1"/>
        <v>No Nuevo</v>
      </c>
    </row>
    <row r="1220" ht="15.75" customHeight="1">
      <c r="A1220" s="71" t="str">
        <f>Registros!A1220</f>
        <v>561@aialmeingenieros.com</v>
      </c>
      <c r="B1220" s="5">
        <f>Registros!B1220</f>
        <v>43908.74861</v>
      </c>
      <c r="C1220" s="18" t="str">
        <f>IFNA(VLOOKUP(A1220,'Registros - No nuevos'!A:A,1,0),"Nuevo")</f>
        <v>561@aialmeingenieros.com</v>
      </c>
      <c r="D1220" s="72" t="str">
        <f t="shared" si="1"/>
        <v>No Nuevo</v>
      </c>
    </row>
    <row r="1221" ht="15.75" customHeight="1">
      <c r="A1221" s="71" t="str">
        <f>Registros!A1221</f>
        <v>3097@hotmail.com</v>
      </c>
      <c r="B1221" s="5">
        <f>Registros!B1221</f>
        <v>43908.58681</v>
      </c>
      <c r="C1221" s="18" t="str">
        <f>IFNA(VLOOKUP(A1221,'Registros - No nuevos'!A:A,1,0),"Nuevo")</f>
        <v>3097@hotmail.com</v>
      </c>
      <c r="D1221" s="72" t="str">
        <f t="shared" si="1"/>
        <v>No Nuevo</v>
      </c>
    </row>
    <row r="1222" ht="15.75" customHeight="1">
      <c r="A1222" s="71" t="str">
        <f>Registros!A1222</f>
        <v>2452@fi-group.com</v>
      </c>
      <c r="B1222" s="5">
        <f>Registros!B1222</f>
        <v>43907.75347</v>
      </c>
      <c r="C1222" s="18" t="str">
        <f>IFNA(VLOOKUP(A1222,'Registros - No nuevos'!A:A,1,0),"Nuevo")</f>
        <v>2452@fi-group.com</v>
      </c>
      <c r="D1222" s="72" t="str">
        <f t="shared" si="1"/>
        <v>No Nuevo</v>
      </c>
    </row>
    <row r="1223" ht="15.75" customHeight="1">
      <c r="A1223" s="71" t="str">
        <f>Registros!A1223</f>
        <v>3098@soc.redcitroen.com</v>
      </c>
      <c r="B1223" s="5">
        <f>Registros!B1223</f>
        <v>43907.70764</v>
      </c>
      <c r="C1223" s="18" t="str">
        <f>IFNA(VLOOKUP(A1223,'Registros - No nuevos'!A:A,1,0),"Nuevo")</f>
        <v>3098@soc.redcitroen.com</v>
      </c>
      <c r="D1223" s="72" t="str">
        <f t="shared" si="1"/>
        <v>No Nuevo</v>
      </c>
    </row>
    <row r="1224" ht="15.75" customHeight="1">
      <c r="A1224" s="71" t="str">
        <f>Registros!A1224</f>
        <v>3099@hotmail.com</v>
      </c>
      <c r="B1224" s="5">
        <f>Registros!B1224</f>
        <v>43907.63194</v>
      </c>
      <c r="C1224" s="18" t="str">
        <f>IFNA(VLOOKUP(A1224,'Registros - No nuevos'!A:A,1,0),"Nuevo")</f>
        <v>3099@hotmail.com</v>
      </c>
      <c r="D1224" s="72" t="str">
        <f t="shared" si="1"/>
        <v>No Nuevo</v>
      </c>
    </row>
    <row r="1225" ht="15.75" customHeight="1">
      <c r="A1225" s="71" t="str">
        <f>Registros!A1225</f>
        <v>2453@insitecaingenieros.com</v>
      </c>
      <c r="B1225" s="5">
        <f>Registros!B1225</f>
        <v>43907.61806</v>
      </c>
      <c r="C1225" s="18" t="str">
        <f>IFNA(VLOOKUP(A1225,'Registros - No nuevos'!A:A,1,0),"Nuevo")</f>
        <v>2453@insitecaingenieros.com</v>
      </c>
      <c r="D1225" s="72" t="str">
        <f t="shared" si="1"/>
        <v>No Nuevo</v>
      </c>
    </row>
    <row r="1226" ht="15.75" customHeight="1">
      <c r="A1226" s="71" t="str">
        <f>Registros!A1226</f>
        <v>2443@gmail.com</v>
      </c>
      <c r="B1226" s="5">
        <f>Registros!B1226</f>
        <v>43907.45903</v>
      </c>
      <c r="C1226" s="18" t="str">
        <f>IFNA(VLOOKUP(A1226,'Registros - No nuevos'!A:A,1,0),"Nuevo")</f>
        <v>2443@gmail.com</v>
      </c>
      <c r="D1226" s="72" t="str">
        <f t="shared" si="1"/>
        <v>No Nuevo</v>
      </c>
    </row>
    <row r="1227" ht="15.75" customHeight="1">
      <c r="A1227" s="71" t="str">
        <f>Registros!A1227</f>
        <v>2454@gmail.com</v>
      </c>
      <c r="B1227" s="5">
        <f>Registros!B1227</f>
        <v>43907.43472</v>
      </c>
      <c r="C1227" s="18" t="str">
        <f>IFNA(VLOOKUP(A1227,'Registros - No nuevos'!A:A,1,0),"Nuevo")</f>
        <v>2454@gmail.com</v>
      </c>
      <c r="D1227" s="72" t="str">
        <f t="shared" si="1"/>
        <v>No Nuevo</v>
      </c>
    </row>
    <row r="1228" ht="15.75" customHeight="1">
      <c r="A1228" s="71" t="str">
        <f>Registros!A1228</f>
        <v>2455@gmail.com</v>
      </c>
      <c r="B1228" s="5">
        <f>Registros!B1228</f>
        <v>43907.42847</v>
      </c>
      <c r="C1228" s="18" t="str">
        <f>IFNA(VLOOKUP(A1228,'Registros - No nuevos'!A:A,1,0),"Nuevo")</f>
        <v>2455@gmail.com</v>
      </c>
      <c r="D1228" s="72" t="str">
        <f t="shared" si="1"/>
        <v>No Nuevo</v>
      </c>
    </row>
    <row r="1229" ht="15.75" customHeight="1">
      <c r="A1229" s="71" t="str">
        <f>Registros!A1229</f>
        <v>415@gmail.com</v>
      </c>
      <c r="B1229" s="5">
        <f>Registros!B1229</f>
        <v>43907.425</v>
      </c>
      <c r="C1229" s="18" t="str">
        <f>IFNA(VLOOKUP(A1229,'Registros - No nuevos'!A:A,1,0),"Nuevo")</f>
        <v>415@gmail.com</v>
      </c>
      <c r="D1229" s="72" t="str">
        <f t="shared" si="1"/>
        <v>No Nuevo</v>
      </c>
    </row>
    <row r="1230" ht="15.75" customHeight="1">
      <c r="A1230" s="71" t="str">
        <f>Registros!A1230</f>
        <v>2456@serlujua.com</v>
      </c>
      <c r="B1230" s="5">
        <f>Registros!B1230</f>
        <v>43907.39028</v>
      </c>
      <c r="C1230" s="18" t="str">
        <f>IFNA(VLOOKUP(A1230,'Registros - No nuevos'!A:A,1,0),"Nuevo")</f>
        <v>2456@serlujua.com</v>
      </c>
      <c r="D1230" s="72" t="str">
        <f t="shared" si="1"/>
        <v>No Nuevo</v>
      </c>
    </row>
    <row r="1231" ht="15.75" customHeight="1">
      <c r="A1231" s="71" t="str">
        <f>Registros!A1231</f>
        <v>2458@gmail.com</v>
      </c>
      <c r="B1231" s="5">
        <f>Registros!B1231</f>
        <v>43907.025</v>
      </c>
      <c r="C1231" s="18" t="str">
        <f>IFNA(VLOOKUP(A1231,'Registros - No nuevos'!A:A,1,0),"Nuevo")</f>
        <v>2458@gmail.com</v>
      </c>
      <c r="D1231" s="72" t="str">
        <f t="shared" si="1"/>
        <v>No Nuevo</v>
      </c>
    </row>
    <row r="1232" ht="15.75" customHeight="1">
      <c r="A1232" s="71" t="str">
        <f>Registros!A1232</f>
        <v>3100@cold-facilities.com</v>
      </c>
      <c r="B1232" s="5">
        <f>Registros!B1232</f>
        <v>43906.78542</v>
      </c>
      <c r="C1232" s="18" t="str">
        <f>IFNA(VLOOKUP(A1232,'Registros - No nuevos'!A:A,1,0),"Nuevo")</f>
        <v>3100@cold-facilities.com</v>
      </c>
      <c r="D1232" s="72" t="str">
        <f t="shared" si="1"/>
        <v>No Nuevo</v>
      </c>
    </row>
    <row r="1233" ht="15.75" customHeight="1">
      <c r="A1233" s="71" t="str">
        <f>Registros!A1233</f>
        <v>2281@hotmail.com</v>
      </c>
      <c r="B1233" s="5">
        <f>Registros!B1233</f>
        <v>43906.47292</v>
      </c>
      <c r="C1233" s="18" t="str">
        <f>IFNA(VLOOKUP(A1233,'Registros - No nuevos'!A:A,1,0),"Nuevo")</f>
        <v>2281@hotmail.com</v>
      </c>
      <c r="D1233" s="72" t="str">
        <f t="shared" si="1"/>
        <v>No Nuevo</v>
      </c>
    </row>
    <row r="1234" ht="15.75" customHeight="1">
      <c r="A1234" s="71" t="str">
        <f>Registros!A1234</f>
        <v>2462@gmail.com</v>
      </c>
      <c r="B1234" s="5">
        <f>Registros!B1234</f>
        <v>43906.42986</v>
      </c>
      <c r="C1234" s="18" t="str">
        <f>IFNA(VLOOKUP(A1234,'Registros - No nuevos'!A:A,1,0),"Nuevo")</f>
        <v>2462@gmail.com</v>
      </c>
      <c r="D1234" s="72" t="str">
        <f t="shared" si="1"/>
        <v>No Nuevo</v>
      </c>
    </row>
    <row r="1235" ht="15.75" customHeight="1">
      <c r="A1235" s="71" t="str">
        <f>Registros!A1235</f>
        <v>3101@hotmail.com</v>
      </c>
      <c r="B1235" s="5">
        <f>Registros!B1235</f>
        <v>43906.28889</v>
      </c>
      <c r="C1235" s="18" t="str">
        <f>IFNA(VLOOKUP(A1235,'Registros - No nuevos'!A:A,1,0),"Nuevo")</f>
        <v>3101@hotmail.com</v>
      </c>
      <c r="D1235" s="72" t="str">
        <f t="shared" si="1"/>
        <v>No Nuevo</v>
      </c>
    </row>
    <row r="1236" ht="15.75" customHeight="1">
      <c r="A1236" s="71" t="str">
        <f>Registros!A1236</f>
        <v>3102@gmail.com</v>
      </c>
      <c r="B1236" s="5">
        <f>Registros!B1236</f>
        <v>43906.18125</v>
      </c>
      <c r="C1236" s="18" t="str">
        <f>IFNA(VLOOKUP(A1236,'Registros - No nuevos'!A:A,1,0),"Nuevo")</f>
        <v>3102@gmail.com</v>
      </c>
      <c r="D1236" s="72" t="str">
        <f t="shared" si="1"/>
        <v>No Nuevo</v>
      </c>
    </row>
    <row r="1237" ht="15.75" customHeight="1">
      <c r="A1237" s="71" t="str">
        <f>Registros!A1237</f>
        <v>3103@gmail.com</v>
      </c>
      <c r="B1237" s="5">
        <f>Registros!B1237</f>
        <v>43905.9875</v>
      </c>
      <c r="C1237" s="18" t="str">
        <f>IFNA(VLOOKUP(A1237,'Registros - No nuevos'!A:A,1,0),"Nuevo")</f>
        <v>3103@gmail.com</v>
      </c>
      <c r="D1237" s="72" t="str">
        <f t="shared" si="1"/>
        <v>No Nuevo</v>
      </c>
    </row>
    <row r="1238" ht="15.75" customHeight="1">
      <c r="A1238" s="71" t="str">
        <f>Registros!A1238</f>
        <v>3104@hotmail.com</v>
      </c>
      <c r="B1238" s="5">
        <f>Registros!B1238</f>
        <v>43905.97222</v>
      </c>
      <c r="C1238" s="18" t="str">
        <f>IFNA(VLOOKUP(A1238,'Registros - No nuevos'!A:A,1,0),"Nuevo")</f>
        <v>3104@hotmail.com</v>
      </c>
      <c r="D1238" s="72" t="str">
        <f t="shared" si="1"/>
        <v>No Nuevo</v>
      </c>
    </row>
    <row r="1239" ht="15.75" customHeight="1">
      <c r="A1239" s="71" t="str">
        <f>Registros!A1239</f>
        <v>3105@tecnoantena.es</v>
      </c>
      <c r="B1239" s="5">
        <f>Registros!B1239</f>
        <v>43905.80347</v>
      </c>
      <c r="C1239" s="18" t="str">
        <f>IFNA(VLOOKUP(A1239,'Registros - No nuevos'!A:A,1,0),"Nuevo")</f>
        <v>3105@tecnoantena.es</v>
      </c>
      <c r="D1239" s="72" t="str">
        <f t="shared" si="1"/>
        <v>No Nuevo</v>
      </c>
    </row>
    <row r="1240" ht="15.75" customHeight="1">
      <c r="A1240" s="71" t="str">
        <f>Registros!A1240</f>
        <v>3106@hotmail.com</v>
      </c>
      <c r="B1240" s="5">
        <f>Registros!B1240</f>
        <v>43905.71736</v>
      </c>
      <c r="C1240" s="18" t="str">
        <f>IFNA(VLOOKUP(A1240,'Registros - No nuevos'!A:A,1,0),"Nuevo")</f>
        <v>3106@hotmail.com</v>
      </c>
      <c r="D1240" s="72" t="str">
        <f t="shared" si="1"/>
        <v>No Nuevo</v>
      </c>
    </row>
    <row r="1241" ht="15.75" customHeight="1">
      <c r="A1241" s="71" t="str">
        <f>Registros!A1241</f>
        <v>3107@gmail.com</v>
      </c>
      <c r="B1241" s="5">
        <f>Registros!B1241</f>
        <v>43905.53819</v>
      </c>
      <c r="C1241" s="18" t="str">
        <f>IFNA(VLOOKUP(A1241,'Registros - No nuevos'!A:A,1,0),"Nuevo")</f>
        <v>3107@gmail.com</v>
      </c>
      <c r="D1241" s="72" t="str">
        <f t="shared" si="1"/>
        <v>No Nuevo</v>
      </c>
    </row>
    <row r="1242" ht="15.75" customHeight="1">
      <c r="A1242" s="71" t="str">
        <f>Registros!A1242</f>
        <v>2457@gmail.com</v>
      </c>
      <c r="B1242" s="5">
        <f>Registros!B1242</f>
        <v>43905.01944</v>
      </c>
      <c r="C1242" s="18" t="str">
        <f>IFNA(VLOOKUP(A1242,'Registros - No nuevos'!A:A,1,0),"Nuevo")</f>
        <v>2457@gmail.com</v>
      </c>
      <c r="D1242" s="72" t="str">
        <f t="shared" si="1"/>
        <v>No Nuevo</v>
      </c>
    </row>
    <row r="1243" ht="15.75" customHeight="1">
      <c r="A1243" s="71" t="str">
        <f>Registros!A1243</f>
        <v>3108@gmail.com</v>
      </c>
      <c r="B1243" s="5">
        <f>Registros!B1243</f>
        <v>43904.81111</v>
      </c>
      <c r="C1243" s="18" t="str">
        <f>IFNA(VLOOKUP(A1243,'Registros - No nuevos'!A:A,1,0),"Nuevo")</f>
        <v>3108@gmail.com</v>
      </c>
      <c r="D1243" s="72" t="str">
        <f t="shared" si="1"/>
        <v>No Nuevo</v>
      </c>
    </row>
    <row r="1244" ht="15.75" customHeight="1">
      <c r="A1244" s="71" t="str">
        <f>Registros!A1244</f>
        <v>3109@gmail.com</v>
      </c>
      <c r="B1244" s="5">
        <f>Registros!B1244</f>
        <v>43904.80625</v>
      </c>
      <c r="C1244" s="18" t="str">
        <f>IFNA(VLOOKUP(A1244,'Registros - No nuevos'!A:A,1,0),"Nuevo")</f>
        <v>3109@gmail.com</v>
      </c>
      <c r="D1244" s="72" t="str">
        <f t="shared" si="1"/>
        <v>No Nuevo</v>
      </c>
    </row>
    <row r="1245" ht="15.75" customHeight="1">
      <c r="A1245" s="71" t="str">
        <f>Registros!A1245</f>
        <v>3110@gmail.com</v>
      </c>
      <c r="B1245" s="5">
        <f>Registros!B1245</f>
        <v>43904.80278</v>
      </c>
      <c r="C1245" s="18" t="str">
        <f>IFNA(VLOOKUP(A1245,'Registros - No nuevos'!A:A,1,0),"Nuevo")</f>
        <v>3110@gmail.com</v>
      </c>
      <c r="D1245" s="72" t="str">
        <f t="shared" si="1"/>
        <v>No Nuevo</v>
      </c>
    </row>
    <row r="1246" ht="15.75" customHeight="1">
      <c r="A1246" s="71" t="str">
        <f>Registros!A1246</f>
        <v>2029@sonepar.es</v>
      </c>
      <c r="B1246" s="5">
        <f>Registros!B1246</f>
        <v>43904.79583</v>
      </c>
      <c r="C1246" s="18" t="str">
        <f>IFNA(VLOOKUP(A1246,'Registros - No nuevos'!A:A,1,0),"Nuevo")</f>
        <v>2029@sonepar.es</v>
      </c>
      <c r="D1246" s="72" t="str">
        <f t="shared" si="1"/>
        <v>No Nuevo</v>
      </c>
    </row>
    <row r="1247" ht="15.75" customHeight="1">
      <c r="A1247" s="71" t="str">
        <f>Registros!A1247</f>
        <v>3111@hotmail.com</v>
      </c>
      <c r="B1247" s="5">
        <f>Registros!B1247</f>
        <v>43904.61111</v>
      </c>
      <c r="C1247" s="18" t="str">
        <f>IFNA(VLOOKUP(A1247,'Registros - No nuevos'!A:A,1,0),"Nuevo")</f>
        <v>3111@hotmail.com</v>
      </c>
      <c r="D1247" s="72" t="str">
        <f t="shared" si="1"/>
        <v>No Nuevo</v>
      </c>
    </row>
    <row r="1248" ht="15.75" customHeight="1">
      <c r="A1248" s="71" t="str">
        <f>Registros!A1248</f>
        <v>1632@iremael.com</v>
      </c>
      <c r="B1248" s="5">
        <f>Registros!B1248</f>
        <v>43903.93403</v>
      </c>
      <c r="C1248" s="18" t="str">
        <f>IFNA(VLOOKUP(A1248,'Registros - No nuevos'!A:A,1,0),"Nuevo")</f>
        <v>1632@iremael.com</v>
      </c>
      <c r="D1248" s="72" t="str">
        <f t="shared" si="1"/>
        <v>No Nuevo</v>
      </c>
    </row>
    <row r="1249" ht="15.75" customHeight="1">
      <c r="A1249" s="71" t="str">
        <f>Registros!A1249</f>
        <v>3112@moinpro.es</v>
      </c>
      <c r="B1249" s="5">
        <f>Registros!B1249</f>
        <v>43903.89514</v>
      </c>
      <c r="C1249" s="18" t="str">
        <f>IFNA(VLOOKUP(A1249,'Registros - No nuevos'!A:A,1,0),"Nuevo")</f>
        <v>3112@moinpro.es</v>
      </c>
      <c r="D1249" s="72" t="str">
        <f t="shared" si="1"/>
        <v>No Nuevo</v>
      </c>
    </row>
    <row r="1250" ht="15.75" customHeight="1">
      <c r="A1250" s="71" t="str">
        <f>Registros!A1250</f>
        <v>1144@idponline.net</v>
      </c>
      <c r="B1250" s="5">
        <f>Registros!B1250</f>
        <v>43903.59236</v>
      </c>
      <c r="C1250" s="18" t="str">
        <f>IFNA(VLOOKUP(A1250,'Registros - No nuevos'!A:A,1,0),"Nuevo")</f>
        <v>1144@idponline.net</v>
      </c>
      <c r="D1250" s="72" t="str">
        <f t="shared" si="1"/>
        <v>No Nuevo</v>
      </c>
    </row>
    <row r="1251" ht="15.75" customHeight="1">
      <c r="A1251" s="71" t="str">
        <f>Registros!A1251</f>
        <v>1188@gmail.com</v>
      </c>
      <c r="B1251" s="5">
        <f>Registros!B1251</f>
        <v>43903.57569</v>
      </c>
      <c r="C1251" s="18" t="str">
        <f>IFNA(VLOOKUP(A1251,'Registros - No nuevos'!A:A,1,0),"Nuevo")</f>
        <v>1188@gmail.com</v>
      </c>
      <c r="D1251" s="72" t="str">
        <f t="shared" si="1"/>
        <v>No Nuevo</v>
      </c>
    </row>
    <row r="1252" ht="15.75" customHeight="1">
      <c r="A1252" s="71" t="str">
        <f>Registros!A1252</f>
        <v>1974@proluxingenieros.com</v>
      </c>
      <c r="B1252" s="5">
        <f>Registros!B1252</f>
        <v>43903.53472</v>
      </c>
      <c r="C1252" s="18" t="str">
        <f>IFNA(VLOOKUP(A1252,'Registros - No nuevos'!A:A,1,0),"Nuevo")</f>
        <v>1974@proluxingenieros.com</v>
      </c>
      <c r="D1252" s="72" t="str">
        <f t="shared" si="1"/>
        <v>No Nuevo</v>
      </c>
    </row>
    <row r="1253" ht="15.75" customHeight="1">
      <c r="A1253" s="71" t="str">
        <f>Registros!A1253</f>
        <v>2468@gmail.com</v>
      </c>
      <c r="B1253" s="5">
        <f>Registros!B1253</f>
        <v>43903.53264</v>
      </c>
      <c r="C1253" s="18" t="str">
        <f>IFNA(VLOOKUP(A1253,'Registros - No nuevos'!A:A,1,0),"Nuevo")</f>
        <v>2468@gmail.com</v>
      </c>
      <c r="D1253" s="72" t="str">
        <f t="shared" si="1"/>
        <v>No Nuevo</v>
      </c>
    </row>
    <row r="1254" ht="15.75" customHeight="1">
      <c r="A1254" s="71" t="str">
        <f>Registros!A1254</f>
        <v>3113@gmail.com</v>
      </c>
      <c r="B1254" s="5">
        <f>Registros!B1254</f>
        <v>43903.35278</v>
      </c>
      <c r="C1254" s="18" t="str">
        <f>IFNA(VLOOKUP(A1254,'Registros - No nuevos'!A:A,1,0),"Nuevo")</f>
        <v>3113@gmail.com</v>
      </c>
      <c r="D1254" s="72" t="str">
        <f t="shared" si="1"/>
        <v>No Nuevo</v>
      </c>
    </row>
    <row r="1255" ht="15.75" customHeight="1">
      <c r="A1255" s="71" t="str">
        <f>Registros!A1255</f>
        <v>2470@gmail.com</v>
      </c>
      <c r="B1255" s="5">
        <f>Registros!B1255</f>
        <v>43903.25417</v>
      </c>
      <c r="C1255" s="18" t="str">
        <f>IFNA(VLOOKUP(A1255,'Registros - No nuevos'!A:A,1,0),"Nuevo")</f>
        <v>2470@gmail.com</v>
      </c>
      <c r="D1255" s="72" t="str">
        <f t="shared" si="1"/>
        <v>No Nuevo</v>
      </c>
    </row>
    <row r="1256" ht="15.75" customHeight="1">
      <c r="A1256" s="71" t="str">
        <f>Registros!A1256</f>
        <v>749@gmail.com</v>
      </c>
      <c r="B1256" s="5">
        <f>Registros!B1256</f>
        <v>43903.03264</v>
      </c>
      <c r="C1256" s="18" t="str">
        <f>IFNA(VLOOKUP(A1256,'Registros - No nuevos'!A:A,1,0),"Nuevo")</f>
        <v>749@gmail.com</v>
      </c>
      <c r="D1256" s="72" t="str">
        <f t="shared" si="1"/>
        <v>No Nuevo</v>
      </c>
    </row>
    <row r="1257" ht="15.75" customHeight="1">
      <c r="A1257" s="71" t="str">
        <f>Registros!A1257</f>
        <v>3114@hotmail.com</v>
      </c>
      <c r="B1257" s="5">
        <f>Registros!B1257</f>
        <v>43902.56736</v>
      </c>
      <c r="C1257" s="18" t="str">
        <f>IFNA(VLOOKUP(A1257,'Registros - No nuevos'!A:A,1,0),"Nuevo")</f>
        <v>3114@hotmail.com</v>
      </c>
      <c r="D1257" s="72" t="str">
        <f t="shared" si="1"/>
        <v>No Nuevo</v>
      </c>
    </row>
    <row r="1258" ht="15.75" customHeight="1">
      <c r="A1258" s="71" t="str">
        <f>Registros!A1258</f>
        <v>2286@hotmail.com</v>
      </c>
      <c r="B1258" s="5">
        <f>Registros!B1258</f>
        <v>43902.47361</v>
      </c>
      <c r="C1258" s="18" t="str">
        <f>IFNA(VLOOKUP(A1258,'Registros - No nuevos'!A:A,1,0),"Nuevo")</f>
        <v>2286@hotmail.com</v>
      </c>
      <c r="D1258" s="72" t="str">
        <f t="shared" si="1"/>
        <v>No Nuevo</v>
      </c>
    </row>
    <row r="1259" ht="15.75" customHeight="1">
      <c r="A1259" s="71" t="str">
        <f>Registros!A1259</f>
        <v>2477@moralesyartigasabogados.com</v>
      </c>
      <c r="B1259" s="5">
        <f>Registros!B1259</f>
        <v>43902.41042</v>
      </c>
      <c r="C1259" s="18" t="str">
        <f>IFNA(VLOOKUP(A1259,'Registros - No nuevos'!A:A,1,0),"Nuevo")</f>
        <v>2477@moralesyartigasabogados.com</v>
      </c>
      <c r="D1259" s="72" t="str">
        <f t="shared" si="1"/>
        <v>No Nuevo</v>
      </c>
    </row>
    <row r="1260" ht="15.75" customHeight="1">
      <c r="A1260" s="71" t="str">
        <f>Registros!A1260</f>
        <v>2478@gmail.com</v>
      </c>
      <c r="B1260" s="5">
        <f>Registros!B1260</f>
        <v>43902.01597</v>
      </c>
      <c r="C1260" s="18" t="str">
        <f>IFNA(VLOOKUP(A1260,'Registros - No nuevos'!A:A,1,0),"Nuevo")</f>
        <v>2478@gmail.com</v>
      </c>
      <c r="D1260" s="72" t="str">
        <f t="shared" si="1"/>
        <v>No Nuevo</v>
      </c>
    </row>
    <row r="1261" ht="15.75" customHeight="1">
      <c r="A1261" s="71" t="str">
        <f>Registros!A1261</f>
        <v>3115@gmail.com</v>
      </c>
      <c r="B1261" s="5">
        <f>Registros!B1261</f>
        <v>43901.86111</v>
      </c>
      <c r="C1261" s="18" t="str">
        <f>IFNA(VLOOKUP(A1261,'Registros - No nuevos'!A:A,1,0),"Nuevo")</f>
        <v>3115@gmail.com</v>
      </c>
      <c r="D1261" s="72" t="str">
        <f t="shared" si="1"/>
        <v>No Nuevo</v>
      </c>
    </row>
    <row r="1262" ht="15.75" customHeight="1">
      <c r="A1262" s="71" t="str">
        <f>Registros!A1262</f>
        <v>2167@outlook.es</v>
      </c>
      <c r="B1262" s="5">
        <f>Registros!B1262</f>
        <v>43901.79722</v>
      </c>
      <c r="C1262" s="18" t="str">
        <f>IFNA(VLOOKUP(A1262,'Registros - No nuevos'!A:A,1,0),"Nuevo")</f>
        <v>2167@outlook.es</v>
      </c>
      <c r="D1262" s="72" t="str">
        <f t="shared" si="1"/>
        <v>No Nuevo</v>
      </c>
    </row>
    <row r="1263" ht="15.75" customHeight="1">
      <c r="A1263" s="71" t="str">
        <f>Registros!A1263</f>
        <v>2481@apogeaconsulting.com</v>
      </c>
      <c r="B1263" s="5">
        <f>Registros!B1263</f>
        <v>43901.64097</v>
      </c>
      <c r="C1263" s="18" t="str">
        <f>IFNA(VLOOKUP(A1263,'Registros - No nuevos'!A:A,1,0),"Nuevo")</f>
        <v>2481@apogeaconsulting.com</v>
      </c>
      <c r="D1263" s="72" t="str">
        <f t="shared" si="1"/>
        <v>No Nuevo</v>
      </c>
    </row>
    <row r="1264" ht="15.75" customHeight="1">
      <c r="A1264" s="71" t="str">
        <f>Registros!A1264</f>
        <v>654@staperpetua.cat</v>
      </c>
      <c r="B1264" s="5">
        <f>Registros!B1264</f>
        <v>43901.60833</v>
      </c>
      <c r="C1264" s="18" t="str">
        <f>IFNA(VLOOKUP(A1264,'Registros - No nuevos'!A:A,1,0),"Nuevo")</f>
        <v>654@staperpetua.cat</v>
      </c>
      <c r="D1264" s="72" t="str">
        <f t="shared" si="1"/>
        <v>No Nuevo</v>
      </c>
    </row>
    <row r="1265" ht="15.75" customHeight="1">
      <c r="A1265" s="71" t="str">
        <f>Registros!A1265</f>
        <v>687@outlook.es</v>
      </c>
      <c r="B1265" s="5">
        <f>Registros!B1265</f>
        <v>43901.49792</v>
      </c>
      <c r="C1265" s="18" t="str">
        <f>IFNA(VLOOKUP(A1265,'Registros - No nuevos'!A:A,1,0),"Nuevo")</f>
        <v>687@outlook.es</v>
      </c>
      <c r="D1265" s="72" t="str">
        <f t="shared" si="1"/>
        <v>No Nuevo</v>
      </c>
    </row>
    <row r="1266" ht="15.75" customHeight="1">
      <c r="A1266" s="71" t="str">
        <f>Registros!A1266</f>
        <v>3116@msn.com</v>
      </c>
      <c r="B1266" s="5">
        <f>Registros!B1266</f>
        <v>43901.37153</v>
      </c>
      <c r="C1266" s="18" t="str">
        <f>IFNA(VLOOKUP(A1266,'Registros - No nuevos'!A:A,1,0),"Nuevo")</f>
        <v>3116@msn.com</v>
      </c>
      <c r="D1266" s="72" t="str">
        <f t="shared" si="1"/>
        <v>No Nuevo</v>
      </c>
    </row>
    <row r="1267" ht="15.75" customHeight="1">
      <c r="A1267" s="71" t="str">
        <f>Registros!A1267</f>
        <v>2486@hotmail.com</v>
      </c>
      <c r="B1267" s="5">
        <f>Registros!B1267</f>
        <v>43901.25764</v>
      </c>
      <c r="C1267" s="18" t="str">
        <f>IFNA(VLOOKUP(A1267,'Registros - No nuevos'!A:A,1,0),"Nuevo")</f>
        <v>2486@hotmail.com</v>
      </c>
      <c r="D1267" s="72" t="str">
        <f t="shared" si="1"/>
        <v>No Nuevo</v>
      </c>
    </row>
    <row r="1268" ht="15.75" customHeight="1">
      <c r="A1268" s="71" t="str">
        <f>Registros!A1268</f>
        <v>3117@gmail.com</v>
      </c>
      <c r="B1268" s="5">
        <f>Registros!B1268</f>
        <v>43901.0125</v>
      </c>
      <c r="C1268" s="18" t="str">
        <f>IFNA(VLOOKUP(A1268,'Registros - No nuevos'!A:A,1,0),"Nuevo")</f>
        <v>3117@gmail.com</v>
      </c>
      <c r="D1268" s="72" t="str">
        <f t="shared" si="1"/>
        <v>No Nuevo</v>
      </c>
    </row>
    <row r="1269" ht="15.75" customHeight="1">
      <c r="A1269" s="71" t="str">
        <f>Registros!A1269</f>
        <v>2437@dos-atf.es</v>
      </c>
      <c r="B1269" s="5">
        <f>Registros!B1269</f>
        <v>43900.81736</v>
      </c>
      <c r="C1269" s="18" t="str">
        <f>IFNA(VLOOKUP(A1269,'Registros - No nuevos'!A:A,1,0),"Nuevo")</f>
        <v>2437@dos-atf.es</v>
      </c>
      <c r="D1269" s="72" t="str">
        <f t="shared" si="1"/>
        <v>No Nuevo</v>
      </c>
    </row>
    <row r="1270" ht="15.75" customHeight="1">
      <c r="A1270" s="71" t="str">
        <f>Registros!A1270</f>
        <v>2488@gmail.com</v>
      </c>
      <c r="B1270" s="5">
        <f>Registros!B1270</f>
        <v>43900.71111</v>
      </c>
      <c r="C1270" s="18" t="str">
        <f>IFNA(VLOOKUP(A1270,'Registros - No nuevos'!A:A,1,0),"Nuevo")</f>
        <v>2488@gmail.com</v>
      </c>
      <c r="D1270" s="72" t="str">
        <f t="shared" si="1"/>
        <v>No Nuevo</v>
      </c>
    </row>
    <row r="1271" ht="15.75" customHeight="1">
      <c r="A1271" s="71" t="str">
        <f>Registros!A1271</f>
        <v>2489@proytecenergia.com</v>
      </c>
      <c r="B1271" s="5">
        <f>Registros!B1271</f>
        <v>43900.69653</v>
      </c>
      <c r="C1271" s="18" t="str">
        <f>IFNA(VLOOKUP(A1271,'Registros - No nuevos'!A:A,1,0),"Nuevo")</f>
        <v>2489@proytecenergia.com</v>
      </c>
      <c r="D1271" s="72" t="str">
        <f t="shared" si="1"/>
        <v>No Nuevo</v>
      </c>
    </row>
    <row r="1272" ht="15.75" customHeight="1">
      <c r="A1272" s="71" t="str">
        <f>Registros!A1272</f>
        <v>2490@mantenencies.com</v>
      </c>
      <c r="B1272" s="5">
        <f>Registros!B1272</f>
        <v>43900.53333</v>
      </c>
      <c r="C1272" s="18" t="str">
        <f>IFNA(VLOOKUP(A1272,'Registros - No nuevos'!A:A,1,0),"Nuevo")</f>
        <v>2490@mantenencies.com</v>
      </c>
      <c r="D1272" s="72" t="str">
        <f t="shared" si="1"/>
        <v>No Nuevo</v>
      </c>
    </row>
    <row r="1273" ht="15.75" customHeight="1">
      <c r="A1273" s="71" t="str">
        <f>Registros!A1273</f>
        <v>2491@saltoki.es</v>
      </c>
      <c r="B1273" s="5">
        <f>Registros!B1273</f>
        <v>43900.50139</v>
      </c>
      <c r="C1273" s="18" t="str">
        <f>IFNA(VLOOKUP(A1273,'Registros - No nuevos'!A:A,1,0),"Nuevo")</f>
        <v>2491@saltoki.es</v>
      </c>
      <c r="D1273" s="72" t="str">
        <f t="shared" si="1"/>
        <v>No Nuevo</v>
      </c>
    </row>
    <row r="1274" ht="15.75" customHeight="1">
      <c r="A1274" s="71" t="str">
        <f>Registros!A1274</f>
        <v>3118@gmail.com</v>
      </c>
      <c r="B1274" s="5">
        <f>Registros!B1274</f>
        <v>43900.40486</v>
      </c>
      <c r="C1274" s="18" t="str">
        <f>IFNA(VLOOKUP(A1274,'Registros - No nuevos'!A:A,1,0),"Nuevo")</f>
        <v>3118@gmail.com</v>
      </c>
      <c r="D1274" s="72" t="str">
        <f t="shared" si="1"/>
        <v>No Nuevo</v>
      </c>
    </row>
    <row r="1275" ht="15.75" customHeight="1">
      <c r="A1275" s="71" t="str">
        <f>Registros!A1275</f>
        <v>3119@hotmail.com</v>
      </c>
      <c r="B1275" s="5">
        <f>Registros!B1275</f>
        <v>43900.40347</v>
      </c>
      <c r="C1275" s="18" t="str">
        <f>IFNA(VLOOKUP(A1275,'Registros - No nuevos'!A:A,1,0),"Nuevo")</f>
        <v>3119@hotmail.com</v>
      </c>
      <c r="D1275" s="72" t="str">
        <f t="shared" si="1"/>
        <v>No Nuevo</v>
      </c>
    </row>
    <row r="1276" ht="15.75" customHeight="1">
      <c r="A1276" s="71" t="str">
        <f>Registros!A1276</f>
        <v>2469@yca.es</v>
      </c>
      <c r="B1276" s="5">
        <f>Registros!B1276</f>
        <v>43900.38542</v>
      </c>
      <c r="C1276" s="18" t="str">
        <f>IFNA(VLOOKUP(A1276,'Registros - No nuevos'!A:A,1,0),"Nuevo")</f>
        <v>2469@yca.es</v>
      </c>
      <c r="D1276" s="72" t="str">
        <f t="shared" si="1"/>
        <v>No Nuevo</v>
      </c>
    </row>
    <row r="1277" ht="15.75" customHeight="1">
      <c r="A1277" s="71" t="str">
        <f>Registros!A1277</f>
        <v>2495@gmail.com</v>
      </c>
      <c r="B1277" s="5">
        <f>Registros!B1277</f>
        <v>43900.17014</v>
      </c>
      <c r="C1277" s="18" t="str">
        <f>IFNA(VLOOKUP(A1277,'Registros - No nuevos'!A:A,1,0),"Nuevo")</f>
        <v>2495@gmail.com</v>
      </c>
      <c r="D1277" s="72" t="str">
        <f t="shared" si="1"/>
        <v>No Nuevo</v>
      </c>
    </row>
    <row r="1278" ht="15.75" customHeight="1">
      <c r="A1278" s="71" t="str">
        <f>Registros!A1278</f>
        <v>3120@pine.zimacorp.es</v>
      </c>
      <c r="B1278" s="5">
        <f>Registros!B1278</f>
        <v>43900.03889</v>
      </c>
      <c r="C1278" s="18" t="str">
        <f>IFNA(VLOOKUP(A1278,'Registros - No nuevos'!A:A,1,0),"Nuevo")</f>
        <v>3120@pine.zimacorp.es</v>
      </c>
      <c r="D1278" s="72" t="str">
        <f t="shared" si="1"/>
        <v>No Nuevo</v>
      </c>
    </row>
    <row r="1279" ht="15.75" customHeight="1">
      <c r="A1279" s="71" t="str">
        <f>Registros!A1279</f>
        <v>3121@hotmail.com</v>
      </c>
      <c r="B1279" s="5">
        <f>Registros!B1279</f>
        <v>43899.86319</v>
      </c>
      <c r="C1279" s="18" t="str">
        <f>IFNA(VLOOKUP(A1279,'Registros - No nuevos'!A:A,1,0),"Nuevo")</f>
        <v>3121@hotmail.com</v>
      </c>
      <c r="D1279" s="72" t="str">
        <f t="shared" si="1"/>
        <v>No Nuevo</v>
      </c>
    </row>
    <row r="1280" ht="15.75" customHeight="1">
      <c r="A1280" s="71" t="str">
        <f>Registros!A1280</f>
        <v>153@telefonica.net</v>
      </c>
      <c r="B1280" s="5">
        <f>Registros!B1280</f>
        <v>43899.85417</v>
      </c>
      <c r="C1280" s="18" t="str">
        <f>IFNA(VLOOKUP(A1280,'Registros - No nuevos'!A:A,1,0),"Nuevo")</f>
        <v>153@telefonica.net</v>
      </c>
      <c r="D1280" s="72" t="str">
        <f t="shared" si="1"/>
        <v>No Nuevo</v>
      </c>
    </row>
    <row r="1281" ht="15.75" customHeight="1">
      <c r="A1281" s="71" t="str">
        <f>Registros!A1281</f>
        <v>2498@adtelcom.es</v>
      </c>
      <c r="B1281" s="5">
        <f>Registros!B1281</f>
        <v>43899.85069</v>
      </c>
      <c r="C1281" s="18" t="str">
        <f>IFNA(VLOOKUP(A1281,'Registros - No nuevos'!A:A,1,0),"Nuevo")</f>
        <v>2498@adtelcom.es</v>
      </c>
      <c r="D1281" s="72" t="str">
        <f t="shared" si="1"/>
        <v>No Nuevo</v>
      </c>
    </row>
    <row r="1282" ht="15.75" customHeight="1">
      <c r="A1282" s="71" t="str">
        <f>Registros!A1282</f>
        <v>3122@gmail.com</v>
      </c>
      <c r="B1282" s="5">
        <f>Registros!B1282</f>
        <v>43899.68681</v>
      </c>
      <c r="C1282" s="18" t="str">
        <f>IFNA(VLOOKUP(A1282,'Registros - No nuevos'!A:A,1,0),"Nuevo")</f>
        <v>3122@gmail.com</v>
      </c>
      <c r="D1282" s="72" t="str">
        <f t="shared" si="1"/>
        <v>No Nuevo</v>
      </c>
    </row>
    <row r="1283" ht="15.75" customHeight="1">
      <c r="A1283" s="71" t="str">
        <f>Registros!A1283</f>
        <v>3123@hotmail.com</v>
      </c>
      <c r="B1283" s="5">
        <f>Registros!B1283</f>
        <v>43899.60625</v>
      </c>
      <c r="C1283" s="18" t="str">
        <f>IFNA(VLOOKUP(A1283,'Registros - No nuevos'!A:A,1,0),"Nuevo")</f>
        <v>3123@hotmail.com</v>
      </c>
      <c r="D1283" s="72" t="str">
        <f t="shared" si="1"/>
        <v>No Nuevo</v>
      </c>
    </row>
    <row r="1284" ht="15.75" customHeight="1">
      <c r="A1284" s="71" t="str">
        <f>Registros!A1284</f>
        <v>3124@dtas.es</v>
      </c>
      <c r="B1284" s="5">
        <f>Registros!B1284</f>
        <v>43899.55208</v>
      </c>
      <c r="C1284" s="18" t="str">
        <f>IFNA(VLOOKUP(A1284,'Registros - No nuevos'!A:A,1,0),"Nuevo")</f>
        <v>3124@dtas.es</v>
      </c>
      <c r="D1284" s="72" t="str">
        <f t="shared" si="1"/>
        <v>No Nuevo</v>
      </c>
    </row>
    <row r="1285" ht="15.75" customHeight="1">
      <c r="A1285" s="71" t="str">
        <f>Registros!A1285</f>
        <v>38@telefonica.net</v>
      </c>
      <c r="B1285" s="5">
        <f>Registros!B1285</f>
        <v>43899.47292</v>
      </c>
      <c r="C1285" s="18" t="str">
        <f>IFNA(VLOOKUP(A1285,'Registros - No nuevos'!A:A,1,0),"Nuevo")</f>
        <v>38@telefonica.net</v>
      </c>
      <c r="D1285" s="72" t="str">
        <f t="shared" si="1"/>
        <v>No Nuevo</v>
      </c>
    </row>
    <row r="1286" ht="15.75" customHeight="1">
      <c r="A1286" s="71" t="str">
        <f>Registros!A1286</f>
        <v>2508@solardelvalle.es</v>
      </c>
      <c r="B1286" s="5">
        <f>Registros!B1286</f>
        <v>43899.35069</v>
      </c>
      <c r="C1286" s="18" t="str">
        <f>IFNA(VLOOKUP(A1286,'Registros - No nuevos'!A:A,1,0),"Nuevo")</f>
        <v>2508@solardelvalle.es</v>
      </c>
      <c r="D1286" s="72" t="str">
        <f t="shared" si="1"/>
        <v>No Nuevo</v>
      </c>
    </row>
    <row r="1287" ht="15.75" customHeight="1">
      <c r="A1287" s="71" t="str">
        <f>Registros!A1287</f>
        <v>3125@galansat.es</v>
      </c>
      <c r="B1287" s="5">
        <f>Registros!B1287</f>
        <v>43898.82153</v>
      </c>
      <c r="C1287" s="18" t="str">
        <f>IFNA(VLOOKUP(A1287,'Registros - No nuevos'!A:A,1,0),"Nuevo")</f>
        <v>3125@galansat.es</v>
      </c>
      <c r="D1287" s="72" t="str">
        <f t="shared" si="1"/>
        <v>No Nuevo</v>
      </c>
    </row>
    <row r="1288" ht="15.75" customHeight="1">
      <c r="A1288" s="71" t="str">
        <f>Registros!A1288</f>
        <v>2497@gmail.com</v>
      </c>
      <c r="B1288" s="5">
        <f>Registros!B1288</f>
        <v>43898.77431</v>
      </c>
      <c r="C1288" s="18" t="str">
        <f>IFNA(VLOOKUP(A1288,'Registros - No nuevos'!A:A,1,0),"Nuevo")</f>
        <v>2497@gmail.com</v>
      </c>
      <c r="D1288" s="72" t="str">
        <f t="shared" si="1"/>
        <v>No Nuevo</v>
      </c>
    </row>
    <row r="1289" ht="15.75" customHeight="1">
      <c r="A1289" s="71" t="str">
        <f>Registros!A1289</f>
        <v>3126@gmail.com</v>
      </c>
      <c r="B1289" s="5">
        <f>Registros!B1289</f>
        <v>43898.72986</v>
      </c>
      <c r="C1289" s="18" t="str">
        <f>IFNA(VLOOKUP(A1289,'Registros - No nuevos'!A:A,1,0),"Nuevo")</f>
        <v>3126@gmail.com</v>
      </c>
      <c r="D1289" s="72" t="str">
        <f t="shared" si="1"/>
        <v>No Nuevo</v>
      </c>
    </row>
    <row r="1290" ht="15.75" customHeight="1">
      <c r="A1290" s="71" t="str">
        <f>Registros!A1290</f>
        <v>3127@gmail.com</v>
      </c>
      <c r="B1290" s="5">
        <f>Registros!B1290</f>
        <v>43898.59792</v>
      </c>
      <c r="C1290" s="18" t="str">
        <f>IFNA(VLOOKUP(A1290,'Registros - No nuevos'!A:A,1,0),"Nuevo")</f>
        <v>3127@gmail.com</v>
      </c>
      <c r="D1290" s="72" t="str">
        <f t="shared" si="1"/>
        <v>No Nuevo</v>
      </c>
    </row>
    <row r="1291" ht="15.75" customHeight="1">
      <c r="A1291" s="71" t="str">
        <f>Registros!A1291</f>
        <v>3128@gmail.com</v>
      </c>
      <c r="B1291" s="5">
        <f>Registros!B1291</f>
        <v>43898.45833</v>
      </c>
      <c r="C1291" s="18" t="str">
        <f>IFNA(VLOOKUP(A1291,'Registros - No nuevos'!A:A,1,0),"Nuevo")</f>
        <v>3128@gmail.com</v>
      </c>
      <c r="D1291" s="72" t="str">
        <f t="shared" si="1"/>
        <v>No Nuevo</v>
      </c>
    </row>
    <row r="1292" ht="15.75" customHeight="1">
      <c r="A1292" s="71" t="str">
        <f>Registros!A1292</f>
        <v>2483@gmail.com</v>
      </c>
      <c r="B1292" s="5">
        <f>Registros!B1292</f>
        <v>43898.25417</v>
      </c>
      <c r="C1292" s="18" t="str">
        <f>IFNA(VLOOKUP(A1292,'Registros - No nuevos'!A:A,1,0),"Nuevo")</f>
        <v>2483@gmail.com</v>
      </c>
      <c r="D1292" s="72" t="str">
        <f t="shared" si="1"/>
        <v>No Nuevo</v>
      </c>
    </row>
    <row r="1293" ht="15.75" customHeight="1">
      <c r="A1293" s="71" t="str">
        <f>Registros!A1293</f>
        <v>3129@gmail.com</v>
      </c>
      <c r="B1293" s="5">
        <f>Registros!B1293</f>
        <v>43898.04444</v>
      </c>
      <c r="C1293" s="18" t="str">
        <f>IFNA(VLOOKUP(A1293,'Registros - No nuevos'!A:A,1,0),"Nuevo")</f>
        <v>3129@gmail.com</v>
      </c>
      <c r="D1293" s="72" t="str">
        <f t="shared" si="1"/>
        <v>No Nuevo</v>
      </c>
    </row>
    <row r="1294" ht="15.75" customHeight="1">
      <c r="A1294" s="71" t="str">
        <f>Registros!A1294</f>
        <v>3130@gmail.com</v>
      </c>
      <c r="B1294" s="5">
        <f>Registros!B1294</f>
        <v>43897.63681</v>
      </c>
      <c r="C1294" s="18" t="str">
        <f>IFNA(VLOOKUP(A1294,'Registros - No nuevos'!A:A,1,0),"Nuevo")</f>
        <v>3130@gmail.com</v>
      </c>
      <c r="D1294" s="72" t="str">
        <f t="shared" si="1"/>
        <v>No Nuevo</v>
      </c>
    </row>
    <row r="1295" ht="15.75" customHeight="1">
      <c r="A1295" s="71" t="str">
        <f>Registros!A1295</f>
        <v>2512@hotmail.com</v>
      </c>
      <c r="B1295" s="5">
        <f>Registros!B1295</f>
        <v>43897.39167</v>
      </c>
      <c r="C1295" s="18" t="str">
        <f>IFNA(VLOOKUP(A1295,'Registros - No nuevos'!A:A,1,0),"Nuevo")</f>
        <v>2512@hotmail.com</v>
      </c>
      <c r="D1295" s="72" t="str">
        <f t="shared" si="1"/>
        <v>No Nuevo</v>
      </c>
    </row>
    <row r="1296" ht="15.75" customHeight="1">
      <c r="A1296" s="71" t="str">
        <f>Registros!A1296</f>
        <v>3131@gmail.com</v>
      </c>
      <c r="B1296" s="5">
        <f>Registros!B1296</f>
        <v>43897.37986</v>
      </c>
      <c r="C1296" s="18" t="str">
        <f>IFNA(VLOOKUP(A1296,'Registros - No nuevos'!A:A,1,0),"Nuevo")</f>
        <v>3131@gmail.com</v>
      </c>
      <c r="D1296" s="72" t="str">
        <f t="shared" si="1"/>
        <v>No Nuevo</v>
      </c>
    </row>
    <row r="1297" ht="15.75" customHeight="1">
      <c r="A1297" s="71" t="str">
        <f>Registros!A1297</f>
        <v>3132@gmail.com</v>
      </c>
      <c r="B1297" s="5">
        <f>Registros!B1297</f>
        <v>43897.08472</v>
      </c>
      <c r="C1297" s="18" t="str">
        <f>IFNA(VLOOKUP(A1297,'Registros - No nuevos'!A:A,1,0),"Nuevo")</f>
        <v>3132@gmail.com</v>
      </c>
      <c r="D1297" s="72" t="str">
        <f t="shared" si="1"/>
        <v>No Nuevo</v>
      </c>
    </row>
    <row r="1298" ht="15.75" customHeight="1">
      <c r="A1298" s="71" t="str">
        <f>Registros!A1298</f>
        <v>3133@danfar.com</v>
      </c>
      <c r="B1298" s="5">
        <f>Registros!B1298</f>
        <v>43896.76875</v>
      </c>
      <c r="C1298" s="18" t="str">
        <f>IFNA(VLOOKUP(A1298,'Registros - No nuevos'!A:A,1,0),"Nuevo")</f>
        <v>3133@danfar.com</v>
      </c>
      <c r="D1298" s="72" t="str">
        <f t="shared" si="1"/>
        <v>No Nuevo</v>
      </c>
    </row>
    <row r="1299" ht="15.75" customHeight="1">
      <c r="A1299" s="71" t="str">
        <f>Registros!A1299</f>
        <v>362@hotmail.com</v>
      </c>
      <c r="B1299" s="5">
        <f>Registros!B1299</f>
        <v>43896.68472</v>
      </c>
      <c r="C1299" s="18" t="str">
        <f>IFNA(VLOOKUP(A1299,'Registros - No nuevos'!A:A,1,0),"Nuevo")</f>
        <v>362@hotmail.com</v>
      </c>
      <c r="D1299" s="72" t="str">
        <f t="shared" si="1"/>
        <v>No Nuevo</v>
      </c>
    </row>
    <row r="1300" ht="15.75" customHeight="1">
      <c r="A1300" s="71" t="str">
        <f>Registros!A1300</f>
        <v>3134@gmail.com</v>
      </c>
      <c r="B1300" s="5">
        <f>Registros!B1300</f>
        <v>43896.46944</v>
      </c>
      <c r="C1300" s="18" t="str">
        <f>IFNA(VLOOKUP(A1300,'Registros - No nuevos'!A:A,1,0),"Nuevo")</f>
        <v>3134@gmail.com</v>
      </c>
      <c r="D1300" s="72" t="str">
        <f t="shared" si="1"/>
        <v>No Nuevo</v>
      </c>
    </row>
    <row r="1301" ht="15.75" customHeight="1">
      <c r="A1301" s="71" t="str">
        <f>Registros!A1301</f>
        <v>2519@hotmail.com</v>
      </c>
      <c r="B1301" s="5">
        <f>Registros!B1301</f>
        <v>43896.43542</v>
      </c>
      <c r="C1301" s="18" t="str">
        <f>IFNA(VLOOKUP(A1301,'Registros - No nuevos'!A:A,1,0),"Nuevo")</f>
        <v>2519@hotmail.com</v>
      </c>
      <c r="D1301" s="72" t="str">
        <f t="shared" si="1"/>
        <v>No Nuevo</v>
      </c>
    </row>
    <row r="1302" ht="15.75" customHeight="1">
      <c r="A1302" s="71" t="str">
        <f>Registros!A1302</f>
        <v>1805@gmail.com</v>
      </c>
      <c r="B1302" s="5">
        <f>Registros!B1302</f>
        <v>43896.40208</v>
      </c>
      <c r="C1302" s="18" t="str">
        <f>IFNA(VLOOKUP(A1302,'Registros - No nuevos'!A:A,1,0),"Nuevo")</f>
        <v>1805@gmail.com</v>
      </c>
      <c r="D1302" s="72" t="str">
        <f t="shared" si="1"/>
        <v>No Nuevo</v>
      </c>
    </row>
    <row r="1303" ht="15.75" customHeight="1">
      <c r="A1303" s="71" t="str">
        <f>Registros!A1303</f>
        <v>3135@salesianospizarrales.com</v>
      </c>
      <c r="B1303" s="5">
        <f>Registros!B1303</f>
        <v>43896.31944</v>
      </c>
      <c r="C1303" s="18" t="str">
        <f>IFNA(VLOOKUP(A1303,'Registros - No nuevos'!A:A,1,0),"Nuevo")</f>
        <v>3135@salesianospizarrales.com</v>
      </c>
      <c r="D1303" s="72" t="str">
        <f t="shared" si="1"/>
        <v>No Nuevo</v>
      </c>
    </row>
    <row r="1304" ht="15.75" customHeight="1">
      <c r="A1304" s="71" t="str">
        <f>Registros!A1304</f>
        <v>2523@ipae.es</v>
      </c>
      <c r="B1304" s="5">
        <f>Registros!B1304</f>
        <v>43896.31875</v>
      </c>
      <c r="C1304" s="18" t="str">
        <f>IFNA(VLOOKUP(A1304,'Registros - No nuevos'!A:A,1,0),"Nuevo")</f>
        <v>2523@ipae.es</v>
      </c>
      <c r="D1304" s="72" t="str">
        <f t="shared" si="1"/>
        <v>No Nuevo</v>
      </c>
    </row>
    <row r="1305" ht="15.75" customHeight="1">
      <c r="A1305" s="71" t="str">
        <f>Registros!A1305</f>
        <v>2524@me.com</v>
      </c>
      <c r="B1305" s="5">
        <f>Registros!B1305</f>
        <v>43896.16458</v>
      </c>
      <c r="C1305" s="18" t="str">
        <f>IFNA(VLOOKUP(A1305,'Registros - No nuevos'!A:A,1,0),"Nuevo")</f>
        <v>2524@me.com</v>
      </c>
      <c r="D1305" s="72" t="str">
        <f t="shared" si="1"/>
        <v>No Nuevo</v>
      </c>
    </row>
    <row r="1306" ht="15.75" customHeight="1">
      <c r="A1306" s="71" t="str">
        <f>Registros!A1306</f>
        <v>2525@gmail.com</v>
      </c>
      <c r="B1306" s="5">
        <f>Registros!B1306</f>
        <v>43895.99028</v>
      </c>
      <c r="C1306" s="18" t="str">
        <f>IFNA(VLOOKUP(A1306,'Registros - No nuevos'!A:A,1,0),"Nuevo")</f>
        <v>2525@gmail.com</v>
      </c>
      <c r="D1306" s="72" t="str">
        <f t="shared" si="1"/>
        <v>No Nuevo</v>
      </c>
    </row>
    <row r="1307" ht="15.75" customHeight="1">
      <c r="A1307" s="71" t="str">
        <f>Registros!A1307</f>
        <v>2472@gmail.com</v>
      </c>
      <c r="B1307" s="5">
        <f>Registros!B1307</f>
        <v>43895.91528</v>
      </c>
      <c r="C1307" s="18" t="str">
        <f>IFNA(VLOOKUP(A1307,'Registros - No nuevos'!A:A,1,0),"Nuevo")</f>
        <v>2472@gmail.com</v>
      </c>
      <c r="D1307" s="72" t="str">
        <f t="shared" si="1"/>
        <v>No Nuevo</v>
      </c>
    </row>
    <row r="1308" ht="15.75" customHeight="1">
      <c r="A1308" s="71" t="str">
        <f>Registros!A1308</f>
        <v>3136@ineleeg.es</v>
      </c>
      <c r="B1308" s="5">
        <f>Registros!B1308</f>
        <v>43895.81389</v>
      </c>
      <c r="C1308" s="18" t="str">
        <f>IFNA(VLOOKUP(A1308,'Registros - No nuevos'!A:A,1,0),"Nuevo")</f>
        <v>3136@ineleeg.es</v>
      </c>
      <c r="D1308" s="72" t="str">
        <f t="shared" si="1"/>
        <v>No Nuevo</v>
      </c>
    </row>
    <row r="1309" ht="15.75" customHeight="1">
      <c r="A1309" s="71" t="str">
        <f>Registros!A1309</f>
        <v>2527@gmail.com</v>
      </c>
      <c r="B1309" s="5">
        <f>Registros!B1309</f>
        <v>43895.72014</v>
      </c>
      <c r="C1309" s="18" t="str">
        <f>IFNA(VLOOKUP(A1309,'Registros - No nuevos'!A:A,1,0),"Nuevo")</f>
        <v>2527@gmail.com</v>
      </c>
      <c r="D1309" s="72" t="str">
        <f t="shared" si="1"/>
        <v>No Nuevo</v>
      </c>
    </row>
    <row r="1310" ht="15.75" customHeight="1">
      <c r="A1310" s="71" t="str">
        <f>Registros!A1310</f>
        <v>1001@hotmail.com</v>
      </c>
      <c r="B1310" s="5">
        <f>Registros!B1310</f>
        <v>43895.59444</v>
      </c>
      <c r="C1310" s="18" t="str">
        <f>IFNA(VLOOKUP(A1310,'Registros - No nuevos'!A:A,1,0),"Nuevo")</f>
        <v>1001@hotmail.com</v>
      </c>
      <c r="D1310" s="72" t="str">
        <f t="shared" si="1"/>
        <v>No Nuevo</v>
      </c>
    </row>
    <row r="1311" ht="15.75" customHeight="1">
      <c r="A1311" s="71" t="str">
        <f>Registros!A1311</f>
        <v>2246@eleko.es</v>
      </c>
      <c r="B1311" s="5">
        <f>Registros!B1311</f>
        <v>43895.50625</v>
      </c>
      <c r="C1311" s="18" t="str">
        <f>IFNA(VLOOKUP(A1311,'Registros - No nuevos'!A:A,1,0),"Nuevo")</f>
        <v>2246@eleko.es</v>
      </c>
      <c r="D1311" s="72" t="str">
        <f t="shared" si="1"/>
        <v>No Nuevo</v>
      </c>
    </row>
    <row r="1312" ht="15.75" customHeight="1">
      <c r="A1312" s="71" t="str">
        <f>Registros!A1312</f>
        <v>2531@arquitecturaygestion.com</v>
      </c>
      <c r="B1312" s="5">
        <f>Registros!B1312</f>
        <v>43895.49722</v>
      </c>
      <c r="C1312" s="18" t="str">
        <f>IFNA(VLOOKUP(A1312,'Registros - No nuevos'!A:A,1,0),"Nuevo")</f>
        <v>2531@arquitecturaygestion.com</v>
      </c>
      <c r="D1312" s="72" t="str">
        <f t="shared" si="1"/>
        <v>No Nuevo</v>
      </c>
    </row>
    <row r="1313" ht="15.75" customHeight="1">
      <c r="A1313" s="71" t="str">
        <f>Registros!A1313</f>
        <v>1377@hotmail.com</v>
      </c>
      <c r="B1313" s="5">
        <f>Registros!B1313</f>
        <v>43895.48819</v>
      </c>
      <c r="C1313" s="18" t="str">
        <f>IFNA(VLOOKUP(A1313,'Registros - No nuevos'!A:A,1,0),"Nuevo")</f>
        <v>1377@hotmail.com</v>
      </c>
      <c r="D1313" s="72" t="str">
        <f t="shared" si="1"/>
        <v>No Nuevo</v>
      </c>
    </row>
    <row r="1314" ht="15.75" customHeight="1">
      <c r="A1314" s="71" t="str">
        <f>Registros!A1314</f>
        <v>572@gmail.com</v>
      </c>
      <c r="B1314" s="5">
        <f>Registros!B1314</f>
        <v>43895.47014</v>
      </c>
      <c r="C1314" s="18" t="str">
        <f>IFNA(VLOOKUP(A1314,'Registros - No nuevos'!A:A,1,0),"Nuevo")</f>
        <v>572@gmail.com</v>
      </c>
      <c r="D1314" s="72" t="str">
        <f t="shared" si="1"/>
        <v>No Nuevo</v>
      </c>
    </row>
    <row r="1315" ht="15.75" customHeight="1">
      <c r="A1315" s="71" t="str">
        <f>Registros!A1315</f>
        <v>3137@gmail.com</v>
      </c>
      <c r="B1315" s="5">
        <f>Registros!B1315</f>
        <v>43895.41806</v>
      </c>
      <c r="C1315" s="18" t="str">
        <f>IFNA(VLOOKUP(A1315,'Registros - No nuevos'!A:A,1,0),"Nuevo")</f>
        <v>3137@gmail.com</v>
      </c>
      <c r="D1315" s="72" t="str">
        <f t="shared" si="1"/>
        <v>No Nuevo</v>
      </c>
    </row>
    <row r="1316" ht="15.75" customHeight="1">
      <c r="A1316" s="71" t="str">
        <f>Registros!A1316</f>
        <v>2434@gmail.com</v>
      </c>
      <c r="B1316" s="5">
        <f>Registros!B1316</f>
        <v>43895.38611</v>
      </c>
      <c r="C1316" s="18" t="str">
        <f>IFNA(VLOOKUP(A1316,'Registros - No nuevos'!A:A,1,0),"Nuevo")</f>
        <v>2434@gmail.com</v>
      </c>
      <c r="D1316" s="72" t="str">
        <f t="shared" si="1"/>
        <v>No Nuevo</v>
      </c>
    </row>
    <row r="1317" ht="15.75" customHeight="1">
      <c r="A1317" s="71" t="str">
        <f>Registros!A1317</f>
        <v>3138@hotmail.com</v>
      </c>
      <c r="B1317" s="5">
        <f>Registros!B1317</f>
        <v>43895.38472</v>
      </c>
      <c r="C1317" s="18" t="str">
        <f>IFNA(VLOOKUP(A1317,'Registros - No nuevos'!A:A,1,0),"Nuevo")</f>
        <v>3138@hotmail.com</v>
      </c>
      <c r="D1317" s="72" t="str">
        <f t="shared" si="1"/>
        <v>No Nuevo</v>
      </c>
    </row>
    <row r="1318" ht="15.75" customHeight="1">
      <c r="A1318" s="71" t="str">
        <f>Registros!A1318</f>
        <v>2542@tecnica4.com</v>
      </c>
      <c r="B1318" s="5">
        <f>Registros!B1318</f>
        <v>43895.34514</v>
      </c>
      <c r="C1318" s="18" t="str">
        <f>IFNA(VLOOKUP(A1318,'Registros - No nuevos'!A:A,1,0),"Nuevo")</f>
        <v>2542@tecnica4.com</v>
      </c>
      <c r="D1318" s="72" t="str">
        <f t="shared" si="1"/>
        <v>No Nuevo</v>
      </c>
    </row>
    <row r="1319" ht="15.75" customHeight="1">
      <c r="A1319" s="71" t="str">
        <f>Registros!A1319</f>
        <v>3139@coitt.es</v>
      </c>
      <c r="B1319" s="5">
        <f>Registros!B1319</f>
        <v>43895.32222</v>
      </c>
      <c r="C1319" s="18" t="str">
        <f>IFNA(VLOOKUP(A1319,'Registros - No nuevos'!A:A,1,0),"Nuevo")</f>
        <v>3139@coitt.es</v>
      </c>
      <c r="D1319" s="72" t="str">
        <f t="shared" si="1"/>
        <v>No Nuevo</v>
      </c>
    </row>
    <row r="1320" ht="15.75" customHeight="1">
      <c r="A1320" s="71" t="str">
        <f>Registros!A1320</f>
        <v>3140@yahoo.es</v>
      </c>
      <c r="B1320" s="5">
        <f>Registros!B1320</f>
        <v>43895.04306</v>
      </c>
      <c r="C1320" s="18" t="str">
        <f>IFNA(VLOOKUP(A1320,'Registros - No nuevos'!A:A,1,0),"Nuevo")</f>
        <v>3140@yahoo.es</v>
      </c>
      <c r="D1320" s="72" t="str">
        <f t="shared" si="1"/>
        <v>No Nuevo</v>
      </c>
    </row>
    <row r="1321" ht="15.75" customHeight="1">
      <c r="A1321" s="71" t="str">
        <f>Registros!A1321</f>
        <v>2545@telefonica.net</v>
      </c>
      <c r="B1321" s="5">
        <f>Registros!B1321</f>
        <v>43895.03056</v>
      </c>
      <c r="C1321" s="18" t="str">
        <f>IFNA(VLOOKUP(A1321,'Registros - No nuevos'!A:A,1,0),"Nuevo")</f>
        <v>2545@telefonica.net</v>
      </c>
      <c r="D1321" s="72" t="str">
        <f t="shared" si="1"/>
        <v>No Nuevo</v>
      </c>
    </row>
    <row r="1322" ht="15.75" customHeight="1">
      <c r="A1322" s="71" t="str">
        <f>Registros!A1322</f>
        <v>3141@hotmail.com</v>
      </c>
      <c r="B1322" s="5">
        <f>Registros!B1322</f>
        <v>43894.79792</v>
      </c>
      <c r="C1322" s="18" t="str">
        <f>IFNA(VLOOKUP(A1322,'Registros - No nuevos'!A:A,1,0),"Nuevo")</f>
        <v>3141@hotmail.com</v>
      </c>
      <c r="D1322" s="72" t="str">
        <f t="shared" si="1"/>
        <v>No Nuevo</v>
      </c>
    </row>
    <row r="1323" ht="15.75" customHeight="1">
      <c r="A1323" s="71" t="str">
        <f>Registros!A1323</f>
        <v>398@ciudaddelosmuchachos.com</v>
      </c>
      <c r="B1323" s="5">
        <f>Registros!B1323</f>
        <v>43894.71111</v>
      </c>
      <c r="C1323" s="18" t="str">
        <f>IFNA(VLOOKUP(A1323,'Registros - No nuevos'!A:A,1,0),"Nuevo")</f>
        <v>398@ciudaddelosmuchachos.com</v>
      </c>
      <c r="D1323" s="72" t="str">
        <f t="shared" si="1"/>
        <v>No Nuevo</v>
      </c>
    </row>
    <row r="1324" ht="15.75" customHeight="1">
      <c r="A1324" s="71" t="str">
        <f>Registros!A1324</f>
        <v>2551@inelsa.com</v>
      </c>
      <c r="B1324" s="5">
        <f>Registros!B1324</f>
        <v>43894.53472</v>
      </c>
      <c r="C1324" s="18" t="str">
        <f>IFNA(VLOOKUP(A1324,'Registros - No nuevos'!A:A,1,0),"Nuevo")</f>
        <v>2551@inelsa.com</v>
      </c>
      <c r="D1324" s="72" t="str">
        <f t="shared" si="1"/>
        <v>No Nuevo</v>
      </c>
    </row>
    <row r="1325" ht="15.75" customHeight="1">
      <c r="A1325" s="71" t="str">
        <f>Registros!A1325</f>
        <v>3142@yahoo.es</v>
      </c>
      <c r="B1325" s="5">
        <f>Registros!B1325</f>
        <v>43894.52153</v>
      </c>
      <c r="C1325" s="18" t="str">
        <f>IFNA(VLOOKUP(A1325,'Registros - No nuevos'!A:A,1,0),"Nuevo")</f>
        <v>3142@yahoo.es</v>
      </c>
      <c r="D1325" s="72" t="str">
        <f t="shared" si="1"/>
        <v>No Nuevo</v>
      </c>
    </row>
    <row r="1326" ht="15.75" customHeight="1">
      <c r="A1326" s="71" t="str">
        <f>Registros!A1326</f>
        <v>2549@gmail.com</v>
      </c>
      <c r="B1326" s="5">
        <f>Registros!B1326</f>
        <v>43894.50903</v>
      </c>
      <c r="C1326" s="18" t="str">
        <f>IFNA(VLOOKUP(A1326,'Registros - No nuevos'!A:A,1,0),"Nuevo")</f>
        <v>2549@gmail.com</v>
      </c>
      <c r="D1326" s="72" t="str">
        <f t="shared" si="1"/>
        <v>No Nuevo</v>
      </c>
    </row>
    <row r="1327" ht="15.75" customHeight="1">
      <c r="A1327" s="71" t="str">
        <f>Registros!A1327</f>
        <v>2558@gmail.com</v>
      </c>
      <c r="B1327" s="5">
        <f>Registros!B1327</f>
        <v>43894.45</v>
      </c>
      <c r="C1327" s="18" t="str">
        <f>IFNA(VLOOKUP(A1327,'Registros - No nuevos'!A:A,1,0),"Nuevo")</f>
        <v>2558@gmail.com</v>
      </c>
      <c r="D1327" s="72" t="str">
        <f t="shared" si="1"/>
        <v>No Nuevo</v>
      </c>
    </row>
    <row r="1328" ht="15.75" customHeight="1">
      <c r="A1328" s="71" t="str">
        <f>Registros!A1328</f>
        <v>2562@artesolar.com</v>
      </c>
      <c r="B1328" s="5">
        <f>Registros!B1328</f>
        <v>43894.38819</v>
      </c>
      <c r="C1328" s="18" t="str">
        <f>IFNA(VLOOKUP(A1328,'Registros - No nuevos'!A:A,1,0),"Nuevo")</f>
        <v>2562@artesolar.com</v>
      </c>
      <c r="D1328" s="72" t="str">
        <f t="shared" si="1"/>
        <v>No Nuevo</v>
      </c>
    </row>
    <row r="1329" ht="15.75" customHeight="1">
      <c r="A1329" s="71" t="str">
        <f>Registros!A1329</f>
        <v>3143@gmail.com</v>
      </c>
      <c r="B1329" s="5">
        <f>Registros!B1329</f>
        <v>43893.85347</v>
      </c>
      <c r="C1329" s="18" t="str">
        <f>IFNA(VLOOKUP(A1329,'Registros - No nuevos'!A:A,1,0),"Nuevo")</f>
        <v>3143@gmail.com</v>
      </c>
      <c r="D1329" s="72" t="str">
        <f t="shared" si="1"/>
        <v>No Nuevo</v>
      </c>
    </row>
    <row r="1330" ht="15.75" customHeight="1">
      <c r="A1330" s="71" t="str">
        <f>Registros!A1330</f>
        <v>2579@fgc.cat</v>
      </c>
      <c r="B1330" s="5">
        <f>Registros!B1330</f>
        <v>43893.70417</v>
      </c>
      <c r="C1330" s="18" t="str">
        <f>IFNA(VLOOKUP(A1330,'Registros - No nuevos'!A:A,1,0),"Nuevo")</f>
        <v>2579@fgc.cat</v>
      </c>
      <c r="D1330" s="72" t="str">
        <f t="shared" si="1"/>
        <v>No Nuevo</v>
      </c>
    </row>
    <row r="1331" ht="15.75" customHeight="1">
      <c r="A1331" s="71" t="str">
        <f>Registros!A1331</f>
        <v>1510@adelanteenergia.es</v>
      </c>
      <c r="B1331" s="5">
        <f>Registros!B1331</f>
        <v>43893.64861</v>
      </c>
      <c r="C1331" s="18" t="str">
        <f>IFNA(VLOOKUP(A1331,'Registros - No nuevos'!A:A,1,0),"Nuevo")</f>
        <v>1510@adelanteenergia.es</v>
      </c>
      <c r="D1331" s="72" t="str">
        <f t="shared" si="1"/>
        <v>No Nuevo</v>
      </c>
    </row>
    <row r="1332" ht="15.75" customHeight="1">
      <c r="A1332" s="71" t="str">
        <f>Registros!A1332</f>
        <v>2599@sazepi.com</v>
      </c>
      <c r="B1332" s="5">
        <f>Registros!B1332</f>
        <v>43893.58125</v>
      </c>
      <c r="C1332" s="18" t="str">
        <f>IFNA(VLOOKUP(A1332,'Registros - No nuevos'!A:A,1,0),"Nuevo")</f>
        <v>2599@sazepi.com</v>
      </c>
      <c r="D1332" s="72" t="str">
        <f t="shared" si="1"/>
        <v>No Nuevo</v>
      </c>
    </row>
    <row r="1333" ht="15.75" customHeight="1">
      <c r="A1333" s="71" t="str">
        <f>Registros!A1333</f>
        <v>2620@icloud.com</v>
      </c>
      <c r="B1333" s="5">
        <f>Registros!B1333</f>
        <v>43893.53264</v>
      </c>
      <c r="C1333" s="18" t="str">
        <f>IFNA(VLOOKUP(A1333,'Registros - No nuevos'!A:A,1,0),"Nuevo")</f>
        <v>2620@icloud.com</v>
      </c>
      <c r="D1333" s="72" t="str">
        <f t="shared" si="1"/>
        <v>No Nuevo</v>
      </c>
    </row>
    <row r="1334" ht="15.75" customHeight="1">
      <c r="A1334" s="71" t="str">
        <f>Registros!A1334</f>
        <v>2513@gmail.com</v>
      </c>
      <c r="B1334" s="5">
        <f>Registros!B1334</f>
        <v>43893.47708</v>
      </c>
      <c r="C1334" s="18" t="str">
        <f>IFNA(VLOOKUP(A1334,'Registros - No nuevos'!A:A,1,0),"Nuevo")</f>
        <v>2513@gmail.com</v>
      </c>
      <c r="D1334" s="72" t="str">
        <f t="shared" si="1"/>
        <v>No Nuevo</v>
      </c>
    </row>
    <row r="1335" ht="15.75" customHeight="1">
      <c r="A1335" s="71" t="str">
        <f>Registros!A1335</f>
        <v>178@tec-engineering.es</v>
      </c>
      <c r="B1335" s="5">
        <f>Registros!B1335</f>
        <v>43893.46875</v>
      </c>
      <c r="C1335" s="18" t="str">
        <f>IFNA(VLOOKUP(A1335,'Registros - No nuevos'!A:A,1,0),"Nuevo")</f>
        <v>178@tec-engineering.es</v>
      </c>
      <c r="D1335" s="72" t="str">
        <f t="shared" si="1"/>
        <v>No Nuevo</v>
      </c>
    </row>
    <row r="1336" ht="15.75" customHeight="1">
      <c r="A1336" s="71" t="str">
        <f>Registros!A1336</f>
        <v>2657@a4ingenieria.es</v>
      </c>
      <c r="B1336" s="5">
        <f>Registros!B1336</f>
        <v>43893.45417</v>
      </c>
      <c r="C1336" s="18" t="str">
        <f>IFNA(VLOOKUP(A1336,'Registros - No nuevos'!A:A,1,0),"Nuevo")</f>
        <v>2657@a4ingenieria.es</v>
      </c>
      <c r="D1336" s="72" t="str">
        <f t="shared" si="1"/>
        <v>No Nuevo</v>
      </c>
    </row>
    <row r="1337" ht="15.75" customHeight="1">
      <c r="A1337" s="71" t="str">
        <f>Registros!A1337</f>
        <v>2659@gmail.com</v>
      </c>
      <c r="B1337" s="5">
        <f>Registros!B1337</f>
        <v>43893.42986</v>
      </c>
      <c r="C1337" s="18" t="str">
        <f>IFNA(VLOOKUP(A1337,'Registros - No nuevos'!A:A,1,0),"Nuevo")</f>
        <v>2659@gmail.com</v>
      </c>
      <c r="D1337" s="72" t="str">
        <f t="shared" si="1"/>
        <v>No Nuevo</v>
      </c>
    </row>
    <row r="1338" ht="15.75" customHeight="1">
      <c r="A1338" s="71" t="str">
        <f>Registros!A1338</f>
        <v>2664@gmail.com</v>
      </c>
      <c r="B1338" s="5">
        <f>Registros!B1338</f>
        <v>43893.39722</v>
      </c>
      <c r="C1338" s="18" t="str">
        <f>IFNA(VLOOKUP(A1338,'Registros - No nuevos'!A:A,1,0),"Nuevo")</f>
        <v>2664@gmail.com</v>
      </c>
      <c r="D1338" s="72" t="str">
        <f t="shared" si="1"/>
        <v>No Nuevo</v>
      </c>
    </row>
    <row r="1339" ht="15.75" customHeight="1">
      <c r="A1339" s="71" t="str">
        <f>Registros!A1339</f>
        <v>2260@gmail.com</v>
      </c>
      <c r="B1339" s="5">
        <f>Registros!B1339</f>
        <v>43893.35625</v>
      </c>
      <c r="C1339" s="18" t="str">
        <f>IFNA(VLOOKUP(A1339,'Registros - No nuevos'!A:A,1,0),"Nuevo")</f>
        <v>2260@gmail.com</v>
      </c>
      <c r="D1339" s="72" t="str">
        <f t="shared" si="1"/>
        <v>No Nuevo</v>
      </c>
    </row>
    <row r="1340" ht="15.75" customHeight="1">
      <c r="A1340" s="71" t="str">
        <f>Registros!A1340</f>
        <v>3144@fundacionfunme.org</v>
      </c>
      <c r="B1340" s="5">
        <f>Registros!B1340</f>
        <v>43893.35</v>
      </c>
      <c r="C1340" s="18" t="str">
        <f>IFNA(VLOOKUP(A1340,'Registros - No nuevos'!A:A,1,0),"Nuevo")</f>
        <v>3144@fundacionfunme.org</v>
      </c>
      <c r="D1340" s="72" t="str">
        <f t="shared" si="1"/>
        <v>No Nuevo</v>
      </c>
    </row>
    <row r="1341" ht="15.75" customHeight="1">
      <c r="A1341" s="71" t="str">
        <f>Registros!A1341</f>
        <v>3145@email.com</v>
      </c>
      <c r="B1341" s="5">
        <f>Registros!B1341</f>
        <v>43893.29375</v>
      </c>
      <c r="C1341" s="18" t="str">
        <f>IFNA(VLOOKUP(A1341,'Registros - No nuevos'!A:A,1,0),"Nuevo")</f>
        <v>3145@email.com</v>
      </c>
      <c r="D1341" s="72" t="str">
        <f t="shared" si="1"/>
        <v>No Nuevo</v>
      </c>
    </row>
    <row r="1342" ht="15.75" customHeight="1">
      <c r="A1342" s="71" t="str">
        <f>Registros!A1342</f>
        <v>2461@yahoo.es</v>
      </c>
      <c r="B1342" s="5">
        <f>Registros!B1342</f>
        <v>43892.92431</v>
      </c>
      <c r="C1342" s="18" t="str">
        <f>IFNA(VLOOKUP(A1342,'Registros - No nuevos'!A:A,1,0),"Nuevo")</f>
        <v>2461@yahoo.es</v>
      </c>
      <c r="D1342" s="72" t="str">
        <f t="shared" si="1"/>
        <v>No Nuevo</v>
      </c>
    </row>
    <row r="1343" ht="15.75" customHeight="1">
      <c r="A1343" s="71" t="str">
        <f>Registros!A1343</f>
        <v>2670@gmail.com</v>
      </c>
      <c r="B1343" s="5">
        <f>Registros!B1343</f>
        <v>43892.88333</v>
      </c>
      <c r="C1343" s="18" t="str">
        <f>IFNA(VLOOKUP(A1343,'Registros - No nuevos'!A:A,1,0),"Nuevo")</f>
        <v>2670@gmail.com</v>
      </c>
      <c r="D1343" s="72" t="str">
        <f t="shared" si="1"/>
        <v>No Nuevo</v>
      </c>
    </row>
    <row r="1344" ht="15.75" customHeight="1">
      <c r="A1344" s="71" t="str">
        <f>Registros!A1344</f>
        <v>2671@gmail.com</v>
      </c>
      <c r="B1344" s="5">
        <f>Registros!B1344</f>
        <v>43892.84861</v>
      </c>
      <c r="C1344" s="18" t="str">
        <f>IFNA(VLOOKUP(A1344,'Registros - No nuevos'!A:A,1,0),"Nuevo")</f>
        <v>2671@gmail.com</v>
      </c>
      <c r="D1344" s="72" t="str">
        <f t="shared" si="1"/>
        <v>No Nuevo</v>
      </c>
    </row>
    <row r="1345" ht="15.75" customHeight="1">
      <c r="A1345" s="71" t="str">
        <f>Registros!A1345</f>
        <v>2672@gmail.com</v>
      </c>
      <c r="B1345" s="5">
        <f>Registros!B1345</f>
        <v>43892.83611</v>
      </c>
      <c r="C1345" s="18" t="str">
        <f>IFNA(VLOOKUP(A1345,'Registros - No nuevos'!A:A,1,0),"Nuevo")</f>
        <v>2672@gmail.com</v>
      </c>
      <c r="D1345" s="72" t="str">
        <f t="shared" si="1"/>
        <v>No Nuevo</v>
      </c>
    </row>
    <row r="1346" ht="15.75" customHeight="1">
      <c r="A1346" s="71" t="str">
        <f>Registros!A1346</f>
        <v>3146@gmail.com</v>
      </c>
      <c r="B1346" s="5">
        <f>Registros!B1346</f>
        <v>43892.80347</v>
      </c>
      <c r="C1346" s="18" t="str">
        <f>IFNA(VLOOKUP(A1346,'Registros - No nuevos'!A:A,1,0),"Nuevo")</f>
        <v>3146@gmail.com</v>
      </c>
      <c r="D1346" s="72" t="str">
        <f t="shared" si="1"/>
        <v>No Nuevo</v>
      </c>
    </row>
    <row r="1347" ht="15.75" customHeight="1">
      <c r="A1347" s="71" t="str">
        <f>Registros!A1347</f>
        <v>3147@hotmail.com</v>
      </c>
      <c r="B1347" s="5">
        <f>Registros!B1347</f>
        <v>43892.71181</v>
      </c>
      <c r="C1347" s="18" t="str">
        <f>IFNA(VLOOKUP(A1347,'Registros - No nuevos'!A:A,1,0),"Nuevo")</f>
        <v>3147@hotmail.com</v>
      </c>
      <c r="D1347" s="72" t="str">
        <f t="shared" si="1"/>
        <v>No Nuevo</v>
      </c>
    </row>
    <row r="1348" ht="15.75" customHeight="1">
      <c r="A1348" s="71" t="str">
        <f>Registros!A1348</f>
        <v>3148@gmail.com</v>
      </c>
      <c r="B1348" s="5">
        <f>Registros!B1348</f>
        <v>43892.57778</v>
      </c>
      <c r="C1348" s="18" t="str">
        <f>IFNA(VLOOKUP(A1348,'Registros - No nuevos'!A:A,1,0),"Nuevo")</f>
        <v>3148@gmail.com</v>
      </c>
      <c r="D1348" s="72" t="str">
        <f t="shared" si="1"/>
        <v>No Nuevo</v>
      </c>
    </row>
    <row r="1349" ht="15.75" customHeight="1">
      <c r="A1349" s="71" t="str">
        <f>Registros!A1349</f>
        <v>1109@gmail.com</v>
      </c>
      <c r="B1349" s="5">
        <f>Registros!B1349</f>
        <v>43892.50556</v>
      </c>
      <c r="C1349" s="18" t="str">
        <f>IFNA(VLOOKUP(A1349,'Registros - No nuevos'!A:A,1,0),"Nuevo")</f>
        <v>1109@gmail.com</v>
      </c>
      <c r="D1349" s="72" t="str">
        <f t="shared" si="1"/>
        <v>No Nuevo</v>
      </c>
    </row>
    <row r="1350" ht="15.75" customHeight="1">
      <c r="A1350" s="71" t="str">
        <f>Registros!A1350</f>
        <v>3149@gmail.com</v>
      </c>
      <c r="B1350" s="5">
        <f>Registros!B1350</f>
        <v>43892.47917</v>
      </c>
      <c r="C1350" s="18" t="str">
        <f>IFNA(VLOOKUP(A1350,'Registros - No nuevos'!A:A,1,0),"Nuevo")</f>
        <v>3149@gmail.com</v>
      </c>
      <c r="D1350" s="72" t="str">
        <f t="shared" si="1"/>
        <v>No Nuevo</v>
      </c>
    </row>
    <row r="1351" ht="15.75" customHeight="1">
      <c r="A1351" s="71" t="str">
        <f>Registros!A1351</f>
        <v>2676@gmail.com</v>
      </c>
      <c r="B1351" s="5">
        <f>Registros!B1351</f>
        <v>43892.45278</v>
      </c>
      <c r="C1351" s="18" t="str">
        <f>IFNA(VLOOKUP(A1351,'Registros - No nuevos'!A:A,1,0),"Nuevo")</f>
        <v>2676@gmail.com</v>
      </c>
      <c r="D1351" s="72" t="str">
        <f t="shared" si="1"/>
        <v>No Nuevo</v>
      </c>
    </row>
    <row r="1352" ht="15.75" customHeight="1">
      <c r="A1352" s="71" t="str">
        <f>Registros!A1352</f>
        <v>2473@hotmail.com</v>
      </c>
      <c r="B1352" s="5">
        <f>Registros!B1352</f>
        <v>43891.81667</v>
      </c>
      <c r="C1352" s="18" t="str">
        <f>IFNA(VLOOKUP(A1352,'Registros - No nuevos'!A:A,1,0),"Nuevo")</f>
        <v>2473@hotmail.com</v>
      </c>
      <c r="D1352" s="72" t="str">
        <f t="shared" si="1"/>
        <v>No Nuevo</v>
      </c>
    </row>
    <row r="1353" ht="15.75" customHeight="1">
      <c r="A1353" s="71" t="str">
        <f>Registros!A1353</f>
        <v>3150@gmail.com</v>
      </c>
      <c r="B1353" s="5">
        <f>Registros!B1353</f>
        <v>43891.70625</v>
      </c>
      <c r="C1353" s="18" t="str">
        <f>IFNA(VLOOKUP(A1353,'Registros - No nuevos'!A:A,1,0),"Nuevo")</f>
        <v>3150@gmail.com</v>
      </c>
      <c r="D1353" s="72" t="str">
        <f t="shared" si="1"/>
        <v>No Nuevo</v>
      </c>
    </row>
    <row r="1354" ht="15.75" customHeight="1">
      <c r="A1354" s="71" t="str">
        <f>Registros!A1354</f>
        <v>3151@gmail.com</v>
      </c>
      <c r="B1354" s="5">
        <f>Registros!B1354</f>
        <v>43891.68056</v>
      </c>
      <c r="C1354" s="18" t="str">
        <f>IFNA(VLOOKUP(A1354,'Registros - No nuevos'!A:A,1,0),"Nuevo")</f>
        <v>3151@gmail.com</v>
      </c>
      <c r="D1354" s="72" t="str">
        <f t="shared" si="1"/>
        <v>No Nuevo</v>
      </c>
    </row>
    <row r="1355" ht="15.75" customHeight="1">
      <c r="A1355" s="71" t="str">
        <f>Registros!A1355</f>
        <v>3152@aceuve.com</v>
      </c>
      <c r="B1355" s="5">
        <f>Registros!B1355</f>
        <v>43891.575</v>
      </c>
      <c r="C1355" s="18" t="str">
        <f>IFNA(VLOOKUP(A1355,'Registros - No nuevos'!A:A,1,0),"Nuevo")</f>
        <v>3152@aceuve.com</v>
      </c>
      <c r="D1355" s="72" t="str">
        <f t="shared" si="1"/>
        <v>No Nuevo</v>
      </c>
    </row>
    <row r="1356" ht="15.75" customHeight="1">
      <c r="A1356" s="71" t="str">
        <f>Registros!A1356</f>
        <v>2677@gmail.com</v>
      </c>
      <c r="B1356" s="5">
        <f>Registros!B1356</f>
        <v>43891.12431</v>
      </c>
      <c r="C1356" s="18" t="str">
        <f>IFNA(VLOOKUP(A1356,'Registros - No nuevos'!A:A,1,0),"Nuevo")</f>
        <v>2677@gmail.com</v>
      </c>
      <c r="D1356" s="72" t="str">
        <f t="shared" si="1"/>
        <v>No Nuevo</v>
      </c>
    </row>
    <row r="1357" ht="15.75" customHeight="1">
      <c r="A1357" s="71" t="str">
        <f>Registros!A1357</f>
        <v>3153@gmail.com</v>
      </c>
      <c r="B1357" s="5">
        <f>Registros!B1357</f>
        <v>43890.79583</v>
      </c>
      <c r="C1357" s="18" t="str">
        <f>IFNA(VLOOKUP(A1357,'Registros - No nuevos'!A:A,1,0),"Nuevo")</f>
        <v>3153@gmail.com</v>
      </c>
      <c r="D1357" s="72" t="str">
        <f t="shared" si="1"/>
        <v>No Nuevo</v>
      </c>
    </row>
    <row r="1358" ht="15.75" customHeight="1">
      <c r="A1358" s="71" t="str">
        <f>Registros!A1358</f>
        <v>3154@hotmail.com</v>
      </c>
      <c r="B1358" s="5">
        <f>Registros!B1358</f>
        <v>43890.76389</v>
      </c>
      <c r="C1358" s="18" t="str">
        <f>IFNA(VLOOKUP(A1358,'Registros - No nuevos'!A:A,1,0),"Nuevo")</f>
        <v>3154@hotmail.com</v>
      </c>
      <c r="D1358" s="72" t="str">
        <f t="shared" si="1"/>
        <v>No Nuevo</v>
      </c>
    </row>
    <row r="1359" ht="15.75" customHeight="1">
      <c r="A1359" s="71" t="str">
        <f>Registros!A1359</f>
        <v>2678@impact-al.com</v>
      </c>
      <c r="B1359" s="5">
        <f>Registros!B1359</f>
        <v>43890.58681</v>
      </c>
      <c r="C1359" s="18" t="str">
        <f>IFNA(VLOOKUP(A1359,'Registros - No nuevos'!A:A,1,0),"Nuevo")</f>
        <v>2678@impact-al.com</v>
      </c>
      <c r="D1359" s="72" t="str">
        <f t="shared" si="1"/>
        <v>No Nuevo</v>
      </c>
    </row>
    <row r="1360" ht="15.75" customHeight="1">
      <c r="A1360" s="71" t="str">
        <f>Registros!A1360</f>
        <v>1289@gmail.com</v>
      </c>
      <c r="B1360" s="5">
        <f>Registros!B1360</f>
        <v>43890.45972</v>
      </c>
      <c r="C1360" s="18" t="str">
        <f>IFNA(VLOOKUP(A1360,'Registros - No nuevos'!A:A,1,0),"Nuevo")</f>
        <v>1289@gmail.com</v>
      </c>
      <c r="D1360" s="72" t="str">
        <f t="shared" si="1"/>
        <v>No Nuevo</v>
      </c>
    </row>
    <row r="1361" ht="15.75" customHeight="1">
      <c r="A1361" s="71" t="str">
        <f>Registros!A1361</f>
        <v>709@gmail.com</v>
      </c>
      <c r="B1361" s="5">
        <f>Registros!B1361</f>
        <v>43890.42222</v>
      </c>
      <c r="C1361" s="18" t="str">
        <f>IFNA(VLOOKUP(A1361,'Registros - No nuevos'!A:A,1,0),"Nuevo")</f>
        <v>709@gmail.com</v>
      </c>
      <c r="D1361" s="72" t="str">
        <f t="shared" si="1"/>
        <v>No Nuevo</v>
      </c>
    </row>
    <row r="1362" ht="15.75" customHeight="1">
      <c r="A1362" s="71" t="str">
        <f>Registros!A1362</f>
        <v>3155@gmail.com</v>
      </c>
      <c r="B1362" s="5">
        <f>Registros!B1362</f>
        <v>43890.28472</v>
      </c>
      <c r="C1362" s="18" t="str">
        <f>IFNA(VLOOKUP(A1362,'Registros - No nuevos'!A:A,1,0),"Nuevo")</f>
        <v>3155@gmail.com</v>
      </c>
      <c r="D1362" s="72" t="str">
        <f t="shared" si="1"/>
        <v>No Nuevo</v>
      </c>
    </row>
    <row r="1363" ht="15.75" customHeight="1">
      <c r="A1363" s="71" t="str">
        <f>Registros!A1363</f>
        <v>3156@gmail.com</v>
      </c>
      <c r="B1363" s="5">
        <f>Registros!B1363</f>
        <v>43889.85139</v>
      </c>
      <c r="C1363" s="18" t="str">
        <f>IFNA(VLOOKUP(A1363,'Registros - No nuevos'!A:A,1,0),"Nuevo")</f>
        <v>3156@gmail.com</v>
      </c>
      <c r="D1363" s="72" t="str">
        <f t="shared" si="1"/>
        <v>No Nuevo</v>
      </c>
    </row>
    <row r="1364" ht="15.75" customHeight="1">
      <c r="A1364" s="71" t="str">
        <f>Registros!A1364</f>
        <v>3157@hotmail.com</v>
      </c>
      <c r="B1364" s="5">
        <f>Registros!B1364</f>
        <v>43889.67431</v>
      </c>
      <c r="C1364" s="18" t="str">
        <f>IFNA(VLOOKUP(A1364,'Registros - No nuevos'!A:A,1,0),"Nuevo")</f>
        <v>3157@hotmail.com</v>
      </c>
      <c r="D1364" s="72" t="str">
        <f t="shared" si="1"/>
        <v>No Nuevo</v>
      </c>
    </row>
    <row r="1365" ht="15.75" customHeight="1">
      <c r="A1365" s="71" t="str">
        <f>Registros!A1365</f>
        <v>2681@sueprat.es</v>
      </c>
      <c r="B1365" s="5">
        <f>Registros!B1365</f>
        <v>43889.62431</v>
      </c>
      <c r="C1365" s="18" t="str">
        <f>IFNA(VLOOKUP(A1365,'Registros - No nuevos'!A:A,1,0),"Nuevo")</f>
        <v>2681@sueprat.es</v>
      </c>
      <c r="D1365" s="72" t="str">
        <f t="shared" si="1"/>
        <v>No Nuevo</v>
      </c>
    </row>
    <row r="1366" ht="15.75" customHeight="1">
      <c r="A1366" s="71" t="str">
        <f>Registros!A1366</f>
        <v>3158@ofintec.es</v>
      </c>
      <c r="B1366" s="5">
        <f>Registros!B1366</f>
        <v>43889.56458</v>
      </c>
      <c r="C1366" s="18" t="str">
        <f>IFNA(VLOOKUP(A1366,'Registros - No nuevos'!A:A,1,0),"Nuevo")</f>
        <v>3158@ofintec.es</v>
      </c>
      <c r="D1366" s="72" t="str">
        <f t="shared" si="1"/>
        <v>No Nuevo</v>
      </c>
    </row>
    <row r="1367" ht="15.75" customHeight="1">
      <c r="A1367" s="71" t="str">
        <f>Registros!A1367</f>
        <v>1160@copcisa.com</v>
      </c>
      <c r="B1367" s="5">
        <f>Registros!B1367</f>
        <v>43889.56458</v>
      </c>
      <c r="C1367" s="18" t="str">
        <f>IFNA(VLOOKUP(A1367,'Registros - No nuevos'!A:A,1,0),"Nuevo")</f>
        <v>1160@copcisa.com</v>
      </c>
      <c r="D1367" s="72" t="str">
        <f t="shared" si="1"/>
        <v>No Nuevo</v>
      </c>
    </row>
    <row r="1368" ht="15.75" customHeight="1">
      <c r="A1368" s="71" t="str">
        <f>Registros!A1368</f>
        <v>2683@live.fr</v>
      </c>
      <c r="B1368" s="5">
        <f>Registros!B1368</f>
        <v>43889.00347</v>
      </c>
      <c r="C1368" s="18" t="str">
        <f>IFNA(VLOOKUP(A1368,'Registros - No nuevos'!A:A,1,0),"Nuevo")</f>
        <v>2683@live.fr</v>
      </c>
      <c r="D1368" s="72" t="str">
        <f t="shared" si="1"/>
        <v>No Nuevo</v>
      </c>
    </row>
    <row r="1369" ht="15.75" customHeight="1">
      <c r="A1369" s="71" t="str">
        <f>Registros!A1369</f>
        <v>3159@gmail.com</v>
      </c>
      <c r="B1369" s="5">
        <f>Registros!B1369</f>
        <v>43888.99653</v>
      </c>
      <c r="C1369" s="18" t="str">
        <f>IFNA(VLOOKUP(A1369,'Registros - No nuevos'!A:A,1,0),"Nuevo")</f>
        <v>3159@gmail.com</v>
      </c>
      <c r="D1369" s="72" t="str">
        <f t="shared" si="1"/>
        <v>No Nuevo</v>
      </c>
    </row>
    <row r="1370" ht="15.75" customHeight="1">
      <c r="A1370" s="71" t="str">
        <f>Registros!A1370</f>
        <v>3160@yahoo.com</v>
      </c>
      <c r="B1370" s="5">
        <f>Registros!B1370</f>
        <v>43888.92569</v>
      </c>
      <c r="C1370" s="18" t="str">
        <f>IFNA(VLOOKUP(A1370,'Registros - No nuevos'!A:A,1,0),"Nuevo")</f>
        <v>3160@yahoo.com</v>
      </c>
      <c r="D1370" s="72" t="str">
        <f t="shared" si="1"/>
        <v>No Nuevo</v>
      </c>
    </row>
    <row r="1371" ht="15.75" customHeight="1">
      <c r="A1371" s="71" t="str">
        <f>Registros!A1371</f>
        <v>3161@hotmail.com</v>
      </c>
      <c r="B1371" s="5">
        <f>Registros!B1371</f>
        <v>43888.91667</v>
      </c>
      <c r="C1371" s="18" t="str">
        <f>IFNA(VLOOKUP(A1371,'Registros - No nuevos'!A:A,1,0),"Nuevo")</f>
        <v>3161@hotmail.com</v>
      </c>
      <c r="D1371" s="72" t="str">
        <f t="shared" si="1"/>
        <v>No Nuevo</v>
      </c>
    </row>
    <row r="1372" ht="15.75" customHeight="1">
      <c r="A1372" s="71" t="str">
        <f>Registros!A1372</f>
        <v>3162@hotmail.com</v>
      </c>
      <c r="B1372" s="5">
        <f>Registros!B1372</f>
        <v>43888.88889</v>
      </c>
      <c r="C1372" s="18" t="str">
        <f>IFNA(VLOOKUP(A1372,'Registros - No nuevos'!A:A,1,0),"Nuevo")</f>
        <v>3162@hotmail.com</v>
      </c>
      <c r="D1372" s="72" t="str">
        <f t="shared" si="1"/>
        <v>No Nuevo</v>
      </c>
    </row>
    <row r="1373" ht="15.75" customHeight="1">
      <c r="A1373" s="71" t="str">
        <f>Registros!A1373</f>
        <v>2684@hotmail.com</v>
      </c>
      <c r="B1373" s="5">
        <f>Registros!B1373</f>
        <v>43888.80903</v>
      </c>
      <c r="C1373" s="18" t="str">
        <f>IFNA(VLOOKUP(A1373,'Registros - No nuevos'!A:A,1,0),"Nuevo")</f>
        <v>2684@hotmail.com</v>
      </c>
      <c r="D1373" s="72" t="str">
        <f t="shared" si="1"/>
        <v>No Nuevo</v>
      </c>
    </row>
    <row r="1374" ht="15.75" customHeight="1">
      <c r="A1374" s="71" t="str">
        <f>Registros!A1374</f>
        <v>2686@kbingenieria.com</v>
      </c>
      <c r="B1374" s="5">
        <f>Registros!B1374</f>
        <v>43888.62222</v>
      </c>
      <c r="C1374" s="18" t="str">
        <f>IFNA(VLOOKUP(A1374,'Registros - No nuevos'!A:A,1,0),"Nuevo")</f>
        <v>2686@kbingenieria.com</v>
      </c>
      <c r="D1374" s="72" t="str">
        <f t="shared" si="1"/>
        <v>No Nuevo</v>
      </c>
    </row>
    <row r="1375" ht="15.75" customHeight="1">
      <c r="A1375" s="71" t="str">
        <f>Registros!A1375</f>
        <v>3163@hotmail.com</v>
      </c>
      <c r="B1375" s="5">
        <f>Registros!B1375</f>
        <v>43888.52361</v>
      </c>
      <c r="C1375" s="18" t="str">
        <f>IFNA(VLOOKUP(A1375,'Registros - No nuevos'!A:A,1,0),"Nuevo")</f>
        <v>3163@hotmail.com</v>
      </c>
      <c r="D1375" s="72" t="str">
        <f t="shared" si="1"/>
        <v>No Nuevo</v>
      </c>
    </row>
    <row r="1376" ht="15.75" customHeight="1">
      <c r="A1376" s="71" t="str">
        <f>Registros!A1376</f>
        <v>3164@gmail.com</v>
      </c>
      <c r="B1376" s="5">
        <f>Registros!B1376</f>
        <v>43888.43056</v>
      </c>
      <c r="C1376" s="18" t="str">
        <f>IFNA(VLOOKUP(A1376,'Registros - No nuevos'!A:A,1,0),"Nuevo")</f>
        <v>3164@gmail.com</v>
      </c>
      <c r="D1376" s="72" t="str">
        <f t="shared" si="1"/>
        <v>No Nuevo</v>
      </c>
    </row>
    <row r="1377" ht="15.75" customHeight="1">
      <c r="A1377" s="71" t="str">
        <f>Registros!A1377</f>
        <v>2688@hotmail.com</v>
      </c>
      <c r="B1377" s="5">
        <f>Registros!B1377</f>
        <v>43888.42361</v>
      </c>
      <c r="C1377" s="18" t="str">
        <f>IFNA(VLOOKUP(A1377,'Registros - No nuevos'!A:A,1,0),"Nuevo")</f>
        <v>2688@hotmail.com</v>
      </c>
      <c r="D1377" s="72" t="str">
        <f t="shared" si="1"/>
        <v>No Nuevo</v>
      </c>
    </row>
    <row r="1378" ht="15.75" customHeight="1">
      <c r="A1378" s="71" t="str">
        <f>Registros!A1378</f>
        <v>2635@ambginy.com</v>
      </c>
      <c r="B1378" s="5">
        <f>Registros!B1378</f>
        <v>43888.37917</v>
      </c>
      <c r="C1378" s="18" t="str">
        <f>IFNA(VLOOKUP(A1378,'Registros - No nuevos'!A:A,1,0),"Nuevo")</f>
        <v>2635@ambginy.com</v>
      </c>
      <c r="D1378" s="72" t="str">
        <f t="shared" si="1"/>
        <v>No Nuevo</v>
      </c>
    </row>
    <row r="1379" ht="15.75" customHeight="1">
      <c r="A1379" s="71" t="str">
        <f>Registros!A1379</f>
        <v>3165@hotmail.com</v>
      </c>
      <c r="B1379" s="5">
        <f>Registros!B1379</f>
        <v>43888.35694</v>
      </c>
      <c r="C1379" s="18" t="str">
        <f>IFNA(VLOOKUP(A1379,'Registros - No nuevos'!A:A,1,0),"Nuevo")</f>
        <v>3165@hotmail.com</v>
      </c>
      <c r="D1379" s="72" t="str">
        <f t="shared" si="1"/>
        <v>No Nuevo</v>
      </c>
    </row>
    <row r="1380" ht="15.75" customHeight="1">
      <c r="A1380" s="71" t="str">
        <f>Registros!A1380</f>
        <v>3166@enrelec.com</v>
      </c>
      <c r="B1380" s="5">
        <f>Registros!B1380</f>
        <v>43888.34653</v>
      </c>
      <c r="C1380" s="18" t="str">
        <f>IFNA(VLOOKUP(A1380,'Registros - No nuevos'!A:A,1,0),"Nuevo")</f>
        <v>3166@enrelec.com</v>
      </c>
      <c r="D1380" s="72" t="str">
        <f t="shared" si="1"/>
        <v>No Nuevo</v>
      </c>
    </row>
    <row r="1381" ht="15.75" customHeight="1">
      <c r="A1381" s="71" t="str">
        <f>Registros!A1381</f>
        <v>2692@gmail.com</v>
      </c>
      <c r="B1381" s="5">
        <f>Registros!B1381</f>
        <v>43888.33333</v>
      </c>
      <c r="C1381" s="18" t="str">
        <f>IFNA(VLOOKUP(A1381,'Registros - No nuevos'!A:A,1,0),"Nuevo")</f>
        <v>2692@gmail.com</v>
      </c>
      <c r="D1381" s="72" t="str">
        <f t="shared" si="1"/>
        <v>No Nuevo</v>
      </c>
    </row>
    <row r="1382" ht="15.75" customHeight="1">
      <c r="A1382" s="71" t="str">
        <f>Registros!A1382</f>
        <v>2694@gmail.com</v>
      </c>
      <c r="B1382" s="5">
        <f>Registros!B1382</f>
        <v>43887.75208</v>
      </c>
      <c r="C1382" s="18" t="str">
        <f>IFNA(VLOOKUP(A1382,'Registros - No nuevos'!A:A,1,0),"Nuevo")</f>
        <v>2694@gmail.com</v>
      </c>
      <c r="D1382" s="72" t="str">
        <f t="shared" si="1"/>
        <v>No Nuevo</v>
      </c>
    </row>
    <row r="1383" ht="15.75" customHeight="1">
      <c r="A1383" s="71" t="str">
        <f>Registros!A1383</f>
        <v>3167@gmail.com</v>
      </c>
      <c r="B1383" s="5">
        <f>Registros!B1383</f>
        <v>43887.58889</v>
      </c>
      <c r="C1383" s="18" t="str">
        <f>IFNA(VLOOKUP(A1383,'Registros - No nuevos'!A:A,1,0),"Nuevo")</f>
        <v>3167@gmail.com</v>
      </c>
      <c r="D1383" s="72" t="str">
        <f t="shared" si="1"/>
        <v>No Nuevo</v>
      </c>
    </row>
    <row r="1384" ht="15.75" customHeight="1">
      <c r="A1384" s="71" t="str">
        <f>Registros!A1384</f>
        <v>2695@inelt.es</v>
      </c>
      <c r="B1384" s="5">
        <f>Registros!B1384</f>
        <v>43887.55208</v>
      </c>
      <c r="C1384" s="18" t="str">
        <f>IFNA(VLOOKUP(A1384,'Registros - No nuevos'!A:A,1,0),"Nuevo")</f>
        <v>2695@inelt.es</v>
      </c>
      <c r="D1384" s="72" t="str">
        <f t="shared" si="1"/>
        <v>No Nuevo</v>
      </c>
    </row>
    <row r="1385" ht="15.75" customHeight="1">
      <c r="A1385" s="71" t="str">
        <f>Registros!A1385</f>
        <v>1665@gmail.com</v>
      </c>
      <c r="B1385" s="5">
        <f>Registros!B1385</f>
        <v>43887.45486</v>
      </c>
      <c r="C1385" s="18" t="str">
        <f>IFNA(VLOOKUP(A1385,'Registros - No nuevos'!A:A,1,0),"Nuevo")</f>
        <v>1665@gmail.com</v>
      </c>
      <c r="D1385" s="72" t="str">
        <f t="shared" si="1"/>
        <v>No Nuevo</v>
      </c>
    </row>
    <row r="1386" ht="15.75" customHeight="1">
      <c r="A1386" s="71" t="str">
        <f>Registros!A1386</f>
        <v>1249@gmail.com</v>
      </c>
      <c r="B1386" s="5">
        <f>Registros!B1386</f>
        <v>43887.42153</v>
      </c>
      <c r="C1386" s="18" t="str">
        <f>IFNA(VLOOKUP(A1386,'Registros - No nuevos'!A:A,1,0),"Nuevo")</f>
        <v>1249@gmail.com</v>
      </c>
      <c r="D1386" s="72" t="str">
        <f t="shared" si="1"/>
        <v>No Nuevo</v>
      </c>
    </row>
    <row r="1387" ht="15.75" customHeight="1">
      <c r="A1387" s="71" t="str">
        <f>Registros!A1387</f>
        <v>1482@gmail.com</v>
      </c>
      <c r="B1387" s="5">
        <f>Registros!B1387</f>
        <v>43887.36319</v>
      </c>
      <c r="C1387" s="18" t="str">
        <f>IFNA(VLOOKUP(A1387,'Registros - No nuevos'!A:A,1,0),"Nuevo")</f>
        <v>1482@gmail.com</v>
      </c>
      <c r="D1387" s="72" t="str">
        <f t="shared" si="1"/>
        <v>No Nuevo</v>
      </c>
    </row>
    <row r="1388" ht="15.75" customHeight="1">
      <c r="A1388" s="71" t="str">
        <f>Registros!A1388</f>
        <v>2698@gmail.com</v>
      </c>
      <c r="B1388" s="5">
        <f>Registros!B1388</f>
        <v>43887.01806</v>
      </c>
      <c r="C1388" s="18" t="str">
        <f>IFNA(VLOOKUP(A1388,'Registros - No nuevos'!A:A,1,0),"Nuevo")</f>
        <v>2698@gmail.com</v>
      </c>
      <c r="D1388" s="72" t="str">
        <f t="shared" si="1"/>
        <v>No Nuevo</v>
      </c>
    </row>
    <row r="1389" ht="15.75" customHeight="1">
      <c r="A1389" s="71" t="str">
        <f>Registros!A1389</f>
        <v>3168@hotmail.com</v>
      </c>
      <c r="B1389" s="5">
        <f>Registros!B1389</f>
        <v>43886.97014</v>
      </c>
      <c r="C1389" s="18" t="str">
        <f>IFNA(VLOOKUP(A1389,'Registros - No nuevos'!A:A,1,0),"Nuevo")</f>
        <v>3168@hotmail.com</v>
      </c>
      <c r="D1389" s="72" t="str">
        <f t="shared" si="1"/>
        <v>No Nuevo</v>
      </c>
    </row>
    <row r="1390" ht="15.75" customHeight="1">
      <c r="A1390" s="71" t="str">
        <f>Registros!A1390</f>
        <v>3169@hotmail.com</v>
      </c>
      <c r="B1390" s="5">
        <f>Registros!B1390</f>
        <v>43886.81181</v>
      </c>
      <c r="C1390" s="18" t="str">
        <f>IFNA(VLOOKUP(A1390,'Registros - No nuevos'!A:A,1,0),"Nuevo")</f>
        <v>3169@hotmail.com</v>
      </c>
      <c r="D1390" s="72" t="str">
        <f t="shared" si="1"/>
        <v>No Nuevo</v>
      </c>
    </row>
    <row r="1391" ht="15.75" customHeight="1">
      <c r="A1391" s="71" t="str">
        <f>Registros!A1391</f>
        <v>2700@hotmail.com</v>
      </c>
      <c r="B1391" s="5">
        <f>Registros!B1391</f>
        <v>43886.76736</v>
      </c>
      <c r="C1391" s="18" t="str">
        <f>IFNA(VLOOKUP(A1391,'Registros - No nuevos'!A:A,1,0),"Nuevo")</f>
        <v>2700@hotmail.com</v>
      </c>
      <c r="D1391" s="72" t="str">
        <f t="shared" si="1"/>
        <v>No Nuevo</v>
      </c>
    </row>
    <row r="1392" ht="15.75" customHeight="1">
      <c r="A1392" s="71" t="str">
        <f>Registros!A1392</f>
        <v>3170@hotmail.com</v>
      </c>
      <c r="B1392" s="5">
        <f>Registros!B1392</f>
        <v>43886.74028</v>
      </c>
      <c r="C1392" s="18" t="str">
        <f>IFNA(VLOOKUP(A1392,'Registros - No nuevos'!A:A,1,0),"Nuevo")</f>
        <v>3170@hotmail.com</v>
      </c>
      <c r="D1392" s="72" t="str">
        <f t="shared" si="1"/>
        <v>No Nuevo</v>
      </c>
    </row>
    <row r="1393" ht="15.75" customHeight="1">
      <c r="A1393" s="71" t="str">
        <f>Registros!A1393</f>
        <v>3171@rivadulla.cat</v>
      </c>
      <c r="B1393" s="5">
        <f>Registros!B1393</f>
        <v>43886.73611</v>
      </c>
      <c r="C1393" s="18" t="str">
        <f>IFNA(VLOOKUP(A1393,'Registros - No nuevos'!A:A,1,0),"Nuevo")</f>
        <v>3171@rivadulla.cat</v>
      </c>
      <c r="D1393" s="72" t="str">
        <f t="shared" si="1"/>
        <v>No Nuevo</v>
      </c>
    </row>
    <row r="1394" ht="15.75" customHeight="1">
      <c r="A1394" s="71" t="str">
        <f>Registros!A1394</f>
        <v>1089@gmail.com</v>
      </c>
      <c r="B1394" s="5">
        <f>Registros!B1394</f>
        <v>43886.64167</v>
      </c>
      <c r="C1394" s="18" t="str">
        <f>IFNA(VLOOKUP(A1394,'Registros - No nuevos'!A:A,1,0),"Nuevo")</f>
        <v>1089@gmail.com</v>
      </c>
      <c r="D1394" s="72" t="str">
        <f t="shared" si="1"/>
        <v>No Nuevo</v>
      </c>
    </row>
    <row r="1395" ht="15.75" customHeight="1">
      <c r="A1395" s="71" t="str">
        <f>Registros!A1395</f>
        <v>2701@gmail.com</v>
      </c>
      <c r="B1395" s="5">
        <f>Registros!B1395</f>
        <v>43886.57014</v>
      </c>
      <c r="C1395" s="18" t="str">
        <f>IFNA(VLOOKUP(A1395,'Registros - No nuevos'!A:A,1,0),"Nuevo")</f>
        <v>2701@gmail.com</v>
      </c>
      <c r="D1395" s="72" t="str">
        <f t="shared" si="1"/>
        <v>No Nuevo</v>
      </c>
    </row>
    <row r="1396" ht="15.75" customHeight="1">
      <c r="A1396" s="71" t="str">
        <f>Registros!A1396</f>
        <v>2682@dipucuenca.es</v>
      </c>
      <c r="B1396" s="5">
        <f>Registros!B1396</f>
        <v>43886.49444</v>
      </c>
      <c r="C1396" s="18" t="str">
        <f>IFNA(VLOOKUP(A1396,'Registros - No nuevos'!A:A,1,0),"Nuevo")</f>
        <v>2682@dipucuenca.es</v>
      </c>
      <c r="D1396" s="72" t="str">
        <f t="shared" si="1"/>
        <v>No Nuevo</v>
      </c>
    </row>
    <row r="1397" ht="15.75" customHeight="1">
      <c r="A1397" s="71" t="str">
        <f>Registros!A1397</f>
        <v>2703@hotmail.com</v>
      </c>
      <c r="B1397" s="5">
        <f>Registros!B1397</f>
        <v>43886.37639</v>
      </c>
      <c r="C1397" s="18" t="str">
        <f>IFNA(VLOOKUP(A1397,'Registros - No nuevos'!A:A,1,0),"Nuevo")</f>
        <v>2703@hotmail.com</v>
      </c>
      <c r="D1397" s="72" t="str">
        <f t="shared" si="1"/>
        <v>No Nuevo</v>
      </c>
    </row>
    <row r="1398" ht="15.75" customHeight="1">
      <c r="A1398" s="71" t="str">
        <f>Registros!A1398</f>
        <v>3172@solardelvalle.es</v>
      </c>
      <c r="B1398" s="5">
        <f>Registros!B1398</f>
        <v>43886.30278</v>
      </c>
      <c r="C1398" s="18" t="str">
        <f>IFNA(VLOOKUP(A1398,'Registros - No nuevos'!A:A,1,0),"Nuevo")</f>
        <v>3172@solardelvalle.es</v>
      </c>
      <c r="D1398" s="72" t="str">
        <f t="shared" si="1"/>
        <v>No Nuevo</v>
      </c>
    </row>
    <row r="1399" ht="15.75" customHeight="1">
      <c r="A1399" s="71" t="str">
        <f>Registros!A1399</f>
        <v>2705@tmb.cat</v>
      </c>
      <c r="B1399" s="5">
        <f>Registros!B1399</f>
        <v>43885.97361</v>
      </c>
      <c r="C1399" s="18" t="str">
        <f>IFNA(VLOOKUP(A1399,'Registros - No nuevos'!A:A,1,0),"Nuevo")</f>
        <v>2705@tmb.cat</v>
      </c>
      <c r="D1399" s="72" t="str">
        <f t="shared" si="1"/>
        <v>No Nuevo</v>
      </c>
    </row>
    <row r="1400" ht="15.75" customHeight="1">
      <c r="A1400" s="71" t="str">
        <f>Registros!A1400</f>
        <v>2662@gmail.com</v>
      </c>
      <c r="B1400" s="5">
        <f>Registros!B1400</f>
        <v>43885.67014</v>
      </c>
      <c r="C1400" s="18" t="str">
        <f>IFNA(VLOOKUP(A1400,'Registros - No nuevos'!A:A,1,0),"Nuevo")</f>
        <v>2662@gmail.com</v>
      </c>
      <c r="D1400" s="72" t="str">
        <f t="shared" si="1"/>
        <v>No Nuevo</v>
      </c>
    </row>
    <row r="1401" ht="15.75" customHeight="1">
      <c r="A1401" s="71" t="str">
        <f>Registros!A1401</f>
        <v>3173@hotmail.com</v>
      </c>
      <c r="B1401" s="5">
        <f>Registros!B1401</f>
        <v>43885.65556</v>
      </c>
      <c r="C1401" s="18" t="str">
        <f>IFNA(VLOOKUP(A1401,'Registros - No nuevos'!A:A,1,0),"Nuevo")</f>
        <v>3173@hotmail.com</v>
      </c>
      <c r="D1401" s="72" t="str">
        <f t="shared" si="1"/>
        <v>No Nuevo</v>
      </c>
    </row>
    <row r="1402" ht="15.75" customHeight="1">
      <c r="A1402" s="71" t="str">
        <f>Registros!A1402</f>
        <v>3174@hotmail.com</v>
      </c>
      <c r="B1402" s="5">
        <f>Registros!B1402</f>
        <v>43885.61111</v>
      </c>
      <c r="C1402" s="18" t="str">
        <f>IFNA(VLOOKUP(A1402,'Registros - No nuevos'!A:A,1,0),"Nuevo")</f>
        <v>3174@hotmail.com</v>
      </c>
      <c r="D1402" s="72" t="str">
        <f t="shared" si="1"/>
        <v>No Nuevo</v>
      </c>
    </row>
    <row r="1403" ht="15.75" customHeight="1">
      <c r="A1403" s="71" t="str">
        <f>Registros!A1403</f>
        <v>2706@opportunity-one.com</v>
      </c>
      <c r="B1403" s="5">
        <f>Registros!B1403</f>
        <v>43885.60208</v>
      </c>
      <c r="C1403" s="18" t="str">
        <f>IFNA(VLOOKUP(A1403,'Registros - No nuevos'!A:A,1,0),"Nuevo")</f>
        <v>2706@opportunity-one.com</v>
      </c>
      <c r="D1403" s="72" t="str">
        <f t="shared" si="1"/>
        <v>No Nuevo</v>
      </c>
    </row>
    <row r="1404" ht="15.75" customHeight="1">
      <c r="A1404" s="71" t="str">
        <f>Registros!A1404</f>
        <v>2707@gmail.com</v>
      </c>
      <c r="B1404" s="5">
        <f>Registros!B1404</f>
        <v>43885.54861</v>
      </c>
      <c r="C1404" s="18" t="str">
        <f>IFNA(VLOOKUP(A1404,'Registros - No nuevos'!A:A,1,0),"Nuevo")</f>
        <v>2707@gmail.com</v>
      </c>
      <c r="D1404" s="72" t="str">
        <f t="shared" si="1"/>
        <v>No Nuevo</v>
      </c>
    </row>
    <row r="1405" ht="15.75" customHeight="1">
      <c r="A1405" s="71" t="str">
        <f>Registros!A1405</f>
        <v>3175@hotmail.com</v>
      </c>
      <c r="B1405" s="5">
        <f>Registros!B1405</f>
        <v>43885.53958</v>
      </c>
      <c r="C1405" s="18" t="str">
        <f>IFNA(VLOOKUP(A1405,'Registros - No nuevos'!A:A,1,0),"Nuevo")</f>
        <v>3175@hotmail.com</v>
      </c>
      <c r="D1405" s="72" t="str">
        <f t="shared" si="1"/>
        <v>No Nuevo</v>
      </c>
    </row>
    <row r="1406" ht="15.75" customHeight="1">
      <c r="A1406" s="71" t="str">
        <f>Registros!A1406</f>
        <v>2709@construciainstalaciones.com</v>
      </c>
      <c r="B1406" s="5">
        <f>Registros!B1406</f>
        <v>43885.47361</v>
      </c>
      <c r="C1406" s="18" t="str">
        <f>IFNA(VLOOKUP(A1406,'Registros - No nuevos'!A:A,1,0),"Nuevo")</f>
        <v>2709@construciainstalaciones.com</v>
      </c>
      <c r="D1406" s="72" t="str">
        <f t="shared" si="1"/>
        <v>No Nuevo</v>
      </c>
    </row>
    <row r="1407" ht="15.75" customHeight="1">
      <c r="A1407" s="71" t="str">
        <f>Registros!A1407</f>
        <v>2711@infinitypv.com</v>
      </c>
      <c r="B1407" s="5">
        <f>Registros!B1407</f>
        <v>43885.32153</v>
      </c>
      <c r="C1407" s="18" t="str">
        <f>IFNA(VLOOKUP(A1407,'Registros - No nuevos'!A:A,1,0),"Nuevo")</f>
        <v>2711@infinitypv.com</v>
      </c>
      <c r="D1407" s="72" t="str">
        <f t="shared" si="1"/>
        <v>No Nuevo</v>
      </c>
    </row>
    <row r="1408" ht="15.75" customHeight="1">
      <c r="A1408" s="71" t="str">
        <f>Registros!A1408</f>
        <v>2712@gmail.com</v>
      </c>
      <c r="B1408" s="5">
        <f>Registros!B1408</f>
        <v>43885.29028</v>
      </c>
      <c r="C1408" s="18" t="str">
        <f>IFNA(VLOOKUP(A1408,'Registros - No nuevos'!A:A,1,0),"Nuevo")</f>
        <v>2712@gmail.com</v>
      </c>
      <c r="D1408" s="72" t="str">
        <f t="shared" si="1"/>
        <v>No Nuevo</v>
      </c>
    </row>
    <row r="1409" ht="15.75" customHeight="1">
      <c r="A1409" s="71" t="str">
        <f>Registros!A1409</f>
        <v>3176@hotmail.com</v>
      </c>
      <c r="B1409" s="5">
        <f>Registros!B1409</f>
        <v>43885.27014</v>
      </c>
      <c r="C1409" s="18" t="str">
        <f>IFNA(VLOOKUP(A1409,'Registros - No nuevos'!A:A,1,0),"Nuevo")</f>
        <v>3176@hotmail.com</v>
      </c>
      <c r="D1409" s="72" t="str">
        <f t="shared" si="1"/>
        <v>No Nuevo</v>
      </c>
    </row>
    <row r="1410" ht="15.75" customHeight="1">
      <c r="A1410" s="71" t="str">
        <f>Registros!A1410</f>
        <v>2713@gmail.com</v>
      </c>
      <c r="B1410" s="5">
        <f>Registros!B1410</f>
        <v>43885.03056</v>
      </c>
      <c r="C1410" s="18" t="str">
        <f>IFNA(VLOOKUP(A1410,'Registros - No nuevos'!A:A,1,0),"Nuevo")</f>
        <v>2713@gmail.com</v>
      </c>
      <c r="D1410" s="72" t="str">
        <f t="shared" si="1"/>
        <v>No Nuevo</v>
      </c>
    </row>
    <row r="1411" ht="15.75" customHeight="1">
      <c r="A1411" s="71" t="str">
        <f>Registros!A1411</f>
        <v>2714@gma.es</v>
      </c>
      <c r="B1411" s="5">
        <f>Registros!B1411</f>
        <v>43884.90833</v>
      </c>
      <c r="C1411" s="18" t="str">
        <f>IFNA(VLOOKUP(A1411,'Registros - No nuevos'!A:A,1,0),"Nuevo")</f>
        <v>2714@gma.es</v>
      </c>
      <c r="D1411" s="72" t="str">
        <f t="shared" si="1"/>
        <v>No Nuevo</v>
      </c>
    </row>
    <row r="1412" ht="15.75" customHeight="1">
      <c r="A1412" s="71" t="str">
        <f>Registros!A1412</f>
        <v>2715@gmail.com</v>
      </c>
      <c r="B1412" s="5">
        <f>Registros!B1412</f>
        <v>43884.85278</v>
      </c>
      <c r="C1412" s="18" t="str">
        <f>IFNA(VLOOKUP(A1412,'Registros - No nuevos'!A:A,1,0),"Nuevo")</f>
        <v>2715@gmail.com</v>
      </c>
      <c r="D1412" s="72" t="str">
        <f t="shared" si="1"/>
        <v>No Nuevo</v>
      </c>
    </row>
    <row r="1413" ht="15.75" customHeight="1">
      <c r="A1413" s="71" t="str">
        <f>Registros!A1413</f>
        <v>3177@hotmail.com</v>
      </c>
      <c r="B1413" s="5">
        <f>Registros!B1413</f>
        <v>43884.025</v>
      </c>
      <c r="C1413" s="18" t="str">
        <f>IFNA(VLOOKUP(A1413,'Registros - No nuevos'!A:A,1,0),"Nuevo")</f>
        <v>3177@hotmail.com</v>
      </c>
      <c r="D1413" s="72" t="str">
        <f t="shared" si="1"/>
        <v>No Nuevo</v>
      </c>
    </row>
    <row r="1414" ht="15.75" customHeight="1">
      <c r="A1414" s="71" t="str">
        <f>Registros!A1414</f>
        <v>2716@gmail.com</v>
      </c>
      <c r="B1414" s="5">
        <f>Registros!B1414</f>
        <v>43883.83958</v>
      </c>
      <c r="C1414" s="18" t="str">
        <f>IFNA(VLOOKUP(A1414,'Registros - No nuevos'!A:A,1,0),"Nuevo")</f>
        <v>2716@gmail.com</v>
      </c>
      <c r="D1414" s="72" t="str">
        <f t="shared" si="1"/>
        <v>No Nuevo</v>
      </c>
    </row>
    <row r="1415" ht="15.75" customHeight="1">
      <c r="A1415" s="71" t="str">
        <f>Registros!A1415</f>
        <v>2577@gmail.com</v>
      </c>
      <c r="B1415" s="5">
        <f>Registros!B1415</f>
        <v>43883.68472</v>
      </c>
      <c r="C1415" s="18" t="str">
        <f>IFNA(VLOOKUP(A1415,'Registros - No nuevos'!A:A,1,0),"Nuevo")</f>
        <v>2577@gmail.com</v>
      </c>
      <c r="D1415" s="72" t="str">
        <f t="shared" si="1"/>
        <v>No Nuevo</v>
      </c>
    </row>
    <row r="1416" ht="15.75" customHeight="1">
      <c r="A1416" s="71" t="str">
        <f>Registros!A1416</f>
        <v>3178@hotmail.com</v>
      </c>
      <c r="B1416" s="5">
        <f>Registros!B1416</f>
        <v>43883.68403</v>
      </c>
      <c r="C1416" s="18" t="str">
        <f>IFNA(VLOOKUP(A1416,'Registros - No nuevos'!A:A,1,0),"Nuevo")</f>
        <v>3178@hotmail.com</v>
      </c>
      <c r="D1416" s="72" t="str">
        <f t="shared" si="1"/>
        <v>No Nuevo</v>
      </c>
    </row>
    <row r="1417" ht="15.75" customHeight="1">
      <c r="A1417" s="71" t="str">
        <f>Registros!A1417</f>
        <v>3179@gmail.com</v>
      </c>
      <c r="B1417" s="5">
        <f>Registros!B1417</f>
        <v>43883.63958</v>
      </c>
      <c r="C1417" s="18" t="str">
        <f>IFNA(VLOOKUP(A1417,'Registros - No nuevos'!A:A,1,0),"Nuevo")</f>
        <v>3179@gmail.com</v>
      </c>
      <c r="D1417" s="72" t="str">
        <f t="shared" si="1"/>
        <v>No Nuevo</v>
      </c>
    </row>
    <row r="1418" ht="15.75" customHeight="1">
      <c r="A1418" s="71" t="str">
        <f>Registros!A1418</f>
        <v>3180@hotmail.com</v>
      </c>
      <c r="B1418" s="5">
        <f>Registros!B1418</f>
        <v>43883.57361</v>
      </c>
      <c r="C1418" s="18" t="str">
        <f>IFNA(VLOOKUP(A1418,'Registros - No nuevos'!A:A,1,0),"Nuevo")</f>
        <v>3180@hotmail.com</v>
      </c>
      <c r="D1418" s="72" t="str">
        <f t="shared" si="1"/>
        <v>No Nuevo</v>
      </c>
    </row>
    <row r="1419" ht="15.75" customHeight="1">
      <c r="A1419" s="71" t="str">
        <f>Registros!A1419</f>
        <v>3181@gmail.com</v>
      </c>
      <c r="B1419" s="5">
        <f>Registros!B1419</f>
        <v>43883.31944</v>
      </c>
      <c r="C1419" s="18" t="str">
        <f>IFNA(VLOOKUP(A1419,'Registros - No nuevos'!A:A,1,0),"Nuevo")</f>
        <v>3181@gmail.com</v>
      </c>
      <c r="D1419" s="72" t="str">
        <f t="shared" si="1"/>
        <v>No Nuevo</v>
      </c>
    </row>
    <row r="1420" ht="15.75" customHeight="1">
      <c r="A1420" s="71" t="str">
        <f>Registros!A1420</f>
        <v>2717@gmail.com</v>
      </c>
      <c r="B1420" s="5">
        <f>Registros!B1420</f>
        <v>43883.13125</v>
      </c>
      <c r="C1420" s="18" t="str">
        <f>IFNA(VLOOKUP(A1420,'Registros - No nuevos'!A:A,1,0),"Nuevo")</f>
        <v>2717@gmail.com</v>
      </c>
      <c r="D1420" s="72" t="str">
        <f t="shared" si="1"/>
        <v>No Nuevo</v>
      </c>
    </row>
    <row r="1421" ht="15.75" customHeight="1">
      <c r="A1421" s="71" t="str">
        <f>Registros!A1421</f>
        <v>2718@none.com</v>
      </c>
      <c r="B1421" s="5">
        <f>Registros!B1421</f>
        <v>43883.11528</v>
      </c>
      <c r="C1421" s="18" t="str">
        <f>IFNA(VLOOKUP(A1421,'Registros - No nuevos'!A:A,1,0),"Nuevo")</f>
        <v>2718@none.com</v>
      </c>
      <c r="D1421" s="72" t="str">
        <f t="shared" si="1"/>
        <v>No Nuevo</v>
      </c>
    </row>
    <row r="1422" ht="15.75" customHeight="1">
      <c r="A1422" s="71" t="str">
        <f>Registros!A1422</f>
        <v>649@yahoo.es</v>
      </c>
      <c r="B1422" s="5">
        <f>Registros!B1422</f>
        <v>43882.74444</v>
      </c>
      <c r="C1422" s="18" t="str">
        <f>IFNA(VLOOKUP(A1422,'Registros - No nuevos'!A:A,1,0),"Nuevo")</f>
        <v>649@yahoo.es</v>
      </c>
      <c r="D1422" s="72" t="str">
        <f t="shared" si="1"/>
        <v>No Nuevo</v>
      </c>
    </row>
    <row r="1423" ht="15.75" customHeight="1">
      <c r="A1423" s="71" t="str">
        <f>Registros!A1423</f>
        <v>3182@hormail.com</v>
      </c>
      <c r="B1423" s="5">
        <f>Registros!B1423</f>
        <v>43882.72292</v>
      </c>
      <c r="C1423" s="18" t="str">
        <f>IFNA(VLOOKUP(A1423,'Registros - No nuevos'!A:A,1,0),"Nuevo")</f>
        <v>3182@hormail.com</v>
      </c>
      <c r="D1423" s="72" t="str">
        <f t="shared" si="1"/>
        <v>No Nuevo</v>
      </c>
    </row>
    <row r="1424" ht="15.75" customHeight="1">
      <c r="A1424" s="71" t="str">
        <f>Registros!A1424</f>
        <v>2719@saltoki.es</v>
      </c>
      <c r="B1424" s="5">
        <f>Registros!B1424</f>
        <v>43882.69722</v>
      </c>
      <c r="C1424" s="18" t="str">
        <f>IFNA(VLOOKUP(A1424,'Registros - No nuevos'!A:A,1,0),"Nuevo")</f>
        <v>2719@saltoki.es</v>
      </c>
      <c r="D1424" s="72" t="str">
        <f t="shared" si="1"/>
        <v>No Nuevo</v>
      </c>
    </row>
    <row r="1425" ht="15.75" customHeight="1">
      <c r="A1425" s="71" t="str">
        <f>Registros!A1425</f>
        <v>3183@gmail.com</v>
      </c>
      <c r="B1425" s="5">
        <f>Registros!B1425</f>
        <v>43882.67847</v>
      </c>
      <c r="C1425" s="18" t="str">
        <f>IFNA(VLOOKUP(A1425,'Registros - No nuevos'!A:A,1,0),"Nuevo")</f>
        <v>3183@gmail.com</v>
      </c>
      <c r="D1425" s="72" t="str">
        <f t="shared" si="1"/>
        <v>No Nuevo</v>
      </c>
    </row>
    <row r="1426" ht="15.75" customHeight="1">
      <c r="A1426" s="71" t="str">
        <f>Registros!A1426</f>
        <v>3184@gmail.com</v>
      </c>
      <c r="B1426" s="5">
        <f>Registros!B1426</f>
        <v>43882.67361</v>
      </c>
      <c r="C1426" s="18" t="str">
        <f>IFNA(VLOOKUP(A1426,'Registros - No nuevos'!A:A,1,0),"Nuevo")</f>
        <v>3184@gmail.com</v>
      </c>
      <c r="D1426" s="72" t="str">
        <f t="shared" si="1"/>
        <v>No Nuevo</v>
      </c>
    </row>
    <row r="1427" ht="15.75" customHeight="1">
      <c r="A1427" s="71" t="str">
        <f>Registros!A1427</f>
        <v>3185@gmail.com</v>
      </c>
      <c r="B1427" s="5">
        <f>Registros!B1427</f>
        <v>43882.66667</v>
      </c>
      <c r="C1427" s="18" t="str">
        <f>IFNA(VLOOKUP(A1427,'Registros - No nuevos'!A:A,1,0),"Nuevo")</f>
        <v>3185@gmail.com</v>
      </c>
      <c r="D1427" s="72" t="str">
        <f t="shared" si="1"/>
        <v>No Nuevo</v>
      </c>
    </row>
    <row r="1428" ht="15.75" customHeight="1">
      <c r="A1428" s="71" t="str">
        <f>Registros!A1428</f>
        <v>171@gmail.com</v>
      </c>
      <c r="B1428" s="5">
        <f>Registros!B1428</f>
        <v>43882.55069</v>
      </c>
      <c r="C1428" s="18" t="str">
        <f>IFNA(VLOOKUP(A1428,'Registros - No nuevos'!A:A,1,0),"Nuevo")</f>
        <v>171@gmail.com</v>
      </c>
      <c r="D1428" s="72" t="str">
        <f t="shared" si="1"/>
        <v>No Nuevo</v>
      </c>
    </row>
    <row r="1429" ht="15.75" customHeight="1">
      <c r="A1429" s="71" t="str">
        <f>Registros!A1429</f>
        <v>2723@hotmail.com</v>
      </c>
      <c r="B1429" s="5">
        <f>Registros!B1429</f>
        <v>43882.34514</v>
      </c>
      <c r="C1429" s="18" t="str">
        <f>IFNA(VLOOKUP(A1429,'Registros - No nuevos'!A:A,1,0),"Nuevo")</f>
        <v>2723@hotmail.com</v>
      </c>
      <c r="D1429" s="72" t="str">
        <f t="shared" si="1"/>
        <v>No Nuevo</v>
      </c>
    </row>
    <row r="1430" ht="15.75" customHeight="1">
      <c r="A1430" s="71" t="str">
        <f>Registros!A1430</f>
        <v>2370@gmail.com</v>
      </c>
      <c r="B1430" s="5">
        <f>Registros!B1430</f>
        <v>43882.32153</v>
      </c>
      <c r="C1430" s="18" t="str">
        <f>IFNA(VLOOKUP(A1430,'Registros - No nuevos'!A:A,1,0),"Nuevo")</f>
        <v>2370@gmail.com</v>
      </c>
      <c r="D1430" s="72" t="str">
        <f t="shared" si="1"/>
        <v>No Nuevo</v>
      </c>
    </row>
    <row r="1431" ht="15.75" customHeight="1">
      <c r="A1431" s="71" t="str">
        <f>Registros!A1431</f>
        <v>2725@hotmail.com</v>
      </c>
      <c r="B1431" s="5">
        <f>Registros!B1431</f>
        <v>43881.97708</v>
      </c>
      <c r="C1431" s="18" t="str">
        <f>IFNA(VLOOKUP(A1431,'Registros - No nuevos'!A:A,1,0),"Nuevo")</f>
        <v>2725@hotmail.com</v>
      </c>
      <c r="D1431" s="72" t="str">
        <f t="shared" si="1"/>
        <v>No Nuevo</v>
      </c>
    </row>
    <row r="1432" ht="15.75" customHeight="1">
      <c r="A1432" s="71" t="str">
        <f>Registros!A1432</f>
        <v>995@telefonica.net</v>
      </c>
      <c r="B1432" s="5">
        <f>Registros!B1432</f>
        <v>43881.90764</v>
      </c>
      <c r="C1432" s="18" t="str">
        <f>IFNA(VLOOKUP(A1432,'Registros - No nuevos'!A:A,1,0),"Nuevo")</f>
        <v>995@telefonica.net</v>
      </c>
      <c r="D1432" s="72" t="str">
        <f t="shared" si="1"/>
        <v>No Nuevo</v>
      </c>
    </row>
    <row r="1433" ht="15.75" customHeight="1">
      <c r="A1433" s="71" t="str">
        <f>Registros!A1433</f>
        <v>3186@gmail.com</v>
      </c>
      <c r="B1433" s="5">
        <f>Registros!B1433</f>
        <v>43881.56111</v>
      </c>
      <c r="C1433" s="18" t="str">
        <f>IFNA(VLOOKUP(A1433,'Registros - No nuevos'!A:A,1,0),"Nuevo")</f>
        <v>3186@gmail.com</v>
      </c>
      <c r="D1433" s="72" t="str">
        <f t="shared" si="1"/>
        <v>No Nuevo</v>
      </c>
    </row>
    <row r="1434" ht="15.75" customHeight="1">
      <c r="A1434" s="71" t="str">
        <f>Registros!A1434</f>
        <v>2727@gruponovelec.com</v>
      </c>
      <c r="B1434" s="5">
        <f>Registros!B1434</f>
        <v>43881.52014</v>
      </c>
      <c r="C1434" s="18" t="str">
        <f>IFNA(VLOOKUP(A1434,'Registros - No nuevos'!A:A,1,0),"Nuevo")</f>
        <v>2727@gruponovelec.com</v>
      </c>
      <c r="D1434" s="72" t="str">
        <f t="shared" si="1"/>
        <v>No Nuevo</v>
      </c>
    </row>
    <row r="1435" ht="15.75" customHeight="1">
      <c r="A1435" s="71" t="str">
        <f>Registros!A1435</f>
        <v>321@gmail.com</v>
      </c>
      <c r="B1435" s="5">
        <f>Registros!B1435</f>
        <v>43881.47014</v>
      </c>
      <c r="C1435" s="18" t="str">
        <f>IFNA(VLOOKUP(A1435,'Registros - No nuevos'!A:A,1,0),"Nuevo")</f>
        <v>321@gmail.com</v>
      </c>
      <c r="D1435" s="72" t="str">
        <f t="shared" si="1"/>
        <v>No Nuevo</v>
      </c>
    </row>
    <row r="1436" ht="15.75" customHeight="1">
      <c r="A1436" s="71" t="str">
        <f>Registros!A1436</f>
        <v>3187@gmail.com</v>
      </c>
      <c r="B1436" s="5">
        <f>Registros!B1436</f>
        <v>43880.85625</v>
      </c>
      <c r="C1436" s="18" t="str">
        <f>IFNA(VLOOKUP(A1436,'Registros - No nuevos'!A:A,1,0),"Nuevo")</f>
        <v>3187@gmail.com</v>
      </c>
      <c r="D1436" s="72" t="str">
        <f t="shared" si="1"/>
        <v>No Nuevo</v>
      </c>
    </row>
    <row r="1437" ht="15.75" customHeight="1">
      <c r="A1437" s="71" t="str">
        <f>Registros!A1437</f>
        <v>2729@hotmail.com</v>
      </c>
      <c r="B1437" s="5">
        <f>Registros!B1437</f>
        <v>43880.81111</v>
      </c>
      <c r="C1437" s="18" t="str">
        <f>IFNA(VLOOKUP(A1437,'Registros - No nuevos'!A:A,1,0),"Nuevo")</f>
        <v>2729@hotmail.com</v>
      </c>
      <c r="D1437" s="72" t="str">
        <f t="shared" si="1"/>
        <v>No Nuevo</v>
      </c>
    </row>
    <row r="1438" ht="15.75" customHeight="1">
      <c r="A1438" s="71" t="str">
        <f>Registros!A1438</f>
        <v>2730@enzazaden.es</v>
      </c>
      <c r="B1438" s="5">
        <f>Registros!B1438</f>
        <v>43880.71528</v>
      </c>
      <c r="C1438" s="18" t="str">
        <f>IFNA(VLOOKUP(A1438,'Registros - No nuevos'!A:A,1,0),"Nuevo")</f>
        <v>2730@enzazaden.es</v>
      </c>
      <c r="D1438" s="72" t="str">
        <f t="shared" si="1"/>
        <v>No Nuevo</v>
      </c>
    </row>
    <row r="1439" ht="15.75" customHeight="1">
      <c r="A1439" s="71" t="str">
        <f>Registros!A1439</f>
        <v>3188@hotmail.com</v>
      </c>
      <c r="B1439" s="5">
        <f>Registros!B1439</f>
        <v>43880.65625</v>
      </c>
      <c r="C1439" s="18" t="str">
        <f>IFNA(VLOOKUP(A1439,'Registros - No nuevos'!A:A,1,0),"Nuevo")</f>
        <v>3188@hotmail.com</v>
      </c>
      <c r="D1439" s="72" t="str">
        <f t="shared" si="1"/>
        <v>No Nuevo</v>
      </c>
    </row>
    <row r="1440" ht="15.75" customHeight="1">
      <c r="A1440" s="71" t="str">
        <f>Registros!A1440</f>
        <v>2732@gmail.com</v>
      </c>
      <c r="B1440" s="5">
        <f>Registros!B1440</f>
        <v>43880.57917</v>
      </c>
      <c r="C1440" s="18" t="str">
        <f>IFNA(VLOOKUP(A1440,'Registros - No nuevos'!A:A,1,0),"Nuevo")</f>
        <v>2732@gmail.com</v>
      </c>
      <c r="D1440" s="72" t="str">
        <f t="shared" si="1"/>
        <v>No Nuevo</v>
      </c>
    </row>
    <row r="1441" ht="15.75" customHeight="1">
      <c r="A1441" s="71" t="str">
        <f>Registros!A1441</f>
        <v>2733@sigmaenginyers.es</v>
      </c>
      <c r="B1441" s="5">
        <f>Registros!B1441</f>
        <v>43880.57083</v>
      </c>
      <c r="C1441" s="18" t="str">
        <f>IFNA(VLOOKUP(A1441,'Registros - No nuevos'!A:A,1,0),"Nuevo")</f>
        <v>2733@sigmaenginyers.es</v>
      </c>
      <c r="D1441" s="72" t="str">
        <f t="shared" si="1"/>
        <v>No Nuevo</v>
      </c>
    </row>
    <row r="1442" ht="15.75" customHeight="1">
      <c r="A1442" s="71" t="str">
        <f>Registros!A1442</f>
        <v>2736@gmail.com</v>
      </c>
      <c r="B1442" s="5">
        <f>Registros!B1442</f>
        <v>43879.94792</v>
      </c>
      <c r="C1442" s="18" t="str">
        <f>IFNA(VLOOKUP(A1442,'Registros - No nuevos'!A:A,1,0),"Nuevo")</f>
        <v>2736@gmail.com</v>
      </c>
      <c r="D1442" s="72" t="str">
        <f t="shared" si="1"/>
        <v>No Nuevo</v>
      </c>
    </row>
    <row r="1443" ht="15.75" customHeight="1">
      <c r="A1443" s="71" t="str">
        <f>Registros!A1443</f>
        <v>3189@ambling.es</v>
      </c>
      <c r="B1443" s="5">
        <f>Registros!B1443</f>
        <v>43879.86528</v>
      </c>
      <c r="C1443" s="18" t="str">
        <f>IFNA(VLOOKUP(A1443,'Registros - No nuevos'!A:A,1,0),"Nuevo")</f>
        <v>3189@ambling.es</v>
      </c>
      <c r="D1443" s="72" t="str">
        <f t="shared" si="1"/>
        <v>No Nuevo</v>
      </c>
    </row>
    <row r="1444" ht="15.75" customHeight="1">
      <c r="A1444" s="71" t="str">
        <f>Registros!A1444</f>
        <v>2737@gmail.com</v>
      </c>
      <c r="B1444" s="5">
        <f>Registros!B1444</f>
        <v>43879.86528</v>
      </c>
      <c r="C1444" s="18" t="str">
        <f>IFNA(VLOOKUP(A1444,'Registros - No nuevos'!A:A,1,0),"Nuevo")</f>
        <v>2737@gmail.com</v>
      </c>
      <c r="D1444" s="72" t="str">
        <f t="shared" si="1"/>
        <v>No Nuevo</v>
      </c>
    </row>
    <row r="1445" ht="15.75" customHeight="1">
      <c r="A1445" s="71" t="str">
        <f>Registros!A1445</f>
        <v>2739@constructorasanjose.com</v>
      </c>
      <c r="B1445" s="5">
        <f>Registros!B1445</f>
        <v>43879.71181</v>
      </c>
      <c r="C1445" s="18" t="str">
        <f>IFNA(VLOOKUP(A1445,'Registros - No nuevos'!A:A,1,0),"Nuevo")</f>
        <v>2739@constructorasanjose.com</v>
      </c>
      <c r="D1445" s="72" t="str">
        <f t="shared" si="1"/>
        <v>No Nuevo</v>
      </c>
    </row>
    <row r="1446" ht="15.75" customHeight="1">
      <c r="A1446" s="71" t="str">
        <f>Registros!A1446</f>
        <v>2740@gmail.com</v>
      </c>
      <c r="B1446" s="5">
        <f>Registros!B1446</f>
        <v>43879.66319</v>
      </c>
      <c r="C1446" s="18" t="str">
        <f>IFNA(VLOOKUP(A1446,'Registros - No nuevos'!A:A,1,0),"Nuevo")</f>
        <v>2740@gmail.com</v>
      </c>
      <c r="D1446" s="72" t="str">
        <f t="shared" si="1"/>
        <v>No Nuevo</v>
      </c>
    </row>
    <row r="1447" ht="15.75" customHeight="1">
      <c r="A1447" s="71" t="str">
        <f>Registros!A1447</f>
        <v>2741@cruzroja.es</v>
      </c>
      <c r="B1447" s="5">
        <f>Registros!B1447</f>
        <v>43879.55764</v>
      </c>
      <c r="C1447" s="18" t="str">
        <f>IFNA(VLOOKUP(A1447,'Registros - No nuevos'!A:A,1,0),"Nuevo")</f>
        <v>2741@cruzroja.es</v>
      </c>
      <c r="D1447" s="72" t="str">
        <f t="shared" si="1"/>
        <v>No Nuevo</v>
      </c>
    </row>
    <row r="1448" ht="15.75" customHeight="1">
      <c r="A1448" s="71" t="str">
        <f>Registros!A1448</f>
        <v>3190@aprenergia.es</v>
      </c>
      <c r="B1448" s="5">
        <f>Registros!B1448</f>
        <v>43879.50069</v>
      </c>
      <c r="C1448" s="18" t="str">
        <f>IFNA(VLOOKUP(A1448,'Registros - No nuevos'!A:A,1,0),"Nuevo")</f>
        <v>3190@aprenergia.es</v>
      </c>
      <c r="D1448" s="72" t="str">
        <f t="shared" si="1"/>
        <v>No Nuevo</v>
      </c>
    </row>
    <row r="1449" ht="15.75" customHeight="1">
      <c r="A1449" s="71" t="str">
        <f>Registros!A1449</f>
        <v>2743@itaipu.gov.py</v>
      </c>
      <c r="B1449" s="5">
        <f>Registros!B1449</f>
        <v>43879.47778</v>
      </c>
      <c r="C1449" s="18" t="str">
        <f>IFNA(VLOOKUP(A1449,'Registros - No nuevos'!A:A,1,0),"Nuevo")</f>
        <v>2743@itaipu.gov.py</v>
      </c>
      <c r="D1449" s="72" t="str">
        <f t="shared" si="1"/>
        <v>No Nuevo</v>
      </c>
    </row>
    <row r="1450" ht="15.75" customHeight="1">
      <c r="A1450" s="71" t="str">
        <f>Registros!A1450</f>
        <v>1642@aytoguadalajara.es</v>
      </c>
      <c r="B1450" s="5">
        <f>Registros!B1450</f>
        <v>43879.46458</v>
      </c>
      <c r="C1450" s="18" t="str">
        <f>IFNA(VLOOKUP(A1450,'Registros - No nuevos'!A:A,1,0),"Nuevo")</f>
        <v>1642@aytoguadalajara.es</v>
      </c>
      <c r="D1450" s="72" t="str">
        <f t="shared" si="1"/>
        <v>No Nuevo</v>
      </c>
    </row>
    <row r="1451" ht="15.75" customHeight="1">
      <c r="A1451" s="71" t="str">
        <f>Registros!A1451</f>
        <v>2745@urbanresilience.eu</v>
      </c>
      <c r="B1451" s="5">
        <f>Registros!B1451</f>
        <v>43879.41319</v>
      </c>
      <c r="C1451" s="18" t="str">
        <f>IFNA(VLOOKUP(A1451,'Registros - No nuevos'!A:A,1,0),"Nuevo")</f>
        <v>2745@urbanresilience.eu</v>
      </c>
      <c r="D1451" s="72" t="str">
        <f t="shared" si="1"/>
        <v>No Nuevo</v>
      </c>
    </row>
    <row r="1452" ht="15.75" customHeight="1">
      <c r="A1452" s="71" t="str">
        <f>Registros!A1452</f>
        <v>3191@gmail.com</v>
      </c>
      <c r="B1452" s="5">
        <f>Registros!B1452</f>
        <v>43878.78056</v>
      </c>
      <c r="C1452" s="18" t="str">
        <f>IFNA(VLOOKUP(A1452,'Registros - No nuevos'!A:A,1,0),"Nuevo")</f>
        <v>3191@gmail.com</v>
      </c>
      <c r="D1452" s="72" t="str">
        <f t="shared" si="1"/>
        <v>No Nuevo</v>
      </c>
    </row>
    <row r="1453" ht="15.75" customHeight="1">
      <c r="A1453" s="71" t="str">
        <f>Registros!A1453</f>
        <v>2748@nitlux.es</v>
      </c>
      <c r="B1453" s="5">
        <f>Registros!B1453</f>
        <v>43878.77361</v>
      </c>
      <c r="C1453" s="18" t="str">
        <f>IFNA(VLOOKUP(A1453,'Registros - No nuevos'!A:A,1,0),"Nuevo")</f>
        <v>2748@nitlux.es</v>
      </c>
      <c r="D1453" s="72" t="str">
        <f t="shared" si="1"/>
        <v>No Nuevo</v>
      </c>
    </row>
    <row r="1454" ht="15.75" customHeight="1">
      <c r="A1454" s="71" t="str">
        <f>Registros!A1454</f>
        <v>920@meval.eu</v>
      </c>
      <c r="B1454" s="5">
        <f>Registros!B1454</f>
        <v>43878.71181</v>
      </c>
      <c r="C1454" s="18" t="str">
        <f>IFNA(VLOOKUP(A1454,'Registros - No nuevos'!A:A,1,0),"Nuevo")</f>
        <v>920@meval.eu</v>
      </c>
      <c r="D1454" s="72" t="str">
        <f t="shared" si="1"/>
        <v>No Nuevo</v>
      </c>
    </row>
    <row r="1455" ht="15.75" customHeight="1">
      <c r="A1455" s="71" t="str">
        <f>Registros!A1455</f>
        <v>2177@yahoo.es</v>
      </c>
      <c r="B1455" s="5">
        <f>Registros!B1455</f>
        <v>43878.6625</v>
      </c>
      <c r="C1455" s="18" t="str">
        <f>IFNA(VLOOKUP(A1455,'Registros - No nuevos'!A:A,1,0),"Nuevo")</f>
        <v>2177@yahoo.es</v>
      </c>
      <c r="D1455" s="72" t="str">
        <f t="shared" si="1"/>
        <v>No Nuevo</v>
      </c>
    </row>
    <row r="1456" ht="15.75" customHeight="1">
      <c r="A1456" s="71" t="str">
        <f>Registros!A1456</f>
        <v>3192@ingenierosdecadiz.es</v>
      </c>
      <c r="B1456" s="5">
        <f>Registros!B1456</f>
        <v>43878.63403</v>
      </c>
      <c r="C1456" s="18" t="str">
        <f>IFNA(VLOOKUP(A1456,'Registros - No nuevos'!A:A,1,0),"Nuevo")</f>
        <v>3192@ingenierosdecadiz.es</v>
      </c>
      <c r="D1456" s="72" t="str">
        <f t="shared" si="1"/>
        <v>No Nuevo</v>
      </c>
    </row>
    <row r="1457" ht="15.75" customHeight="1">
      <c r="A1457" s="71" t="str">
        <f>Registros!A1457</f>
        <v>2749@gmail.com</v>
      </c>
      <c r="B1457" s="5">
        <f>Registros!B1457</f>
        <v>43878.51875</v>
      </c>
      <c r="C1457" s="18" t="str">
        <f>IFNA(VLOOKUP(A1457,'Registros - No nuevos'!A:A,1,0),"Nuevo")</f>
        <v>2749@gmail.com</v>
      </c>
      <c r="D1457" s="72" t="str">
        <f t="shared" si="1"/>
        <v>No Nuevo</v>
      </c>
    </row>
    <row r="1458" ht="15.75" customHeight="1">
      <c r="A1458" s="71" t="str">
        <f>Registros!A1458</f>
        <v>2114@tecnoclimainstalaciones.com</v>
      </c>
      <c r="B1458" s="5">
        <f>Registros!B1458</f>
        <v>43878.45486</v>
      </c>
      <c r="C1458" s="18" t="str">
        <f>IFNA(VLOOKUP(A1458,'Registros - No nuevos'!A:A,1,0),"Nuevo")</f>
        <v>2114@tecnoclimainstalaciones.com</v>
      </c>
      <c r="D1458" s="72" t="str">
        <f t="shared" si="1"/>
        <v>No Nuevo</v>
      </c>
    </row>
    <row r="1459" ht="15.75" customHeight="1">
      <c r="A1459" s="71" t="str">
        <f>Registros!A1459</f>
        <v>1682@hotmail.es</v>
      </c>
      <c r="B1459" s="5">
        <f>Registros!B1459</f>
        <v>43878.43472</v>
      </c>
      <c r="C1459" s="18" t="str">
        <f>IFNA(VLOOKUP(A1459,'Registros - No nuevos'!A:A,1,0),"Nuevo")</f>
        <v>1682@hotmail.es</v>
      </c>
      <c r="D1459" s="72" t="str">
        <f t="shared" si="1"/>
        <v>No Nuevo</v>
      </c>
    </row>
    <row r="1460" ht="15.75" customHeight="1">
      <c r="A1460" s="71" t="str">
        <f>Registros!A1460</f>
        <v>2752@ingener.net</v>
      </c>
      <c r="B1460" s="5">
        <f>Registros!B1460</f>
        <v>43878.42778</v>
      </c>
      <c r="C1460" s="18" t="str">
        <f>IFNA(VLOOKUP(A1460,'Registros - No nuevos'!A:A,1,0),"Nuevo")</f>
        <v>2752@ingener.net</v>
      </c>
      <c r="D1460" s="72" t="str">
        <f t="shared" si="1"/>
        <v>No Nuevo</v>
      </c>
    </row>
    <row r="1461" ht="15.75" customHeight="1">
      <c r="A1461" s="71" t="str">
        <f>Registros!A1461</f>
        <v>2708@meta-sidecar.com</v>
      </c>
      <c r="B1461" s="5">
        <f>Registros!B1461</f>
        <v>43878.4</v>
      </c>
      <c r="C1461" s="18" t="str">
        <f>IFNA(VLOOKUP(A1461,'Registros - No nuevos'!A:A,1,0),"Nuevo")</f>
        <v>2708@meta-sidecar.com</v>
      </c>
      <c r="D1461" s="72" t="str">
        <f t="shared" si="1"/>
        <v>No Nuevo</v>
      </c>
    </row>
    <row r="1462" ht="15.75" customHeight="1">
      <c r="A1462" s="71" t="str">
        <f>Registros!A1462</f>
        <v>2754@emgvlasrozas.org</v>
      </c>
      <c r="B1462" s="5">
        <f>Registros!B1462</f>
        <v>43878.36875</v>
      </c>
      <c r="C1462" s="18" t="str">
        <f>IFNA(VLOOKUP(A1462,'Registros - No nuevos'!A:A,1,0),"Nuevo")</f>
        <v>2754@emgvlasrozas.org</v>
      </c>
      <c r="D1462" s="72" t="str">
        <f t="shared" si="1"/>
        <v>No Nuevo</v>
      </c>
    </row>
    <row r="1463" ht="15.75" customHeight="1">
      <c r="A1463" s="71" t="str">
        <f>Registros!A1463</f>
        <v>1295@hotmail.es</v>
      </c>
      <c r="B1463" s="5">
        <f>Registros!B1463</f>
        <v>43878.33611</v>
      </c>
      <c r="C1463" s="18" t="str">
        <f>IFNA(VLOOKUP(A1463,'Registros - No nuevos'!A:A,1,0),"Nuevo")</f>
        <v>1295@hotmail.es</v>
      </c>
      <c r="D1463" s="72" t="str">
        <f t="shared" si="1"/>
        <v>No Nuevo</v>
      </c>
    </row>
    <row r="1464" ht="15.75" customHeight="1">
      <c r="A1464" s="71" t="str">
        <f>Registros!A1464</f>
        <v>2756@gmail.com</v>
      </c>
      <c r="B1464" s="5">
        <f>Registros!B1464</f>
        <v>43878.21875</v>
      </c>
      <c r="C1464" s="18" t="str">
        <f>IFNA(VLOOKUP(A1464,'Registros - No nuevos'!A:A,1,0),"Nuevo")</f>
        <v>2756@gmail.com</v>
      </c>
      <c r="D1464" s="72" t="str">
        <f t="shared" si="1"/>
        <v>No Nuevo</v>
      </c>
    </row>
    <row r="1465" ht="15.75" customHeight="1">
      <c r="A1465" s="71" t="str">
        <f>Registros!A1465</f>
        <v>2757@irradiaenergia.com</v>
      </c>
      <c r="B1465" s="5">
        <f>Registros!B1465</f>
        <v>43877.85417</v>
      </c>
      <c r="C1465" s="18" t="str">
        <f>IFNA(VLOOKUP(A1465,'Registros - No nuevos'!A:A,1,0),"Nuevo")</f>
        <v>2757@irradiaenergia.com</v>
      </c>
      <c r="D1465" s="72" t="str">
        <f t="shared" si="1"/>
        <v>No Nuevo</v>
      </c>
    </row>
    <row r="1466" ht="15.75" customHeight="1">
      <c r="A1466" s="71" t="str">
        <f>Registros!A1466</f>
        <v>2758@gmail.com</v>
      </c>
      <c r="B1466" s="5">
        <f>Registros!B1466</f>
        <v>43877.82847</v>
      </c>
      <c r="C1466" s="18" t="str">
        <f>IFNA(VLOOKUP(A1466,'Registros - No nuevos'!A:A,1,0),"Nuevo")</f>
        <v>2758@gmail.com</v>
      </c>
      <c r="D1466" s="72" t="str">
        <f t="shared" si="1"/>
        <v>No Nuevo</v>
      </c>
    </row>
    <row r="1467" ht="15.75" customHeight="1">
      <c r="A1467" s="71" t="str">
        <f>Registros!A1467</f>
        <v>2759@gmail.com</v>
      </c>
      <c r="B1467" s="5">
        <f>Registros!B1467</f>
        <v>43877.78611</v>
      </c>
      <c r="C1467" s="18" t="str">
        <f>IFNA(VLOOKUP(A1467,'Registros - No nuevos'!A:A,1,0),"Nuevo")</f>
        <v>2759@gmail.com</v>
      </c>
      <c r="D1467" s="72" t="str">
        <f t="shared" si="1"/>
        <v>No Nuevo</v>
      </c>
    </row>
    <row r="1468" ht="15.75" customHeight="1">
      <c r="A1468" s="71" t="str">
        <f>Registros!A1468</f>
        <v>2760@yahoo.es</v>
      </c>
      <c r="B1468" s="5">
        <f>Registros!B1468</f>
        <v>43877.73542</v>
      </c>
      <c r="C1468" s="18" t="str">
        <f>IFNA(VLOOKUP(A1468,'Registros - No nuevos'!A:A,1,0),"Nuevo")</f>
        <v>2760@yahoo.es</v>
      </c>
      <c r="D1468" s="72" t="str">
        <f t="shared" si="1"/>
        <v>No Nuevo</v>
      </c>
    </row>
    <row r="1469" ht="15.75" customHeight="1">
      <c r="A1469" s="71" t="str">
        <f>Registros!A1469</f>
        <v>2762@gmail.com</v>
      </c>
      <c r="B1469" s="5">
        <f>Registros!B1469</f>
        <v>43877.51042</v>
      </c>
      <c r="C1469" s="18" t="str">
        <f>IFNA(VLOOKUP(A1469,'Registros - No nuevos'!A:A,1,0),"Nuevo")</f>
        <v>2762@gmail.com</v>
      </c>
      <c r="D1469" s="72" t="str">
        <f t="shared" si="1"/>
        <v>No Nuevo</v>
      </c>
    </row>
    <row r="1470" ht="15.75" customHeight="1">
      <c r="A1470" s="71" t="str">
        <f>Registros!A1470</f>
        <v>3193@metalux.es</v>
      </c>
      <c r="B1470" s="5">
        <f>Registros!B1470</f>
        <v>43877.42361</v>
      </c>
      <c r="C1470" s="18" t="str">
        <f>IFNA(VLOOKUP(A1470,'Registros - No nuevos'!A:A,1,0),"Nuevo")</f>
        <v>3193@metalux.es</v>
      </c>
      <c r="D1470" s="72" t="str">
        <f t="shared" si="1"/>
        <v>No Nuevo</v>
      </c>
    </row>
    <row r="1471" ht="15.75" customHeight="1">
      <c r="A1471" s="71" t="str">
        <f>Registros!A1471</f>
        <v>2764@gmail.com</v>
      </c>
      <c r="B1471" s="5">
        <f>Registros!B1471</f>
        <v>43877.38819</v>
      </c>
      <c r="C1471" s="18" t="str">
        <f>IFNA(VLOOKUP(A1471,'Registros - No nuevos'!A:A,1,0),"Nuevo")</f>
        <v>2764@gmail.com</v>
      </c>
      <c r="D1471" s="72" t="str">
        <f t="shared" si="1"/>
        <v>No Nuevo</v>
      </c>
    </row>
    <row r="1472" ht="15.75" customHeight="1">
      <c r="A1472" s="71" t="str">
        <f>Registros!A1472</f>
        <v>3194@hotmail.es</v>
      </c>
      <c r="B1472" s="5">
        <f>Registros!B1472</f>
        <v>43876.92222</v>
      </c>
      <c r="C1472" s="18" t="str">
        <f>IFNA(VLOOKUP(A1472,'Registros - No nuevos'!A:A,1,0),"Nuevo")</f>
        <v>3194@hotmail.es</v>
      </c>
      <c r="D1472" s="72" t="str">
        <f t="shared" si="1"/>
        <v>No Nuevo</v>
      </c>
    </row>
    <row r="1473" ht="15.75" customHeight="1">
      <c r="A1473" s="71" t="str">
        <f>Registros!A1473</f>
        <v>1692@tecasol.net</v>
      </c>
      <c r="B1473" s="5">
        <f>Registros!B1473</f>
        <v>43876.86528</v>
      </c>
      <c r="C1473" s="18" t="str">
        <f>IFNA(VLOOKUP(A1473,'Registros - No nuevos'!A:A,1,0),"Nuevo")</f>
        <v>1692@tecasol.net</v>
      </c>
      <c r="D1473" s="72" t="str">
        <f t="shared" si="1"/>
        <v>No Nuevo</v>
      </c>
    </row>
    <row r="1474" ht="15.75" customHeight="1">
      <c r="A1474" s="71" t="str">
        <f>Registros!A1474</f>
        <v>2766@telefonica.net</v>
      </c>
      <c r="B1474" s="5">
        <f>Registros!B1474</f>
        <v>43876.80556</v>
      </c>
      <c r="C1474" s="18" t="str">
        <f>IFNA(VLOOKUP(A1474,'Registros - No nuevos'!A:A,1,0),"Nuevo")</f>
        <v>2766@telefonica.net</v>
      </c>
      <c r="D1474" s="72" t="str">
        <f t="shared" si="1"/>
        <v>No Nuevo</v>
      </c>
    </row>
    <row r="1475" ht="15.75" customHeight="1">
      <c r="A1475" s="71" t="str">
        <f>Registros!A1475</f>
        <v>2767@gmail.com</v>
      </c>
      <c r="B1475" s="5">
        <f>Registros!B1475</f>
        <v>43876.575</v>
      </c>
      <c r="C1475" s="18" t="str">
        <f>IFNA(VLOOKUP(A1475,'Registros - No nuevos'!A:A,1,0),"Nuevo")</f>
        <v>2767@gmail.com</v>
      </c>
      <c r="D1475" s="72" t="str">
        <f t="shared" si="1"/>
        <v>No Nuevo</v>
      </c>
    </row>
    <row r="1476" ht="15.75" customHeight="1">
      <c r="A1476" s="71" t="str">
        <f>Registros!A1476</f>
        <v>2768@gmail.com</v>
      </c>
      <c r="B1476" s="5">
        <f>Registros!B1476</f>
        <v>43876.54653</v>
      </c>
      <c r="C1476" s="18" t="str">
        <f>IFNA(VLOOKUP(A1476,'Registros - No nuevos'!A:A,1,0),"Nuevo")</f>
        <v>2768@gmail.com</v>
      </c>
      <c r="D1476" s="72" t="str">
        <f t="shared" si="1"/>
        <v>No Nuevo</v>
      </c>
    </row>
    <row r="1477" ht="15.75" customHeight="1">
      <c r="A1477" s="71" t="str">
        <f>Registros!A1477</f>
        <v>3195@hotmail.com</v>
      </c>
      <c r="B1477" s="5">
        <f>Registros!B1477</f>
        <v>43876.52569</v>
      </c>
      <c r="C1477" s="18" t="str">
        <f>IFNA(VLOOKUP(A1477,'Registros - No nuevos'!A:A,1,0),"Nuevo")</f>
        <v>3195@hotmail.com</v>
      </c>
      <c r="D1477" s="72" t="str">
        <f t="shared" si="1"/>
        <v>No Nuevo</v>
      </c>
    </row>
    <row r="1478" ht="15.75" customHeight="1">
      <c r="A1478" s="71" t="str">
        <f>Registros!A1478</f>
        <v>2640@magserveis.com</v>
      </c>
      <c r="B1478" s="5">
        <f>Registros!B1478</f>
        <v>43876.44028</v>
      </c>
      <c r="C1478" s="18" t="str">
        <f>IFNA(VLOOKUP(A1478,'Registros - No nuevos'!A:A,1,0),"Nuevo")</f>
        <v>2640@magserveis.com</v>
      </c>
      <c r="D1478" s="72" t="str">
        <f t="shared" si="1"/>
        <v>No Nuevo</v>
      </c>
    </row>
    <row r="1479" ht="15.75" customHeight="1">
      <c r="A1479" s="71" t="str">
        <f>Registros!A1479</f>
        <v>3196@gmail.com</v>
      </c>
      <c r="B1479" s="5">
        <f>Registros!B1479</f>
        <v>43876.39931</v>
      </c>
      <c r="C1479" s="18" t="str">
        <f>IFNA(VLOOKUP(A1479,'Registros - No nuevos'!A:A,1,0),"Nuevo")</f>
        <v>3196@gmail.com</v>
      </c>
      <c r="D1479" s="72" t="str">
        <f t="shared" si="1"/>
        <v>No Nuevo</v>
      </c>
    </row>
    <row r="1480" ht="15.75" customHeight="1">
      <c r="A1480" s="71" t="str">
        <f>Registros!A1480</f>
        <v>2769@gmail.com</v>
      </c>
      <c r="B1480" s="5">
        <f>Registros!B1480</f>
        <v>43876.35069</v>
      </c>
      <c r="C1480" s="18" t="str">
        <f>IFNA(VLOOKUP(A1480,'Registros - No nuevos'!A:A,1,0),"Nuevo")</f>
        <v>2769@gmail.com</v>
      </c>
      <c r="D1480" s="72" t="str">
        <f t="shared" si="1"/>
        <v>No Nuevo</v>
      </c>
    </row>
    <row r="1481" ht="15.75" customHeight="1">
      <c r="A1481" s="71" t="str">
        <f>Registros!A1481</f>
        <v>3197@gmail.com</v>
      </c>
      <c r="B1481" s="5">
        <f>Registros!B1481</f>
        <v>43876.07431</v>
      </c>
      <c r="C1481" s="18" t="str">
        <f>IFNA(VLOOKUP(A1481,'Registros - No nuevos'!A:A,1,0),"Nuevo")</f>
        <v>3197@gmail.com</v>
      </c>
      <c r="D1481" s="72" t="str">
        <f t="shared" si="1"/>
        <v>No Nuevo</v>
      </c>
    </row>
    <row r="1482" ht="15.75" customHeight="1">
      <c r="A1482" s="71" t="str">
        <f>Registros!A1482</f>
        <v>3198@gmail.com</v>
      </c>
      <c r="B1482" s="5">
        <f>Registros!B1482</f>
        <v>43875.99653</v>
      </c>
      <c r="C1482" s="18" t="str">
        <f>IFNA(VLOOKUP(A1482,'Registros - No nuevos'!A:A,1,0),"Nuevo")</f>
        <v>3198@gmail.com</v>
      </c>
      <c r="D1482" s="72" t="str">
        <f t="shared" si="1"/>
        <v>No Nuevo</v>
      </c>
    </row>
    <row r="1483" ht="15.75" customHeight="1">
      <c r="A1483" s="71" t="str">
        <f>Registros!A1483</f>
        <v>2770@gmail.com</v>
      </c>
      <c r="B1483" s="5">
        <f>Registros!B1483</f>
        <v>43875.88819</v>
      </c>
      <c r="C1483" s="18" t="str">
        <f>IFNA(VLOOKUP(A1483,'Registros - No nuevos'!A:A,1,0),"Nuevo")</f>
        <v>2770@gmail.com</v>
      </c>
      <c r="D1483" s="72" t="str">
        <f t="shared" si="1"/>
        <v>No Nuevo</v>
      </c>
    </row>
    <row r="1484" ht="15.75" customHeight="1">
      <c r="A1484" s="71" t="str">
        <f>Registros!A1484</f>
        <v>3199@gmail.com</v>
      </c>
      <c r="B1484" s="5">
        <f>Registros!B1484</f>
        <v>43875.8875</v>
      </c>
      <c r="C1484" s="18" t="str">
        <f>IFNA(VLOOKUP(A1484,'Registros - No nuevos'!A:A,1,0),"Nuevo")</f>
        <v>3199@gmail.com</v>
      </c>
      <c r="D1484" s="72" t="str">
        <f t="shared" si="1"/>
        <v>No Nuevo</v>
      </c>
    </row>
    <row r="1485" ht="15.75" customHeight="1">
      <c r="A1485" s="71" t="str">
        <f>Registros!A1485</f>
        <v>2771@gmail.com</v>
      </c>
      <c r="B1485" s="5">
        <f>Registros!B1485</f>
        <v>43875.80764</v>
      </c>
      <c r="C1485" s="18" t="str">
        <f>IFNA(VLOOKUP(A1485,'Registros - No nuevos'!A:A,1,0),"Nuevo")</f>
        <v>2771@gmail.com</v>
      </c>
      <c r="D1485" s="72" t="str">
        <f t="shared" si="1"/>
        <v>No Nuevo</v>
      </c>
    </row>
    <row r="1486" ht="15.75" customHeight="1">
      <c r="A1486" s="71" t="str">
        <f>Registros!A1486</f>
        <v>2735@gmail.com</v>
      </c>
      <c r="B1486" s="5">
        <f>Registros!B1486</f>
        <v>43875.72778</v>
      </c>
      <c r="C1486" s="18" t="str">
        <f>IFNA(VLOOKUP(A1486,'Registros - No nuevos'!A:A,1,0),"Nuevo")</f>
        <v>2735@gmail.com</v>
      </c>
      <c r="D1486" s="72" t="str">
        <f t="shared" si="1"/>
        <v>No Nuevo</v>
      </c>
    </row>
    <row r="1487" ht="15.75" customHeight="1">
      <c r="A1487" s="71" t="str">
        <f>Registros!A1487</f>
        <v>3200@gmail.com</v>
      </c>
      <c r="B1487" s="5">
        <f>Registros!B1487</f>
        <v>43875.55</v>
      </c>
      <c r="C1487" s="18" t="str">
        <f>IFNA(VLOOKUP(A1487,'Registros - No nuevos'!A:A,1,0),"Nuevo")</f>
        <v>3200@gmail.com</v>
      </c>
      <c r="D1487" s="72" t="str">
        <f t="shared" si="1"/>
        <v>No Nuevo</v>
      </c>
    </row>
    <row r="1488" ht="15.75" customHeight="1">
      <c r="A1488" s="71" t="str">
        <f>Registros!A1488</f>
        <v>2774@trensfm.com</v>
      </c>
      <c r="B1488" s="5">
        <f>Registros!B1488</f>
        <v>43875.53472</v>
      </c>
      <c r="C1488" s="18" t="str">
        <f>IFNA(VLOOKUP(A1488,'Registros - No nuevos'!A:A,1,0),"Nuevo")</f>
        <v>2774@trensfm.com</v>
      </c>
      <c r="D1488" s="72" t="str">
        <f t="shared" si="1"/>
        <v>No Nuevo</v>
      </c>
    </row>
    <row r="1489" ht="15.75" customHeight="1">
      <c r="A1489" s="71" t="str">
        <f>Registros!A1489</f>
        <v>2775@gmail.com</v>
      </c>
      <c r="B1489" s="5">
        <f>Registros!B1489</f>
        <v>43875.50903</v>
      </c>
      <c r="C1489" s="18" t="str">
        <f>IFNA(VLOOKUP(A1489,'Registros - No nuevos'!A:A,1,0),"Nuevo")</f>
        <v>2775@gmail.com</v>
      </c>
      <c r="D1489" s="72" t="str">
        <f t="shared" si="1"/>
        <v>No Nuevo</v>
      </c>
    </row>
    <row r="1490" ht="15.75" customHeight="1">
      <c r="A1490" s="71" t="str">
        <f>Registros!A1490</f>
        <v>1729@gmail.com</v>
      </c>
      <c r="B1490" s="5">
        <f>Registros!B1490</f>
        <v>43875.49097</v>
      </c>
      <c r="C1490" s="18" t="str">
        <f>IFNA(VLOOKUP(A1490,'Registros - No nuevos'!A:A,1,0),"Nuevo")</f>
        <v>1729@gmail.com</v>
      </c>
      <c r="D1490" s="72" t="str">
        <f t="shared" si="1"/>
        <v>No Nuevo</v>
      </c>
    </row>
    <row r="1491" ht="15.75" customHeight="1">
      <c r="A1491" s="71" t="str">
        <f>Registros!A1491</f>
        <v>2776@pgiengineering.com</v>
      </c>
      <c r="B1491" s="5">
        <f>Registros!B1491</f>
        <v>43875.47708</v>
      </c>
      <c r="C1491" s="18" t="str">
        <f>IFNA(VLOOKUP(A1491,'Registros - No nuevos'!A:A,1,0),"Nuevo")</f>
        <v>2776@pgiengineering.com</v>
      </c>
      <c r="D1491" s="72" t="str">
        <f t="shared" si="1"/>
        <v>No Nuevo</v>
      </c>
    </row>
    <row r="1492" ht="15.75" customHeight="1">
      <c r="A1492" s="71" t="str">
        <f>Registros!A1492</f>
        <v>2777@huelva.es</v>
      </c>
      <c r="B1492" s="5">
        <f>Registros!B1492</f>
        <v>43875.46458</v>
      </c>
      <c r="C1492" s="18" t="str">
        <f>IFNA(VLOOKUP(A1492,'Registros - No nuevos'!A:A,1,0),"Nuevo")</f>
        <v>2777@huelva.es</v>
      </c>
      <c r="D1492" s="72" t="str">
        <f t="shared" si="1"/>
        <v>No Nuevo</v>
      </c>
    </row>
    <row r="1493" ht="15.75" customHeight="1">
      <c r="A1493" s="71" t="str">
        <f>Registros!A1493</f>
        <v>3201@sub-vidayfoto.com</v>
      </c>
      <c r="B1493" s="5">
        <f>Registros!B1493</f>
        <v>43875.45278</v>
      </c>
      <c r="C1493" s="18" t="str">
        <f>IFNA(VLOOKUP(A1493,'Registros - No nuevos'!A:A,1,0),"Nuevo")</f>
        <v>3201@sub-vidayfoto.com</v>
      </c>
      <c r="D1493" s="72" t="str">
        <f t="shared" si="1"/>
        <v>No Nuevo</v>
      </c>
    </row>
    <row r="1494" ht="15.75" customHeight="1">
      <c r="A1494" s="71" t="str">
        <f>Registros!A1494</f>
        <v>3202@msn.com</v>
      </c>
      <c r="B1494" s="5">
        <f>Registros!B1494</f>
        <v>43875.39861</v>
      </c>
      <c r="C1494" s="18" t="str">
        <f>IFNA(VLOOKUP(A1494,'Registros - No nuevos'!A:A,1,0),"Nuevo")</f>
        <v>3202@msn.com</v>
      </c>
      <c r="D1494" s="72" t="str">
        <f t="shared" si="1"/>
        <v>No Nuevo</v>
      </c>
    </row>
    <row r="1495" ht="15.75" customHeight="1">
      <c r="A1495" s="71" t="str">
        <f>Registros!A1495</f>
        <v>2780@abcgrup.com</v>
      </c>
      <c r="B1495" s="5">
        <f>Registros!B1495</f>
        <v>43875.34097</v>
      </c>
      <c r="C1495" s="18" t="str">
        <f>IFNA(VLOOKUP(A1495,'Registros - No nuevos'!A:A,1,0),"Nuevo")</f>
        <v>2780@abcgrup.com</v>
      </c>
      <c r="D1495" s="72" t="str">
        <f t="shared" si="1"/>
        <v>No Nuevo</v>
      </c>
    </row>
    <row r="1496" ht="15.75" customHeight="1">
      <c r="A1496" s="71" t="str">
        <f>Registros!A1496</f>
        <v>3203@gmail.com</v>
      </c>
      <c r="B1496" s="5">
        <f>Registros!B1496</f>
        <v>43875.32917</v>
      </c>
      <c r="C1496" s="18" t="str">
        <f>IFNA(VLOOKUP(A1496,'Registros - No nuevos'!A:A,1,0),"Nuevo")</f>
        <v>3203@gmail.com</v>
      </c>
      <c r="D1496" s="72" t="str">
        <f t="shared" si="1"/>
        <v>No Nuevo</v>
      </c>
    </row>
    <row r="1497" ht="15.75" customHeight="1">
      <c r="A1497" s="71" t="str">
        <f>Registros!A1497</f>
        <v>834@gmail.com</v>
      </c>
      <c r="B1497" s="5">
        <f>Registros!B1497</f>
        <v>43874.96667</v>
      </c>
      <c r="C1497" s="18" t="str">
        <f>IFNA(VLOOKUP(A1497,'Registros - No nuevos'!A:A,1,0),"Nuevo")</f>
        <v>834@gmail.com</v>
      </c>
      <c r="D1497" s="72" t="str">
        <f t="shared" si="1"/>
        <v>No Nuevo</v>
      </c>
    </row>
    <row r="1498" ht="15.75" customHeight="1">
      <c r="A1498" s="71" t="str">
        <f>Registros!A1498</f>
        <v>3204@gmail.com</v>
      </c>
      <c r="B1498" s="5">
        <f>Registros!B1498</f>
        <v>43874.95208</v>
      </c>
      <c r="C1498" s="18" t="str">
        <f>IFNA(VLOOKUP(A1498,'Registros - No nuevos'!A:A,1,0),"Nuevo")</f>
        <v>3204@gmail.com</v>
      </c>
      <c r="D1498" s="72" t="str">
        <f t="shared" si="1"/>
        <v>No Nuevo</v>
      </c>
    </row>
    <row r="1499" ht="15.75" customHeight="1">
      <c r="A1499" s="71" t="str">
        <f>Registros!A1499</f>
        <v>3205@gmail.com</v>
      </c>
      <c r="B1499" s="5">
        <f>Registros!B1499</f>
        <v>43874.92986</v>
      </c>
      <c r="C1499" s="18" t="str">
        <f>IFNA(VLOOKUP(A1499,'Registros - No nuevos'!A:A,1,0),"Nuevo")</f>
        <v>3205@gmail.com</v>
      </c>
      <c r="D1499" s="72" t="str">
        <f t="shared" si="1"/>
        <v>No Nuevo</v>
      </c>
    </row>
    <row r="1500" ht="15.75" customHeight="1">
      <c r="A1500" s="71" t="str">
        <f>Registros!A1500</f>
        <v>2782@gmail.com</v>
      </c>
      <c r="B1500" s="5">
        <f>Registros!B1500</f>
        <v>43874.86806</v>
      </c>
      <c r="C1500" s="18" t="str">
        <f>IFNA(VLOOKUP(A1500,'Registros - No nuevos'!A:A,1,0),"Nuevo")</f>
        <v>2782@gmail.com</v>
      </c>
      <c r="D1500" s="72" t="str">
        <f t="shared" si="1"/>
        <v>No Nuevo</v>
      </c>
    </row>
    <row r="1501" ht="15.75" customHeight="1">
      <c r="A1501" s="71" t="str">
        <f>Registros!A1501</f>
        <v>2750@exavoltio.es</v>
      </c>
      <c r="B1501" s="5">
        <f>Registros!B1501</f>
        <v>43874.83264</v>
      </c>
      <c r="C1501" s="18" t="str">
        <f>IFNA(VLOOKUP(A1501,'Registros - No nuevos'!A:A,1,0),"Nuevo")</f>
        <v>2750@exavoltio.es</v>
      </c>
      <c r="D1501" s="72" t="str">
        <f t="shared" si="1"/>
        <v>No Nuevo</v>
      </c>
    </row>
    <row r="1502" ht="15.75" customHeight="1">
      <c r="A1502" s="71" t="str">
        <f>Registros!A1502</f>
        <v>2783@gmail.com</v>
      </c>
      <c r="B1502" s="5">
        <f>Registros!B1502</f>
        <v>43874.80139</v>
      </c>
      <c r="C1502" s="18" t="str">
        <f>IFNA(VLOOKUP(A1502,'Registros - No nuevos'!A:A,1,0),"Nuevo")</f>
        <v>2783@gmail.com</v>
      </c>
      <c r="D1502" s="72" t="str">
        <f t="shared" si="1"/>
        <v>No Nuevo</v>
      </c>
    </row>
    <row r="1503" ht="15.75" customHeight="1">
      <c r="A1503" s="71" t="str">
        <f>Registros!A1503</f>
        <v>439@edu.xunta.es</v>
      </c>
      <c r="B1503" s="5">
        <f>Registros!B1503</f>
        <v>43874.77639</v>
      </c>
      <c r="C1503" s="18" t="str">
        <f>IFNA(VLOOKUP(A1503,'Registros - No nuevos'!A:A,1,0),"Nuevo")</f>
        <v>439@edu.xunta.es</v>
      </c>
      <c r="D1503" s="72" t="str">
        <f t="shared" si="1"/>
        <v>No Nuevo</v>
      </c>
    </row>
    <row r="1504" ht="15.75" customHeight="1">
      <c r="A1504" s="71" t="str">
        <f>Registros!A1504</f>
        <v>3206@hotmail.com</v>
      </c>
      <c r="B1504" s="5">
        <f>Registros!B1504</f>
        <v>43874.60486</v>
      </c>
      <c r="C1504" s="18" t="str">
        <f>IFNA(VLOOKUP(A1504,'Registros - No nuevos'!A:A,1,0),"Nuevo")</f>
        <v>3206@hotmail.com</v>
      </c>
      <c r="D1504" s="72" t="str">
        <f t="shared" si="1"/>
        <v>No Nuevo</v>
      </c>
    </row>
    <row r="1505" ht="15.75" customHeight="1">
      <c r="A1505" s="71" t="str">
        <f>Registros!A1505</f>
        <v>2784@coac.net</v>
      </c>
      <c r="B1505" s="5">
        <f>Registros!B1505</f>
        <v>43874.56806</v>
      </c>
      <c r="C1505" s="18" t="str">
        <f>IFNA(VLOOKUP(A1505,'Registros - No nuevos'!A:A,1,0),"Nuevo")</f>
        <v>2784@coac.net</v>
      </c>
      <c r="D1505" s="72" t="str">
        <f t="shared" si="1"/>
        <v>No Nuevo</v>
      </c>
    </row>
    <row r="1506" ht="15.75" customHeight="1">
      <c r="A1506" s="71" t="str">
        <f>Registros!A1506</f>
        <v>641@bodai.es</v>
      </c>
      <c r="B1506" s="5">
        <f>Registros!B1506</f>
        <v>43874.52361</v>
      </c>
      <c r="C1506" s="18" t="str">
        <f>IFNA(VLOOKUP(A1506,'Registros - No nuevos'!A:A,1,0),"Nuevo")</f>
        <v>641@bodai.es</v>
      </c>
      <c r="D1506" s="72" t="str">
        <f t="shared" si="1"/>
        <v>No Nuevo</v>
      </c>
    </row>
    <row r="1507" ht="15.75" customHeight="1">
      <c r="A1507" s="71" t="str">
        <f>Registros!A1507</f>
        <v>2786@metromadrid.es</v>
      </c>
      <c r="B1507" s="5">
        <f>Registros!B1507</f>
        <v>43874.51667</v>
      </c>
      <c r="C1507" s="18" t="str">
        <f>IFNA(VLOOKUP(A1507,'Registros - No nuevos'!A:A,1,0),"Nuevo")</f>
        <v>2786@metromadrid.es</v>
      </c>
      <c r="D1507" s="72" t="str">
        <f t="shared" si="1"/>
        <v>No Nuevo</v>
      </c>
    </row>
    <row r="1508" ht="15.75" customHeight="1">
      <c r="A1508" s="71" t="str">
        <f>Registros!A1508</f>
        <v>2785@climarubi.com</v>
      </c>
      <c r="B1508" s="5">
        <f>Registros!B1508</f>
        <v>43874.51528</v>
      </c>
      <c r="C1508" s="18" t="str">
        <f>IFNA(VLOOKUP(A1508,'Registros - No nuevos'!A:A,1,0),"Nuevo")</f>
        <v>2785@climarubi.com</v>
      </c>
      <c r="D1508" s="72" t="str">
        <f t="shared" si="1"/>
        <v>No Nuevo</v>
      </c>
    </row>
    <row r="1509" ht="15.75" customHeight="1">
      <c r="A1509" s="71" t="str">
        <f>Registros!A1509</f>
        <v>1187@gmail.com</v>
      </c>
      <c r="B1509" s="5">
        <f>Registros!B1509</f>
        <v>43874.28194</v>
      </c>
      <c r="C1509" s="18" t="str">
        <f>IFNA(VLOOKUP(A1509,'Registros - No nuevos'!A:A,1,0),"Nuevo")</f>
        <v>1187@gmail.com</v>
      </c>
      <c r="D1509" s="72" t="str">
        <f t="shared" si="1"/>
        <v>No Nuevo</v>
      </c>
    </row>
    <row r="1510" ht="15.75" customHeight="1">
      <c r="A1510" s="71" t="str">
        <f>Registros!A1510</f>
        <v>2728@gmail.com</v>
      </c>
      <c r="B1510" s="5">
        <f>Registros!B1510</f>
        <v>43873.93125</v>
      </c>
      <c r="C1510" s="18" t="str">
        <f>IFNA(VLOOKUP(A1510,'Registros - No nuevos'!A:A,1,0),"Nuevo")</f>
        <v>2728@gmail.com</v>
      </c>
      <c r="D1510" s="72" t="str">
        <f t="shared" si="1"/>
        <v>No Nuevo</v>
      </c>
    </row>
    <row r="1511" ht="15.75" customHeight="1">
      <c r="A1511" s="71" t="str">
        <f>Registros!A1511</f>
        <v>2789@telefonica.net</v>
      </c>
      <c r="B1511" s="5">
        <f>Registros!B1511</f>
        <v>43873.86667</v>
      </c>
      <c r="C1511" s="18" t="str">
        <f>IFNA(VLOOKUP(A1511,'Registros - No nuevos'!A:A,1,0),"Nuevo")</f>
        <v>2789@telefonica.net</v>
      </c>
      <c r="D1511" s="72" t="str">
        <f t="shared" si="1"/>
        <v>No Nuevo</v>
      </c>
    </row>
    <row r="1512" ht="15.75" customHeight="1">
      <c r="A1512" s="71" t="str">
        <f>Registros!A1512</f>
        <v>2790@gmail.com</v>
      </c>
      <c r="B1512" s="5">
        <f>Registros!B1512</f>
        <v>43873.85694</v>
      </c>
      <c r="C1512" s="18" t="str">
        <f>IFNA(VLOOKUP(A1512,'Registros - No nuevos'!A:A,1,0),"Nuevo")</f>
        <v>2790@gmail.com</v>
      </c>
      <c r="D1512" s="72" t="str">
        <f t="shared" si="1"/>
        <v>No Nuevo</v>
      </c>
    </row>
    <row r="1513" ht="15.75" customHeight="1">
      <c r="A1513" s="71" t="str">
        <f>Registros!A1513</f>
        <v>2792@ajcampos.org</v>
      </c>
      <c r="B1513" s="5">
        <f>Registros!B1513</f>
        <v>43873.60278</v>
      </c>
      <c r="C1513" s="18" t="str">
        <f>IFNA(VLOOKUP(A1513,'Registros - No nuevos'!A:A,1,0),"Nuevo")</f>
        <v>2792@ajcampos.org</v>
      </c>
      <c r="D1513" s="72" t="str">
        <f t="shared" si="1"/>
        <v>No Nuevo</v>
      </c>
    </row>
    <row r="1514" ht="15.75" customHeight="1">
      <c r="A1514" s="71" t="str">
        <f>Registros!A1514</f>
        <v>3207@gmail.com</v>
      </c>
      <c r="B1514" s="5">
        <f>Registros!B1514</f>
        <v>43873.58264</v>
      </c>
      <c r="C1514" s="18" t="str">
        <f>IFNA(VLOOKUP(A1514,'Registros - No nuevos'!A:A,1,0),"Nuevo")</f>
        <v>3207@gmail.com</v>
      </c>
      <c r="D1514" s="72" t="str">
        <f t="shared" si="1"/>
        <v>No Nuevo</v>
      </c>
    </row>
    <row r="1515" ht="15.75" customHeight="1">
      <c r="A1515" s="71" t="str">
        <f>Registros!A1515</f>
        <v>2793@gmail.com</v>
      </c>
      <c r="B1515" s="5">
        <f>Registros!B1515</f>
        <v>43873.55972</v>
      </c>
      <c r="C1515" s="18" t="str">
        <f>IFNA(VLOOKUP(A1515,'Registros - No nuevos'!A:A,1,0),"Nuevo")</f>
        <v>2793@gmail.com</v>
      </c>
      <c r="D1515" s="72" t="str">
        <f t="shared" si="1"/>
        <v>No Nuevo</v>
      </c>
    </row>
    <row r="1516" ht="15.75" customHeight="1">
      <c r="A1516" s="71" t="str">
        <f>Registros!A1516</f>
        <v>2794@efinetika.com</v>
      </c>
      <c r="B1516" s="5">
        <f>Registros!B1516</f>
        <v>43873.49931</v>
      </c>
      <c r="C1516" s="18" t="str">
        <f>IFNA(VLOOKUP(A1516,'Registros - No nuevos'!A:A,1,0),"Nuevo")</f>
        <v>2794@efinetika.com</v>
      </c>
      <c r="D1516" s="72" t="str">
        <f t="shared" si="1"/>
        <v>No Nuevo</v>
      </c>
    </row>
    <row r="1517" ht="15.75" customHeight="1">
      <c r="A1517" s="71" t="str">
        <f>Registros!A1517</f>
        <v>2795@gmail.com</v>
      </c>
      <c r="B1517" s="5">
        <f>Registros!B1517</f>
        <v>43873.42917</v>
      </c>
      <c r="C1517" s="18" t="str">
        <f>IFNA(VLOOKUP(A1517,'Registros - No nuevos'!A:A,1,0),"Nuevo")</f>
        <v>2795@gmail.com</v>
      </c>
      <c r="D1517" s="72" t="str">
        <f t="shared" si="1"/>
        <v>No Nuevo</v>
      </c>
    </row>
    <row r="1518" ht="15.75" customHeight="1">
      <c r="A1518" s="71" t="str">
        <f>Registros!A1518</f>
        <v>2796@gmail.com</v>
      </c>
      <c r="B1518" s="5">
        <f>Registros!B1518</f>
        <v>43873.28472</v>
      </c>
      <c r="C1518" s="18" t="str">
        <f>IFNA(VLOOKUP(A1518,'Registros - No nuevos'!A:A,1,0),"Nuevo")</f>
        <v>2796@gmail.com</v>
      </c>
      <c r="D1518" s="72" t="str">
        <f t="shared" si="1"/>
        <v>No Nuevo</v>
      </c>
    </row>
    <row r="1519" ht="15.75" customHeight="1">
      <c r="A1519" s="71" t="str">
        <f>Registros!A1519</f>
        <v>2797@gmail.com</v>
      </c>
      <c r="B1519" s="5">
        <f>Registros!B1519</f>
        <v>43873.03403</v>
      </c>
      <c r="C1519" s="18" t="str">
        <f>IFNA(VLOOKUP(A1519,'Registros - No nuevos'!A:A,1,0),"Nuevo")</f>
        <v>2797@gmail.com</v>
      </c>
      <c r="D1519" s="72" t="str">
        <f t="shared" si="1"/>
        <v>No Nuevo</v>
      </c>
    </row>
    <row r="1520" ht="15.75" customHeight="1">
      <c r="A1520" s="71" t="str">
        <f>Registros!A1520</f>
        <v>2798@yahoo.es</v>
      </c>
      <c r="B1520" s="5">
        <f>Registros!B1520</f>
        <v>43872.92292</v>
      </c>
      <c r="C1520" s="18" t="str">
        <f>IFNA(VLOOKUP(A1520,'Registros - No nuevos'!A:A,1,0),"Nuevo")</f>
        <v>2798@yahoo.es</v>
      </c>
      <c r="D1520" s="72" t="str">
        <f t="shared" si="1"/>
        <v>No Nuevo</v>
      </c>
    </row>
    <row r="1521" ht="15.75" customHeight="1">
      <c r="A1521" s="71" t="str">
        <f>Registros!A1521</f>
        <v>1221@gencat.cat</v>
      </c>
      <c r="B1521" s="5">
        <f>Registros!B1521</f>
        <v>43872.78611</v>
      </c>
      <c r="C1521" s="18" t="str">
        <f>IFNA(VLOOKUP(A1521,'Registros - No nuevos'!A:A,1,0),"Nuevo")</f>
        <v>1221@gencat.cat</v>
      </c>
      <c r="D1521" s="72" t="str">
        <f t="shared" si="1"/>
        <v>No Nuevo</v>
      </c>
    </row>
    <row r="1522" ht="15.75" customHeight="1">
      <c r="A1522" s="71" t="str">
        <f>Registros!A1522</f>
        <v>2799@oceanim.es</v>
      </c>
      <c r="B1522" s="5">
        <f>Registros!B1522</f>
        <v>43872.74167</v>
      </c>
      <c r="C1522" s="18" t="str">
        <f>IFNA(VLOOKUP(A1522,'Registros - No nuevos'!A:A,1,0),"Nuevo")</f>
        <v>2799@oceanim.es</v>
      </c>
      <c r="D1522" s="72" t="str">
        <f t="shared" si="1"/>
        <v>No Nuevo</v>
      </c>
    </row>
    <row r="1523" ht="15.75" customHeight="1">
      <c r="A1523" s="71" t="str">
        <f>Registros!A1523</f>
        <v>2800@gmail.com</v>
      </c>
      <c r="B1523" s="5">
        <f>Registros!B1523</f>
        <v>43872.71181</v>
      </c>
      <c r="C1523" s="18" t="str">
        <f>IFNA(VLOOKUP(A1523,'Registros - No nuevos'!A:A,1,0),"Nuevo")</f>
        <v>2800@gmail.com</v>
      </c>
      <c r="D1523" s="72" t="str">
        <f t="shared" si="1"/>
        <v>No Nuevo</v>
      </c>
    </row>
    <row r="1524" ht="15.75" customHeight="1">
      <c r="A1524" s="71" t="str">
        <f>Registros!A1524</f>
        <v>2801@eei-ingenieria.com</v>
      </c>
      <c r="B1524" s="5">
        <f>Registros!B1524</f>
        <v>43872.68681</v>
      </c>
      <c r="C1524" s="18" t="str">
        <f>IFNA(VLOOKUP(A1524,'Registros - No nuevos'!A:A,1,0),"Nuevo")</f>
        <v>2801@eei-ingenieria.com</v>
      </c>
      <c r="D1524" s="72" t="str">
        <f t="shared" si="1"/>
        <v>No Nuevo</v>
      </c>
    </row>
    <row r="1525" ht="15.75" customHeight="1">
      <c r="A1525" s="71" t="str">
        <f>Registros!A1525</f>
        <v>1724@arbonapiza.com</v>
      </c>
      <c r="B1525" s="5">
        <f>Registros!B1525</f>
        <v>43872.62708</v>
      </c>
      <c r="C1525" s="18" t="str">
        <f>IFNA(VLOOKUP(A1525,'Registros - No nuevos'!A:A,1,0),"Nuevo")</f>
        <v>1724@arbonapiza.com</v>
      </c>
      <c r="D1525" s="72" t="str">
        <f t="shared" si="1"/>
        <v>No Nuevo</v>
      </c>
    </row>
    <row r="1526" ht="15.75" customHeight="1">
      <c r="A1526" s="71" t="str">
        <f>Registros!A1526</f>
        <v>2438@gmail.com</v>
      </c>
      <c r="B1526" s="5">
        <f>Registros!B1526</f>
        <v>43872.62153</v>
      </c>
      <c r="C1526" s="18" t="str">
        <f>IFNA(VLOOKUP(A1526,'Registros - No nuevos'!A:A,1,0),"Nuevo")</f>
        <v>2438@gmail.com</v>
      </c>
      <c r="D1526" s="72" t="str">
        <f t="shared" si="1"/>
        <v>No Nuevo</v>
      </c>
    </row>
    <row r="1527" ht="15.75" customHeight="1">
      <c r="A1527" s="71" t="str">
        <f>Registros!A1527</f>
        <v>3208@hotmail.com</v>
      </c>
      <c r="B1527" s="5">
        <f>Registros!B1527</f>
        <v>43872.59653</v>
      </c>
      <c r="C1527" s="18" t="str">
        <f>IFNA(VLOOKUP(A1527,'Registros - No nuevos'!A:A,1,0),"Nuevo")</f>
        <v>3208@hotmail.com</v>
      </c>
      <c r="D1527" s="72" t="str">
        <f t="shared" si="1"/>
        <v>No Nuevo</v>
      </c>
    </row>
    <row r="1528" ht="15.75" customHeight="1">
      <c r="A1528" s="71" t="str">
        <f>Registros!A1528</f>
        <v>3209@gmail.com</v>
      </c>
      <c r="B1528" s="5">
        <f>Registros!B1528</f>
        <v>43872.53819</v>
      </c>
      <c r="C1528" s="18" t="str">
        <f>IFNA(VLOOKUP(A1528,'Registros - No nuevos'!A:A,1,0),"Nuevo")</f>
        <v>3209@gmail.com</v>
      </c>
      <c r="D1528" s="72" t="str">
        <f t="shared" si="1"/>
        <v>No Nuevo</v>
      </c>
    </row>
    <row r="1529" ht="15.75" customHeight="1">
      <c r="A1529" s="71" t="str">
        <f>Registros!A1529</f>
        <v>2802@gonzalezsme.com</v>
      </c>
      <c r="B1529" s="5">
        <f>Registros!B1529</f>
        <v>43872.52639</v>
      </c>
      <c r="C1529" s="18" t="str">
        <f>IFNA(VLOOKUP(A1529,'Registros - No nuevos'!A:A,1,0),"Nuevo")</f>
        <v>2802@gonzalezsme.com</v>
      </c>
      <c r="D1529" s="72" t="str">
        <f t="shared" si="1"/>
        <v>No Nuevo</v>
      </c>
    </row>
    <row r="1530" ht="15.75" customHeight="1">
      <c r="A1530" s="71" t="str">
        <f>Registros!A1530</f>
        <v>2533@hotmail.com</v>
      </c>
      <c r="B1530" s="5">
        <f>Registros!B1530</f>
        <v>43872.4625</v>
      </c>
      <c r="C1530" s="18" t="str">
        <f>IFNA(VLOOKUP(A1530,'Registros - No nuevos'!A:A,1,0),"Nuevo")</f>
        <v>2533@hotmail.com</v>
      </c>
      <c r="D1530" s="72" t="str">
        <f t="shared" si="1"/>
        <v>No Nuevo</v>
      </c>
    </row>
    <row r="1531" ht="15.75" customHeight="1">
      <c r="A1531" s="71" t="str">
        <f>Registros!A1531</f>
        <v>1697@yahoo.es</v>
      </c>
      <c r="B1531" s="5">
        <f>Registros!B1531</f>
        <v>43872.4125</v>
      </c>
      <c r="C1531" s="18" t="str">
        <f>IFNA(VLOOKUP(A1531,'Registros - No nuevos'!A:A,1,0),"Nuevo")</f>
        <v>1697@yahoo.es</v>
      </c>
      <c r="D1531" s="72" t="str">
        <f t="shared" si="1"/>
        <v>No Nuevo</v>
      </c>
    </row>
    <row r="1532" ht="15.75" customHeight="1">
      <c r="A1532" s="71" t="str">
        <f>Registros!A1532</f>
        <v>2074@hotmail.com</v>
      </c>
      <c r="B1532" s="5">
        <f>Registros!B1532</f>
        <v>43872.40208</v>
      </c>
      <c r="C1532" s="18" t="str">
        <f>IFNA(VLOOKUP(A1532,'Registros - No nuevos'!A:A,1,0),"Nuevo")</f>
        <v>2074@hotmail.com</v>
      </c>
      <c r="D1532" s="72" t="str">
        <f t="shared" si="1"/>
        <v>No Nuevo</v>
      </c>
    </row>
    <row r="1533" ht="15.75" customHeight="1">
      <c r="A1533" s="71" t="str">
        <f>Registros!A1533</f>
        <v>1079@outlook.es</v>
      </c>
      <c r="B1533" s="5">
        <f>Registros!B1533</f>
        <v>43871.92708</v>
      </c>
      <c r="C1533" s="18" t="str">
        <f>IFNA(VLOOKUP(A1533,'Registros - No nuevos'!A:A,1,0),"Nuevo")</f>
        <v>1079@outlook.es</v>
      </c>
      <c r="D1533" s="72" t="str">
        <f t="shared" si="1"/>
        <v>No Nuevo</v>
      </c>
    </row>
    <row r="1534" ht="15.75" customHeight="1">
      <c r="A1534" s="71" t="str">
        <f>Registros!A1534</f>
        <v>2804@vtisl.com</v>
      </c>
      <c r="B1534" s="5">
        <f>Registros!B1534</f>
        <v>43871.90347</v>
      </c>
      <c r="C1534" s="18" t="str">
        <f>IFNA(VLOOKUP(A1534,'Registros - No nuevos'!A:A,1,0),"Nuevo")</f>
        <v>2804@vtisl.com</v>
      </c>
      <c r="D1534" s="72" t="str">
        <f t="shared" si="1"/>
        <v>No Nuevo</v>
      </c>
    </row>
    <row r="1535" ht="15.75" customHeight="1">
      <c r="A1535" s="71" t="str">
        <f>Registros!A1535</f>
        <v>888@zivautomation.com</v>
      </c>
      <c r="B1535" s="5">
        <f>Registros!B1535</f>
        <v>43871.56944</v>
      </c>
      <c r="C1535" s="18" t="str">
        <f>IFNA(VLOOKUP(A1535,'Registros - No nuevos'!A:A,1,0),"Nuevo")</f>
        <v>888@zivautomation.com</v>
      </c>
      <c r="D1535" s="72" t="str">
        <f t="shared" si="1"/>
        <v>No Nuevo</v>
      </c>
    </row>
    <row r="1536" ht="15.75" customHeight="1">
      <c r="A1536" s="71" t="str">
        <f>Registros!A1536</f>
        <v>2807@jhfsystemcrane.com</v>
      </c>
      <c r="B1536" s="5">
        <f>Registros!B1536</f>
        <v>43871.54931</v>
      </c>
      <c r="C1536" s="18" t="str">
        <f>IFNA(VLOOKUP(A1536,'Registros - No nuevos'!A:A,1,0),"Nuevo")</f>
        <v>2807@jhfsystemcrane.com</v>
      </c>
      <c r="D1536" s="72" t="str">
        <f t="shared" si="1"/>
        <v>No Nuevo</v>
      </c>
    </row>
    <row r="1537" ht="15.75" customHeight="1">
      <c r="A1537" s="71" t="str">
        <f>Registros!A1537</f>
        <v>2269@qq.com</v>
      </c>
      <c r="B1537" s="5">
        <f>Registros!B1537</f>
        <v>43871.46111</v>
      </c>
      <c r="C1537" s="18" t="str">
        <f>IFNA(VLOOKUP(A1537,'Registros - No nuevos'!A:A,1,0),"Nuevo")</f>
        <v>2269@qq.com</v>
      </c>
      <c r="D1537" s="72" t="str">
        <f t="shared" si="1"/>
        <v>No Nuevo</v>
      </c>
    </row>
    <row r="1538" ht="15.75" customHeight="1">
      <c r="A1538" s="71" t="str">
        <f>Registros!A1538</f>
        <v>294@lumial.es</v>
      </c>
      <c r="B1538" s="5">
        <f>Registros!B1538</f>
        <v>43871.39236</v>
      </c>
      <c r="C1538" s="18" t="str">
        <f>IFNA(VLOOKUP(A1538,'Registros - No nuevos'!A:A,1,0),"Nuevo")</f>
        <v>294@lumial.es</v>
      </c>
      <c r="D1538" s="72" t="str">
        <f t="shared" si="1"/>
        <v>No Nuevo</v>
      </c>
    </row>
    <row r="1539" ht="15.75" customHeight="1">
      <c r="A1539" s="71" t="str">
        <f>Registros!A1539</f>
        <v>2810@sensorstecnics.net</v>
      </c>
      <c r="B1539" s="5">
        <f>Registros!B1539</f>
        <v>43870.95417</v>
      </c>
      <c r="C1539" s="18" t="str">
        <f>IFNA(VLOOKUP(A1539,'Registros - No nuevos'!A:A,1,0),"Nuevo")</f>
        <v>2810@sensorstecnics.net</v>
      </c>
      <c r="D1539" s="72" t="str">
        <f t="shared" si="1"/>
        <v>No Nuevo</v>
      </c>
    </row>
    <row r="1540" ht="15.75" customHeight="1">
      <c r="A1540" s="71" t="str">
        <f>Registros!A1540</f>
        <v>2811@gmail.com</v>
      </c>
      <c r="B1540" s="5">
        <f>Registros!B1540</f>
        <v>43870.91111</v>
      </c>
      <c r="C1540" s="18" t="str">
        <f>IFNA(VLOOKUP(A1540,'Registros - No nuevos'!A:A,1,0),"Nuevo")</f>
        <v>2811@gmail.com</v>
      </c>
      <c r="D1540" s="72" t="str">
        <f t="shared" si="1"/>
        <v>No Nuevo</v>
      </c>
    </row>
    <row r="1541" ht="15.75" customHeight="1">
      <c r="A1541" s="71" t="str">
        <f>Registros!A1541</f>
        <v>2812@martipala.com</v>
      </c>
      <c r="B1541" s="5">
        <f>Registros!B1541</f>
        <v>43870.87361</v>
      </c>
      <c r="C1541" s="18" t="str">
        <f>IFNA(VLOOKUP(A1541,'Registros - No nuevos'!A:A,1,0),"Nuevo")</f>
        <v>2812@martipala.com</v>
      </c>
      <c r="D1541" s="72" t="str">
        <f t="shared" si="1"/>
        <v>No Nuevo</v>
      </c>
    </row>
    <row r="1542" ht="15.75" customHeight="1">
      <c r="A1542" s="71" t="str">
        <f>Registros!A1542</f>
        <v>3210@gmail.com</v>
      </c>
      <c r="B1542" s="5">
        <f>Registros!B1542</f>
        <v>43870.82153</v>
      </c>
      <c r="C1542" s="18" t="str">
        <f>IFNA(VLOOKUP(A1542,'Registros - No nuevos'!A:A,1,0),"Nuevo")</f>
        <v>3210@gmail.com</v>
      </c>
      <c r="D1542" s="72" t="str">
        <f t="shared" si="1"/>
        <v>No Nuevo</v>
      </c>
    </row>
    <row r="1543" ht="15.75" customHeight="1">
      <c r="A1543" s="71" t="str">
        <f>Registros!A1543</f>
        <v>2813@gmail.com</v>
      </c>
      <c r="B1543" s="5">
        <f>Registros!B1543</f>
        <v>43870.66806</v>
      </c>
      <c r="C1543" s="18" t="str">
        <f>IFNA(VLOOKUP(A1543,'Registros - No nuevos'!A:A,1,0),"Nuevo")</f>
        <v>2813@gmail.com</v>
      </c>
      <c r="D1543" s="72" t="str">
        <f t="shared" si="1"/>
        <v>No Nuevo</v>
      </c>
    </row>
    <row r="1544" ht="15.75" customHeight="1">
      <c r="A1544" s="71" t="str">
        <f>Registros!A1544</f>
        <v>2814@vitrosep.com</v>
      </c>
      <c r="B1544" s="5">
        <f>Registros!B1544</f>
        <v>43870.39931</v>
      </c>
      <c r="C1544" s="18" t="str">
        <f>IFNA(VLOOKUP(A1544,'Registros - No nuevos'!A:A,1,0),"Nuevo")</f>
        <v>2814@vitrosep.com</v>
      </c>
      <c r="D1544" s="72" t="str">
        <f t="shared" si="1"/>
        <v>No Nuevo</v>
      </c>
    </row>
    <row r="1545" ht="15.75" customHeight="1">
      <c r="A1545" s="71" t="str">
        <f>Registros!A1545</f>
        <v>3211@gmail.com</v>
      </c>
      <c r="B1545" s="5">
        <f>Registros!B1545</f>
        <v>43869.85347</v>
      </c>
      <c r="C1545" s="18" t="str">
        <f>IFNA(VLOOKUP(A1545,'Registros - No nuevos'!A:A,1,0),"Nuevo")</f>
        <v>3211@gmail.com</v>
      </c>
      <c r="D1545" s="72" t="str">
        <f t="shared" si="1"/>
        <v>No Nuevo</v>
      </c>
    </row>
    <row r="1546" ht="15.75" customHeight="1">
      <c r="A1546" s="71" t="str">
        <f>Registros!A1546</f>
        <v>3212@sharklasers.com</v>
      </c>
      <c r="B1546" s="5">
        <f>Registros!B1546</f>
        <v>43869.78889</v>
      </c>
      <c r="C1546" s="18" t="str">
        <f>IFNA(VLOOKUP(A1546,'Registros - No nuevos'!A:A,1,0),"Nuevo")</f>
        <v>3212@sharklasers.com</v>
      </c>
      <c r="D1546" s="72" t="str">
        <f t="shared" si="1"/>
        <v>No Nuevo</v>
      </c>
    </row>
    <row r="1547" ht="15.75" customHeight="1">
      <c r="A1547" s="71" t="str">
        <f>Registros!A1547</f>
        <v>2440@imanzanera.com</v>
      </c>
      <c r="B1547" s="5">
        <f>Registros!B1547</f>
        <v>43869.75556</v>
      </c>
      <c r="C1547" s="18" t="str">
        <f>IFNA(VLOOKUP(A1547,'Registros - No nuevos'!A:A,1,0),"Nuevo")</f>
        <v>2440@imanzanera.com</v>
      </c>
      <c r="D1547" s="72" t="str">
        <f t="shared" si="1"/>
        <v>No Nuevo</v>
      </c>
    </row>
    <row r="1548" ht="15.75" customHeight="1">
      <c r="A1548" s="71" t="str">
        <f>Registros!A1548</f>
        <v>3213@ucm.es</v>
      </c>
      <c r="B1548" s="5">
        <f>Registros!B1548</f>
        <v>43869.56042</v>
      </c>
      <c r="C1548" s="18" t="str">
        <f>IFNA(VLOOKUP(A1548,'Registros - No nuevos'!A:A,1,0),"Nuevo")</f>
        <v>3213@ucm.es</v>
      </c>
      <c r="D1548" s="72" t="str">
        <f t="shared" si="1"/>
        <v>No Nuevo</v>
      </c>
    </row>
    <row r="1549" ht="15.75" customHeight="1">
      <c r="A1549" s="71" t="str">
        <f>Registros!A1549</f>
        <v>1475@electricidadreset.es</v>
      </c>
      <c r="B1549" s="5">
        <f>Registros!B1549</f>
        <v>43869.43542</v>
      </c>
      <c r="C1549" s="18" t="str">
        <f>IFNA(VLOOKUP(A1549,'Registros - No nuevos'!A:A,1,0),"Nuevo")</f>
        <v>1475@electricidadreset.es</v>
      </c>
      <c r="D1549" s="72" t="str">
        <f t="shared" si="1"/>
        <v>No Nuevo</v>
      </c>
    </row>
    <row r="1550" ht="15.75" customHeight="1">
      <c r="A1550" s="71" t="str">
        <f>Registros!A1550</f>
        <v>2815@gmail.com</v>
      </c>
      <c r="B1550" s="5">
        <f>Registros!B1550</f>
        <v>43869.32153</v>
      </c>
      <c r="C1550" s="18" t="str">
        <f>IFNA(VLOOKUP(A1550,'Registros - No nuevos'!A:A,1,0),"Nuevo")</f>
        <v>2815@gmail.com</v>
      </c>
      <c r="D1550" s="72" t="str">
        <f t="shared" si="1"/>
        <v>No Nuevo</v>
      </c>
    </row>
    <row r="1551" ht="15.75" customHeight="1">
      <c r="A1551" s="71" t="str">
        <f>Registros!A1551</f>
        <v>2817@hotmail.com</v>
      </c>
      <c r="B1551" s="5">
        <f>Registros!B1551</f>
        <v>43868.94722</v>
      </c>
      <c r="C1551" s="18" t="str">
        <f>IFNA(VLOOKUP(A1551,'Registros - No nuevos'!A:A,1,0),"Nuevo")</f>
        <v>2817@hotmail.com</v>
      </c>
      <c r="D1551" s="72" t="str">
        <f t="shared" si="1"/>
        <v>No Nuevo</v>
      </c>
    </row>
    <row r="1552" ht="15.75" customHeight="1">
      <c r="A1552" s="71" t="str">
        <f>Registros!A1552</f>
        <v>2819@satydal.es</v>
      </c>
      <c r="B1552" s="5">
        <f>Registros!B1552</f>
        <v>43868.56319</v>
      </c>
      <c r="C1552" s="18" t="str">
        <f>IFNA(VLOOKUP(A1552,'Registros - No nuevos'!A:A,1,0),"Nuevo")</f>
        <v>2819@satydal.es</v>
      </c>
      <c r="D1552" s="72" t="str">
        <f t="shared" si="1"/>
        <v>No Nuevo</v>
      </c>
    </row>
    <row r="1553" ht="15.75" customHeight="1">
      <c r="A1553" s="71" t="str">
        <f>Registros!A1553</f>
        <v>3214@msn.com</v>
      </c>
      <c r="B1553" s="5">
        <f>Registros!B1553</f>
        <v>43868.54861</v>
      </c>
      <c r="C1553" s="18" t="str">
        <f>IFNA(VLOOKUP(A1553,'Registros - No nuevos'!A:A,1,0),"Nuevo")</f>
        <v>3214@msn.com</v>
      </c>
      <c r="D1553" s="72" t="str">
        <f t="shared" si="1"/>
        <v>No Nuevo</v>
      </c>
    </row>
    <row r="1554" ht="15.75" customHeight="1">
      <c r="A1554" s="71" t="str">
        <f>Registros!A1554</f>
        <v>968@gmail.com</v>
      </c>
      <c r="B1554" s="5">
        <f>Registros!B1554</f>
        <v>43868.40347</v>
      </c>
      <c r="C1554" s="18" t="str">
        <f>IFNA(VLOOKUP(A1554,'Registros - No nuevos'!A:A,1,0),"Nuevo")</f>
        <v>968@gmail.com</v>
      </c>
      <c r="D1554" s="72" t="str">
        <f t="shared" si="1"/>
        <v>No Nuevo</v>
      </c>
    </row>
    <row r="1555" ht="15.75" customHeight="1">
      <c r="A1555" s="71" t="str">
        <f>Registros!A1555</f>
        <v>2821@gmail.com</v>
      </c>
      <c r="B1555" s="5">
        <f>Registros!B1555</f>
        <v>43868.36528</v>
      </c>
      <c r="C1555" s="18" t="str">
        <f>IFNA(VLOOKUP(A1555,'Registros - No nuevos'!A:A,1,0),"Nuevo")</f>
        <v>2821@gmail.com</v>
      </c>
      <c r="D1555" s="72" t="str">
        <f t="shared" si="1"/>
        <v>No Nuevo</v>
      </c>
    </row>
    <row r="1556" ht="15.75" customHeight="1">
      <c r="A1556" s="71" t="str">
        <f>Registros!A1556</f>
        <v>2822@gmail.com</v>
      </c>
      <c r="B1556" s="5">
        <f>Registros!B1556</f>
        <v>43868.05417</v>
      </c>
      <c r="C1556" s="18" t="str">
        <f>IFNA(VLOOKUP(A1556,'Registros - No nuevos'!A:A,1,0),"Nuevo")</f>
        <v>2822@gmail.com</v>
      </c>
      <c r="D1556" s="72" t="str">
        <f t="shared" si="1"/>
        <v>No Nuevo</v>
      </c>
    </row>
    <row r="1557" ht="15.75" customHeight="1">
      <c r="A1557" s="71" t="str">
        <f>Registros!A1557</f>
        <v>2471@gmail.com</v>
      </c>
      <c r="B1557" s="5">
        <f>Registros!B1557</f>
        <v>43867.97569</v>
      </c>
      <c r="C1557" s="18" t="str">
        <f>IFNA(VLOOKUP(A1557,'Registros - No nuevos'!A:A,1,0),"Nuevo")</f>
        <v>2471@gmail.com</v>
      </c>
      <c r="D1557" s="72" t="str">
        <f t="shared" si="1"/>
        <v>No Nuevo</v>
      </c>
    </row>
    <row r="1558" ht="15.75" customHeight="1">
      <c r="A1558" s="71" t="str">
        <f>Registros!A1558</f>
        <v>2309@hotmail.com</v>
      </c>
      <c r="B1558" s="5">
        <f>Registros!B1558</f>
        <v>43867.91111</v>
      </c>
      <c r="C1558" s="18" t="str">
        <f>IFNA(VLOOKUP(A1558,'Registros - No nuevos'!A:A,1,0),"Nuevo")</f>
        <v>2309@hotmail.com</v>
      </c>
      <c r="D1558" s="72" t="str">
        <f t="shared" si="1"/>
        <v>No Nuevo</v>
      </c>
    </row>
    <row r="1559" ht="15.75" customHeight="1">
      <c r="A1559" s="71" t="str">
        <f>Registros!A1559</f>
        <v>3215@gmail.com</v>
      </c>
      <c r="B1559" s="5">
        <f>Registros!B1559</f>
        <v>43867.84444</v>
      </c>
      <c r="C1559" s="18" t="str">
        <f>IFNA(VLOOKUP(A1559,'Registros - No nuevos'!A:A,1,0),"Nuevo")</f>
        <v>3215@gmail.com</v>
      </c>
      <c r="D1559" s="72" t="str">
        <f t="shared" si="1"/>
        <v>No Nuevo</v>
      </c>
    </row>
    <row r="1560" ht="15.75" customHeight="1">
      <c r="A1560" s="71" t="str">
        <f>Registros!A1560</f>
        <v>2634@hotmail.es</v>
      </c>
      <c r="B1560" s="5">
        <f>Registros!B1560</f>
        <v>43867.81042</v>
      </c>
      <c r="C1560" s="18" t="str">
        <f>IFNA(VLOOKUP(A1560,'Registros - No nuevos'!A:A,1,0),"Nuevo")</f>
        <v>2634@hotmail.es</v>
      </c>
      <c r="D1560" s="72" t="str">
        <f t="shared" si="1"/>
        <v>No Nuevo</v>
      </c>
    </row>
    <row r="1561" ht="15.75" customHeight="1">
      <c r="A1561" s="71" t="str">
        <f>Registros!A1561</f>
        <v>2479@hotmail.es</v>
      </c>
      <c r="B1561" s="5">
        <f>Registros!B1561</f>
        <v>43867.69583</v>
      </c>
      <c r="C1561" s="18" t="str">
        <f>IFNA(VLOOKUP(A1561,'Registros - No nuevos'!A:A,1,0),"Nuevo")</f>
        <v>2479@hotmail.es</v>
      </c>
      <c r="D1561" s="72" t="str">
        <f t="shared" si="1"/>
        <v>No Nuevo</v>
      </c>
    </row>
    <row r="1562" ht="15.75" customHeight="1">
      <c r="A1562" s="71" t="str">
        <f>Registros!A1562</f>
        <v>2824@gmail.com</v>
      </c>
      <c r="B1562" s="5">
        <f>Registros!B1562</f>
        <v>43867.59792</v>
      </c>
      <c r="C1562" s="18" t="str">
        <f>IFNA(VLOOKUP(A1562,'Registros - No nuevos'!A:A,1,0),"Nuevo")</f>
        <v>2824@gmail.com</v>
      </c>
      <c r="D1562" s="72" t="str">
        <f t="shared" si="1"/>
        <v>No Nuevo</v>
      </c>
    </row>
    <row r="1563" ht="15.75" customHeight="1">
      <c r="A1563" s="71" t="str">
        <f>Registros!A1563</f>
        <v>2532@gmail.com</v>
      </c>
      <c r="B1563" s="5">
        <f>Registros!B1563</f>
        <v>43867.45764</v>
      </c>
      <c r="C1563" s="18" t="str">
        <f>IFNA(VLOOKUP(A1563,'Registros - No nuevos'!A:A,1,0),"Nuevo")</f>
        <v>2532@gmail.com</v>
      </c>
      <c r="D1563" s="72" t="str">
        <f t="shared" si="1"/>
        <v>No Nuevo</v>
      </c>
    </row>
    <row r="1564" ht="15.75" customHeight="1">
      <c r="A1564" s="71" t="str">
        <f>Registros!A1564</f>
        <v>2602@saherlux.com</v>
      </c>
      <c r="B1564" s="5">
        <f>Registros!B1564</f>
        <v>43867.45347</v>
      </c>
      <c r="C1564" s="18" t="str">
        <f>IFNA(VLOOKUP(A1564,'Registros - No nuevos'!A:A,1,0),"Nuevo")</f>
        <v>2602@saherlux.com</v>
      </c>
      <c r="D1564" s="72" t="str">
        <f t="shared" si="1"/>
        <v>No Nuevo</v>
      </c>
    </row>
    <row r="1565" ht="15.75" customHeight="1">
      <c r="A1565" s="71" t="str">
        <f>Registros!A1565</f>
        <v>1757@indair-genercasadevall.cat</v>
      </c>
      <c r="B1565" s="5">
        <f>Registros!B1565</f>
        <v>43867.41875</v>
      </c>
      <c r="C1565" s="18" t="str">
        <f>IFNA(VLOOKUP(A1565,'Registros - No nuevos'!A:A,1,0),"Nuevo")</f>
        <v>1757@indair-genercasadevall.cat</v>
      </c>
      <c r="D1565" s="72" t="str">
        <f t="shared" si="1"/>
        <v>No Nuevo</v>
      </c>
    </row>
    <row r="1566" ht="15.75" customHeight="1">
      <c r="A1566" s="71" t="str">
        <f>Registros!A1566</f>
        <v>2505@gmail.com</v>
      </c>
      <c r="B1566" s="5">
        <f>Registros!B1566</f>
        <v>43867.37431</v>
      </c>
      <c r="C1566" s="18" t="str">
        <f>IFNA(VLOOKUP(A1566,'Registros - No nuevos'!A:A,1,0),"Nuevo")</f>
        <v>2505@gmail.com</v>
      </c>
      <c r="D1566" s="72" t="str">
        <f t="shared" si="1"/>
        <v>No Nuevo</v>
      </c>
    </row>
    <row r="1567" ht="15.75" customHeight="1">
      <c r="A1567" s="71" t="str">
        <f>Registros!A1567</f>
        <v>3216@gmail.com</v>
      </c>
      <c r="B1567" s="5">
        <f>Registros!B1567</f>
        <v>43867.025</v>
      </c>
      <c r="C1567" s="18" t="str">
        <f>IFNA(VLOOKUP(A1567,'Registros - No nuevos'!A:A,1,0),"Nuevo")</f>
        <v>3216@gmail.com</v>
      </c>
      <c r="D1567" s="72" t="str">
        <f t="shared" si="1"/>
        <v>No Nuevo</v>
      </c>
    </row>
    <row r="1568" ht="15.75" customHeight="1">
      <c r="A1568" s="71" t="str">
        <f>Registros!A1568</f>
        <v>646@gmail.com</v>
      </c>
      <c r="B1568" s="5">
        <f>Registros!B1568</f>
        <v>43866.89792</v>
      </c>
      <c r="C1568" s="18" t="str">
        <f>IFNA(VLOOKUP(A1568,'Registros - No nuevos'!A:A,1,0),"Nuevo")</f>
        <v>646@gmail.com</v>
      </c>
      <c r="D1568" s="72" t="str">
        <f t="shared" si="1"/>
        <v>No Nuevo</v>
      </c>
    </row>
    <row r="1569" ht="15.75" customHeight="1">
      <c r="A1569" s="71" t="str">
        <f>Registros!A1569</f>
        <v>3217@hotmail.com</v>
      </c>
      <c r="B1569" s="5">
        <f>Registros!B1569</f>
        <v>43866.82847</v>
      </c>
      <c r="C1569" s="18" t="str">
        <f>IFNA(VLOOKUP(A1569,'Registros - No nuevos'!A:A,1,0),"Nuevo")</f>
        <v>3217@hotmail.com</v>
      </c>
      <c r="D1569" s="72" t="str">
        <f t="shared" si="1"/>
        <v>No Nuevo</v>
      </c>
    </row>
    <row r="1570" ht="15.75" customHeight="1">
      <c r="A1570" s="71" t="str">
        <f>Registros!A1570</f>
        <v>3218@hotmail.com</v>
      </c>
      <c r="B1570" s="5">
        <f>Registros!B1570</f>
        <v>43866.73542</v>
      </c>
      <c r="C1570" s="18" t="str">
        <f>IFNA(VLOOKUP(A1570,'Registros - No nuevos'!A:A,1,0),"Nuevo")</f>
        <v>3218@hotmail.com</v>
      </c>
      <c r="D1570" s="72" t="str">
        <f t="shared" si="1"/>
        <v>No Nuevo</v>
      </c>
    </row>
    <row r="1571" ht="15.75" customHeight="1">
      <c r="A1571" s="71" t="str">
        <f>Registros!A1571</f>
        <v>484@macegroup.com</v>
      </c>
      <c r="B1571" s="5">
        <f>Registros!B1571</f>
        <v>43866.61042</v>
      </c>
      <c r="C1571" s="18" t="str">
        <f>IFNA(VLOOKUP(A1571,'Registros - No nuevos'!A:A,1,0),"Nuevo")</f>
        <v>484@macegroup.com</v>
      </c>
      <c r="D1571" s="72" t="str">
        <f t="shared" si="1"/>
        <v>No Nuevo</v>
      </c>
    </row>
    <row r="1572" ht="15.75" customHeight="1">
      <c r="A1572" s="71" t="str">
        <f>Registros!A1572</f>
        <v>1615@hotmail.es</v>
      </c>
      <c r="B1572" s="5">
        <f>Registros!B1572</f>
        <v>43866.52083</v>
      </c>
      <c r="C1572" s="18" t="str">
        <f>IFNA(VLOOKUP(A1572,'Registros - No nuevos'!A:A,1,0),"Nuevo")</f>
        <v>1615@hotmail.es</v>
      </c>
      <c r="D1572" s="72" t="str">
        <f t="shared" si="1"/>
        <v>No Nuevo</v>
      </c>
    </row>
    <row r="1573" ht="15.75" customHeight="1">
      <c r="A1573" s="71" t="str">
        <f>Registros!A1573</f>
        <v>204@ebcn.cat</v>
      </c>
      <c r="B1573" s="5">
        <f>Registros!B1573</f>
        <v>43866.40417</v>
      </c>
      <c r="C1573" s="18" t="str">
        <f>IFNA(VLOOKUP(A1573,'Registros - No nuevos'!A:A,1,0),"Nuevo")</f>
        <v>204@ebcn.cat</v>
      </c>
      <c r="D1573" s="72" t="str">
        <f t="shared" si="1"/>
        <v>No Nuevo</v>
      </c>
    </row>
    <row r="1574" ht="15.75" customHeight="1">
      <c r="A1574" s="71" t="str">
        <f>Registros!A1574</f>
        <v>3219@me.com</v>
      </c>
      <c r="B1574" s="5">
        <f>Registros!B1574</f>
        <v>43866.39722</v>
      </c>
      <c r="C1574" s="18" t="str">
        <f>IFNA(VLOOKUP(A1574,'Registros - No nuevos'!A:A,1,0),"Nuevo")</f>
        <v>3219@me.com</v>
      </c>
      <c r="D1574" s="72" t="str">
        <f t="shared" si="1"/>
        <v>No Nuevo</v>
      </c>
    </row>
    <row r="1575" ht="15.75" customHeight="1">
      <c r="A1575" s="71" t="str">
        <f>Registros!A1575</f>
        <v>2778@empretelco.es</v>
      </c>
      <c r="B1575" s="5">
        <f>Registros!B1575</f>
        <v>43866.36042</v>
      </c>
      <c r="C1575" s="18" t="str">
        <f>IFNA(VLOOKUP(A1575,'Registros - No nuevos'!A:A,1,0),"Nuevo")</f>
        <v>2778@empretelco.es</v>
      </c>
      <c r="D1575" s="72" t="str">
        <f t="shared" si="1"/>
        <v>No Nuevo</v>
      </c>
    </row>
    <row r="1576" ht="15.75" customHeight="1">
      <c r="A1576" s="71" t="str">
        <f>Registros!A1576</f>
        <v>3220@gmail.com</v>
      </c>
      <c r="B1576" s="5">
        <f>Registros!B1576</f>
        <v>43866.35556</v>
      </c>
      <c r="C1576" s="18" t="str">
        <f>IFNA(VLOOKUP(A1576,'Registros - No nuevos'!A:A,1,0),"Nuevo")</f>
        <v>3220@gmail.com</v>
      </c>
      <c r="D1576" s="72" t="str">
        <f t="shared" si="1"/>
        <v>No Nuevo</v>
      </c>
    </row>
    <row r="1577" ht="15.75" customHeight="1">
      <c r="A1577" s="71" t="str">
        <f>Registros!A1577</f>
        <v>3221@hotmail.es</v>
      </c>
      <c r="B1577" s="5">
        <f>Registros!B1577</f>
        <v>43866.31319</v>
      </c>
      <c r="C1577" s="18" t="str">
        <f>IFNA(VLOOKUP(A1577,'Registros - No nuevos'!A:A,1,0),"Nuevo")</f>
        <v>3221@hotmail.es</v>
      </c>
      <c r="D1577" s="72" t="str">
        <f t="shared" si="1"/>
        <v>No Nuevo</v>
      </c>
    </row>
    <row r="1578" ht="15.75" customHeight="1">
      <c r="A1578" s="71" t="str">
        <f>Registros!A1578</f>
        <v>2837@gmail.com</v>
      </c>
      <c r="B1578" s="5">
        <f>Registros!B1578</f>
        <v>43865.92569</v>
      </c>
      <c r="C1578" s="18" t="str">
        <f>IFNA(VLOOKUP(A1578,'Registros - No nuevos'!A:A,1,0),"Nuevo")</f>
        <v>2837@gmail.com</v>
      </c>
      <c r="D1578" s="72" t="str">
        <f t="shared" si="1"/>
        <v>No Nuevo</v>
      </c>
    </row>
    <row r="1579" ht="15.75" customHeight="1">
      <c r="A1579" s="71" t="str">
        <f>Registros!A1579</f>
        <v>416@dominguezelectricidad.es</v>
      </c>
      <c r="B1579" s="5">
        <f>Registros!B1579</f>
        <v>43865.81181</v>
      </c>
      <c r="C1579" s="18" t="str">
        <f>IFNA(VLOOKUP(A1579,'Registros - No nuevos'!A:A,1,0),"Nuevo")</f>
        <v>416@dominguezelectricidad.es</v>
      </c>
      <c r="D1579" s="72" t="str">
        <f t="shared" si="1"/>
        <v>No Nuevo</v>
      </c>
    </row>
    <row r="1580" ht="15.75" customHeight="1">
      <c r="A1580" s="71" t="str">
        <f>Registros!A1580</f>
        <v>2809@solerteselen.cat</v>
      </c>
      <c r="B1580" s="5">
        <f>Registros!B1580</f>
        <v>43865.75833</v>
      </c>
      <c r="C1580" s="18" t="str">
        <f>IFNA(VLOOKUP(A1580,'Registros - No nuevos'!A:A,1,0),"Nuevo")</f>
        <v>2809@solerteselen.cat</v>
      </c>
      <c r="D1580" s="72" t="str">
        <f t="shared" si="1"/>
        <v>No Nuevo</v>
      </c>
    </row>
    <row r="1581" ht="15.75" customHeight="1">
      <c r="A1581" s="71" t="str">
        <f>Registros!A1581</f>
        <v>2622@instavi.es</v>
      </c>
      <c r="B1581" s="5">
        <f>Registros!B1581</f>
        <v>43865.71667</v>
      </c>
      <c r="C1581" s="18" t="str">
        <f>IFNA(VLOOKUP(A1581,'Registros - No nuevos'!A:A,1,0),"Nuevo")</f>
        <v>2622@instavi.es</v>
      </c>
      <c r="D1581" s="72" t="str">
        <f t="shared" si="1"/>
        <v>No Nuevo</v>
      </c>
    </row>
    <row r="1582" ht="15.75" customHeight="1">
      <c r="A1582" s="71" t="str">
        <f>Registros!A1582</f>
        <v>3222@casagrandexanceda.com</v>
      </c>
      <c r="B1582" s="5">
        <f>Registros!B1582</f>
        <v>43865.64722</v>
      </c>
      <c r="C1582" s="18" t="str">
        <f>IFNA(VLOOKUP(A1582,'Registros - No nuevos'!A:A,1,0),"Nuevo")</f>
        <v>3222@casagrandexanceda.com</v>
      </c>
      <c r="D1582" s="72" t="str">
        <f t="shared" si="1"/>
        <v>No Nuevo</v>
      </c>
    </row>
    <row r="1583" ht="15.75" customHeight="1">
      <c r="A1583" s="71" t="str">
        <f>Registros!A1583</f>
        <v>3223@hotmail.com</v>
      </c>
      <c r="B1583" s="5">
        <f>Registros!B1583</f>
        <v>43865.64444</v>
      </c>
      <c r="C1583" s="18" t="str">
        <f>IFNA(VLOOKUP(A1583,'Registros - No nuevos'!A:A,1,0),"Nuevo")</f>
        <v>3223@hotmail.com</v>
      </c>
      <c r="D1583" s="72" t="str">
        <f t="shared" si="1"/>
        <v>No Nuevo</v>
      </c>
    </row>
    <row r="1584" ht="15.75" customHeight="1">
      <c r="A1584" s="71" t="str">
        <f>Registros!A1584</f>
        <v>3224@seidor.es</v>
      </c>
      <c r="B1584" s="5">
        <f>Registros!B1584</f>
        <v>43865.62847</v>
      </c>
      <c r="C1584" s="18" t="str">
        <f>IFNA(VLOOKUP(A1584,'Registros - No nuevos'!A:A,1,0),"Nuevo")</f>
        <v>3224@seidor.es</v>
      </c>
      <c r="D1584" s="72" t="str">
        <f t="shared" si="1"/>
        <v>No Nuevo</v>
      </c>
    </row>
    <row r="1585" ht="15.75" customHeight="1">
      <c r="A1585" s="71" t="str">
        <f>Registros!A1585</f>
        <v>3225@gmail.com</v>
      </c>
      <c r="B1585" s="5">
        <f>Registros!B1585</f>
        <v>43865.61944</v>
      </c>
      <c r="C1585" s="18" t="str">
        <f>IFNA(VLOOKUP(A1585,'Registros - No nuevos'!A:A,1,0),"Nuevo")</f>
        <v>3225@gmail.com</v>
      </c>
      <c r="D1585" s="72" t="str">
        <f t="shared" si="1"/>
        <v>No Nuevo</v>
      </c>
    </row>
    <row r="1586" ht="15.75" customHeight="1">
      <c r="A1586" s="71" t="str">
        <f>Registros!A1586</f>
        <v>2841@blaudrive.com</v>
      </c>
      <c r="B1586" s="5">
        <f>Registros!B1586</f>
        <v>43865.52569</v>
      </c>
      <c r="C1586" s="18" t="str">
        <f>IFNA(VLOOKUP(A1586,'Registros - No nuevos'!A:A,1,0),"Nuevo")</f>
        <v>2841@blaudrive.com</v>
      </c>
      <c r="D1586" s="72" t="str">
        <f t="shared" si="1"/>
        <v>No Nuevo</v>
      </c>
    </row>
    <row r="1587" ht="15.75" customHeight="1">
      <c r="A1587" s="71" t="str">
        <f>Registros!A1587</f>
        <v>1794@enchufing.com</v>
      </c>
      <c r="B1587" s="5">
        <f>Registros!B1587</f>
        <v>43865.46389</v>
      </c>
      <c r="C1587" s="18" t="str">
        <f>IFNA(VLOOKUP(A1587,'Registros - No nuevos'!A:A,1,0),"Nuevo")</f>
        <v>1794@enchufing.com</v>
      </c>
      <c r="D1587" s="72" t="str">
        <f t="shared" si="1"/>
        <v>No Nuevo</v>
      </c>
    </row>
    <row r="1588" ht="15.75" customHeight="1">
      <c r="A1588" s="71" t="str">
        <f>Registros!A1588</f>
        <v>927@argionelectric.es</v>
      </c>
      <c r="B1588" s="5">
        <f>Registros!B1588</f>
        <v>43865.46319</v>
      </c>
      <c r="C1588" s="18" t="str">
        <f>IFNA(VLOOKUP(A1588,'Registros - No nuevos'!A:A,1,0),"Nuevo")</f>
        <v>927@argionelectric.es</v>
      </c>
      <c r="D1588" s="72" t="str">
        <f t="shared" si="1"/>
        <v>No Nuevo</v>
      </c>
    </row>
    <row r="1589" ht="15.75" customHeight="1">
      <c r="A1589" s="71" t="str">
        <f>Registros!A1589</f>
        <v>319@gmail.com</v>
      </c>
      <c r="B1589" s="5">
        <f>Registros!B1589</f>
        <v>43865.46042</v>
      </c>
      <c r="C1589" s="18" t="str">
        <f>IFNA(VLOOKUP(A1589,'Registros - No nuevos'!A:A,1,0),"Nuevo")</f>
        <v>319@gmail.com</v>
      </c>
      <c r="D1589" s="72" t="str">
        <f t="shared" si="1"/>
        <v>No Nuevo</v>
      </c>
    </row>
    <row r="1590" ht="15.75" customHeight="1">
      <c r="A1590" s="71" t="str">
        <f>Registros!A1590</f>
        <v>1302@alem.es</v>
      </c>
      <c r="B1590" s="5">
        <f>Registros!B1590</f>
        <v>43865.43889</v>
      </c>
      <c r="C1590" s="18" t="str">
        <f>IFNA(VLOOKUP(A1590,'Registros - No nuevos'!A:A,1,0),"Nuevo")</f>
        <v>1302@alem.es</v>
      </c>
      <c r="D1590" s="72" t="str">
        <f t="shared" si="1"/>
        <v>No Nuevo</v>
      </c>
    </row>
    <row r="1591" ht="15.75" customHeight="1">
      <c r="A1591" s="71" t="str">
        <f>Registros!A1591</f>
        <v>965@gmail.com</v>
      </c>
      <c r="B1591" s="5">
        <f>Registros!B1591</f>
        <v>43865.36319</v>
      </c>
      <c r="C1591" s="18" t="str">
        <f>IFNA(VLOOKUP(A1591,'Registros - No nuevos'!A:A,1,0),"Nuevo")</f>
        <v>965@gmail.com</v>
      </c>
      <c r="D1591" s="72" t="str">
        <f t="shared" si="1"/>
        <v>No Nuevo</v>
      </c>
    </row>
    <row r="1592" ht="15.75" customHeight="1">
      <c r="A1592" s="71" t="str">
        <f>Registros!A1592</f>
        <v>730@hotmail.com</v>
      </c>
      <c r="B1592" s="5">
        <f>Registros!B1592</f>
        <v>43865.36042</v>
      </c>
      <c r="C1592" s="18" t="str">
        <f>IFNA(VLOOKUP(A1592,'Registros - No nuevos'!A:A,1,0),"Nuevo")</f>
        <v>730@hotmail.com</v>
      </c>
      <c r="D1592" s="72" t="str">
        <f t="shared" si="1"/>
        <v>No Nuevo</v>
      </c>
    </row>
    <row r="1593" ht="15.75" customHeight="1">
      <c r="A1593" s="71" t="str">
        <f>Registros!A1593</f>
        <v>2779@gmail.com</v>
      </c>
      <c r="B1593" s="5">
        <f>Registros!B1593</f>
        <v>43865.07986</v>
      </c>
      <c r="C1593" s="18" t="str">
        <f>IFNA(VLOOKUP(A1593,'Registros - No nuevos'!A:A,1,0),"Nuevo")</f>
        <v>2779@gmail.com</v>
      </c>
      <c r="D1593" s="72" t="str">
        <f t="shared" si="1"/>
        <v>No Nuevo</v>
      </c>
    </row>
    <row r="1594" ht="15.75" customHeight="1">
      <c r="A1594" s="71" t="str">
        <f>Registros!A1594</f>
        <v>1266@gmail.com</v>
      </c>
      <c r="B1594" s="5">
        <f>Registros!B1594</f>
        <v>43864.9</v>
      </c>
      <c r="C1594" s="18" t="str">
        <f>IFNA(VLOOKUP(A1594,'Registros - No nuevos'!A:A,1,0),"Nuevo")</f>
        <v>1266@gmail.com</v>
      </c>
      <c r="D1594" s="72" t="str">
        <f t="shared" si="1"/>
        <v>No Nuevo</v>
      </c>
    </row>
    <row r="1595" ht="15.75" customHeight="1">
      <c r="A1595" s="71" t="str">
        <f>Registros!A1595</f>
        <v>668@dipucordoba.es</v>
      </c>
      <c r="B1595" s="5">
        <f>Registros!B1595</f>
        <v>43864.64167</v>
      </c>
      <c r="C1595" s="18" t="str">
        <f>IFNA(VLOOKUP(A1595,'Registros - No nuevos'!A:A,1,0),"Nuevo")</f>
        <v>668@dipucordoba.es</v>
      </c>
      <c r="D1595" s="72" t="str">
        <f t="shared" si="1"/>
        <v>No Nuevo</v>
      </c>
    </row>
    <row r="1596" ht="15.75" customHeight="1">
      <c r="A1596" s="71" t="str">
        <f>Registros!A1596</f>
        <v>2540@gmail.com</v>
      </c>
      <c r="B1596" s="5">
        <f>Registros!B1596</f>
        <v>43864.64028</v>
      </c>
      <c r="C1596" s="18" t="str">
        <f>IFNA(VLOOKUP(A1596,'Registros - No nuevos'!A:A,1,0),"Nuevo")</f>
        <v>2540@gmail.com</v>
      </c>
      <c r="D1596" s="72" t="str">
        <f t="shared" si="1"/>
        <v>No Nuevo</v>
      </c>
    </row>
    <row r="1597" ht="15.75" customHeight="1">
      <c r="A1597" s="71" t="str">
        <f>Registros!A1597</f>
        <v>2846@kubicat.com</v>
      </c>
      <c r="B1597" s="5">
        <f>Registros!B1597</f>
        <v>43864.44236</v>
      </c>
      <c r="C1597" s="18" t="str">
        <f>IFNA(VLOOKUP(A1597,'Registros - No nuevos'!A:A,1,0),"Nuevo")</f>
        <v>2846@kubicat.com</v>
      </c>
      <c r="D1597" s="72" t="str">
        <f t="shared" si="1"/>
        <v>No Nuevo</v>
      </c>
    </row>
    <row r="1598" ht="15.75" customHeight="1">
      <c r="A1598" s="71" t="str">
        <f>Registros!A1598</f>
        <v>3226@yahoo.es</v>
      </c>
      <c r="B1598" s="5">
        <f>Registros!B1598</f>
        <v>43863.91597</v>
      </c>
      <c r="C1598" s="18" t="str">
        <f>IFNA(VLOOKUP(A1598,'Registros - No nuevos'!A:A,1,0),"Nuevo")</f>
        <v>3226@yahoo.es</v>
      </c>
      <c r="D1598" s="72" t="str">
        <f t="shared" si="1"/>
        <v>No Nuevo</v>
      </c>
    </row>
    <row r="1599" ht="15.75" customHeight="1">
      <c r="A1599" s="71" t="str">
        <f>Registros!A1599</f>
        <v>3227@gmail.com</v>
      </c>
      <c r="B1599" s="5">
        <f>Registros!B1599</f>
        <v>43863.80069</v>
      </c>
      <c r="C1599" s="18" t="str">
        <f>IFNA(VLOOKUP(A1599,'Registros - No nuevos'!A:A,1,0),"Nuevo")</f>
        <v>3227@gmail.com</v>
      </c>
      <c r="D1599" s="72" t="str">
        <f t="shared" si="1"/>
        <v>No Nuevo</v>
      </c>
    </row>
    <row r="1600" ht="15.75" customHeight="1">
      <c r="A1600" s="71" t="str">
        <f>Registros!A1600</f>
        <v>2847@gmail.com</v>
      </c>
      <c r="B1600" s="5">
        <f>Registros!B1600</f>
        <v>43863.79028</v>
      </c>
      <c r="C1600" s="18" t="str">
        <f>IFNA(VLOOKUP(A1600,'Registros - No nuevos'!A:A,1,0),"Nuevo")</f>
        <v>2847@gmail.com</v>
      </c>
      <c r="D1600" s="72" t="str">
        <f t="shared" si="1"/>
        <v>No Nuevo</v>
      </c>
    </row>
    <row r="1601" ht="15.75" customHeight="1">
      <c r="A1601" s="71" t="str">
        <f>Registros!A1601</f>
        <v>3228@gmail.com</v>
      </c>
      <c r="B1601" s="5">
        <f>Registros!B1601</f>
        <v>43863.72431</v>
      </c>
      <c r="C1601" s="18" t="str">
        <f>IFNA(VLOOKUP(A1601,'Registros - No nuevos'!A:A,1,0),"Nuevo")</f>
        <v>3228@gmail.com</v>
      </c>
      <c r="D1601" s="72" t="str">
        <f t="shared" si="1"/>
        <v>No Nuevo</v>
      </c>
    </row>
    <row r="1602" ht="15.75" customHeight="1">
      <c r="A1602" s="71" t="str">
        <f>Registros!A1602</f>
        <v>3229@hotmail.com</v>
      </c>
      <c r="B1602" s="5">
        <f>Registros!B1602</f>
        <v>43863.53056</v>
      </c>
      <c r="C1602" s="18" t="str">
        <f>IFNA(VLOOKUP(A1602,'Registros - No nuevos'!A:A,1,0),"Nuevo")</f>
        <v>3229@hotmail.com</v>
      </c>
      <c r="D1602" s="72" t="str">
        <f t="shared" si="1"/>
        <v>No Nuevo</v>
      </c>
    </row>
    <row r="1603" ht="15.75" customHeight="1">
      <c r="A1603" s="71" t="str">
        <f>Registros!A1603</f>
        <v>3230@gmial.com</v>
      </c>
      <c r="B1603" s="5">
        <f>Registros!B1603</f>
        <v>43863.13611</v>
      </c>
      <c r="C1603" s="18" t="str">
        <f>IFNA(VLOOKUP(A1603,'Registros - No nuevos'!A:A,1,0),"Nuevo")</f>
        <v>3230@gmial.com</v>
      </c>
      <c r="D1603" s="72" t="str">
        <f t="shared" si="1"/>
        <v>No Nuevo</v>
      </c>
    </row>
    <row r="1604" ht="15.75" customHeight="1">
      <c r="A1604" s="71" t="str">
        <f>Registros!A1604</f>
        <v>2587@picocompany.es</v>
      </c>
      <c r="B1604" s="5">
        <f>Registros!B1604</f>
        <v>43863.09097</v>
      </c>
      <c r="C1604" s="18" t="str">
        <f>IFNA(VLOOKUP(A1604,'Registros - No nuevos'!A:A,1,0),"Nuevo")</f>
        <v>2587@picocompany.es</v>
      </c>
      <c r="D1604" s="72" t="str">
        <f t="shared" si="1"/>
        <v>No Nuevo</v>
      </c>
    </row>
    <row r="1605" ht="15.75" customHeight="1">
      <c r="A1605" s="71" t="str">
        <f>Registros!A1605</f>
        <v>3231@anframa.com</v>
      </c>
      <c r="B1605" s="5">
        <f>Registros!B1605</f>
        <v>43862.99028</v>
      </c>
      <c r="C1605" s="18" t="str">
        <f>IFNA(VLOOKUP(A1605,'Registros - No nuevos'!A:A,1,0),"Nuevo")</f>
        <v>3231@anframa.com</v>
      </c>
      <c r="D1605" s="72" t="str">
        <f t="shared" si="1"/>
        <v>No Nuevo</v>
      </c>
    </row>
    <row r="1606" ht="15.75" customHeight="1">
      <c r="A1606" s="71" t="str">
        <f>Registros!A1606</f>
        <v>3232@ufd.es</v>
      </c>
      <c r="B1606" s="5">
        <f>Registros!B1606</f>
        <v>43862.86042</v>
      </c>
      <c r="C1606" s="18" t="str">
        <f>IFNA(VLOOKUP(A1606,'Registros - No nuevos'!A:A,1,0),"Nuevo")</f>
        <v>3232@ufd.es</v>
      </c>
      <c r="D1606" s="72" t="str">
        <f t="shared" si="1"/>
        <v>No Nuevo</v>
      </c>
    </row>
    <row r="1607" ht="15.75" customHeight="1">
      <c r="A1607" s="71" t="str">
        <f>Registros!A1607</f>
        <v>3233@gmail.com</v>
      </c>
      <c r="B1607" s="5">
        <f>Registros!B1607</f>
        <v>43862.85417</v>
      </c>
      <c r="C1607" s="18" t="str">
        <f>IFNA(VLOOKUP(A1607,'Registros - No nuevos'!A:A,1,0),"Nuevo")</f>
        <v>3233@gmail.com</v>
      </c>
      <c r="D1607" s="72" t="str">
        <f t="shared" si="1"/>
        <v>No Nuevo</v>
      </c>
    </row>
    <row r="1608" ht="15.75" customHeight="1">
      <c r="A1608" s="71" t="str">
        <f>Registros!A1608</f>
        <v>3234@hotmail.com</v>
      </c>
      <c r="B1608" s="5">
        <f>Registros!B1608</f>
        <v>43862.62361</v>
      </c>
      <c r="C1608" s="18" t="str">
        <f>IFNA(VLOOKUP(A1608,'Registros - No nuevos'!A:A,1,0),"Nuevo")</f>
        <v>3234@hotmail.com</v>
      </c>
      <c r="D1608" s="72" t="str">
        <f t="shared" si="1"/>
        <v>No Nuevo</v>
      </c>
    </row>
    <row r="1609" ht="15.75" customHeight="1">
      <c r="A1609" s="71" t="str">
        <f>Registros!A1609</f>
        <v>3235@hotmail.com</v>
      </c>
      <c r="B1609" s="5">
        <f>Registros!B1609</f>
        <v>43862.60069</v>
      </c>
      <c r="C1609" s="18" t="str">
        <f>IFNA(VLOOKUP(A1609,'Registros - No nuevos'!A:A,1,0),"Nuevo")</f>
        <v>3235@hotmail.com</v>
      </c>
      <c r="D1609" s="72" t="str">
        <f t="shared" si="1"/>
        <v>No Nuevo</v>
      </c>
    </row>
    <row r="1610" ht="15.75" customHeight="1">
      <c r="A1610" s="71" t="str">
        <f>Registros!A1610</f>
        <v>2849@gmail.com</v>
      </c>
      <c r="B1610" s="5">
        <f>Registros!B1610</f>
        <v>43862.53542</v>
      </c>
      <c r="C1610" s="18" t="str">
        <f>IFNA(VLOOKUP(A1610,'Registros - No nuevos'!A:A,1,0),"Nuevo")</f>
        <v>2849@gmail.com</v>
      </c>
      <c r="D1610" s="72" t="str">
        <f t="shared" si="1"/>
        <v>No Nuevo</v>
      </c>
    </row>
    <row r="1611" ht="15.75" customHeight="1">
      <c r="A1611" s="71" t="str">
        <f>Registros!A1611</f>
        <v>3236@enzazaden.es</v>
      </c>
      <c r="B1611" s="5">
        <f>Registros!B1611</f>
        <v>43862.46181</v>
      </c>
      <c r="C1611" s="18" t="str">
        <f>IFNA(VLOOKUP(A1611,'Registros - No nuevos'!A:A,1,0),"Nuevo")</f>
        <v>3236@enzazaden.es</v>
      </c>
      <c r="D1611" s="72" t="str">
        <f t="shared" si="1"/>
        <v>No Nuevo</v>
      </c>
    </row>
    <row r="1612" ht="15.75" customHeight="1">
      <c r="A1612" s="71" t="str">
        <f>Registros!A1612</f>
        <v>3237@gmail.com</v>
      </c>
      <c r="B1612" s="5">
        <f>Registros!B1612</f>
        <v>43862.11181</v>
      </c>
      <c r="C1612" s="18" t="str">
        <f>IFNA(VLOOKUP(A1612,'Registros - No nuevos'!A:A,1,0),"Nuevo")</f>
        <v>3237@gmail.com</v>
      </c>
      <c r="D1612" s="72" t="str">
        <f t="shared" si="1"/>
        <v>No Nuevo</v>
      </c>
    </row>
    <row r="1613" ht="15.75" customHeight="1">
      <c r="A1613" s="71" t="str">
        <f>Registros!A1613</f>
        <v>3238@optimainfraestructuras.com</v>
      </c>
      <c r="B1613" s="5">
        <f>Registros!B1613</f>
        <v>43861.81528</v>
      </c>
      <c r="C1613" s="18" t="str">
        <f>IFNA(VLOOKUP(A1613,'Registros - No nuevos'!A:A,1,0),"Nuevo")</f>
        <v>3238@optimainfraestructuras.com</v>
      </c>
      <c r="D1613" s="72" t="str">
        <f t="shared" si="1"/>
        <v>No Nuevo</v>
      </c>
    </row>
    <row r="1614" ht="15.75" customHeight="1">
      <c r="A1614" s="71" t="str">
        <f>Registros!A1614</f>
        <v>2852@gmail.com</v>
      </c>
      <c r="B1614" s="5">
        <f>Registros!B1614</f>
        <v>43861.77847</v>
      </c>
      <c r="C1614" s="18" t="str">
        <f>IFNA(VLOOKUP(A1614,'Registros - No nuevos'!A:A,1,0),"Nuevo")</f>
        <v>2852@gmail.com</v>
      </c>
      <c r="D1614" s="72" t="str">
        <f t="shared" si="1"/>
        <v>No Nuevo</v>
      </c>
    </row>
    <row r="1615" ht="15.75" customHeight="1">
      <c r="A1615" s="71" t="str">
        <f>Registros!A1615</f>
        <v>2853@gmail.com</v>
      </c>
      <c r="B1615" s="5">
        <f>Registros!B1615</f>
        <v>43861.70486</v>
      </c>
      <c r="C1615" s="18" t="str">
        <f>IFNA(VLOOKUP(A1615,'Registros - No nuevos'!A:A,1,0),"Nuevo")</f>
        <v>2853@gmail.com</v>
      </c>
      <c r="D1615" s="72" t="str">
        <f t="shared" si="1"/>
        <v>No Nuevo</v>
      </c>
    </row>
    <row r="1616" ht="15.75" customHeight="1">
      <c r="A1616" s="71" t="str">
        <f>Registros!A1616</f>
        <v>2854@voltplus.es</v>
      </c>
      <c r="B1616" s="5">
        <f>Registros!B1616</f>
        <v>43861.70139</v>
      </c>
      <c r="C1616" s="18" t="str">
        <f>IFNA(VLOOKUP(A1616,'Registros - No nuevos'!A:A,1,0),"Nuevo")</f>
        <v>2854@voltplus.es</v>
      </c>
      <c r="D1616" s="72" t="str">
        <f t="shared" si="1"/>
        <v>No Nuevo</v>
      </c>
    </row>
    <row r="1617" ht="15.75" customHeight="1">
      <c r="A1617" s="71" t="str">
        <f>Registros!A1617</f>
        <v>1763@coacordoba.net</v>
      </c>
      <c r="B1617" s="5">
        <f>Registros!B1617</f>
        <v>43861.67778</v>
      </c>
      <c r="C1617" s="18" t="str">
        <f>IFNA(VLOOKUP(A1617,'Registros - No nuevos'!A:A,1,0),"Nuevo")</f>
        <v>1763@coacordoba.net</v>
      </c>
      <c r="D1617" s="72" t="str">
        <f t="shared" si="1"/>
        <v>No Nuevo</v>
      </c>
    </row>
    <row r="1618" ht="15.75" customHeight="1">
      <c r="A1618" s="71" t="str">
        <f>Registros!A1618</f>
        <v>2808@gmail.com</v>
      </c>
      <c r="B1618" s="5">
        <f>Registros!B1618</f>
        <v>43860.86806</v>
      </c>
      <c r="C1618" s="18" t="str">
        <f>IFNA(VLOOKUP(A1618,'Registros - No nuevos'!A:A,1,0),"Nuevo")</f>
        <v>2808@gmail.com</v>
      </c>
      <c r="D1618" s="72" t="str">
        <f t="shared" si="1"/>
        <v>No Nuevo</v>
      </c>
    </row>
    <row r="1619" ht="15.75" customHeight="1">
      <c r="A1619" s="71" t="str">
        <f>Registros!A1619</f>
        <v>2679@hotmail.com</v>
      </c>
      <c r="B1619" s="5">
        <f>Registros!B1619</f>
        <v>43860.77778</v>
      </c>
      <c r="C1619" s="18" t="str">
        <f>IFNA(VLOOKUP(A1619,'Registros - No nuevos'!A:A,1,0),"Nuevo")</f>
        <v>2679@hotmail.com</v>
      </c>
      <c r="D1619" s="72" t="str">
        <f t="shared" si="1"/>
        <v>No Nuevo</v>
      </c>
    </row>
    <row r="1620" ht="15.75" customHeight="1">
      <c r="A1620" s="71" t="str">
        <f>Registros!A1620</f>
        <v>2857@gmail.com</v>
      </c>
      <c r="B1620" s="5">
        <f>Registros!B1620</f>
        <v>43860.74028</v>
      </c>
      <c r="C1620" s="18" t="str">
        <f>IFNA(VLOOKUP(A1620,'Registros - No nuevos'!A:A,1,0),"Nuevo")</f>
        <v>2857@gmail.com</v>
      </c>
      <c r="D1620" s="72" t="str">
        <f t="shared" si="1"/>
        <v>No Nuevo</v>
      </c>
    </row>
    <row r="1621" ht="15.75" customHeight="1">
      <c r="A1621" s="71" t="str">
        <f>Registros!A1621</f>
        <v>2858@gmail.com</v>
      </c>
      <c r="B1621" s="5">
        <f>Registros!B1621</f>
        <v>43860.55556</v>
      </c>
      <c r="C1621" s="18" t="str">
        <f>IFNA(VLOOKUP(A1621,'Registros - No nuevos'!A:A,1,0),"Nuevo")</f>
        <v>2858@gmail.com</v>
      </c>
      <c r="D1621" s="72" t="str">
        <f t="shared" si="1"/>
        <v>No Nuevo</v>
      </c>
    </row>
    <row r="1622" ht="15.75" customHeight="1">
      <c r="A1622" s="71" t="str">
        <f>Registros!A1622</f>
        <v>1147@magalux.es</v>
      </c>
      <c r="B1622" s="5">
        <f>Registros!B1622</f>
        <v>43860.45069</v>
      </c>
      <c r="C1622" s="18" t="str">
        <f>IFNA(VLOOKUP(A1622,'Registros - No nuevos'!A:A,1,0),"Nuevo")</f>
        <v>1147@magalux.es</v>
      </c>
      <c r="D1622" s="72" t="str">
        <f t="shared" si="1"/>
        <v>No Nuevo</v>
      </c>
    </row>
    <row r="1623" ht="15.75" customHeight="1">
      <c r="A1623" s="71" t="str">
        <f>Registros!A1623</f>
        <v>3239@gmail.com</v>
      </c>
      <c r="B1623" s="5">
        <f>Registros!B1623</f>
        <v>43860.01736</v>
      </c>
      <c r="C1623" s="18" t="str">
        <f>IFNA(VLOOKUP(A1623,'Registros - No nuevos'!A:A,1,0),"Nuevo")</f>
        <v>3239@gmail.com</v>
      </c>
      <c r="D1623" s="72" t="str">
        <f t="shared" si="1"/>
        <v>No Nuevo</v>
      </c>
    </row>
    <row r="1624" ht="15.75" customHeight="1">
      <c r="A1624" s="71" t="str">
        <f>Registros!A1624</f>
        <v>2863@hibrielectric.com</v>
      </c>
      <c r="B1624" s="5">
        <f>Registros!B1624</f>
        <v>43859.95278</v>
      </c>
      <c r="C1624" s="18" t="str">
        <f>IFNA(VLOOKUP(A1624,'Registros - No nuevos'!A:A,1,0),"Nuevo")</f>
        <v>2863@hibrielectric.com</v>
      </c>
      <c r="D1624" s="72" t="str">
        <f t="shared" si="1"/>
        <v>No Nuevo</v>
      </c>
    </row>
    <row r="1625" ht="15.75" customHeight="1">
      <c r="A1625" s="71" t="str">
        <f>Registros!A1625</f>
        <v>2862@gmail.com</v>
      </c>
      <c r="B1625" s="5">
        <f>Registros!B1625</f>
        <v>43859.89097</v>
      </c>
      <c r="C1625" s="18" t="str">
        <f>IFNA(VLOOKUP(A1625,'Registros - No nuevos'!A:A,1,0),"Nuevo")</f>
        <v>2862@gmail.com</v>
      </c>
      <c r="D1625" s="72" t="str">
        <f t="shared" si="1"/>
        <v>No Nuevo</v>
      </c>
    </row>
    <row r="1626" ht="15.75" customHeight="1">
      <c r="A1626" s="71" t="str">
        <f>Registros!A1626</f>
        <v>2864@gmail.com</v>
      </c>
      <c r="B1626" s="5">
        <f>Registros!B1626</f>
        <v>43859.83958</v>
      </c>
      <c r="C1626" s="18" t="str">
        <f>IFNA(VLOOKUP(A1626,'Registros - No nuevos'!A:A,1,0),"Nuevo")</f>
        <v>2864@gmail.com</v>
      </c>
      <c r="D1626" s="72" t="str">
        <f t="shared" si="1"/>
        <v>No Nuevo</v>
      </c>
    </row>
    <row r="1627" ht="15.75" customHeight="1">
      <c r="A1627" s="71" t="str">
        <f>Registros!A1627</f>
        <v>315@bongrup.es</v>
      </c>
      <c r="B1627" s="5">
        <f>Registros!B1627</f>
        <v>43859.78889</v>
      </c>
      <c r="C1627" s="18" t="str">
        <f>IFNA(VLOOKUP(A1627,'Registros - No nuevos'!A:A,1,0),"Nuevo")</f>
        <v>315@bongrup.es</v>
      </c>
      <c r="D1627" s="72" t="str">
        <f t="shared" si="1"/>
        <v>No Nuevo</v>
      </c>
    </row>
    <row r="1628" ht="15.75" customHeight="1">
      <c r="A1628" s="71" t="str">
        <f>Registros!A1628</f>
        <v>3240@gmail.com</v>
      </c>
      <c r="B1628" s="5">
        <f>Registros!B1628</f>
        <v>43859.74444</v>
      </c>
      <c r="C1628" s="18" t="str">
        <f>IFNA(VLOOKUP(A1628,'Registros - No nuevos'!A:A,1,0),"Nuevo")</f>
        <v>3240@gmail.com</v>
      </c>
      <c r="D1628" s="72" t="str">
        <f t="shared" si="1"/>
        <v>No Nuevo</v>
      </c>
    </row>
    <row r="1629" ht="15.75" customHeight="1">
      <c r="A1629" s="71" t="str">
        <f>Registros!A1629</f>
        <v>3241@gmx.es</v>
      </c>
      <c r="B1629" s="5">
        <f>Registros!B1629</f>
        <v>43859.73403</v>
      </c>
      <c r="C1629" s="18" t="str">
        <f>IFNA(VLOOKUP(A1629,'Registros - No nuevos'!A:A,1,0),"Nuevo")</f>
        <v>3241@gmx.es</v>
      </c>
      <c r="D1629" s="72" t="str">
        <f t="shared" si="1"/>
        <v>No Nuevo</v>
      </c>
    </row>
    <row r="1630" ht="15.75" customHeight="1">
      <c r="A1630" s="71" t="str">
        <f>Registros!A1630</f>
        <v>3242@gmail.com</v>
      </c>
      <c r="B1630" s="5">
        <f>Registros!B1630</f>
        <v>43859.69653</v>
      </c>
      <c r="C1630" s="18" t="str">
        <f>IFNA(VLOOKUP(A1630,'Registros - No nuevos'!A:A,1,0),"Nuevo")</f>
        <v>3242@gmail.com</v>
      </c>
      <c r="D1630" s="72" t="str">
        <f t="shared" si="1"/>
        <v>No Nuevo</v>
      </c>
    </row>
    <row r="1631" ht="15.75" customHeight="1">
      <c r="A1631" s="71" t="str">
        <f>Registros!A1631</f>
        <v>3243@gmail.com</v>
      </c>
      <c r="B1631" s="5">
        <f>Registros!B1631</f>
        <v>43859.62569</v>
      </c>
      <c r="C1631" s="18" t="str">
        <f>IFNA(VLOOKUP(A1631,'Registros - No nuevos'!A:A,1,0),"Nuevo")</f>
        <v>3243@gmail.com</v>
      </c>
      <c r="D1631" s="72" t="str">
        <f t="shared" si="1"/>
        <v>No Nuevo</v>
      </c>
    </row>
    <row r="1632" ht="15.75" customHeight="1">
      <c r="A1632" s="71" t="str">
        <f>Registros!A1632</f>
        <v>1021@proturhotels.com</v>
      </c>
      <c r="B1632" s="5">
        <f>Registros!B1632</f>
        <v>43859.56181</v>
      </c>
      <c r="C1632" s="18" t="str">
        <f>IFNA(VLOOKUP(A1632,'Registros - No nuevos'!A:A,1,0),"Nuevo")</f>
        <v>1021@proturhotels.com</v>
      </c>
      <c r="D1632" s="72" t="str">
        <f t="shared" si="1"/>
        <v>No Nuevo</v>
      </c>
    </row>
    <row r="1633" ht="15.75" customHeight="1">
      <c r="A1633" s="71" t="str">
        <f>Registros!A1633</f>
        <v>2828@coaatz.org</v>
      </c>
      <c r="B1633" s="5">
        <f>Registros!B1633</f>
        <v>43859.49861</v>
      </c>
      <c r="C1633" s="18" t="str">
        <f>IFNA(VLOOKUP(A1633,'Registros - No nuevos'!A:A,1,0),"Nuevo")</f>
        <v>2828@coaatz.org</v>
      </c>
      <c r="D1633" s="72" t="str">
        <f t="shared" si="1"/>
        <v>No Nuevo</v>
      </c>
    </row>
    <row r="1634" ht="15.75" customHeight="1">
      <c r="A1634" s="71" t="str">
        <f>Registros!A1634</f>
        <v>232@mersa.es</v>
      </c>
      <c r="B1634" s="5">
        <f>Registros!B1634</f>
        <v>43859.41389</v>
      </c>
      <c r="C1634" s="18" t="str">
        <f>IFNA(VLOOKUP(A1634,'Registros - No nuevos'!A:A,1,0),"Nuevo")</f>
        <v>232@mersa.es</v>
      </c>
      <c r="D1634" s="72" t="str">
        <f t="shared" si="1"/>
        <v>No Nuevo</v>
      </c>
    </row>
    <row r="1635" ht="15.75" customHeight="1">
      <c r="A1635" s="71" t="str">
        <f>Registros!A1635</f>
        <v>2866@hotmail.com</v>
      </c>
      <c r="B1635" s="5">
        <f>Registros!B1635</f>
        <v>43859.41389</v>
      </c>
      <c r="C1635" s="18" t="str">
        <f>IFNA(VLOOKUP(A1635,'Registros - No nuevos'!A:A,1,0),"Nuevo")</f>
        <v>2866@hotmail.com</v>
      </c>
      <c r="D1635" s="72" t="str">
        <f t="shared" si="1"/>
        <v>No Nuevo</v>
      </c>
    </row>
    <row r="1636" ht="15.75" customHeight="1">
      <c r="A1636" s="71" t="str">
        <f>Registros!A1636</f>
        <v>3244@hotmail.com</v>
      </c>
      <c r="B1636" s="5">
        <f>Registros!B1636</f>
        <v>43859.375</v>
      </c>
      <c r="C1636" s="18" t="str">
        <f>IFNA(VLOOKUP(A1636,'Registros - No nuevos'!A:A,1,0),"Nuevo")</f>
        <v>3244@hotmail.com</v>
      </c>
      <c r="D1636" s="72" t="str">
        <f t="shared" si="1"/>
        <v>No Nuevo</v>
      </c>
    </row>
    <row r="1637" ht="15.75" customHeight="1">
      <c r="A1637" s="71" t="str">
        <f>Registros!A1637</f>
        <v>3245@gmail.com</v>
      </c>
      <c r="B1637" s="5">
        <f>Registros!B1637</f>
        <v>43858.79514</v>
      </c>
      <c r="C1637" s="18" t="str">
        <f>IFNA(VLOOKUP(A1637,'Registros - No nuevos'!A:A,1,0),"Nuevo")</f>
        <v>3245@gmail.com</v>
      </c>
      <c r="D1637" s="72" t="str">
        <f t="shared" si="1"/>
        <v>No Nuevo</v>
      </c>
    </row>
    <row r="1638" ht="15.75" customHeight="1">
      <c r="A1638" s="71" t="str">
        <f>Registros!A1638</f>
        <v>3246@gmail.com</v>
      </c>
      <c r="B1638" s="5">
        <f>Registros!B1638</f>
        <v>43858.66667</v>
      </c>
      <c r="C1638" s="18" t="str">
        <f>IFNA(VLOOKUP(A1638,'Registros - No nuevos'!A:A,1,0),"Nuevo")</f>
        <v>3246@gmail.com</v>
      </c>
      <c r="D1638" s="72" t="str">
        <f t="shared" si="1"/>
        <v>No Nuevo</v>
      </c>
    </row>
    <row r="1639" ht="15.75" customHeight="1">
      <c r="A1639" s="71" t="str">
        <f>Registros!A1639</f>
        <v>3247@hotmail.com</v>
      </c>
      <c r="B1639" s="5">
        <f>Registros!B1639</f>
        <v>43858.64861</v>
      </c>
      <c r="C1639" s="18" t="str">
        <f>IFNA(VLOOKUP(A1639,'Registros - No nuevos'!A:A,1,0),"Nuevo")</f>
        <v>3247@hotmail.com</v>
      </c>
      <c r="D1639" s="72" t="str">
        <f t="shared" si="1"/>
        <v>No Nuevo</v>
      </c>
    </row>
    <row r="1640" ht="15.75" customHeight="1">
      <c r="A1640" s="71" t="str">
        <f>Registros!A1640</f>
        <v>2867@jqadvisors.com</v>
      </c>
      <c r="B1640" s="5">
        <f>Registros!B1640</f>
        <v>43858.57639</v>
      </c>
      <c r="C1640" s="18" t="str">
        <f>IFNA(VLOOKUP(A1640,'Registros - No nuevos'!A:A,1,0),"Nuevo")</f>
        <v>2867@jqadvisors.com</v>
      </c>
      <c r="D1640" s="72" t="str">
        <f t="shared" si="1"/>
        <v>No Nuevo</v>
      </c>
    </row>
    <row r="1641" ht="15.75" customHeight="1">
      <c r="A1641" s="71" t="str">
        <f>Registros!A1641</f>
        <v>2869@montajes-medyp.com</v>
      </c>
      <c r="B1641" s="5">
        <f>Registros!B1641</f>
        <v>43858.47639</v>
      </c>
      <c r="C1641" s="18" t="str">
        <f>IFNA(VLOOKUP(A1641,'Registros - No nuevos'!A:A,1,0),"Nuevo")</f>
        <v>2869@montajes-medyp.com</v>
      </c>
      <c r="D1641" s="72" t="str">
        <f t="shared" si="1"/>
        <v>No Nuevo</v>
      </c>
    </row>
    <row r="1642" ht="15.75" customHeight="1">
      <c r="A1642" s="71" t="str">
        <f>Registros!A1642</f>
        <v>3248@hormail.com</v>
      </c>
      <c r="B1642" s="5">
        <f>Registros!B1642</f>
        <v>43858.29583</v>
      </c>
      <c r="C1642" s="18" t="str">
        <f>IFNA(VLOOKUP(A1642,'Registros - No nuevos'!A:A,1,0),"Nuevo")</f>
        <v>3248@hormail.com</v>
      </c>
      <c r="D1642" s="72" t="str">
        <f t="shared" si="1"/>
        <v>No Nuevo</v>
      </c>
    </row>
    <row r="1643" ht="15.75" customHeight="1">
      <c r="A1643" s="71" t="str">
        <f>Registros!A1643</f>
        <v>3249@gmail.com</v>
      </c>
      <c r="B1643" s="5">
        <f>Registros!B1643</f>
        <v>43857.90764</v>
      </c>
      <c r="C1643" s="18" t="str">
        <f>IFNA(VLOOKUP(A1643,'Registros - No nuevos'!A:A,1,0),"Nuevo")</f>
        <v>3249@gmail.com</v>
      </c>
      <c r="D1643" s="72" t="str">
        <f t="shared" si="1"/>
        <v>No Nuevo</v>
      </c>
    </row>
    <row r="1644" ht="15.75" customHeight="1">
      <c r="A1644" s="71" t="str">
        <f>Registros!A1644</f>
        <v>3250@gmail.com</v>
      </c>
      <c r="B1644" s="5">
        <f>Registros!B1644</f>
        <v>43857.83681</v>
      </c>
      <c r="C1644" s="18" t="str">
        <f>IFNA(VLOOKUP(A1644,'Registros - No nuevos'!A:A,1,0),"Nuevo")</f>
        <v>3250@gmail.com</v>
      </c>
      <c r="D1644" s="72" t="str">
        <f t="shared" si="1"/>
        <v>No Nuevo</v>
      </c>
    </row>
    <row r="1645" ht="15.75" customHeight="1">
      <c r="A1645" s="71" t="str">
        <f>Registros!A1645</f>
        <v>3251@gmail.com</v>
      </c>
      <c r="B1645" s="5">
        <f>Registros!B1645</f>
        <v>43857.78611</v>
      </c>
      <c r="C1645" s="18" t="str">
        <f>IFNA(VLOOKUP(A1645,'Registros - No nuevos'!A:A,1,0),"Nuevo")</f>
        <v>3251@gmail.com</v>
      </c>
      <c r="D1645" s="72" t="str">
        <f t="shared" si="1"/>
        <v>No Nuevo</v>
      </c>
    </row>
    <row r="1646" ht="15.75" customHeight="1">
      <c r="A1646" s="71" t="str">
        <f>Registros!A1646</f>
        <v>2871@assinsta.com</v>
      </c>
      <c r="B1646" s="5">
        <f>Registros!B1646</f>
        <v>43857.60694</v>
      </c>
      <c r="C1646" s="18" t="str">
        <f>IFNA(VLOOKUP(A1646,'Registros - No nuevos'!A:A,1,0),"Nuevo")</f>
        <v>2871@assinsta.com</v>
      </c>
      <c r="D1646" s="72" t="str">
        <f t="shared" si="1"/>
        <v>No Nuevo</v>
      </c>
    </row>
    <row r="1647" ht="15.75" customHeight="1">
      <c r="A1647" s="71" t="str">
        <f>Registros!A1647</f>
        <v>675@aclingenieria.com</v>
      </c>
      <c r="B1647" s="5">
        <f>Registros!B1647</f>
        <v>43857.60069</v>
      </c>
      <c r="C1647" s="18" t="str">
        <f>IFNA(VLOOKUP(A1647,'Registros - No nuevos'!A:A,1,0),"Nuevo")</f>
        <v>675@aclingenieria.com</v>
      </c>
      <c r="D1647" s="72" t="str">
        <f t="shared" si="1"/>
        <v>No Nuevo</v>
      </c>
    </row>
    <row r="1648" ht="15.75" customHeight="1">
      <c r="A1648" s="71" t="str">
        <f>Registros!A1648</f>
        <v>2874@broa.net</v>
      </c>
      <c r="B1648" s="5">
        <f>Registros!B1648</f>
        <v>43857.55347</v>
      </c>
      <c r="C1648" s="18" t="str">
        <f>IFNA(VLOOKUP(A1648,'Registros - No nuevos'!A:A,1,0),"Nuevo")</f>
        <v>2874@broa.net</v>
      </c>
      <c r="D1648" s="72" t="str">
        <f t="shared" si="1"/>
        <v>No Nuevo</v>
      </c>
    </row>
    <row r="1649" ht="15.75" customHeight="1">
      <c r="A1649" s="71" t="str">
        <f>Registros!A1649</f>
        <v>2876@gmail.com</v>
      </c>
      <c r="B1649" s="5">
        <f>Registros!B1649</f>
        <v>43857.43056</v>
      </c>
      <c r="C1649" s="18" t="str">
        <f>IFNA(VLOOKUP(A1649,'Registros - No nuevos'!A:A,1,0),"Nuevo")</f>
        <v>2876@gmail.com</v>
      </c>
      <c r="D1649" s="72" t="str">
        <f t="shared" si="1"/>
        <v>No Nuevo</v>
      </c>
    </row>
    <row r="1650" ht="15.75" customHeight="1">
      <c r="A1650" s="71" t="str">
        <f>Registros!A1650</f>
        <v>534@gmail.com</v>
      </c>
      <c r="B1650" s="5">
        <f>Registros!B1650</f>
        <v>43857.39931</v>
      </c>
      <c r="C1650" s="18" t="str">
        <f>IFNA(VLOOKUP(A1650,'Registros - No nuevos'!A:A,1,0),"Nuevo")</f>
        <v>534@gmail.com</v>
      </c>
      <c r="D1650" s="72" t="str">
        <f t="shared" si="1"/>
        <v>No Nuevo</v>
      </c>
    </row>
    <row r="1651" ht="15.75" customHeight="1">
      <c r="A1651" s="71" t="str">
        <f>Registros!A1651</f>
        <v>1293@gmail.com</v>
      </c>
      <c r="B1651" s="5">
        <f>Registros!B1651</f>
        <v>43856.94444</v>
      </c>
      <c r="C1651" s="18" t="str">
        <f>IFNA(VLOOKUP(A1651,'Registros - No nuevos'!A:A,1,0),"Nuevo")</f>
        <v>1293@gmail.com</v>
      </c>
      <c r="D1651" s="72" t="str">
        <f t="shared" si="1"/>
        <v>No Nuevo</v>
      </c>
    </row>
    <row r="1652" ht="15.75" customHeight="1">
      <c r="A1652" s="71" t="str">
        <f>Registros!A1652</f>
        <v>1649@vamostelecom.es</v>
      </c>
      <c r="B1652" s="5">
        <f>Registros!B1652</f>
        <v>43856.89931</v>
      </c>
      <c r="C1652" s="18" t="str">
        <f>IFNA(VLOOKUP(A1652,'Registros - No nuevos'!A:A,1,0),"Nuevo")</f>
        <v>1649@vamostelecom.es</v>
      </c>
      <c r="D1652" s="72" t="str">
        <f t="shared" si="1"/>
        <v>No Nuevo</v>
      </c>
    </row>
    <row r="1653" ht="15.75" customHeight="1">
      <c r="A1653" s="71" t="str">
        <f>Registros!A1653</f>
        <v>2879@hbalcells.com</v>
      </c>
      <c r="B1653" s="5">
        <f>Registros!B1653</f>
        <v>43856.89375</v>
      </c>
      <c r="C1653" s="18" t="str">
        <f>IFNA(VLOOKUP(A1653,'Registros - No nuevos'!A:A,1,0),"Nuevo")</f>
        <v>2879@hbalcells.com</v>
      </c>
      <c r="D1653" s="72" t="str">
        <f t="shared" si="1"/>
        <v>No Nuevo</v>
      </c>
    </row>
    <row r="1654" ht="15.75" customHeight="1">
      <c r="A1654" s="71" t="str">
        <f>Registros!A1654</f>
        <v>3252@gmail.com</v>
      </c>
      <c r="B1654" s="5">
        <f>Registros!B1654</f>
        <v>43856.65417</v>
      </c>
      <c r="C1654" s="18" t="str">
        <f>IFNA(VLOOKUP(A1654,'Registros - No nuevos'!A:A,1,0),"Nuevo")</f>
        <v>3252@gmail.com</v>
      </c>
      <c r="D1654" s="72" t="str">
        <f t="shared" si="1"/>
        <v>No Nuevo</v>
      </c>
    </row>
    <row r="1655" ht="15.75" customHeight="1">
      <c r="A1655" s="71" t="str">
        <f>Registros!A1655</f>
        <v>3253@hotmail.es</v>
      </c>
      <c r="B1655" s="5">
        <f>Registros!B1655</f>
        <v>43856.5375</v>
      </c>
      <c r="C1655" s="18" t="str">
        <f>IFNA(VLOOKUP(A1655,'Registros - No nuevos'!A:A,1,0),"Nuevo")</f>
        <v>3253@hotmail.es</v>
      </c>
      <c r="D1655" s="72" t="str">
        <f t="shared" si="1"/>
        <v>No Nuevo</v>
      </c>
    </row>
    <row r="1656" ht="15.75" customHeight="1">
      <c r="A1656" s="71" t="str">
        <f>Registros!A1656</f>
        <v>2818@gmail.com</v>
      </c>
      <c r="B1656" s="5">
        <f>Registros!B1656</f>
        <v>43856.47222</v>
      </c>
      <c r="C1656" s="18" t="str">
        <f>IFNA(VLOOKUP(A1656,'Registros - No nuevos'!A:A,1,0),"Nuevo")</f>
        <v>2818@gmail.com</v>
      </c>
      <c r="D1656" s="72" t="str">
        <f t="shared" si="1"/>
        <v>No Nuevo</v>
      </c>
    </row>
    <row r="1657" ht="15.75" customHeight="1">
      <c r="A1657" s="71" t="str">
        <f>Registros!A1657</f>
        <v>3254@gmail.com</v>
      </c>
      <c r="B1657" s="5">
        <f>Registros!B1657</f>
        <v>43856.02431</v>
      </c>
      <c r="C1657" s="18" t="str">
        <f>IFNA(VLOOKUP(A1657,'Registros - No nuevos'!A:A,1,0),"Nuevo")</f>
        <v>3254@gmail.com</v>
      </c>
      <c r="D1657" s="72" t="str">
        <f t="shared" si="1"/>
        <v>No Nuevo</v>
      </c>
    </row>
    <row r="1658" ht="15.75" customHeight="1">
      <c r="A1658" s="71" t="str">
        <f>Registros!A1658</f>
        <v>3255@gmail.com</v>
      </c>
      <c r="B1658" s="5">
        <f>Registros!B1658</f>
        <v>43855.78194</v>
      </c>
      <c r="C1658" s="18" t="str">
        <f>IFNA(VLOOKUP(A1658,'Registros - No nuevos'!A:A,1,0),"Nuevo")</f>
        <v>3255@gmail.com</v>
      </c>
      <c r="D1658" s="72" t="str">
        <f t="shared" si="1"/>
        <v>No Nuevo</v>
      </c>
    </row>
    <row r="1659" ht="15.75" customHeight="1">
      <c r="A1659" s="71" t="str">
        <f>Registros!A1659</f>
        <v>2344@tecmagenil.es</v>
      </c>
      <c r="B1659" s="5">
        <f>Registros!B1659</f>
        <v>43855.76528</v>
      </c>
      <c r="C1659" s="18" t="str">
        <f>IFNA(VLOOKUP(A1659,'Registros - No nuevos'!A:A,1,0),"Nuevo")</f>
        <v>2344@tecmagenil.es</v>
      </c>
      <c r="D1659" s="72" t="str">
        <f t="shared" si="1"/>
        <v>No Nuevo</v>
      </c>
    </row>
    <row r="1660" ht="15.75" customHeight="1">
      <c r="A1660" s="71" t="str">
        <f>Registros!A1660</f>
        <v>1122@hotmail.es</v>
      </c>
      <c r="B1660" s="5">
        <f>Registros!B1660</f>
        <v>43855.64167</v>
      </c>
      <c r="C1660" s="18" t="str">
        <f>IFNA(VLOOKUP(A1660,'Registros - No nuevos'!A:A,1,0),"Nuevo")</f>
        <v>1122@hotmail.es</v>
      </c>
      <c r="D1660" s="72" t="str">
        <f t="shared" si="1"/>
        <v>No Nuevo</v>
      </c>
    </row>
    <row r="1661" ht="15.75" customHeight="1">
      <c r="A1661" s="71" t="str">
        <f>Registros!A1661</f>
        <v>394@yahoo.es</v>
      </c>
      <c r="B1661" s="5">
        <f>Registros!B1661</f>
        <v>43854.93125</v>
      </c>
      <c r="C1661" s="18" t="str">
        <f>IFNA(VLOOKUP(A1661,'Registros - No nuevos'!A:A,1,0),"Nuevo")</f>
        <v>394@yahoo.es</v>
      </c>
      <c r="D1661" s="72" t="str">
        <f t="shared" si="1"/>
        <v>No Nuevo</v>
      </c>
    </row>
    <row r="1662" ht="15.75" customHeight="1">
      <c r="A1662" s="71" t="str">
        <f>Registros!A1662</f>
        <v>2881@hotmail.com</v>
      </c>
      <c r="B1662" s="5">
        <f>Registros!B1662</f>
        <v>43854.78403</v>
      </c>
      <c r="C1662" s="18" t="str">
        <f>IFNA(VLOOKUP(A1662,'Registros - No nuevos'!A:A,1,0),"Nuevo")</f>
        <v>2881@hotmail.com</v>
      </c>
      <c r="D1662" s="72" t="str">
        <f t="shared" si="1"/>
        <v>No Nuevo</v>
      </c>
    </row>
    <row r="1663" ht="15.75" customHeight="1">
      <c r="A1663" s="71" t="str">
        <f>Registros!A1663</f>
        <v>2882@secorsa.com</v>
      </c>
      <c r="B1663" s="5">
        <f>Registros!B1663</f>
        <v>43854.78333</v>
      </c>
      <c r="C1663" s="18" t="str">
        <f>IFNA(VLOOKUP(A1663,'Registros - No nuevos'!A:A,1,0),"Nuevo")</f>
        <v>2882@secorsa.com</v>
      </c>
      <c r="D1663" s="72" t="str">
        <f t="shared" si="1"/>
        <v>No Nuevo</v>
      </c>
    </row>
    <row r="1664" ht="15.75" customHeight="1">
      <c r="A1664" s="71" t="str">
        <f>Registros!A1664</f>
        <v>3256@gmail.com</v>
      </c>
      <c r="B1664" s="5">
        <f>Registros!B1664</f>
        <v>43854.63264</v>
      </c>
      <c r="C1664" s="18" t="str">
        <f>IFNA(VLOOKUP(A1664,'Registros - No nuevos'!A:A,1,0),"Nuevo")</f>
        <v>3256@gmail.com</v>
      </c>
      <c r="D1664" s="72" t="str">
        <f t="shared" si="1"/>
        <v>No Nuevo</v>
      </c>
    </row>
    <row r="1665" ht="15.75" customHeight="1">
      <c r="A1665" s="71" t="str">
        <f>Registros!A1665</f>
        <v>2883@acciona.com</v>
      </c>
      <c r="B1665" s="5">
        <f>Registros!B1665</f>
        <v>43854.51806</v>
      </c>
      <c r="C1665" s="18" t="str">
        <f>IFNA(VLOOKUP(A1665,'Registros - No nuevos'!A:A,1,0),"Nuevo")</f>
        <v>2883@acciona.com</v>
      </c>
      <c r="D1665" s="72" t="str">
        <f t="shared" si="1"/>
        <v>No Nuevo</v>
      </c>
    </row>
    <row r="1666" ht="15.75" customHeight="1">
      <c r="A1666" s="71" t="str">
        <f>Registros!A1666</f>
        <v>2884@gmail.com</v>
      </c>
      <c r="B1666" s="5">
        <f>Registros!B1666</f>
        <v>43854.42778</v>
      </c>
      <c r="C1666" s="18" t="str">
        <f>IFNA(VLOOKUP(A1666,'Registros - No nuevos'!A:A,1,0),"Nuevo")</f>
        <v>2884@gmail.com</v>
      </c>
      <c r="D1666" s="72" t="str">
        <f t="shared" si="1"/>
        <v>No Nuevo</v>
      </c>
    </row>
    <row r="1667" ht="15.75" customHeight="1">
      <c r="A1667" s="71" t="str">
        <f>Registros!A1667</f>
        <v>3257@hotmail.es</v>
      </c>
      <c r="B1667" s="5">
        <f>Registros!B1667</f>
        <v>43854.29514</v>
      </c>
      <c r="C1667" s="18" t="str">
        <f>IFNA(VLOOKUP(A1667,'Registros - No nuevos'!A:A,1,0),"Nuevo")</f>
        <v>3257@hotmail.es</v>
      </c>
      <c r="D1667" s="72" t="str">
        <f t="shared" si="1"/>
        <v>No Nuevo</v>
      </c>
    </row>
    <row r="1668" ht="15.75" customHeight="1">
      <c r="A1668" s="71" t="str">
        <f>Registros!A1668</f>
        <v>2181@gmail.com</v>
      </c>
      <c r="B1668" s="5">
        <f>Registros!B1668</f>
        <v>43853.95694</v>
      </c>
      <c r="C1668" s="18" t="str">
        <f>IFNA(VLOOKUP(A1668,'Registros - No nuevos'!A:A,1,0),"Nuevo")</f>
        <v>2181@gmail.com</v>
      </c>
      <c r="D1668" s="72" t="str">
        <f t="shared" si="1"/>
        <v>No Nuevo</v>
      </c>
    </row>
    <row r="1669" ht="15.75" customHeight="1">
      <c r="A1669" s="71" t="str">
        <f>Registros!A1669</f>
        <v>3258@gmail.com</v>
      </c>
      <c r="B1669" s="5">
        <f>Registros!B1669</f>
        <v>43853.82153</v>
      </c>
      <c r="C1669" s="18" t="str">
        <f>IFNA(VLOOKUP(A1669,'Registros - No nuevos'!A:A,1,0),"Nuevo")</f>
        <v>3258@gmail.com</v>
      </c>
      <c r="D1669" s="72" t="str">
        <f t="shared" si="1"/>
        <v>No Nuevo</v>
      </c>
    </row>
    <row r="1670" ht="15.75" customHeight="1">
      <c r="A1670" s="71" t="str">
        <f>Registros!A1670</f>
        <v>3259@gmail.com</v>
      </c>
      <c r="B1670" s="5">
        <f>Registros!B1670</f>
        <v>43853.80486</v>
      </c>
      <c r="C1670" s="18" t="str">
        <f>IFNA(VLOOKUP(A1670,'Registros - No nuevos'!A:A,1,0),"Nuevo")</f>
        <v>3259@gmail.com</v>
      </c>
      <c r="D1670" s="72" t="str">
        <f t="shared" si="1"/>
        <v>No Nuevo</v>
      </c>
    </row>
    <row r="1671" ht="15.75" customHeight="1">
      <c r="A1671" s="71" t="str">
        <f>Registros!A1671</f>
        <v>3260@gmail.co.</v>
      </c>
      <c r="B1671" s="5">
        <f>Registros!B1671</f>
        <v>43853.76667</v>
      </c>
      <c r="C1671" s="18" t="str">
        <f>IFNA(VLOOKUP(A1671,'Registros - No nuevos'!A:A,1,0),"Nuevo")</f>
        <v>3260@gmail.co.</v>
      </c>
      <c r="D1671" s="72" t="str">
        <f t="shared" si="1"/>
        <v>No Nuevo</v>
      </c>
    </row>
    <row r="1672" ht="15.75" customHeight="1">
      <c r="A1672" s="71" t="str">
        <f>Registros!A1672</f>
        <v>2885@instalacionessegura.es</v>
      </c>
      <c r="B1672" s="5">
        <f>Registros!B1672</f>
        <v>43853.74653</v>
      </c>
      <c r="C1672" s="18" t="str">
        <f>IFNA(VLOOKUP(A1672,'Registros - No nuevos'!A:A,1,0),"Nuevo")</f>
        <v>2885@instalacionessegura.es</v>
      </c>
      <c r="D1672" s="72" t="str">
        <f t="shared" si="1"/>
        <v>No Nuevo</v>
      </c>
    </row>
    <row r="1673" ht="15.75" customHeight="1">
      <c r="A1673" s="71" t="str">
        <f>Registros!A1673</f>
        <v>1776@incat.cat</v>
      </c>
      <c r="B1673" s="5">
        <f>Registros!B1673</f>
        <v>43853.48333</v>
      </c>
      <c r="C1673" s="18" t="str">
        <f>IFNA(VLOOKUP(A1673,'Registros - No nuevos'!A:A,1,0),"Nuevo")</f>
        <v>1776@incat.cat</v>
      </c>
      <c r="D1673" s="72" t="str">
        <f t="shared" si="1"/>
        <v>No Nuevo</v>
      </c>
    </row>
    <row r="1674" ht="15.75" customHeight="1">
      <c r="A1674" s="71" t="str">
        <f>Registros!A1674</f>
        <v>2859@hotmail.com</v>
      </c>
      <c r="B1674" s="5">
        <f>Registros!B1674</f>
        <v>43853.01181</v>
      </c>
      <c r="C1674" s="18" t="str">
        <f>IFNA(VLOOKUP(A1674,'Registros - No nuevos'!A:A,1,0),"Nuevo")</f>
        <v>2859@hotmail.com</v>
      </c>
      <c r="D1674" s="72" t="str">
        <f t="shared" si="1"/>
        <v>No Nuevo</v>
      </c>
    </row>
    <row r="1675" ht="15.75" customHeight="1">
      <c r="A1675" s="71" t="str">
        <f>Registros!A1675</f>
        <v>3261@gikasl.es</v>
      </c>
      <c r="B1675" s="5">
        <f>Registros!B1675</f>
        <v>43852.90556</v>
      </c>
      <c r="C1675" s="18" t="str">
        <f>IFNA(VLOOKUP(A1675,'Registros - No nuevos'!A:A,1,0),"Nuevo")</f>
        <v>3261@gikasl.es</v>
      </c>
      <c r="D1675" s="72" t="str">
        <f t="shared" si="1"/>
        <v>No Nuevo</v>
      </c>
    </row>
    <row r="1676" ht="15.75" customHeight="1">
      <c r="A1676" s="71" t="str">
        <f>Registros!A1676</f>
        <v>2850@hotmail.com</v>
      </c>
      <c r="B1676" s="5">
        <f>Registros!B1676</f>
        <v>43852.87986</v>
      </c>
      <c r="C1676" s="18" t="str">
        <f>IFNA(VLOOKUP(A1676,'Registros - No nuevos'!A:A,1,0),"Nuevo")</f>
        <v>2850@hotmail.com</v>
      </c>
      <c r="D1676" s="72" t="str">
        <f t="shared" si="1"/>
        <v>No Nuevo</v>
      </c>
    </row>
    <row r="1677" ht="15.75" customHeight="1">
      <c r="A1677" s="71" t="str">
        <f>Registros!A1677</f>
        <v>2888@proalingenieros.com</v>
      </c>
      <c r="B1677" s="5">
        <f>Registros!B1677</f>
        <v>43852.76042</v>
      </c>
      <c r="C1677" s="18" t="str">
        <f>IFNA(VLOOKUP(A1677,'Registros - No nuevos'!A:A,1,0),"Nuevo")</f>
        <v>2888@proalingenieros.com</v>
      </c>
      <c r="D1677" s="72" t="str">
        <f t="shared" si="1"/>
        <v>No Nuevo</v>
      </c>
    </row>
    <row r="1678" ht="15.75" customHeight="1">
      <c r="A1678" s="71" t="str">
        <f>Registros!A1678</f>
        <v>3262@gmail.com</v>
      </c>
      <c r="B1678" s="5">
        <f>Registros!B1678</f>
        <v>43852.73611</v>
      </c>
      <c r="C1678" s="18" t="str">
        <f>IFNA(VLOOKUP(A1678,'Registros - No nuevos'!A:A,1,0),"Nuevo")</f>
        <v>3262@gmail.com</v>
      </c>
      <c r="D1678" s="72" t="str">
        <f t="shared" si="1"/>
        <v>No Nuevo</v>
      </c>
    </row>
    <row r="1679" ht="15.75" customHeight="1">
      <c r="A1679" s="71" t="str">
        <f>Registros!A1679</f>
        <v>2509@elecnor.es</v>
      </c>
      <c r="B1679" s="5">
        <f>Registros!B1679</f>
        <v>43852.62639</v>
      </c>
      <c r="C1679" s="18" t="str">
        <f>IFNA(VLOOKUP(A1679,'Registros - No nuevos'!A:A,1,0),"Nuevo")</f>
        <v>2509@elecnor.es</v>
      </c>
      <c r="D1679" s="72" t="str">
        <f t="shared" si="1"/>
        <v>No Nuevo</v>
      </c>
    </row>
    <row r="1680" ht="15.75" customHeight="1">
      <c r="A1680" s="71" t="str">
        <f>Registros!A1680</f>
        <v>2107@danmur.es</v>
      </c>
      <c r="B1680" s="5">
        <f>Registros!B1680</f>
        <v>43852.56181</v>
      </c>
      <c r="C1680" s="18" t="str">
        <f>IFNA(VLOOKUP(A1680,'Registros - No nuevos'!A:A,1,0),"Nuevo")</f>
        <v>2107@danmur.es</v>
      </c>
      <c r="D1680" s="72" t="str">
        <f t="shared" si="1"/>
        <v>No Nuevo</v>
      </c>
    </row>
    <row r="1681" ht="15.75" customHeight="1">
      <c r="A1681" s="71" t="str">
        <f>Registros!A1681</f>
        <v>2892@gmail.com</v>
      </c>
      <c r="B1681" s="5">
        <f>Registros!B1681</f>
        <v>43852.44653</v>
      </c>
      <c r="C1681" s="18" t="str">
        <f>IFNA(VLOOKUP(A1681,'Registros - No nuevos'!A:A,1,0),"Nuevo")</f>
        <v>2892@gmail.com</v>
      </c>
      <c r="D1681" s="72" t="str">
        <f t="shared" si="1"/>
        <v>No Nuevo</v>
      </c>
    </row>
    <row r="1682" ht="15.75" customHeight="1">
      <c r="A1682" s="71" t="str">
        <f>Registros!A1682</f>
        <v>2842@yahoo.es</v>
      </c>
      <c r="B1682" s="5">
        <f>Registros!B1682</f>
        <v>43852.32708</v>
      </c>
      <c r="C1682" s="18" t="str">
        <f>IFNA(VLOOKUP(A1682,'Registros - No nuevos'!A:A,1,0),"Nuevo")</f>
        <v>2842@yahoo.es</v>
      </c>
      <c r="D1682" s="72" t="str">
        <f t="shared" si="1"/>
        <v>No Nuevo</v>
      </c>
    </row>
    <row r="1683" ht="15.75" customHeight="1">
      <c r="A1683" s="71" t="str">
        <f>Registros!A1683</f>
        <v>2893@yahoo.com</v>
      </c>
      <c r="B1683" s="5">
        <f>Registros!B1683</f>
        <v>43851.95694</v>
      </c>
      <c r="C1683" s="18" t="str">
        <f>IFNA(VLOOKUP(A1683,'Registros - No nuevos'!A:A,1,0),"Nuevo")</f>
        <v>2893@yahoo.com</v>
      </c>
      <c r="D1683" s="72" t="str">
        <f t="shared" si="1"/>
        <v>No Nuevo</v>
      </c>
    </row>
    <row r="1684" ht="15.75" customHeight="1">
      <c r="A1684" s="71" t="str">
        <f>Registros!A1684</f>
        <v>3263@gmail.com</v>
      </c>
      <c r="B1684" s="5">
        <f>Registros!B1684</f>
        <v>43851.94097</v>
      </c>
      <c r="C1684" s="18" t="str">
        <f>IFNA(VLOOKUP(A1684,'Registros - No nuevos'!A:A,1,0),"Nuevo")</f>
        <v>3263@gmail.com</v>
      </c>
      <c r="D1684" s="72" t="str">
        <f t="shared" si="1"/>
        <v>No Nuevo</v>
      </c>
    </row>
    <row r="1685" ht="15.75" customHeight="1">
      <c r="A1685" s="71" t="str">
        <f>Registros!A1685</f>
        <v>3264@vila-real.es</v>
      </c>
      <c r="B1685" s="5">
        <f>Registros!B1685</f>
        <v>43851.83611</v>
      </c>
      <c r="C1685" s="18" t="str">
        <f>IFNA(VLOOKUP(A1685,'Registros - No nuevos'!A:A,1,0),"Nuevo")</f>
        <v>3264@vila-real.es</v>
      </c>
      <c r="D1685" s="72" t="str">
        <f t="shared" si="1"/>
        <v>No Nuevo</v>
      </c>
    </row>
    <row r="1686" ht="15.75" customHeight="1">
      <c r="A1686" s="71" t="str">
        <f>Registros!A1686</f>
        <v>3265@gmail.com</v>
      </c>
      <c r="B1686" s="5">
        <f>Registros!B1686</f>
        <v>43851.80903</v>
      </c>
      <c r="C1686" s="18" t="str">
        <f>IFNA(VLOOKUP(A1686,'Registros - No nuevos'!A:A,1,0),"Nuevo")</f>
        <v>3265@gmail.com</v>
      </c>
      <c r="D1686" s="72" t="str">
        <f t="shared" si="1"/>
        <v>No Nuevo</v>
      </c>
    </row>
    <row r="1687" ht="15.75" customHeight="1">
      <c r="A1687" s="71" t="str">
        <f>Registros!A1687</f>
        <v>2894@me.com</v>
      </c>
      <c r="B1687" s="5">
        <f>Registros!B1687</f>
        <v>43851.80556</v>
      </c>
      <c r="C1687" s="18" t="str">
        <f>IFNA(VLOOKUP(A1687,'Registros - No nuevos'!A:A,1,0),"Nuevo")</f>
        <v>2894@me.com</v>
      </c>
      <c r="D1687" s="72" t="str">
        <f t="shared" si="1"/>
        <v>No Nuevo</v>
      </c>
    </row>
    <row r="1688" ht="15.75" customHeight="1">
      <c r="A1688" s="71" t="str">
        <f>Registros!A1688</f>
        <v>832@suministradora.com</v>
      </c>
      <c r="B1688" s="5">
        <f>Registros!B1688</f>
        <v>43851.75694</v>
      </c>
      <c r="C1688" s="18" t="str">
        <f>IFNA(VLOOKUP(A1688,'Registros - No nuevos'!A:A,1,0),"Nuevo")</f>
        <v>832@suministradora.com</v>
      </c>
      <c r="D1688" s="72" t="str">
        <f t="shared" si="1"/>
        <v>No Nuevo</v>
      </c>
    </row>
    <row r="1689" ht="15.75" customHeight="1">
      <c r="A1689" s="71" t="str">
        <f>Registros!A1689</f>
        <v>2896@energia.eiffage.es</v>
      </c>
      <c r="B1689" s="5">
        <f>Registros!B1689</f>
        <v>43851.66458</v>
      </c>
      <c r="C1689" s="18" t="str">
        <f>IFNA(VLOOKUP(A1689,'Registros - No nuevos'!A:A,1,0),"Nuevo")</f>
        <v>2896@energia.eiffage.es</v>
      </c>
      <c r="D1689" s="72" t="str">
        <f t="shared" si="1"/>
        <v>No Nuevo</v>
      </c>
    </row>
    <row r="1690" ht="15.75" customHeight="1">
      <c r="A1690" s="71" t="str">
        <f>Registros!A1690</f>
        <v>2755@gmail.com</v>
      </c>
      <c r="B1690" s="5">
        <f>Registros!B1690</f>
        <v>43851.45972</v>
      </c>
      <c r="C1690" s="18" t="str">
        <f>IFNA(VLOOKUP(A1690,'Registros - No nuevos'!A:A,1,0),"Nuevo")</f>
        <v>2755@gmail.com</v>
      </c>
      <c r="D1690" s="72" t="str">
        <f t="shared" si="1"/>
        <v>No Nuevo</v>
      </c>
    </row>
    <row r="1691" ht="15.75" customHeight="1">
      <c r="A1691" s="71" t="str">
        <f>Registros!A1691</f>
        <v>2899@gmail.com</v>
      </c>
      <c r="B1691" s="5">
        <f>Registros!B1691</f>
        <v>43850.85625</v>
      </c>
      <c r="C1691" s="18" t="str">
        <f>IFNA(VLOOKUP(A1691,'Registros - No nuevos'!A:A,1,0),"Nuevo")</f>
        <v>2899@gmail.com</v>
      </c>
      <c r="D1691" s="72" t="str">
        <f t="shared" si="1"/>
        <v>No Nuevo</v>
      </c>
    </row>
    <row r="1692" ht="15.75" customHeight="1">
      <c r="A1692" s="71" t="str">
        <f>Registros!A1692</f>
        <v>207@tecnicasyrecursos.com</v>
      </c>
      <c r="B1692" s="5">
        <f>Registros!B1692</f>
        <v>43850.52292</v>
      </c>
      <c r="C1692" s="18" t="str">
        <f>IFNA(VLOOKUP(A1692,'Registros - No nuevos'!A:A,1,0),"Nuevo")</f>
        <v>207@tecnicasyrecursos.com</v>
      </c>
      <c r="D1692" s="72" t="str">
        <f t="shared" si="1"/>
        <v>No Nuevo</v>
      </c>
    </row>
    <row r="1693" ht="15.75" customHeight="1">
      <c r="A1693" s="71" t="str">
        <f>Registros!A1693</f>
        <v>2886@construroura.es</v>
      </c>
      <c r="B1693" s="5">
        <f>Registros!B1693</f>
        <v>43850.38056</v>
      </c>
      <c r="C1693" s="18" t="str">
        <f>IFNA(VLOOKUP(A1693,'Registros - No nuevos'!A:A,1,0),"Nuevo")</f>
        <v>2886@construroura.es</v>
      </c>
      <c r="D1693" s="72" t="str">
        <f t="shared" si="1"/>
        <v>No Nuevo</v>
      </c>
    </row>
    <row r="1694" ht="15.75" customHeight="1">
      <c r="A1694" s="71" t="str">
        <f>Registros!A1694</f>
        <v>3266@hotmail.com</v>
      </c>
      <c r="B1694" s="5">
        <f>Registros!B1694</f>
        <v>43849.65764</v>
      </c>
      <c r="C1694" s="18" t="str">
        <f>IFNA(VLOOKUP(A1694,'Registros - No nuevos'!A:A,1,0),"Nuevo")</f>
        <v>3266@hotmail.com</v>
      </c>
      <c r="D1694" s="72" t="str">
        <f t="shared" si="1"/>
        <v>No Nuevo</v>
      </c>
    </row>
    <row r="1695" ht="15.75" customHeight="1">
      <c r="A1695" s="71" t="str">
        <f>Registros!A1695</f>
        <v>2075@gmail.com</v>
      </c>
      <c r="B1695" s="5">
        <f>Registros!B1695</f>
        <v>43849.57847</v>
      </c>
      <c r="C1695" s="18" t="str">
        <f>IFNA(VLOOKUP(A1695,'Registros - No nuevos'!A:A,1,0),"Nuevo")</f>
        <v>2075@gmail.com</v>
      </c>
      <c r="D1695" s="72" t="str">
        <f t="shared" si="1"/>
        <v>No Nuevo</v>
      </c>
    </row>
    <row r="1696" ht="15.75" customHeight="1">
      <c r="A1696" s="71" t="str">
        <f>Registros!A1696</f>
        <v>3267@gmail.com</v>
      </c>
      <c r="B1696" s="5">
        <f>Registros!B1696</f>
        <v>43849.42222</v>
      </c>
      <c r="C1696" s="18" t="str">
        <f>IFNA(VLOOKUP(A1696,'Registros - No nuevos'!A:A,1,0),"Nuevo")</f>
        <v>3267@gmail.com</v>
      </c>
      <c r="D1696" s="72" t="str">
        <f t="shared" si="1"/>
        <v>No Nuevo</v>
      </c>
    </row>
    <row r="1697" ht="15.75" customHeight="1">
      <c r="A1697" s="71" t="str">
        <f>Registros!A1697</f>
        <v>3268@gmail.com</v>
      </c>
      <c r="B1697" s="5">
        <f>Registros!B1697</f>
        <v>43848.96944</v>
      </c>
      <c r="C1697" s="18" t="str">
        <f>IFNA(VLOOKUP(A1697,'Registros - No nuevos'!A:A,1,0),"Nuevo")</f>
        <v>3268@gmail.com</v>
      </c>
      <c r="D1697" s="72" t="str">
        <f t="shared" si="1"/>
        <v>No Nuevo</v>
      </c>
    </row>
    <row r="1698" ht="15.75" customHeight="1">
      <c r="A1698" s="71" t="str">
        <f>Registros!A1698</f>
        <v>2868@cipfplacostera.com</v>
      </c>
      <c r="B1698" s="5">
        <f>Registros!B1698</f>
        <v>43848.82986</v>
      </c>
      <c r="C1698" s="18" t="str">
        <f>IFNA(VLOOKUP(A1698,'Registros - No nuevos'!A:A,1,0),"Nuevo")</f>
        <v>2868@cipfplacostera.com</v>
      </c>
      <c r="D1698" s="72" t="str">
        <f t="shared" si="1"/>
        <v>No Nuevo</v>
      </c>
    </row>
    <row r="1699" ht="15.75" customHeight="1">
      <c r="A1699" s="71" t="str">
        <f>Registros!A1699</f>
        <v>3269@hotmail.com</v>
      </c>
      <c r="B1699" s="5">
        <f>Registros!B1699</f>
        <v>43848.70556</v>
      </c>
      <c r="C1699" s="18" t="str">
        <f>IFNA(VLOOKUP(A1699,'Registros - No nuevos'!A:A,1,0),"Nuevo")</f>
        <v>3269@hotmail.com</v>
      </c>
      <c r="D1699" s="72" t="str">
        <f t="shared" si="1"/>
        <v>No Nuevo</v>
      </c>
    </row>
    <row r="1700" ht="15.75" customHeight="1">
      <c r="A1700" s="71" t="str">
        <f>Registros!A1700</f>
        <v>3270@gmail.com</v>
      </c>
      <c r="B1700" s="5">
        <f>Registros!B1700</f>
        <v>43847.84028</v>
      </c>
      <c r="C1700" s="18" t="str">
        <f>IFNA(VLOOKUP(A1700,'Registros - No nuevos'!A:A,1,0),"Nuevo")</f>
        <v>3270@gmail.com</v>
      </c>
      <c r="D1700" s="72" t="str">
        <f t="shared" si="1"/>
        <v>No Nuevo</v>
      </c>
    </row>
    <row r="1701" ht="15.75" customHeight="1">
      <c r="A1701" s="71" t="str">
        <f>Registros!A1701</f>
        <v>2906@comb.cat</v>
      </c>
      <c r="B1701" s="5">
        <f>Registros!B1701</f>
        <v>43847.76042</v>
      </c>
      <c r="C1701" s="18" t="str">
        <f>IFNA(VLOOKUP(A1701,'Registros - No nuevos'!A:A,1,0),"Nuevo")</f>
        <v>2906@comb.cat</v>
      </c>
      <c r="D1701" s="72" t="str">
        <f t="shared" si="1"/>
        <v>No Nuevo</v>
      </c>
    </row>
    <row r="1702" ht="15.75" customHeight="1">
      <c r="A1702" s="71" t="str">
        <f>Registros!A1702</f>
        <v>3271@yahoo.es</v>
      </c>
      <c r="B1702" s="5">
        <f>Registros!B1702</f>
        <v>43847.75625</v>
      </c>
      <c r="C1702" s="18" t="str">
        <f>IFNA(VLOOKUP(A1702,'Registros - No nuevos'!A:A,1,0),"Nuevo")</f>
        <v>3271@yahoo.es</v>
      </c>
      <c r="D1702" s="72" t="str">
        <f t="shared" si="1"/>
        <v>No Nuevo</v>
      </c>
    </row>
    <row r="1703" ht="15.75" customHeight="1">
      <c r="A1703" s="71" t="str">
        <f>Registros!A1703</f>
        <v>3272@iesarxiduc.net</v>
      </c>
      <c r="B1703" s="5">
        <f>Registros!B1703</f>
        <v>43847.64306</v>
      </c>
      <c r="C1703" s="18" t="str">
        <f>IFNA(VLOOKUP(A1703,'Registros - No nuevos'!A:A,1,0),"Nuevo")</f>
        <v>3272@iesarxiduc.net</v>
      </c>
      <c r="D1703" s="72" t="str">
        <f t="shared" si="1"/>
        <v>No Nuevo</v>
      </c>
    </row>
    <row r="1704" ht="15.75" customHeight="1">
      <c r="A1704" s="71" t="str">
        <f>Registros!A1704</f>
        <v>3273@gmail.com</v>
      </c>
      <c r="B1704" s="5">
        <f>Registros!B1704</f>
        <v>43847.64306</v>
      </c>
      <c r="C1704" s="18" t="str">
        <f>IFNA(VLOOKUP(A1704,'Registros - No nuevos'!A:A,1,0),"Nuevo")</f>
        <v>3273@gmail.com</v>
      </c>
      <c r="D1704" s="72" t="str">
        <f t="shared" si="1"/>
        <v>No Nuevo</v>
      </c>
    </row>
    <row r="1705" ht="15.75" customHeight="1">
      <c r="A1705" s="71" t="str">
        <f>Registros!A1705</f>
        <v>2307@gmail.com</v>
      </c>
      <c r="B1705" s="5">
        <f>Registros!B1705</f>
        <v>43847.64306</v>
      </c>
      <c r="C1705" s="18" t="str">
        <f>IFNA(VLOOKUP(A1705,'Registros - No nuevos'!A:A,1,0),"Nuevo")</f>
        <v>2307@gmail.com</v>
      </c>
      <c r="D1705" s="72" t="str">
        <f t="shared" si="1"/>
        <v>No Nuevo</v>
      </c>
    </row>
    <row r="1706" ht="15.75" customHeight="1">
      <c r="A1706" s="71" t="str">
        <f>Registros!A1706</f>
        <v>3274@telefonica.net</v>
      </c>
      <c r="B1706" s="5">
        <f>Registros!B1706</f>
        <v>43847.64306</v>
      </c>
      <c r="C1706" s="18" t="str">
        <f>IFNA(VLOOKUP(A1706,'Registros - No nuevos'!A:A,1,0),"Nuevo")</f>
        <v>3274@telefonica.net</v>
      </c>
      <c r="D1706" s="72" t="str">
        <f t="shared" si="1"/>
        <v>No Nuevo</v>
      </c>
    </row>
    <row r="1707" ht="15.75" customHeight="1">
      <c r="A1707" s="71" t="str">
        <f>Registros!A1707</f>
        <v>2907@generaeficiencia.com</v>
      </c>
      <c r="B1707" s="5">
        <f>Registros!B1707</f>
        <v>43847.55694</v>
      </c>
      <c r="C1707" s="18" t="str">
        <f>IFNA(VLOOKUP(A1707,'Registros - No nuevos'!A:A,1,0),"Nuevo")</f>
        <v>2907@generaeficiencia.com</v>
      </c>
      <c r="D1707" s="72" t="str">
        <f t="shared" si="1"/>
        <v>No Nuevo</v>
      </c>
    </row>
    <row r="1708" ht="15.75" customHeight="1">
      <c r="A1708" s="71" t="str">
        <f>Registros!A1708</f>
        <v>1182@damm.es</v>
      </c>
      <c r="B1708" s="5">
        <f>Registros!B1708</f>
        <v>43847.35694</v>
      </c>
      <c r="C1708" s="18" t="str">
        <f>IFNA(VLOOKUP(A1708,'Registros - No nuevos'!A:A,1,0),"Nuevo")</f>
        <v>1182@damm.es</v>
      </c>
      <c r="D1708" s="72" t="str">
        <f t="shared" si="1"/>
        <v>No Nuevo</v>
      </c>
    </row>
    <row r="1709" ht="15.75" customHeight="1">
      <c r="A1709" s="71" t="str">
        <f>Registros!A1709</f>
        <v>3275@hotmail.com</v>
      </c>
      <c r="B1709" s="5">
        <f>Registros!B1709</f>
        <v>43847.32361</v>
      </c>
      <c r="C1709" s="18" t="str">
        <f>IFNA(VLOOKUP(A1709,'Registros - No nuevos'!A:A,1,0),"Nuevo")</f>
        <v>3275@hotmail.com</v>
      </c>
      <c r="D1709" s="72" t="str">
        <f t="shared" si="1"/>
        <v>No Nuevo</v>
      </c>
    </row>
    <row r="1710" ht="15.75" customHeight="1">
      <c r="A1710" s="71" t="str">
        <f>Registros!A1710</f>
        <v>2909@ekoleds.com</v>
      </c>
      <c r="B1710" s="5">
        <f>Registros!B1710</f>
        <v>43846.72778</v>
      </c>
      <c r="C1710" s="18" t="str">
        <f>IFNA(VLOOKUP(A1710,'Registros - No nuevos'!A:A,1,0),"Nuevo")</f>
        <v>2909@ekoleds.com</v>
      </c>
      <c r="D1710" s="72" t="str">
        <f t="shared" si="1"/>
        <v>No Nuevo</v>
      </c>
    </row>
    <row r="1711" ht="15.75" customHeight="1">
      <c r="A1711" s="71" t="str">
        <f>Registros!A1711</f>
        <v>2823@mindual.com</v>
      </c>
      <c r="B1711" s="5">
        <f>Registros!B1711</f>
        <v>43846.63819</v>
      </c>
      <c r="C1711" s="18" t="str">
        <f>IFNA(VLOOKUP(A1711,'Registros - No nuevos'!A:A,1,0),"Nuevo")</f>
        <v>2823@mindual.com</v>
      </c>
      <c r="D1711" s="72" t="str">
        <f t="shared" si="1"/>
        <v>No Nuevo</v>
      </c>
    </row>
    <row r="1712" ht="15.75" customHeight="1">
      <c r="A1712" s="71" t="str">
        <f>Registros!A1712</f>
        <v>1344@gmail.com</v>
      </c>
      <c r="B1712" s="5">
        <f>Registros!B1712</f>
        <v>43846.61667</v>
      </c>
      <c r="C1712" s="18" t="str">
        <f>IFNA(VLOOKUP(A1712,'Registros - No nuevos'!A:A,1,0),"Nuevo")</f>
        <v>1344@gmail.com</v>
      </c>
      <c r="D1712" s="72" t="str">
        <f t="shared" si="1"/>
        <v>No Nuevo</v>
      </c>
    </row>
    <row r="1713" ht="15.75" customHeight="1">
      <c r="A1713" s="71" t="str">
        <f>Registros!A1713</f>
        <v>3276@telefonica.net</v>
      </c>
      <c r="B1713" s="5">
        <f>Registros!B1713</f>
        <v>43846.51806</v>
      </c>
      <c r="C1713" s="18" t="str">
        <f>IFNA(VLOOKUP(A1713,'Registros - No nuevos'!A:A,1,0),"Nuevo")</f>
        <v>3276@telefonica.net</v>
      </c>
      <c r="D1713" s="72" t="str">
        <f t="shared" si="1"/>
        <v>No Nuevo</v>
      </c>
    </row>
    <row r="1714" ht="15.75" customHeight="1">
      <c r="A1714" s="71" t="str">
        <f>Registros!A1714</f>
        <v>3277@cyeservicios.es</v>
      </c>
      <c r="B1714" s="5">
        <f>Registros!B1714</f>
        <v>43846.34167</v>
      </c>
      <c r="C1714" s="18" t="str">
        <f>IFNA(VLOOKUP(A1714,'Registros - No nuevos'!A:A,1,0),"Nuevo")</f>
        <v>3277@cyeservicios.es</v>
      </c>
      <c r="D1714" s="72" t="str">
        <f t="shared" si="1"/>
        <v>No Nuevo</v>
      </c>
    </row>
    <row r="1715" ht="15.75" customHeight="1">
      <c r="A1715" s="71" t="str">
        <f>Registros!A1715</f>
        <v>1068@dominion.es</v>
      </c>
      <c r="B1715" s="5">
        <f>Registros!B1715</f>
        <v>43845.92431</v>
      </c>
      <c r="C1715" s="18" t="str">
        <f>IFNA(VLOOKUP(A1715,'Registros - No nuevos'!A:A,1,0),"Nuevo")</f>
        <v>1068@dominion.es</v>
      </c>
      <c r="D1715" s="72" t="str">
        <f t="shared" si="1"/>
        <v>No Nuevo</v>
      </c>
    </row>
    <row r="1716" ht="15.75" customHeight="1">
      <c r="A1716" s="71" t="str">
        <f>Registros!A1716</f>
        <v>2877@gammasg.com</v>
      </c>
      <c r="B1716" s="5">
        <f>Registros!B1716</f>
        <v>43845.73611</v>
      </c>
      <c r="C1716" s="18" t="str">
        <f>IFNA(VLOOKUP(A1716,'Registros - No nuevos'!A:A,1,0),"Nuevo")</f>
        <v>2877@gammasg.com</v>
      </c>
      <c r="D1716" s="72" t="str">
        <f t="shared" si="1"/>
        <v>No Nuevo</v>
      </c>
    </row>
    <row r="1717" ht="15.75" customHeight="1">
      <c r="A1717" s="71" t="str">
        <f>Registros!A1717</f>
        <v>2917@mastercentella.com</v>
      </c>
      <c r="B1717" s="5">
        <f>Registros!B1717</f>
        <v>43845.69931</v>
      </c>
      <c r="C1717" s="18" t="str">
        <f>IFNA(VLOOKUP(A1717,'Registros - No nuevos'!A:A,1,0),"Nuevo")</f>
        <v>2917@mastercentella.com</v>
      </c>
      <c r="D1717" s="72" t="str">
        <f t="shared" si="1"/>
        <v>No Nuevo</v>
      </c>
    </row>
    <row r="1718" ht="15.75" customHeight="1">
      <c r="A1718" s="71" t="str">
        <f>Registros!A1718</f>
        <v>3278@gmail.com</v>
      </c>
      <c r="B1718" s="5">
        <f>Registros!B1718</f>
        <v>43845.62569</v>
      </c>
      <c r="C1718" s="18" t="str">
        <f>IFNA(VLOOKUP(A1718,'Registros - No nuevos'!A:A,1,0),"Nuevo")</f>
        <v>3278@gmail.com</v>
      </c>
      <c r="D1718" s="72" t="str">
        <f t="shared" si="1"/>
        <v>No Nuevo</v>
      </c>
    </row>
    <row r="1719" ht="15.75" customHeight="1">
      <c r="A1719" s="71" t="str">
        <f>Registros!A1719</f>
        <v>2873@gmail.com</v>
      </c>
      <c r="B1719" s="5">
        <f>Registros!B1719</f>
        <v>43845.6125</v>
      </c>
      <c r="C1719" s="18" t="str">
        <f>IFNA(VLOOKUP(A1719,'Registros - No nuevos'!A:A,1,0),"Nuevo")</f>
        <v>2873@gmail.com</v>
      </c>
      <c r="D1719" s="72" t="str">
        <f t="shared" si="1"/>
        <v>No Nuevo</v>
      </c>
    </row>
    <row r="1720" ht="15.75" customHeight="1">
      <c r="A1720" s="71" t="str">
        <f>Registros!A1720</f>
        <v>3279@ya.com</v>
      </c>
      <c r="B1720" s="5">
        <f>Registros!B1720</f>
        <v>43845.56042</v>
      </c>
      <c r="C1720" s="18" t="str">
        <f>IFNA(VLOOKUP(A1720,'Registros - No nuevos'!A:A,1,0),"Nuevo")</f>
        <v>3279@ya.com</v>
      </c>
      <c r="D1720" s="72" t="str">
        <f t="shared" si="1"/>
        <v>No Nuevo</v>
      </c>
    </row>
    <row r="1721" ht="15.75" customHeight="1">
      <c r="A1721" s="71" t="str">
        <f>Registros!A1721</f>
        <v>3280@outlook.es</v>
      </c>
      <c r="B1721" s="5">
        <f>Registros!B1721</f>
        <v>43845.43194</v>
      </c>
      <c r="C1721" s="18" t="str">
        <f>IFNA(VLOOKUP(A1721,'Registros - No nuevos'!A:A,1,0),"Nuevo")</f>
        <v>3280@outlook.es</v>
      </c>
      <c r="D1721" s="72" t="str">
        <f t="shared" si="1"/>
        <v>No Nuevo</v>
      </c>
    </row>
    <row r="1722" ht="15.75" customHeight="1">
      <c r="A1722" s="71" t="str">
        <f>Registros!A1722</f>
        <v>3281@gmail.com</v>
      </c>
      <c r="B1722" s="5">
        <f>Registros!B1722</f>
        <v>43844.98194</v>
      </c>
      <c r="C1722" s="18" t="str">
        <f>IFNA(VLOOKUP(A1722,'Registros - No nuevos'!A:A,1,0),"Nuevo")</f>
        <v>3281@gmail.com</v>
      </c>
      <c r="D1722" s="72" t="str">
        <f t="shared" si="1"/>
        <v>No Nuevo</v>
      </c>
    </row>
    <row r="1723" ht="15.75" customHeight="1">
      <c r="A1723" s="71" t="str">
        <f>Registros!A1723</f>
        <v>2919@gmail.com</v>
      </c>
      <c r="B1723" s="5">
        <f>Registros!B1723</f>
        <v>43844.72986</v>
      </c>
      <c r="C1723" s="18" t="str">
        <f>IFNA(VLOOKUP(A1723,'Registros - No nuevos'!A:A,1,0),"Nuevo")</f>
        <v>2919@gmail.com</v>
      </c>
      <c r="D1723" s="72" t="str">
        <f t="shared" si="1"/>
        <v>No Nuevo</v>
      </c>
    </row>
    <row r="1724" ht="15.75" customHeight="1">
      <c r="A1724" s="71" t="str">
        <f>Registros!A1724</f>
        <v>3282@armentalis.es</v>
      </c>
      <c r="B1724" s="5">
        <f>Registros!B1724</f>
        <v>43844.56944</v>
      </c>
      <c r="C1724" s="18" t="str">
        <f>IFNA(VLOOKUP(A1724,'Registros - No nuevos'!A:A,1,0),"Nuevo")</f>
        <v>3282@armentalis.es</v>
      </c>
      <c r="D1724" s="72" t="str">
        <f t="shared" si="1"/>
        <v>No Nuevo</v>
      </c>
    </row>
    <row r="1725" ht="15.75" customHeight="1">
      <c r="A1725" s="71" t="str">
        <f>Registros!A1725</f>
        <v>3283@hotmail.com</v>
      </c>
      <c r="B1725" s="5">
        <f>Registros!B1725</f>
        <v>43844.52917</v>
      </c>
      <c r="C1725" s="18" t="str">
        <f>IFNA(VLOOKUP(A1725,'Registros - No nuevos'!A:A,1,0),"Nuevo")</f>
        <v>3283@hotmail.com</v>
      </c>
      <c r="D1725" s="72" t="str">
        <f t="shared" si="1"/>
        <v>No Nuevo</v>
      </c>
    </row>
    <row r="1726" ht="15.75" customHeight="1">
      <c r="A1726" s="71" t="str">
        <f>Registros!A1726</f>
        <v>1203@smarthaus.studio</v>
      </c>
      <c r="B1726" s="5">
        <f>Registros!B1726</f>
        <v>43843.88264</v>
      </c>
      <c r="C1726" s="18" t="str">
        <f>IFNA(VLOOKUP(A1726,'Registros - No nuevos'!A:A,1,0),"Nuevo")</f>
        <v>1203@smarthaus.studio</v>
      </c>
      <c r="D1726" s="72" t="str">
        <f t="shared" si="1"/>
        <v>No Nuevo</v>
      </c>
    </row>
    <row r="1727" ht="15.75" customHeight="1">
      <c r="A1727" s="71" t="str">
        <f>Registros!A1727</f>
        <v>3284@efimarket.com</v>
      </c>
      <c r="B1727" s="5">
        <f>Registros!B1727</f>
        <v>43843.87361</v>
      </c>
      <c r="C1727" s="18" t="str">
        <f>IFNA(VLOOKUP(A1727,'Registros - No nuevos'!A:A,1,0),"Nuevo")</f>
        <v>3284@efimarket.com</v>
      </c>
      <c r="D1727" s="72" t="str">
        <f t="shared" si="1"/>
        <v>No Nuevo</v>
      </c>
    </row>
    <row r="1728" ht="15.75" customHeight="1">
      <c r="A1728" s="71" t="str">
        <f>Registros!A1728</f>
        <v>1413@gmail.com</v>
      </c>
      <c r="B1728" s="5">
        <f>Registros!B1728</f>
        <v>43843.85347</v>
      </c>
      <c r="C1728" s="18" t="str">
        <f>IFNA(VLOOKUP(A1728,'Registros - No nuevos'!A:A,1,0),"Nuevo")</f>
        <v>1413@gmail.com</v>
      </c>
      <c r="D1728" s="72" t="str">
        <f t="shared" si="1"/>
        <v>No Nuevo</v>
      </c>
    </row>
    <row r="1729" ht="15.75" customHeight="1">
      <c r="A1729" s="71" t="str">
        <f>Registros!A1729</f>
        <v>2924@gmail.com</v>
      </c>
      <c r="B1729" s="5">
        <f>Registros!B1729</f>
        <v>43843.76597</v>
      </c>
      <c r="C1729" s="18" t="str">
        <f>IFNA(VLOOKUP(A1729,'Registros - No nuevos'!A:A,1,0),"Nuevo")</f>
        <v>2924@gmail.com</v>
      </c>
      <c r="D1729" s="72" t="str">
        <f t="shared" si="1"/>
        <v>No Nuevo</v>
      </c>
    </row>
    <row r="1730" ht="15.75" customHeight="1">
      <c r="A1730" s="71" t="str">
        <f>Registros!A1730</f>
        <v>2441@berdin.com</v>
      </c>
      <c r="B1730" s="5">
        <f>Registros!B1730</f>
        <v>43843.74861</v>
      </c>
      <c r="C1730" s="18" t="str">
        <f>IFNA(VLOOKUP(A1730,'Registros - No nuevos'!A:A,1,0),"Nuevo")</f>
        <v>2441@berdin.com</v>
      </c>
      <c r="D1730" s="72" t="str">
        <f t="shared" si="1"/>
        <v>No Nuevo</v>
      </c>
    </row>
    <row r="1731" ht="15.75" customHeight="1">
      <c r="A1731" s="71" t="str">
        <f>Registros!A1731</f>
        <v>2926@elherco.com</v>
      </c>
      <c r="B1731" s="5">
        <f>Registros!B1731</f>
        <v>43843.6375</v>
      </c>
      <c r="C1731" s="18" t="str">
        <f>IFNA(VLOOKUP(A1731,'Registros - No nuevos'!A:A,1,0),"Nuevo")</f>
        <v>2926@elherco.com</v>
      </c>
      <c r="D1731" s="72" t="str">
        <f t="shared" si="1"/>
        <v>No Nuevo</v>
      </c>
    </row>
    <row r="1732" ht="15.75" customHeight="1">
      <c r="A1732" s="71" t="str">
        <f>Registros!A1732</f>
        <v>3285@gmail.com</v>
      </c>
      <c r="B1732" s="5">
        <f>Registros!B1732</f>
        <v>43843.62431</v>
      </c>
      <c r="C1732" s="18" t="str">
        <f>IFNA(VLOOKUP(A1732,'Registros - No nuevos'!A:A,1,0),"Nuevo")</f>
        <v>3285@gmail.com</v>
      </c>
      <c r="D1732" s="72" t="str">
        <f t="shared" si="1"/>
        <v>No Nuevo</v>
      </c>
    </row>
    <row r="1733" ht="15.75" customHeight="1">
      <c r="A1733" s="71" t="str">
        <f>Registros!A1733</f>
        <v>1751@altener.es</v>
      </c>
      <c r="B1733" s="5">
        <f>Registros!B1733</f>
        <v>43843.52569</v>
      </c>
      <c r="C1733" s="18" t="str">
        <f>IFNA(VLOOKUP(A1733,'Registros - No nuevos'!A:A,1,0),"Nuevo")</f>
        <v>1751@altener.es</v>
      </c>
      <c r="D1733" s="72" t="str">
        <f t="shared" si="1"/>
        <v>No Nuevo</v>
      </c>
    </row>
    <row r="1734" ht="15.75" customHeight="1">
      <c r="A1734" s="71" t="str">
        <f>Registros!A1734</f>
        <v>3286@anticimex.com.es</v>
      </c>
      <c r="B1734" s="5">
        <f>Registros!B1734</f>
        <v>43843.52431</v>
      </c>
      <c r="C1734" s="18" t="str">
        <f>IFNA(VLOOKUP(A1734,'Registros - No nuevos'!A:A,1,0),"Nuevo")</f>
        <v>3286@anticimex.com.es</v>
      </c>
      <c r="D1734" s="72" t="str">
        <f t="shared" si="1"/>
        <v>No Nuevo</v>
      </c>
    </row>
    <row r="1735" ht="15.75" customHeight="1">
      <c r="A1735" s="71" t="str">
        <f>Registros!A1735</f>
        <v>2927@interflex.es</v>
      </c>
      <c r="B1735" s="5">
        <f>Registros!B1735</f>
        <v>43843.41736</v>
      </c>
      <c r="C1735" s="18" t="str">
        <f>IFNA(VLOOKUP(A1735,'Registros - No nuevos'!A:A,1,0),"Nuevo")</f>
        <v>2927@interflex.es</v>
      </c>
      <c r="D1735" s="72" t="str">
        <f t="shared" si="1"/>
        <v>No Nuevo</v>
      </c>
    </row>
    <row r="1736" ht="15.75" customHeight="1">
      <c r="A1736" s="71" t="str">
        <f>Registros!A1736</f>
        <v>2929@baurenginyers.cat</v>
      </c>
      <c r="B1736" s="5">
        <f>Registros!B1736</f>
        <v>43843.38472</v>
      </c>
      <c r="C1736" s="18" t="str">
        <f>IFNA(VLOOKUP(A1736,'Registros - No nuevos'!A:A,1,0),"Nuevo")</f>
        <v>2929@baurenginyers.cat</v>
      </c>
      <c r="D1736" s="72" t="str">
        <f t="shared" si="1"/>
        <v>No Nuevo</v>
      </c>
    </row>
    <row r="1737" ht="15.75" customHeight="1">
      <c r="A1737" s="71" t="str">
        <f>Registros!A1737</f>
        <v>3287@gmail.com</v>
      </c>
      <c r="B1737" s="5">
        <f>Registros!B1737</f>
        <v>43843.02153</v>
      </c>
      <c r="C1737" s="18" t="str">
        <f>IFNA(VLOOKUP(A1737,'Registros - No nuevos'!A:A,1,0),"Nuevo")</f>
        <v>3287@gmail.com</v>
      </c>
      <c r="D1737" s="72" t="str">
        <f t="shared" si="1"/>
        <v>No Nuevo</v>
      </c>
    </row>
    <row r="1738" ht="15.75" customHeight="1">
      <c r="A1738" s="71" t="str">
        <f>Registros!A1738</f>
        <v>3288@gmail.com</v>
      </c>
      <c r="B1738" s="5">
        <f>Registros!B1738</f>
        <v>43842.82014</v>
      </c>
      <c r="C1738" s="18" t="str">
        <f>IFNA(VLOOKUP(A1738,'Registros - No nuevos'!A:A,1,0),"Nuevo")</f>
        <v>3288@gmail.com</v>
      </c>
      <c r="D1738" s="72" t="str">
        <f t="shared" si="1"/>
        <v>No Nuevo</v>
      </c>
    </row>
    <row r="1739" ht="15.75" customHeight="1">
      <c r="A1739" s="71" t="str">
        <f>Registros!A1739</f>
        <v>3289@gmail.com</v>
      </c>
      <c r="B1739" s="5">
        <f>Registros!B1739</f>
        <v>43842.78333</v>
      </c>
      <c r="C1739" s="18" t="str">
        <f>IFNA(VLOOKUP(A1739,'Registros - No nuevos'!A:A,1,0),"Nuevo")</f>
        <v>3289@gmail.com</v>
      </c>
      <c r="D1739" s="72" t="str">
        <f t="shared" si="1"/>
        <v>No Nuevo</v>
      </c>
    </row>
    <row r="1740" ht="15.75" customHeight="1">
      <c r="A1740" s="71" t="str">
        <f>Registros!A1740</f>
        <v>3290@hotmail.com</v>
      </c>
      <c r="B1740" s="5">
        <f>Registros!B1740</f>
        <v>43842.77222</v>
      </c>
      <c r="C1740" s="18" t="str">
        <f>IFNA(VLOOKUP(A1740,'Registros - No nuevos'!A:A,1,0),"Nuevo")</f>
        <v>3290@hotmail.com</v>
      </c>
      <c r="D1740" s="72" t="str">
        <f t="shared" si="1"/>
        <v>No Nuevo</v>
      </c>
    </row>
    <row r="1741" ht="15.75" customHeight="1">
      <c r="A1741" s="71" t="str">
        <f>Registros!A1741</f>
        <v>806@gmail.com</v>
      </c>
      <c r="B1741" s="5">
        <f>Registros!B1741</f>
        <v>43842.58542</v>
      </c>
      <c r="C1741" s="18" t="str">
        <f>IFNA(VLOOKUP(A1741,'Registros - No nuevos'!A:A,1,0),"Nuevo")</f>
        <v>806@gmail.com</v>
      </c>
      <c r="D1741" s="72" t="str">
        <f t="shared" si="1"/>
        <v>No Nuevo</v>
      </c>
    </row>
    <row r="1742" ht="15.75" customHeight="1">
      <c r="A1742" s="71" t="str">
        <f>Registros!A1742</f>
        <v>3291@sara-07.es</v>
      </c>
      <c r="B1742" s="5">
        <f>Registros!B1742</f>
        <v>43842.50208</v>
      </c>
      <c r="C1742" s="18" t="str">
        <f>IFNA(VLOOKUP(A1742,'Registros - No nuevos'!A:A,1,0),"Nuevo")</f>
        <v>3291@sara-07.es</v>
      </c>
      <c r="D1742" s="72" t="str">
        <f t="shared" si="1"/>
        <v>No Nuevo</v>
      </c>
    </row>
    <row r="1743" ht="15.75" customHeight="1">
      <c r="A1743" s="71" t="str">
        <f>Registros!A1743</f>
        <v>3292@movistar.es</v>
      </c>
      <c r="B1743" s="5">
        <f>Registros!B1743</f>
        <v>43841.82361</v>
      </c>
      <c r="C1743" s="18" t="str">
        <f>IFNA(VLOOKUP(A1743,'Registros - No nuevos'!A:A,1,0),"Nuevo")</f>
        <v>3292@movistar.es</v>
      </c>
      <c r="D1743" s="72" t="str">
        <f t="shared" si="1"/>
        <v>No Nuevo</v>
      </c>
    </row>
    <row r="1744" ht="15.75" customHeight="1">
      <c r="A1744" s="71" t="str">
        <f>Registros!A1744</f>
        <v>3293@hotmail.es</v>
      </c>
      <c r="B1744" s="5">
        <f>Registros!B1744</f>
        <v>43841.68333</v>
      </c>
      <c r="C1744" s="18" t="str">
        <f>IFNA(VLOOKUP(A1744,'Registros - No nuevos'!A:A,1,0),"Nuevo")</f>
        <v>3293@hotmail.es</v>
      </c>
      <c r="D1744" s="72" t="str">
        <f t="shared" si="1"/>
        <v>No Nuevo</v>
      </c>
    </row>
    <row r="1745" ht="15.75" customHeight="1">
      <c r="A1745" s="71" t="str">
        <f>Registros!A1745</f>
        <v>3294@gmail.com</v>
      </c>
      <c r="B1745" s="5">
        <f>Registros!B1745</f>
        <v>43841.67431</v>
      </c>
      <c r="C1745" s="18" t="str">
        <f>IFNA(VLOOKUP(A1745,'Registros - No nuevos'!A:A,1,0),"Nuevo")</f>
        <v>3294@gmail.com</v>
      </c>
      <c r="D1745" s="72" t="str">
        <f t="shared" si="1"/>
        <v>No Nuevo</v>
      </c>
    </row>
    <row r="1746" ht="15.75" customHeight="1">
      <c r="A1746" s="71" t="str">
        <f>Registros!A1746</f>
        <v>3295@telefonica.net</v>
      </c>
      <c r="B1746" s="5">
        <f>Registros!B1746</f>
        <v>43841.61111</v>
      </c>
      <c r="C1746" s="18" t="str">
        <f>IFNA(VLOOKUP(A1746,'Registros - No nuevos'!A:A,1,0),"Nuevo")</f>
        <v>3295@telefonica.net</v>
      </c>
      <c r="D1746" s="72" t="str">
        <f t="shared" si="1"/>
        <v>No Nuevo</v>
      </c>
    </row>
    <row r="1747" ht="15.75" customHeight="1">
      <c r="A1747" s="71" t="str">
        <f>Registros!A1747</f>
        <v>1323@gmail.com</v>
      </c>
      <c r="B1747" s="5">
        <f>Registros!B1747</f>
        <v>43841.48333</v>
      </c>
      <c r="C1747" s="18" t="str">
        <f>IFNA(VLOOKUP(A1747,'Registros - No nuevos'!A:A,1,0),"Nuevo")</f>
        <v>1323@gmail.com</v>
      </c>
      <c r="D1747" s="72" t="str">
        <f t="shared" si="1"/>
        <v>No Nuevo</v>
      </c>
    </row>
    <row r="1748" ht="15.75" customHeight="1">
      <c r="A1748" s="71" t="str">
        <f>Registros!A1748</f>
        <v>3296@canillos.com</v>
      </c>
      <c r="B1748" s="5">
        <f>Registros!B1748</f>
        <v>43841.31597</v>
      </c>
      <c r="C1748" s="18" t="str">
        <f>IFNA(VLOOKUP(A1748,'Registros - No nuevos'!A:A,1,0),"Nuevo")</f>
        <v>3296@canillos.com</v>
      </c>
      <c r="D1748" s="72" t="str">
        <f t="shared" si="1"/>
        <v>No Nuevo</v>
      </c>
    </row>
    <row r="1749" ht="15.75" customHeight="1">
      <c r="A1749" s="71" t="str">
        <f>Registros!A1749</f>
        <v>3297@hotmail.com</v>
      </c>
      <c r="B1749" s="5">
        <f>Registros!B1749</f>
        <v>43840.99167</v>
      </c>
      <c r="C1749" s="18" t="str">
        <f>IFNA(VLOOKUP(A1749,'Registros - No nuevos'!A:A,1,0),"Nuevo")</f>
        <v>3297@hotmail.com</v>
      </c>
      <c r="D1749" s="72" t="str">
        <f t="shared" si="1"/>
        <v>No Nuevo</v>
      </c>
    </row>
    <row r="1750" ht="15.75" customHeight="1">
      <c r="A1750" s="71" t="str">
        <f>Registros!A1750</f>
        <v>3298@hotmail.com</v>
      </c>
      <c r="B1750" s="5">
        <f>Registros!B1750</f>
        <v>43840.97708</v>
      </c>
      <c r="C1750" s="18" t="str">
        <f>IFNA(VLOOKUP(A1750,'Registros - No nuevos'!A:A,1,0),"Nuevo")</f>
        <v>3298@hotmail.com</v>
      </c>
      <c r="D1750" s="72" t="str">
        <f t="shared" si="1"/>
        <v>No Nuevo</v>
      </c>
    </row>
    <row r="1751" ht="15.75" customHeight="1">
      <c r="A1751" s="71" t="str">
        <f>Registros!A1751</f>
        <v>3299@hotmail.com</v>
      </c>
      <c r="B1751" s="5">
        <f>Registros!B1751</f>
        <v>43840.91736</v>
      </c>
      <c r="C1751" s="18" t="str">
        <f>IFNA(VLOOKUP(A1751,'Registros - No nuevos'!A:A,1,0),"Nuevo")</f>
        <v>3299@hotmail.com</v>
      </c>
      <c r="D1751" s="72" t="str">
        <f t="shared" si="1"/>
        <v>No Nuevo</v>
      </c>
    </row>
    <row r="1752" ht="15.75" customHeight="1">
      <c r="A1752" s="71" t="str">
        <f>Registros!A1752</f>
        <v>3300@hotmail.com</v>
      </c>
      <c r="B1752" s="5">
        <f>Registros!B1752</f>
        <v>43840.91042</v>
      </c>
      <c r="C1752" s="18" t="str">
        <f>IFNA(VLOOKUP(A1752,'Registros - No nuevos'!A:A,1,0),"Nuevo")</f>
        <v>3300@hotmail.com</v>
      </c>
      <c r="D1752" s="72" t="str">
        <f t="shared" si="1"/>
        <v>No Nuevo</v>
      </c>
    </row>
    <row r="1753" ht="15.75" customHeight="1">
      <c r="A1753" s="71" t="str">
        <f>Registros!A1753</f>
        <v>1097@santaeulalia.cat</v>
      </c>
      <c r="B1753" s="5">
        <f>Registros!B1753</f>
        <v>43840.81111</v>
      </c>
      <c r="C1753" s="18" t="str">
        <f>IFNA(VLOOKUP(A1753,'Registros - No nuevos'!A:A,1,0),"Nuevo")</f>
        <v>1097@santaeulalia.cat</v>
      </c>
      <c r="D1753" s="72" t="str">
        <f t="shared" si="1"/>
        <v>No Nuevo</v>
      </c>
    </row>
    <row r="1754" ht="15.75" customHeight="1">
      <c r="A1754" s="71" t="str">
        <f>Registros!A1754</f>
        <v>3301@gmail.com</v>
      </c>
      <c r="B1754" s="5">
        <f>Registros!B1754</f>
        <v>43840.77639</v>
      </c>
      <c r="C1754" s="18" t="str">
        <f>IFNA(VLOOKUP(A1754,'Registros - No nuevos'!A:A,1,0),"Nuevo")</f>
        <v>3301@gmail.com</v>
      </c>
      <c r="D1754" s="72" t="str">
        <f t="shared" si="1"/>
        <v>No Nuevo</v>
      </c>
    </row>
    <row r="1755" ht="15.75" customHeight="1">
      <c r="A1755" s="71" t="str">
        <f>Registros!A1755</f>
        <v>3302@gmail.com</v>
      </c>
      <c r="B1755" s="5">
        <f>Registros!B1755</f>
        <v>43840.68472</v>
      </c>
      <c r="C1755" s="18" t="str">
        <f>IFNA(VLOOKUP(A1755,'Registros - No nuevos'!A:A,1,0),"Nuevo")</f>
        <v>3302@gmail.com</v>
      </c>
      <c r="D1755" s="72" t="str">
        <f t="shared" si="1"/>
        <v>No Nuevo</v>
      </c>
    </row>
    <row r="1756" ht="15.75" customHeight="1">
      <c r="A1756" s="71" t="str">
        <f>Registros!A1756</f>
        <v>2522@gmail.com</v>
      </c>
      <c r="B1756" s="5">
        <f>Registros!B1756</f>
        <v>43840.64583</v>
      </c>
      <c r="C1756" s="18" t="str">
        <f>IFNA(VLOOKUP(A1756,'Registros - No nuevos'!A:A,1,0),"Nuevo")</f>
        <v>2522@gmail.com</v>
      </c>
      <c r="D1756" s="72" t="str">
        <f t="shared" si="1"/>
        <v>No Nuevo</v>
      </c>
    </row>
    <row r="1757" ht="15.75" customHeight="1">
      <c r="A1757" s="71" t="str">
        <f>Registros!A1757</f>
        <v>2931@telefonica.net</v>
      </c>
      <c r="B1757" s="5">
        <f>Registros!B1757</f>
        <v>43840.5125</v>
      </c>
      <c r="C1757" s="18" t="str">
        <f>IFNA(VLOOKUP(A1757,'Registros - No nuevos'!A:A,1,0),"Nuevo")</f>
        <v>2931@telefonica.net</v>
      </c>
      <c r="D1757" s="72" t="str">
        <f t="shared" si="1"/>
        <v>No Nuevo</v>
      </c>
    </row>
    <row r="1758" ht="15.75" customHeight="1">
      <c r="A1758" s="71" t="str">
        <f>Registros!A1758</f>
        <v>3303@gmail.com</v>
      </c>
      <c r="B1758" s="5">
        <f>Registros!B1758</f>
        <v>43840.47986</v>
      </c>
      <c r="C1758" s="18" t="str">
        <f>IFNA(VLOOKUP(A1758,'Registros - No nuevos'!A:A,1,0),"Nuevo")</f>
        <v>3303@gmail.com</v>
      </c>
      <c r="D1758" s="72" t="str">
        <f t="shared" si="1"/>
        <v>No Nuevo</v>
      </c>
    </row>
    <row r="1759" ht="15.75" customHeight="1">
      <c r="A1759" s="71" t="str">
        <f>Registros!A1759</f>
        <v>2922@tecnicanorte.com</v>
      </c>
      <c r="B1759" s="5">
        <f>Registros!B1759</f>
        <v>43840.43194</v>
      </c>
      <c r="C1759" s="18" t="str">
        <f>IFNA(VLOOKUP(A1759,'Registros - No nuevos'!A:A,1,0),"Nuevo")</f>
        <v>2922@tecnicanorte.com</v>
      </c>
      <c r="D1759" s="72" t="str">
        <f t="shared" si="1"/>
        <v>No Nuevo</v>
      </c>
    </row>
    <row r="1760" ht="15.75" customHeight="1">
      <c r="A1760" s="71" t="str">
        <f>Registros!A1760</f>
        <v>2934@gruponovelec.com</v>
      </c>
      <c r="B1760" s="5">
        <f>Registros!B1760</f>
        <v>43839.85694</v>
      </c>
      <c r="C1760" s="18" t="str">
        <f>IFNA(VLOOKUP(A1760,'Registros - No nuevos'!A:A,1,0),"Nuevo")</f>
        <v>2934@gruponovelec.com</v>
      </c>
      <c r="D1760" s="72" t="str">
        <f t="shared" si="1"/>
        <v>No Nuevo</v>
      </c>
    </row>
    <row r="1761" ht="15.75" customHeight="1">
      <c r="A1761" s="71" t="str">
        <f>Registros!A1761</f>
        <v>3304@gmail.com</v>
      </c>
      <c r="B1761" s="5">
        <f>Registros!B1761</f>
        <v>43839.85139</v>
      </c>
      <c r="C1761" s="18" t="str">
        <f>IFNA(VLOOKUP(A1761,'Registros - No nuevos'!A:A,1,0),"Nuevo")</f>
        <v>3304@gmail.com</v>
      </c>
      <c r="D1761" s="72" t="str">
        <f t="shared" si="1"/>
        <v>No Nuevo</v>
      </c>
    </row>
    <row r="1762" ht="15.75" customHeight="1">
      <c r="A1762" s="71" t="str">
        <f>Registros!A1762</f>
        <v>3305@hotmail.es</v>
      </c>
      <c r="B1762" s="5">
        <f>Registros!B1762</f>
        <v>43839.68472</v>
      </c>
      <c r="C1762" s="18" t="str">
        <f>IFNA(VLOOKUP(A1762,'Registros - No nuevos'!A:A,1,0),"Nuevo")</f>
        <v>3305@hotmail.es</v>
      </c>
      <c r="D1762" s="72" t="str">
        <f t="shared" si="1"/>
        <v>No Nuevo</v>
      </c>
    </row>
    <row r="1763" ht="15.75" customHeight="1">
      <c r="A1763" s="71" t="str">
        <f>Registros!A1763</f>
        <v>3306@gmail.com</v>
      </c>
      <c r="B1763" s="5">
        <f>Registros!B1763</f>
        <v>43839.60417</v>
      </c>
      <c r="C1763" s="18" t="str">
        <f>IFNA(VLOOKUP(A1763,'Registros - No nuevos'!A:A,1,0),"Nuevo")</f>
        <v>3306@gmail.com</v>
      </c>
      <c r="D1763" s="72" t="str">
        <f t="shared" si="1"/>
        <v>No Nuevo</v>
      </c>
    </row>
    <row r="1764" ht="15.75" customHeight="1">
      <c r="A1764" s="71" t="str">
        <f>Registros!A1764</f>
        <v>314@bitrir.es</v>
      </c>
      <c r="B1764" s="5">
        <f>Registros!B1764</f>
        <v>43839.58958</v>
      </c>
      <c r="C1764" s="18" t="str">
        <f>IFNA(VLOOKUP(A1764,'Registros - No nuevos'!A:A,1,0),"Nuevo")</f>
        <v>314@bitrir.es</v>
      </c>
      <c r="D1764" s="72" t="str">
        <f t="shared" si="1"/>
        <v>No Nuevo</v>
      </c>
    </row>
    <row r="1765" ht="15.75" customHeight="1">
      <c r="A1765" s="71" t="str">
        <f>Registros!A1765</f>
        <v>2937@gmail.com</v>
      </c>
      <c r="B1765" s="5">
        <f>Registros!B1765</f>
        <v>43839.48681</v>
      </c>
      <c r="C1765" s="18" t="str">
        <f>IFNA(VLOOKUP(A1765,'Registros - No nuevos'!A:A,1,0),"Nuevo")</f>
        <v>2937@gmail.com</v>
      </c>
      <c r="D1765" s="72" t="str">
        <f t="shared" si="1"/>
        <v>No Nuevo</v>
      </c>
    </row>
    <row r="1766" ht="15.75" customHeight="1">
      <c r="A1766" s="71" t="str">
        <f>Registros!A1766</f>
        <v>442@hotmail.com</v>
      </c>
      <c r="B1766" s="5">
        <f>Registros!B1766</f>
        <v>43839.41528</v>
      </c>
      <c r="C1766" s="18" t="str">
        <f>IFNA(VLOOKUP(A1766,'Registros - No nuevos'!A:A,1,0),"Nuevo")</f>
        <v>442@hotmail.com</v>
      </c>
      <c r="D1766" s="72" t="str">
        <f t="shared" si="1"/>
        <v>No Nuevo</v>
      </c>
    </row>
    <row r="1767" ht="15.75" customHeight="1">
      <c r="A1767" s="71" t="str">
        <f>Registros!A1767</f>
        <v>2939@oscarcaselles.com</v>
      </c>
      <c r="B1767" s="5">
        <f>Registros!B1767</f>
        <v>43839.40764</v>
      </c>
      <c r="C1767" s="18" t="str">
        <f>IFNA(VLOOKUP(A1767,'Registros - No nuevos'!A:A,1,0),"Nuevo")</f>
        <v>2939@oscarcaselles.com</v>
      </c>
      <c r="D1767" s="72" t="str">
        <f t="shared" si="1"/>
        <v>No Nuevo</v>
      </c>
    </row>
    <row r="1768" ht="15.75" customHeight="1">
      <c r="A1768" s="71" t="str">
        <f>Registros!A1768</f>
        <v>3307@tica.es</v>
      </c>
      <c r="B1768" s="5">
        <f>Registros!B1768</f>
        <v>43839.38681</v>
      </c>
      <c r="C1768" s="18" t="str">
        <f>IFNA(VLOOKUP(A1768,'Registros - No nuevos'!A:A,1,0),"Nuevo")</f>
        <v>3307@tica.es</v>
      </c>
      <c r="D1768" s="72" t="str">
        <f t="shared" si="1"/>
        <v>No Nuevo</v>
      </c>
    </row>
    <row r="1769" ht="15.75" customHeight="1">
      <c r="A1769" s="71" t="str">
        <f>Registros!A1769</f>
        <v>929@acciona.com</v>
      </c>
      <c r="B1769" s="5">
        <f>Registros!B1769</f>
        <v>43839.31667</v>
      </c>
      <c r="C1769" s="18" t="str">
        <f>IFNA(VLOOKUP(A1769,'Registros - No nuevos'!A:A,1,0),"Nuevo")</f>
        <v>929@acciona.com</v>
      </c>
      <c r="D1769" s="72" t="str">
        <f t="shared" si="1"/>
        <v>No Nuevo</v>
      </c>
    </row>
    <row r="1770" ht="15.75" customHeight="1">
      <c r="A1770" s="71" t="str">
        <f>Registros!A1770</f>
        <v>3308@gmail.com</v>
      </c>
      <c r="B1770" s="5">
        <f>Registros!B1770</f>
        <v>43838.85764</v>
      </c>
      <c r="C1770" s="18" t="str">
        <f>IFNA(VLOOKUP(A1770,'Registros - No nuevos'!A:A,1,0),"Nuevo")</f>
        <v>3308@gmail.com</v>
      </c>
      <c r="D1770" s="72" t="str">
        <f t="shared" si="1"/>
        <v>No Nuevo</v>
      </c>
    </row>
    <row r="1771" ht="15.75" customHeight="1">
      <c r="A1771" s="71" t="str">
        <f>Registros!A1771</f>
        <v>3309@covisa.cat</v>
      </c>
      <c r="B1771" s="5">
        <f>Registros!B1771</f>
        <v>43838.81667</v>
      </c>
      <c r="C1771" s="18" t="str">
        <f>IFNA(VLOOKUP(A1771,'Registros - No nuevos'!A:A,1,0),"Nuevo")</f>
        <v>3309@covisa.cat</v>
      </c>
      <c r="D1771" s="72" t="str">
        <f t="shared" si="1"/>
        <v>No Nuevo</v>
      </c>
    </row>
    <row r="1772" ht="15.75" customHeight="1">
      <c r="A1772" s="71" t="str">
        <f>Registros!A1772</f>
        <v>3310@gmail.com</v>
      </c>
      <c r="B1772" s="5">
        <f>Registros!B1772</f>
        <v>43838.71458</v>
      </c>
      <c r="C1772" s="18" t="str">
        <f>IFNA(VLOOKUP(A1772,'Registros - No nuevos'!A:A,1,0),"Nuevo")</f>
        <v>3310@gmail.com</v>
      </c>
      <c r="D1772" s="72" t="str">
        <f t="shared" si="1"/>
        <v>No Nuevo</v>
      </c>
    </row>
    <row r="1773" ht="15.75" customHeight="1">
      <c r="A1773" s="71" t="str">
        <f>Registros!A1773</f>
        <v>3311@gmail.com</v>
      </c>
      <c r="B1773" s="5">
        <f>Registros!B1773</f>
        <v>43838.63403</v>
      </c>
      <c r="C1773" s="18" t="str">
        <f>IFNA(VLOOKUP(A1773,'Registros - No nuevos'!A:A,1,0),"Nuevo")</f>
        <v>3311@gmail.com</v>
      </c>
      <c r="D1773" s="72" t="str">
        <f t="shared" si="1"/>
        <v>No Nuevo</v>
      </c>
    </row>
    <row r="1774" ht="15.75" customHeight="1">
      <c r="A1774" s="71" t="str">
        <f>Registros!A1774</f>
        <v>2941@gmail.com</v>
      </c>
      <c r="B1774" s="5">
        <f>Registros!B1774</f>
        <v>43838.5625</v>
      </c>
      <c r="C1774" s="18" t="str">
        <f>IFNA(VLOOKUP(A1774,'Registros - No nuevos'!A:A,1,0),"Nuevo")</f>
        <v>2941@gmail.com</v>
      </c>
      <c r="D1774" s="72" t="str">
        <f t="shared" si="1"/>
        <v>No Nuevo</v>
      </c>
    </row>
    <row r="1775" ht="15.75" customHeight="1">
      <c r="A1775" s="71" t="str">
        <f>Registros!A1775</f>
        <v>2942@ragaluz.com</v>
      </c>
      <c r="B1775" s="5">
        <f>Registros!B1775</f>
        <v>43838.4875</v>
      </c>
      <c r="C1775" s="18" t="str">
        <f>IFNA(VLOOKUP(A1775,'Registros - No nuevos'!A:A,1,0),"Nuevo")</f>
        <v>2942@ragaluz.com</v>
      </c>
      <c r="D1775" s="72" t="str">
        <f t="shared" si="1"/>
        <v>No Nuevo</v>
      </c>
    </row>
    <row r="1776" ht="15.75" customHeight="1">
      <c r="A1776" s="71" t="str">
        <f>Registros!A1776</f>
        <v>3312@gmail.com</v>
      </c>
      <c r="B1776" s="5">
        <f>Registros!B1776</f>
        <v>43838.48611</v>
      </c>
      <c r="C1776" s="18" t="str">
        <f>IFNA(VLOOKUP(A1776,'Registros - No nuevos'!A:A,1,0),"Nuevo")</f>
        <v>3312@gmail.com</v>
      </c>
      <c r="D1776" s="72" t="str">
        <f t="shared" si="1"/>
        <v>No Nuevo</v>
      </c>
    </row>
    <row r="1777" ht="15.75" customHeight="1">
      <c r="A1777" s="71" t="str">
        <f>Registros!A1777</f>
        <v>3313@gmail.com</v>
      </c>
      <c r="B1777" s="5">
        <f>Registros!B1777</f>
        <v>43838.45139</v>
      </c>
      <c r="C1777" s="18" t="str">
        <f>IFNA(VLOOKUP(A1777,'Registros - No nuevos'!A:A,1,0),"Nuevo")</f>
        <v>3313@gmail.com</v>
      </c>
      <c r="D1777" s="72" t="str">
        <f t="shared" si="1"/>
        <v>No Nuevo</v>
      </c>
    </row>
    <row r="1778" ht="15.75" customHeight="1">
      <c r="A1778" s="71" t="str">
        <f>Registros!A1778</f>
        <v>3314@hotmail.com</v>
      </c>
      <c r="B1778" s="5">
        <f>Registros!B1778</f>
        <v>43838.32847</v>
      </c>
      <c r="C1778" s="18" t="str">
        <f>IFNA(VLOOKUP(A1778,'Registros - No nuevos'!A:A,1,0),"Nuevo")</f>
        <v>3314@hotmail.com</v>
      </c>
      <c r="D1778" s="72" t="str">
        <f t="shared" si="1"/>
        <v>No Nuevo</v>
      </c>
    </row>
    <row r="1779" ht="15.75" customHeight="1">
      <c r="A1779" s="71" t="str">
        <f>Registros!A1779</f>
        <v>2944@prysmiangroup.com</v>
      </c>
      <c r="B1779" s="5">
        <f>Registros!B1779</f>
        <v>43837.65694</v>
      </c>
      <c r="C1779" s="18" t="str">
        <f>IFNA(VLOOKUP(A1779,'Registros - No nuevos'!A:A,1,0),"Nuevo")</f>
        <v>2944@prysmiangroup.com</v>
      </c>
      <c r="D1779" s="72" t="str">
        <f t="shared" si="1"/>
        <v>No Nuevo</v>
      </c>
    </row>
    <row r="1780" ht="15.75" customHeight="1">
      <c r="A1780" s="71" t="str">
        <f>Registros!A1780</f>
        <v>3315@hotmail.com</v>
      </c>
      <c r="B1780" s="5">
        <f>Registros!B1780</f>
        <v>43837.59444</v>
      </c>
      <c r="C1780" s="18" t="str">
        <f>IFNA(VLOOKUP(A1780,'Registros - No nuevos'!A:A,1,0),"Nuevo")</f>
        <v>3315@hotmail.com</v>
      </c>
      <c r="D1780" s="72" t="str">
        <f t="shared" si="1"/>
        <v>No Nuevo</v>
      </c>
    </row>
    <row r="1781" ht="15.75" customHeight="1">
      <c r="A1781" s="71" t="str">
        <f>Registros!A1781</f>
        <v>2947@gmail.com</v>
      </c>
      <c r="B1781" s="5">
        <f>Registros!B1781</f>
        <v>43837.52292</v>
      </c>
      <c r="C1781" s="18" t="str">
        <f>IFNA(VLOOKUP(A1781,'Registros - No nuevos'!A:A,1,0),"Nuevo")</f>
        <v>2947@gmail.com</v>
      </c>
      <c r="D1781" s="72" t="str">
        <f t="shared" si="1"/>
        <v>No Nuevo</v>
      </c>
    </row>
    <row r="1782" ht="15.75" customHeight="1">
      <c r="A1782" s="71" t="str">
        <f>Registros!A1782</f>
        <v>2950@telematel.com</v>
      </c>
      <c r="B1782" s="5">
        <f>Registros!B1782</f>
        <v>43837.44375</v>
      </c>
      <c r="C1782" s="18" t="str">
        <f>IFNA(VLOOKUP(A1782,'Registros - No nuevos'!A:A,1,0),"Nuevo")</f>
        <v>2950@telematel.com</v>
      </c>
      <c r="D1782" s="72" t="str">
        <f t="shared" si="1"/>
        <v>No Nuevo</v>
      </c>
    </row>
    <row r="1783" ht="15.75" customHeight="1">
      <c r="A1783" s="71" t="str">
        <f>Registros!A1783</f>
        <v>1556@electricidadguerra.com</v>
      </c>
      <c r="B1783" s="5">
        <f>Registros!B1783</f>
        <v>43837.4375</v>
      </c>
      <c r="C1783" s="18" t="str">
        <f>IFNA(VLOOKUP(A1783,'Registros - No nuevos'!A:A,1,0),"Nuevo")</f>
        <v>1556@electricidadguerra.com</v>
      </c>
      <c r="D1783" s="72" t="str">
        <f t="shared" si="1"/>
        <v>No Nuevo</v>
      </c>
    </row>
    <row r="1784" ht="15.75" customHeight="1">
      <c r="A1784" s="71" t="str">
        <f>Registros!A1784</f>
        <v>2953@sinophosgroup.com</v>
      </c>
      <c r="B1784" s="5">
        <f>Registros!B1784</f>
        <v>43837.36667</v>
      </c>
      <c r="C1784" s="18" t="str">
        <f>IFNA(VLOOKUP(A1784,'Registros - No nuevos'!A:A,1,0),"Nuevo")</f>
        <v>2953@sinophosgroup.com</v>
      </c>
      <c r="D1784" s="72" t="str">
        <f t="shared" si="1"/>
        <v>No Nuevo</v>
      </c>
    </row>
    <row r="1785" ht="15.75" customHeight="1">
      <c r="A1785" s="71" t="str">
        <f>Registros!A1785</f>
        <v>3316@hotmail.com</v>
      </c>
      <c r="B1785" s="5">
        <f>Registros!B1785</f>
        <v>43836.98819</v>
      </c>
      <c r="C1785" s="18" t="str">
        <f>IFNA(VLOOKUP(A1785,'Registros - No nuevos'!A:A,1,0),"Nuevo")</f>
        <v>3316@hotmail.com</v>
      </c>
      <c r="D1785" s="72" t="str">
        <f t="shared" si="1"/>
        <v>No Nuevo</v>
      </c>
    </row>
    <row r="1786" ht="15.75" customHeight="1">
      <c r="A1786" s="71" t="str">
        <f>Registros!A1786</f>
        <v>3317@bonetcars.com</v>
      </c>
      <c r="B1786" s="5">
        <f>Registros!B1786</f>
        <v>43836.91458</v>
      </c>
      <c r="C1786" s="18" t="str">
        <f>IFNA(VLOOKUP(A1786,'Registros - No nuevos'!A:A,1,0),"Nuevo")</f>
        <v>3317@bonetcars.com</v>
      </c>
      <c r="D1786" s="72" t="str">
        <f t="shared" si="1"/>
        <v>No Nuevo</v>
      </c>
    </row>
    <row r="1787" ht="15.75" customHeight="1">
      <c r="A1787" s="71" t="str">
        <f>Registros!A1787</f>
        <v>2955@imamagnets.com</v>
      </c>
      <c r="B1787" s="5">
        <f>Registros!B1787</f>
        <v>43836.90903</v>
      </c>
      <c r="C1787" s="18" t="str">
        <f>IFNA(VLOOKUP(A1787,'Registros - No nuevos'!A:A,1,0),"Nuevo")</f>
        <v>2955@imamagnets.com</v>
      </c>
      <c r="D1787" s="72" t="str">
        <f t="shared" si="1"/>
        <v>No Nuevo</v>
      </c>
    </row>
    <row r="1788" ht="15.75" customHeight="1">
      <c r="A1788" s="71" t="str">
        <f>Registros!A1788</f>
        <v>3318@gmail.com</v>
      </c>
      <c r="B1788" s="5">
        <f>Registros!B1788</f>
        <v>43836.64722</v>
      </c>
      <c r="C1788" s="18" t="str">
        <f>IFNA(VLOOKUP(A1788,'Registros - No nuevos'!A:A,1,0),"Nuevo")</f>
        <v>3318@gmail.com</v>
      </c>
      <c r="D1788" s="72" t="str">
        <f t="shared" si="1"/>
        <v>No Nuevo</v>
      </c>
    </row>
    <row r="1789" ht="15.75" customHeight="1">
      <c r="A1789" s="71" t="str">
        <f>Registros!A1789</f>
        <v>3319@gmail.com</v>
      </c>
      <c r="B1789" s="5">
        <f>Registros!B1789</f>
        <v>43836.48611</v>
      </c>
      <c r="C1789" s="18" t="str">
        <f>IFNA(VLOOKUP(A1789,'Registros - No nuevos'!A:A,1,0),"Nuevo")</f>
        <v>3319@gmail.com</v>
      </c>
      <c r="D1789" s="72" t="str">
        <f t="shared" si="1"/>
        <v>No Nuevo</v>
      </c>
    </row>
    <row r="1790" ht="15.75" customHeight="1">
      <c r="A1790" s="71" t="str">
        <f>Registros!A1790</f>
        <v>3320@googlemail.com</v>
      </c>
      <c r="B1790" s="5">
        <f>Registros!B1790</f>
        <v>43836.43056</v>
      </c>
      <c r="C1790" s="18" t="str">
        <f>IFNA(VLOOKUP(A1790,'Registros - No nuevos'!A:A,1,0),"Nuevo")</f>
        <v>3320@googlemail.com</v>
      </c>
      <c r="D1790" s="72" t="str">
        <f t="shared" si="1"/>
        <v>No Nuevo</v>
      </c>
    </row>
    <row r="1791" ht="15.75" customHeight="1">
      <c r="A1791" s="71" t="str">
        <f>Registros!A1791</f>
        <v>3321@gmail.com</v>
      </c>
      <c r="B1791" s="5">
        <f>Registros!B1791</f>
        <v>43836.42917</v>
      </c>
      <c r="C1791" s="18" t="str">
        <f>IFNA(VLOOKUP(A1791,'Registros - No nuevos'!A:A,1,0),"Nuevo")</f>
        <v>3321@gmail.com</v>
      </c>
      <c r="D1791" s="72" t="str">
        <f t="shared" si="1"/>
        <v>No Nuevo</v>
      </c>
    </row>
    <row r="1792" ht="15.75" customHeight="1">
      <c r="A1792" s="71" t="str">
        <f>Registros!A1792</f>
        <v>2958@gmail.com</v>
      </c>
      <c r="B1792" s="5">
        <f>Registros!B1792</f>
        <v>43835.89097</v>
      </c>
      <c r="C1792" s="18" t="str">
        <f>IFNA(VLOOKUP(A1792,'Registros - No nuevos'!A:A,1,0),"Nuevo")</f>
        <v>2958@gmail.com</v>
      </c>
      <c r="D1792" s="72" t="str">
        <f t="shared" si="1"/>
        <v>No Nuevo</v>
      </c>
    </row>
    <row r="1793" ht="15.75" customHeight="1">
      <c r="A1793" s="71" t="str">
        <f>Registros!A1793</f>
        <v>3322@gmail.com</v>
      </c>
      <c r="B1793" s="5">
        <f>Registros!B1793</f>
        <v>43835.59375</v>
      </c>
      <c r="C1793" s="18" t="str">
        <f>IFNA(VLOOKUP(A1793,'Registros - No nuevos'!A:A,1,0),"Nuevo")</f>
        <v>3322@gmail.com</v>
      </c>
      <c r="D1793" s="72" t="str">
        <f t="shared" si="1"/>
        <v>No Nuevo</v>
      </c>
    </row>
    <row r="1794" ht="15.75" customHeight="1">
      <c r="A1794" s="71" t="str">
        <f>Registros!A1794</f>
        <v>3323@gmail.com</v>
      </c>
      <c r="B1794" s="5">
        <f>Registros!B1794</f>
        <v>43835.37639</v>
      </c>
      <c r="C1794" s="18" t="str">
        <f>IFNA(VLOOKUP(A1794,'Registros - No nuevos'!A:A,1,0),"Nuevo")</f>
        <v>3323@gmail.com</v>
      </c>
      <c r="D1794" s="72" t="str">
        <f t="shared" si="1"/>
        <v>No Nuevo</v>
      </c>
    </row>
    <row r="1795" ht="15.75" customHeight="1">
      <c r="A1795" s="71" t="str">
        <f>Registros!A1795</f>
        <v>3324@gmail.com</v>
      </c>
      <c r="B1795" s="5">
        <f>Registros!B1795</f>
        <v>43835.35833</v>
      </c>
      <c r="C1795" s="18" t="str">
        <f>IFNA(VLOOKUP(A1795,'Registros - No nuevos'!A:A,1,0),"Nuevo")</f>
        <v>3324@gmail.com</v>
      </c>
      <c r="D1795" s="72" t="str">
        <f t="shared" si="1"/>
        <v>No Nuevo</v>
      </c>
    </row>
    <row r="1796" ht="15.75" customHeight="1">
      <c r="A1796" s="71" t="str">
        <f>Registros!A1796</f>
        <v>3325@gmail.com</v>
      </c>
      <c r="B1796" s="5">
        <f>Registros!B1796</f>
        <v>43835.35833</v>
      </c>
      <c r="C1796" s="18" t="str">
        <f>IFNA(VLOOKUP(A1796,'Registros - No nuevos'!A:A,1,0),"Nuevo")</f>
        <v>3325@gmail.com</v>
      </c>
      <c r="D1796" s="72" t="str">
        <f t="shared" si="1"/>
        <v>No Nuevo</v>
      </c>
    </row>
    <row r="1797" ht="15.75" customHeight="1">
      <c r="A1797" s="71" t="str">
        <f>Registros!A1797</f>
        <v>3326@laosoler.com</v>
      </c>
      <c r="B1797" s="5">
        <f>Registros!B1797</f>
        <v>43834.91736</v>
      </c>
      <c r="C1797" s="18" t="str">
        <f>IFNA(VLOOKUP(A1797,'Registros - No nuevos'!A:A,1,0),"Nuevo")</f>
        <v>3326@laosoler.com</v>
      </c>
      <c r="D1797" s="72" t="str">
        <f t="shared" si="1"/>
        <v>No Nuevo</v>
      </c>
    </row>
    <row r="1798" ht="15.75" customHeight="1">
      <c r="A1798" s="71" t="str">
        <f>Registros!A1798</f>
        <v>2360@viplaro.com</v>
      </c>
      <c r="B1798" s="5">
        <f>Registros!B1798</f>
        <v>43834.88403</v>
      </c>
      <c r="C1798" s="18" t="str">
        <f>IFNA(VLOOKUP(A1798,'Registros - No nuevos'!A:A,1,0),"Nuevo")</f>
        <v>2360@viplaro.com</v>
      </c>
      <c r="D1798" s="72" t="str">
        <f t="shared" si="1"/>
        <v>No Nuevo</v>
      </c>
    </row>
    <row r="1799" ht="15.75" customHeight="1">
      <c r="A1799" s="71" t="str">
        <f>Registros!A1799</f>
        <v>2961@mqrenovables.com</v>
      </c>
      <c r="B1799" s="5">
        <f>Registros!B1799</f>
        <v>43834.50486</v>
      </c>
      <c r="C1799" s="18" t="str">
        <f>IFNA(VLOOKUP(A1799,'Registros - No nuevos'!A:A,1,0),"Nuevo")</f>
        <v>2961@mqrenovables.com</v>
      </c>
      <c r="D1799" s="72" t="str">
        <f t="shared" si="1"/>
        <v>No Nuevo</v>
      </c>
    </row>
    <row r="1800" ht="15.75" customHeight="1">
      <c r="A1800" s="71" t="str">
        <f>Registros!A1800</f>
        <v>2960@gmail.com</v>
      </c>
      <c r="B1800" s="5">
        <f>Registros!B1800</f>
        <v>43834.5</v>
      </c>
      <c r="C1800" s="18" t="str">
        <f>IFNA(VLOOKUP(A1800,'Registros - No nuevos'!A:A,1,0),"Nuevo")</f>
        <v>2960@gmail.com</v>
      </c>
      <c r="D1800" s="72" t="str">
        <f t="shared" si="1"/>
        <v>No Nuevo</v>
      </c>
    </row>
    <row r="1801" ht="15.75" customHeight="1">
      <c r="A1801" s="71" t="str">
        <f>Registros!A1801</f>
        <v>2962@gmail.com</v>
      </c>
      <c r="B1801" s="5">
        <f>Registros!B1801</f>
        <v>43834.49653</v>
      </c>
      <c r="C1801" s="18" t="str">
        <f>IFNA(VLOOKUP(A1801,'Registros - No nuevos'!A:A,1,0),"Nuevo")</f>
        <v>2962@gmail.com</v>
      </c>
      <c r="D1801" s="72" t="str">
        <f t="shared" si="1"/>
        <v>No Nuevo</v>
      </c>
    </row>
    <row r="1802" ht="15.75" customHeight="1">
      <c r="A1802" s="71" t="str">
        <f>Registros!A1802</f>
        <v>3327@hotmail.com</v>
      </c>
      <c r="B1802" s="5">
        <f>Registros!B1802</f>
        <v>43834.48333</v>
      </c>
      <c r="C1802" s="18" t="str">
        <f>IFNA(VLOOKUP(A1802,'Registros - No nuevos'!A:A,1,0),"Nuevo")</f>
        <v>3327@hotmail.com</v>
      </c>
      <c r="D1802" s="72" t="str">
        <f t="shared" si="1"/>
        <v>No Nuevo</v>
      </c>
    </row>
    <row r="1803" ht="15.75" customHeight="1">
      <c r="A1803" s="71" t="str">
        <f>Registros!A1803</f>
        <v>3328@gmail.com</v>
      </c>
      <c r="B1803" s="5">
        <f>Registros!B1803</f>
        <v>43834.09792</v>
      </c>
      <c r="C1803" s="18" t="str">
        <f>IFNA(VLOOKUP(A1803,'Registros - No nuevos'!A:A,1,0),"Nuevo")</f>
        <v>3328@gmail.com</v>
      </c>
      <c r="D1803" s="72" t="str">
        <f t="shared" si="1"/>
        <v>No Nuevo</v>
      </c>
    </row>
    <row r="1804" ht="15.75" customHeight="1">
      <c r="A1804" s="71" t="str">
        <f>Registros!A1804</f>
        <v>3329@hotmail.es</v>
      </c>
      <c r="B1804" s="5">
        <f>Registros!B1804</f>
        <v>43834.01042</v>
      </c>
      <c r="C1804" s="18" t="str">
        <f>IFNA(VLOOKUP(A1804,'Registros - No nuevos'!A:A,1,0),"Nuevo")</f>
        <v>3329@hotmail.es</v>
      </c>
      <c r="D1804" s="72" t="str">
        <f t="shared" si="1"/>
        <v>No Nuevo</v>
      </c>
    </row>
    <row r="1805" ht="15.75" customHeight="1">
      <c r="A1805" s="71" t="str">
        <f>Registros!A1805</f>
        <v>2963@gmail.com</v>
      </c>
      <c r="B1805" s="5">
        <f>Registros!B1805</f>
        <v>43833.98681</v>
      </c>
      <c r="C1805" s="18" t="str">
        <f>IFNA(VLOOKUP(A1805,'Registros - No nuevos'!A:A,1,0),"Nuevo")</f>
        <v>2963@gmail.com</v>
      </c>
      <c r="D1805" s="72" t="str">
        <f t="shared" si="1"/>
        <v>No Nuevo</v>
      </c>
    </row>
    <row r="1806" ht="15.75" customHeight="1">
      <c r="A1806" s="71" t="str">
        <f>Registros!A1806</f>
        <v>3330@aplicaciones.com</v>
      </c>
      <c r="B1806" s="5">
        <f>Registros!B1806</f>
        <v>43833.91528</v>
      </c>
      <c r="C1806" s="18" t="str">
        <f>IFNA(VLOOKUP(A1806,'Registros - No nuevos'!A:A,1,0),"Nuevo")</f>
        <v>3330@aplicaciones.com</v>
      </c>
      <c r="D1806" s="72" t="str">
        <f t="shared" si="1"/>
        <v>No Nuevo</v>
      </c>
    </row>
    <row r="1807" ht="15.75" customHeight="1">
      <c r="A1807" s="71" t="str">
        <f>Registros!A1807</f>
        <v>3331@hotmail.com</v>
      </c>
      <c r="B1807" s="5">
        <f>Registros!B1807</f>
        <v>43833.64375</v>
      </c>
      <c r="C1807" s="18" t="str">
        <f>IFNA(VLOOKUP(A1807,'Registros - No nuevos'!A:A,1,0),"Nuevo")</f>
        <v>3331@hotmail.com</v>
      </c>
      <c r="D1807" s="72" t="str">
        <f t="shared" si="1"/>
        <v>No Nuevo</v>
      </c>
    </row>
    <row r="1808" ht="15.75" customHeight="1">
      <c r="A1808" s="71" t="str">
        <f>Registros!A1808</f>
        <v>3332@gmail.com</v>
      </c>
      <c r="B1808" s="5">
        <f>Registros!B1808</f>
        <v>43833.54514</v>
      </c>
      <c r="C1808" s="18" t="str">
        <f>IFNA(VLOOKUP(A1808,'Registros - No nuevos'!A:A,1,0),"Nuevo")</f>
        <v>3332@gmail.com</v>
      </c>
      <c r="D1808" s="72" t="str">
        <f t="shared" si="1"/>
        <v>No Nuevo</v>
      </c>
    </row>
    <row r="1809" ht="15.75" customHeight="1">
      <c r="A1809" s="71" t="str">
        <f>Registros!A1809</f>
        <v>428@hotmail.com</v>
      </c>
      <c r="B1809" s="5">
        <f>Registros!B1809</f>
        <v>43833.45417</v>
      </c>
      <c r="C1809" s="18" t="str">
        <f>IFNA(VLOOKUP(A1809,'Registros - No nuevos'!A:A,1,0),"Nuevo")</f>
        <v>428@hotmail.com</v>
      </c>
      <c r="D1809" s="72" t="str">
        <f t="shared" si="1"/>
        <v>No Nuevo</v>
      </c>
    </row>
    <row r="1810" ht="15.75" customHeight="1">
      <c r="A1810" s="71" t="str">
        <f>Registros!A1810</f>
        <v>3333@gmail.com</v>
      </c>
      <c r="B1810" s="5">
        <f>Registros!B1810</f>
        <v>43833.39931</v>
      </c>
      <c r="C1810" s="18" t="str">
        <f>IFNA(VLOOKUP(A1810,'Registros - No nuevos'!A:A,1,0),"Nuevo")</f>
        <v>3333@gmail.com</v>
      </c>
      <c r="D1810" s="72" t="str">
        <f t="shared" si="1"/>
        <v>No Nuevo</v>
      </c>
    </row>
    <row r="1811" ht="15.75" customHeight="1">
      <c r="A1811" s="71" t="str">
        <f>Registros!A1811</f>
        <v>2972@us.es</v>
      </c>
      <c r="B1811" s="5">
        <f>Registros!B1811</f>
        <v>43833.36944</v>
      </c>
      <c r="C1811" s="18" t="str">
        <f>IFNA(VLOOKUP(A1811,'Registros - No nuevos'!A:A,1,0),"Nuevo")</f>
        <v>2972@us.es</v>
      </c>
      <c r="D1811" s="72" t="str">
        <f t="shared" si="1"/>
        <v>No Nuevo</v>
      </c>
    </row>
    <row r="1812" ht="15.75" customHeight="1">
      <c r="A1812" s="71" t="str">
        <f>Registros!A1812</f>
        <v>2975@gmail.com</v>
      </c>
      <c r="B1812" s="5">
        <f>Registros!B1812</f>
        <v>43833.33542</v>
      </c>
      <c r="C1812" s="18" t="str">
        <f>IFNA(VLOOKUP(A1812,'Registros - No nuevos'!A:A,1,0),"Nuevo")</f>
        <v>2975@gmail.com</v>
      </c>
      <c r="D1812" s="72" t="str">
        <f t="shared" si="1"/>
        <v>No Nuevo</v>
      </c>
    </row>
    <row r="1813" ht="15.75" customHeight="1">
      <c r="A1813" s="71" t="str">
        <f>Registros!A1813</f>
        <v>2983@hotmail.com</v>
      </c>
      <c r="B1813" s="5">
        <f>Registros!B1813</f>
        <v>43832.79653</v>
      </c>
      <c r="C1813" s="18" t="str">
        <f>IFNA(VLOOKUP(A1813,'Registros - No nuevos'!A:A,1,0),"Nuevo")</f>
        <v>2983@hotmail.com</v>
      </c>
      <c r="D1813" s="72" t="str">
        <f t="shared" si="1"/>
        <v>No Nuevo</v>
      </c>
    </row>
    <row r="1814" ht="15.75" customHeight="1">
      <c r="A1814" s="71" t="str">
        <f>Registros!A1814</f>
        <v>3334@fundacionmetal.org</v>
      </c>
      <c r="B1814" s="5">
        <f>Registros!B1814</f>
        <v>43832.7875</v>
      </c>
      <c r="C1814" s="18" t="str">
        <f>IFNA(VLOOKUP(A1814,'Registros - No nuevos'!A:A,1,0),"Nuevo")</f>
        <v>3334@fundacionmetal.org</v>
      </c>
      <c r="D1814" s="72" t="str">
        <f t="shared" si="1"/>
        <v>No Nuevo</v>
      </c>
    </row>
    <row r="1815" ht="15.75" customHeight="1">
      <c r="A1815" s="71" t="str">
        <f>Registros!A1815</f>
        <v>1434@planamar.com</v>
      </c>
      <c r="B1815" s="5">
        <f>Registros!B1815</f>
        <v>43832.68125</v>
      </c>
      <c r="C1815" s="18" t="str">
        <f>IFNA(VLOOKUP(A1815,'Registros - No nuevos'!A:A,1,0),"Nuevo")</f>
        <v>1434@planamar.com</v>
      </c>
      <c r="D1815" s="72" t="str">
        <f t="shared" si="1"/>
        <v>No Nuevo</v>
      </c>
    </row>
    <row r="1816" ht="15.75" customHeight="1">
      <c r="A1816" s="71" t="str">
        <f>Registros!A1816</f>
        <v>2313@gmail.com</v>
      </c>
      <c r="B1816" s="5">
        <f>Registros!B1816</f>
        <v>43832.59931</v>
      </c>
      <c r="C1816" s="18" t="str">
        <f>IFNA(VLOOKUP(A1816,'Registros - No nuevos'!A:A,1,0),"Nuevo")</f>
        <v>2313@gmail.com</v>
      </c>
      <c r="D1816" s="72" t="str">
        <f t="shared" si="1"/>
        <v>No Nuevo</v>
      </c>
    </row>
    <row r="1817" ht="15.75" customHeight="1">
      <c r="A1817" s="71" t="str">
        <f>Registros!A1817</f>
        <v>2973@rt105.es</v>
      </c>
      <c r="B1817" s="5">
        <f>Registros!B1817</f>
        <v>43832.57083</v>
      </c>
      <c r="C1817" s="18" t="str">
        <f>IFNA(VLOOKUP(A1817,'Registros - No nuevos'!A:A,1,0),"Nuevo")</f>
        <v>2973@rt105.es</v>
      </c>
      <c r="D1817" s="72" t="str">
        <f t="shared" si="1"/>
        <v>No Nuevo</v>
      </c>
    </row>
    <row r="1818" ht="15.75" customHeight="1">
      <c r="A1818" s="71" t="str">
        <f>Registros!A1818</f>
        <v>1498@gmail.com</v>
      </c>
      <c r="B1818" s="5">
        <f>Registros!B1818</f>
        <v>43832.54653</v>
      </c>
      <c r="C1818" s="18" t="str">
        <f>IFNA(VLOOKUP(A1818,'Registros - No nuevos'!A:A,1,0),"Nuevo")</f>
        <v>1498@gmail.com</v>
      </c>
      <c r="D1818" s="72" t="str">
        <f t="shared" si="1"/>
        <v>No Nuevo</v>
      </c>
    </row>
    <row r="1819" ht="15.75" customHeight="1">
      <c r="A1819" s="71" t="str">
        <f>Registros!A1819</f>
        <v>2998@dosreisinstalaciones.es</v>
      </c>
      <c r="B1819" s="5">
        <f>Registros!B1819</f>
        <v>43832.44931</v>
      </c>
      <c r="C1819" s="18" t="str">
        <f>IFNA(VLOOKUP(A1819,'Registros - No nuevos'!A:A,1,0),"Nuevo")</f>
        <v>2998@dosreisinstalaciones.es</v>
      </c>
      <c r="D1819" s="72" t="str">
        <f t="shared" si="1"/>
        <v>No Nuevo</v>
      </c>
    </row>
    <row r="1820" ht="15.75" customHeight="1">
      <c r="A1820" s="71" t="str">
        <f>Registros!A1820</f>
        <v>3335@igrenergeticos.es</v>
      </c>
      <c r="B1820" s="5">
        <f>Registros!B1820</f>
        <v>43832.34861</v>
      </c>
      <c r="C1820" s="18" t="str">
        <f>IFNA(VLOOKUP(A1820,'Registros - No nuevos'!A:A,1,0),"Nuevo")</f>
        <v>3335@igrenergeticos.es</v>
      </c>
      <c r="D1820" s="72" t="str">
        <f t="shared" si="1"/>
        <v>No Nuevo</v>
      </c>
    </row>
    <row r="1821" ht="15.75" customHeight="1">
      <c r="A1821" s="73"/>
      <c r="B1821" s="67"/>
      <c r="C1821" s="74"/>
      <c r="D1821" s="75"/>
    </row>
    <row r="1822" ht="15.75" customHeight="1">
      <c r="A1822" s="73"/>
      <c r="B1822" s="67"/>
      <c r="C1822" s="74"/>
      <c r="D1822" s="75"/>
    </row>
    <row r="1823" ht="15.75" customHeight="1">
      <c r="A1823" s="73"/>
      <c r="B1823" s="67"/>
      <c r="C1823" s="74"/>
      <c r="D1823" s="75"/>
    </row>
    <row r="1824" ht="15.75" customHeight="1">
      <c r="A1824" s="73"/>
      <c r="B1824" s="67"/>
      <c r="C1824" s="74"/>
      <c r="D1824" s="75"/>
    </row>
    <row r="1825" ht="15.75" customHeight="1">
      <c r="A1825" s="73"/>
      <c r="B1825" s="67"/>
      <c r="C1825" s="74"/>
      <c r="D1825" s="75"/>
    </row>
    <row r="1826" ht="15.75" customHeight="1">
      <c r="A1826" s="73"/>
      <c r="B1826" s="67"/>
      <c r="C1826" s="74"/>
      <c r="D1826" s="75"/>
    </row>
    <row r="1827" ht="15.75" customHeight="1">
      <c r="A1827" s="73"/>
      <c r="B1827" s="67"/>
      <c r="C1827" s="74"/>
      <c r="D1827" s="75"/>
    </row>
    <row r="1828" ht="15.75" customHeight="1">
      <c r="A1828" s="73"/>
      <c r="B1828" s="67"/>
      <c r="C1828" s="74"/>
      <c r="D1828" s="75"/>
    </row>
    <row r="1829" ht="15.75" customHeight="1">
      <c r="A1829" s="73"/>
      <c r="B1829" s="67"/>
      <c r="C1829" s="74"/>
      <c r="D1829" s="75"/>
    </row>
    <row r="1830" ht="15.75" customHeight="1">
      <c r="A1830" s="73"/>
      <c r="B1830" s="67"/>
      <c r="C1830" s="74"/>
      <c r="D1830" s="75"/>
    </row>
    <row r="1831" ht="15.75" customHeight="1">
      <c r="A1831" s="73"/>
      <c r="B1831" s="67"/>
      <c r="C1831" s="74"/>
      <c r="D1831" s="75"/>
    </row>
    <row r="1832" ht="15.75" customHeight="1">
      <c r="A1832" s="73"/>
      <c r="B1832" s="67"/>
      <c r="C1832" s="74"/>
      <c r="D1832" s="75"/>
    </row>
    <row r="1833" ht="15.75" customHeight="1">
      <c r="A1833" s="73"/>
      <c r="B1833" s="67"/>
      <c r="C1833" s="74"/>
      <c r="D1833" s="75"/>
    </row>
    <row r="1834" ht="15.75" customHeight="1">
      <c r="A1834" s="73"/>
      <c r="B1834" s="67"/>
      <c r="C1834" s="74"/>
      <c r="D1834" s="75"/>
    </row>
    <row r="1835" ht="15.75" customHeight="1">
      <c r="A1835" s="73"/>
      <c r="B1835" s="67"/>
      <c r="C1835" s="74"/>
      <c r="D1835" s="75"/>
    </row>
    <row r="1836" ht="15.75" customHeight="1">
      <c r="A1836" s="73"/>
      <c r="B1836" s="67"/>
      <c r="C1836" s="74"/>
      <c r="D1836" s="75"/>
    </row>
    <row r="1837" ht="15.75" customHeight="1">
      <c r="A1837" s="73"/>
      <c r="B1837" s="67"/>
      <c r="C1837" s="74"/>
      <c r="D1837" s="75"/>
    </row>
    <row r="1838" ht="15.75" customHeight="1">
      <c r="A1838" s="73"/>
      <c r="B1838" s="67"/>
      <c r="C1838" s="74"/>
      <c r="D1838" s="75"/>
    </row>
    <row r="1839" ht="15.75" customHeight="1">
      <c r="A1839" s="73"/>
      <c r="B1839" s="67"/>
      <c r="C1839" s="74"/>
      <c r="D1839" s="75"/>
    </row>
    <row r="1840" ht="15.75" customHeight="1">
      <c r="A1840" s="73"/>
      <c r="B1840" s="67"/>
      <c r="C1840" s="74"/>
      <c r="D1840" s="75"/>
    </row>
    <row r="1841" ht="15.75" customHeight="1">
      <c r="A1841" s="73"/>
      <c r="B1841" s="67"/>
      <c r="C1841" s="74"/>
      <c r="D1841" s="75"/>
    </row>
    <row r="1842" ht="15.75" customHeight="1">
      <c r="A1842" s="73"/>
      <c r="B1842" s="67"/>
      <c r="C1842" s="74"/>
      <c r="D1842" s="75"/>
    </row>
    <row r="1843" ht="15.75" customHeight="1">
      <c r="A1843" s="73"/>
      <c r="B1843" s="67"/>
      <c r="C1843" s="74"/>
      <c r="D1843" s="75"/>
    </row>
    <row r="1844" ht="15.75" customHeight="1">
      <c r="A1844" s="73"/>
      <c r="B1844" s="67"/>
      <c r="C1844" s="74"/>
      <c r="D1844" s="75"/>
    </row>
    <row r="1845" ht="15.75" customHeight="1">
      <c r="A1845" s="73"/>
      <c r="B1845" s="67"/>
      <c r="C1845" s="74"/>
      <c r="D1845" s="75"/>
    </row>
    <row r="1846" ht="15.75" customHeight="1">
      <c r="A1846" s="73"/>
      <c r="B1846" s="67"/>
      <c r="C1846" s="74"/>
      <c r="D1846" s="75"/>
    </row>
    <row r="1847" ht="15.75" customHeight="1">
      <c r="A1847" s="73"/>
      <c r="B1847" s="67"/>
      <c r="C1847" s="74"/>
      <c r="D1847" s="75"/>
    </row>
    <row r="1848" ht="15.75" customHeight="1">
      <c r="A1848" s="73"/>
      <c r="B1848" s="67"/>
      <c r="C1848" s="74"/>
      <c r="D1848" s="75"/>
    </row>
    <row r="1849" ht="15.75" customHeight="1">
      <c r="A1849" s="73"/>
      <c r="B1849" s="67"/>
      <c r="C1849" s="74"/>
      <c r="D1849" s="75"/>
    </row>
    <row r="1850" ht="15.75" customHeight="1">
      <c r="A1850" s="73"/>
      <c r="B1850" s="67"/>
      <c r="C1850" s="74"/>
      <c r="D1850" s="75"/>
    </row>
    <row r="1851" ht="15.75" customHeight="1">
      <c r="A1851" s="73"/>
      <c r="B1851" s="67"/>
      <c r="C1851" s="74"/>
      <c r="D1851" s="75"/>
    </row>
    <row r="1852" ht="15.75" customHeight="1">
      <c r="A1852" s="73"/>
      <c r="B1852" s="67"/>
      <c r="C1852" s="74"/>
      <c r="D1852" s="75"/>
    </row>
    <row r="1853" ht="15.75" customHeight="1">
      <c r="A1853" s="73"/>
      <c r="B1853" s="67"/>
      <c r="C1853" s="74"/>
      <c r="D1853" s="75"/>
    </row>
    <row r="1854" ht="15.75" customHeight="1">
      <c r="A1854" s="73"/>
      <c r="B1854" s="67"/>
      <c r="C1854" s="74"/>
      <c r="D1854" s="75"/>
    </row>
    <row r="1855" ht="15.75" customHeight="1">
      <c r="A1855" s="73"/>
      <c r="B1855" s="67"/>
      <c r="C1855" s="74"/>
      <c r="D1855" s="75"/>
    </row>
    <row r="1856" ht="15.75" customHeight="1">
      <c r="A1856" s="73"/>
      <c r="B1856" s="67"/>
      <c r="C1856" s="74"/>
      <c r="D1856" s="75"/>
    </row>
    <row r="1857" ht="15.75" customHeight="1">
      <c r="A1857" s="73"/>
      <c r="B1857" s="67"/>
      <c r="C1857" s="74"/>
      <c r="D1857" s="75"/>
    </row>
    <row r="1858" ht="15.75" customHeight="1">
      <c r="A1858" s="73"/>
      <c r="B1858" s="67"/>
      <c r="C1858" s="74"/>
      <c r="D1858" s="75"/>
    </row>
    <row r="1859" ht="15.75" customHeight="1">
      <c r="A1859" s="73"/>
      <c r="B1859" s="67"/>
      <c r="C1859" s="74"/>
      <c r="D1859" s="75"/>
    </row>
    <row r="1860" ht="15.75" customHeight="1">
      <c r="A1860" s="73"/>
      <c r="B1860" s="67"/>
      <c r="C1860" s="74"/>
      <c r="D1860" s="75"/>
    </row>
    <row r="1861" ht="15.75" customHeight="1">
      <c r="A1861" s="73"/>
      <c r="B1861" s="67"/>
      <c r="C1861" s="74"/>
      <c r="D1861" s="75"/>
    </row>
    <row r="1862" ht="15.75" customHeight="1">
      <c r="A1862" s="73"/>
      <c r="B1862" s="67"/>
      <c r="C1862" s="74"/>
      <c r="D1862" s="75"/>
    </row>
    <row r="1863" ht="15.75" customHeight="1">
      <c r="A1863" s="73"/>
      <c r="B1863" s="67"/>
      <c r="C1863" s="74"/>
      <c r="D1863" s="75"/>
    </row>
    <row r="1864" ht="15.75" customHeight="1">
      <c r="A1864" s="73"/>
      <c r="B1864" s="67"/>
      <c r="C1864" s="74"/>
      <c r="D1864" s="75"/>
    </row>
    <row r="1865" ht="15.75" customHeight="1">
      <c r="A1865" s="73"/>
      <c r="B1865" s="67"/>
      <c r="C1865" s="74"/>
      <c r="D1865" s="75"/>
    </row>
    <row r="1866" ht="15.75" customHeight="1">
      <c r="A1866" s="73"/>
      <c r="B1866" s="67"/>
      <c r="C1866" s="74"/>
      <c r="D1866" s="75"/>
    </row>
    <row r="1867" ht="15.75" customHeight="1">
      <c r="A1867" s="73"/>
      <c r="B1867" s="67"/>
      <c r="C1867" s="74"/>
      <c r="D1867" s="75"/>
    </row>
    <row r="1868" ht="15.75" customHeight="1">
      <c r="A1868" s="73"/>
      <c r="B1868" s="67"/>
      <c r="C1868" s="74"/>
      <c r="D1868" s="75"/>
    </row>
    <row r="1869" ht="15.75" customHeight="1">
      <c r="A1869" s="73"/>
      <c r="B1869" s="67"/>
      <c r="C1869" s="74"/>
      <c r="D1869" s="75"/>
    </row>
    <row r="1870" ht="15.75" customHeight="1">
      <c r="A1870" s="73"/>
      <c r="B1870" s="67"/>
      <c r="C1870" s="74"/>
      <c r="D1870" s="75"/>
    </row>
    <row r="1871" ht="15.75" customHeight="1">
      <c r="A1871" s="73"/>
      <c r="B1871" s="67"/>
      <c r="C1871" s="74"/>
      <c r="D1871" s="75"/>
    </row>
    <row r="1872" ht="15.75" customHeight="1">
      <c r="A1872" s="73"/>
      <c r="B1872" s="67"/>
      <c r="C1872" s="74"/>
      <c r="D1872" s="75"/>
    </row>
    <row r="1873" ht="15.75" customHeight="1">
      <c r="A1873" s="73"/>
      <c r="B1873" s="67"/>
      <c r="C1873" s="74"/>
      <c r="D1873" s="75"/>
    </row>
    <row r="1874" ht="15.75" customHeight="1">
      <c r="A1874" s="73"/>
      <c r="B1874" s="67"/>
      <c r="C1874" s="74"/>
      <c r="D1874" s="75"/>
    </row>
    <row r="1875" ht="15.75" customHeight="1">
      <c r="A1875" s="73"/>
      <c r="B1875" s="67"/>
      <c r="C1875" s="74"/>
      <c r="D1875" s="75"/>
    </row>
    <row r="1876" ht="15.75" customHeight="1">
      <c r="A1876" s="73"/>
      <c r="B1876" s="67"/>
      <c r="C1876" s="74"/>
      <c r="D1876" s="75"/>
    </row>
    <row r="1877" ht="15.75" customHeight="1">
      <c r="A1877" s="73"/>
      <c r="B1877" s="67"/>
      <c r="C1877" s="74"/>
      <c r="D1877" s="75"/>
    </row>
    <row r="1878" ht="15.75" customHeight="1">
      <c r="A1878" s="73"/>
      <c r="B1878" s="67"/>
      <c r="C1878" s="74"/>
      <c r="D1878" s="75"/>
    </row>
    <row r="1879" ht="15.75" customHeight="1">
      <c r="A1879" s="73"/>
      <c r="B1879" s="67"/>
      <c r="C1879" s="74"/>
      <c r="D1879" s="75"/>
    </row>
    <row r="1880" ht="15.75" customHeight="1">
      <c r="A1880" s="73"/>
      <c r="B1880" s="67"/>
      <c r="C1880" s="74"/>
      <c r="D1880" s="75"/>
    </row>
    <row r="1881" ht="15.75" customHeight="1">
      <c r="A1881" s="73"/>
      <c r="B1881" s="67"/>
      <c r="C1881" s="74"/>
      <c r="D1881" s="75"/>
    </row>
    <row r="1882" ht="15.75" customHeight="1">
      <c r="A1882" s="73"/>
      <c r="B1882" s="67"/>
      <c r="C1882" s="74"/>
      <c r="D1882" s="75"/>
    </row>
    <row r="1883" ht="15.75" customHeight="1">
      <c r="A1883" s="73"/>
      <c r="B1883" s="67"/>
      <c r="C1883" s="74"/>
      <c r="D1883" s="75"/>
    </row>
    <row r="1884" ht="15.75" customHeight="1">
      <c r="A1884" s="73"/>
      <c r="B1884" s="67"/>
      <c r="C1884" s="74"/>
      <c r="D1884" s="75"/>
    </row>
    <row r="1885" ht="15.75" customHeight="1">
      <c r="A1885" s="73"/>
      <c r="B1885" s="67"/>
      <c r="C1885" s="74"/>
      <c r="D1885" s="75"/>
    </row>
    <row r="1886" ht="15.75" customHeight="1">
      <c r="A1886" s="73"/>
      <c r="B1886" s="67"/>
      <c r="C1886" s="74"/>
      <c r="D1886" s="75"/>
    </row>
    <row r="1887" ht="15.75" customHeight="1">
      <c r="A1887" s="73"/>
      <c r="B1887" s="67"/>
      <c r="C1887" s="74"/>
      <c r="D1887" s="75"/>
    </row>
    <row r="1888" ht="15.75" customHeight="1">
      <c r="A1888" s="73"/>
      <c r="B1888" s="67"/>
      <c r="C1888" s="74"/>
      <c r="D1888" s="75"/>
    </row>
    <row r="1889" ht="15.75" customHeight="1">
      <c r="A1889" s="73"/>
      <c r="B1889" s="67"/>
      <c r="C1889" s="74"/>
      <c r="D1889" s="75"/>
    </row>
    <row r="1890" ht="15.75" customHeight="1">
      <c r="A1890" s="73"/>
      <c r="B1890" s="67"/>
      <c r="C1890" s="74"/>
      <c r="D1890" s="75"/>
    </row>
    <row r="1891" ht="15.75" customHeight="1">
      <c r="A1891" s="73"/>
      <c r="B1891" s="67"/>
      <c r="C1891" s="74"/>
      <c r="D1891" s="75"/>
    </row>
    <row r="1892" ht="15.75" customHeight="1">
      <c r="A1892" s="73"/>
      <c r="B1892" s="67"/>
      <c r="C1892" s="74"/>
      <c r="D1892" s="75"/>
    </row>
    <row r="1893" ht="15.75" customHeight="1">
      <c r="A1893" s="73"/>
      <c r="B1893" s="67"/>
      <c r="C1893" s="74"/>
      <c r="D1893" s="75"/>
    </row>
    <row r="1894" ht="15.75" customHeight="1">
      <c r="A1894" s="73"/>
      <c r="B1894" s="67"/>
      <c r="C1894" s="74"/>
      <c r="D1894" s="75"/>
    </row>
    <row r="1895" ht="15.75" customHeight="1">
      <c r="A1895" s="73"/>
      <c r="B1895" s="67"/>
      <c r="C1895" s="74"/>
      <c r="D1895" s="75"/>
    </row>
    <row r="1896" ht="15.75" customHeight="1">
      <c r="A1896" s="73"/>
      <c r="B1896" s="67"/>
      <c r="C1896" s="74"/>
      <c r="D1896" s="75"/>
    </row>
    <row r="1897" ht="15.75" customHeight="1">
      <c r="A1897" s="73"/>
      <c r="B1897" s="67"/>
      <c r="C1897" s="74"/>
      <c r="D1897" s="75"/>
    </row>
    <row r="1898" ht="15.75" customHeight="1">
      <c r="A1898" s="73"/>
      <c r="B1898" s="67"/>
      <c r="C1898" s="74"/>
      <c r="D1898" s="75"/>
    </row>
    <row r="1899" ht="15.75" customHeight="1">
      <c r="A1899" s="73"/>
      <c r="B1899" s="67"/>
      <c r="C1899" s="74"/>
      <c r="D1899" s="75"/>
    </row>
    <row r="1900" ht="15.75" customHeight="1">
      <c r="A1900" s="73"/>
      <c r="B1900" s="67"/>
      <c r="C1900" s="74"/>
      <c r="D1900" s="75"/>
    </row>
    <row r="1901" ht="15.75" customHeight="1">
      <c r="A1901" s="73"/>
      <c r="B1901" s="67"/>
      <c r="C1901" s="74"/>
      <c r="D1901" s="75"/>
    </row>
    <row r="1902" ht="15.75" customHeight="1">
      <c r="A1902" s="73"/>
      <c r="B1902" s="67"/>
      <c r="C1902" s="74"/>
      <c r="D1902" s="75"/>
    </row>
    <row r="1903" ht="15.75" customHeight="1">
      <c r="A1903" s="73"/>
      <c r="B1903" s="67"/>
      <c r="C1903" s="74"/>
      <c r="D1903" s="75"/>
    </row>
    <row r="1904" ht="15.75" customHeight="1">
      <c r="A1904" s="73"/>
      <c r="B1904" s="67"/>
      <c r="C1904" s="74"/>
      <c r="D1904" s="75"/>
    </row>
    <row r="1905" ht="15.75" customHeight="1">
      <c r="A1905" s="73"/>
      <c r="B1905" s="67"/>
      <c r="C1905" s="74"/>
      <c r="D1905" s="75"/>
    </row>
    <row r="1906" ht="15.75" customHeight="1">
      <c r="A1906" s="73"/>
      <c r="B1906" s="67"/>
      <c r="C1906" s="74"/>
      <c r="D1906" s="75"/>
    </row>
    <row r="1907" ht="15.75" customHeight="1">
      <c r="A1907" s="73"/>
      <c r="B1907" s="67"/>
      <c r="C1907" s="74"/>
      <c r="D1907" s="75"/>
    </row>
    <row r="1908" ht="15.75" customHeight="1">
      <c r="A1908" s="73"/>
      <c r="B1908" s="67"/>
      <c r="C1908" s="74"/>
      <c r="D1908" s="75"/>
    </row>
    <row r="1909" ht="15.75" customHeight="1">
      <c r="A1909" s="73"/>
      <c r="B1909" s="67"/>
      <c r="C1909" s="74"/>
      <c r="D1909" s="75"/>
    </row>
    <row r="1910" ht="15.75" customHeight="1">
      <c r="A1910" s="73"/>
      <c r="B1910" s="67"/>
      <c r="C1910" s="74"/>
      <c r="D1910" s="75"/>
    </row>
    <row r="1911" ht="15.75" customHeight="1">
      <c r="A1911" s="73"/>
      <c r="B1911" s="67"/>
      <c r="C1911" s="74"/>
      <c r="D1911" s="75"/>
    </row>
    <row r="1912" ht="15.75" customHeight="1">
      <c r="A1912" s="73"/>
      <c r="B1912" s="67"/>
      <c r="C1912" s="74"/>
      <c r="D1912" s="75"/>
    </row>
    <row r="1913" ht="15.75" customHeight="1">
      <c r="A1913" s="73"/>
      <c r="B1913" s="67"/>
      <c r="C1913" s="74"/>
      <c r="D1913" s="75"/>
    </row>
    <row r="1914" ht="15.75" customHeight="1">
      <c r="A1914" s="73"/>
      <c r="B1914" s="67"/>
      <c r="C1914" s="74"/>
      <c r="D1914" s="75"/>
    </row>
    <row r="1915" ht="15.75" customHeight="1">
      <c r="A1915" s="73"/>
      <c r="B1915" s="67"/>
      <c r="C1915" s="74"/>
      <c r="D1915" s="75"/>
    </row>
    <row r="1916" ht="15.75" customHeight="1">
      <c r="A1916" s="73"/>
      <c r="B1916" s="67"/>
      <c r="C1916" s="74"/>
      <c r="D1916" s="75"/>
    </row>
    <row r="1917" ht="15.75" customHeight="1">
      <c r="A1917" s="73"/>
      <c r="B1917" s="67"/>
      <c r="C1917" s="74"/>
      <c r="D1917" s="75"/>
    </row>
    <row r="1918" ht="15.75" customHeight="1">
      <c r="A1918" s="73"/>
      <c r="B1918" s="67"/>
      <c r="C1918" s="74"/>
      <c r="D1918" s="75"/>
    </row>
    <row r="1919" ht="15.75" customHeight="1">
      <c r="A1919" s="73"/>
      <c r="B1919" s="67"/>
      <c r="C1919" s="74"/>
      <c r="D1919" s="75"/>
    </row>
    <row r="1920" ht="15.75" customHeight="1">
      <c r="A1920" s="73"/>
      <c r="B1920" s="67"/>
      <c r="C1920" s="74"/>
      <c r="D1920" s="75"/>
    </row>
    <row r="1921" ht="15.75" customHeight="1">
      <c r="A1921" s="73"/>
      <c r="B1921" s="67"/>
      <c r="C1921" s="74"/>
      <c r="D1921" s="75"/>
    </row>
    <row r="1922" ht="15.75" customHeight="1">
      <c r="A1922" s="73"/>
      <c r="B1922" s="67"/>
      <c r="C1922" s="74"/>
      <c r="D1922" s="75"/>
    </row>
    <row r="1923" ht="15.75" customHeight="1">
      <c r="A1923" s="73"/>
      <c r="B1923" s="67"/>
      <c r="C1923" s="74"/>
      <c r="D1923" s="75"/>
    </row>
    <row r="1924" ht="15.75" customHeight="1">
      <c r="A1924" s="73"/>
      <c r="B1924" s="67"/>
      <c r="C1924" s="74"/>
      <c r="D1924" s="75"/>
    </row>
    <row r="1925" ht="15.75" customHeight="1">
      <c r="A1925" s="73"/>
      <c r="B1925" s="67"/>
      <c r="C1925" s="74"/>
      <c r="D1925" s="75"/>
    </row>
    <row r="1926" ht="15.75" customHeight="1">
      <c r="A1926" s="73"/>
      <c r="B1926" s="67"/>
      <c r="C1926" s="74"/>
      <c r="D1926" s="75"/>
    </row>
    <row r="1927" ht="15.75" customHeight="1">
      <c r="A1927" s="73"/>
      <c r="B1927" s="67"/>
      <c r="C1927" s="74"/>
      <c r="D1927" s="75"/>
    </row>
    <row r="1928" ht="15.75" customHeight="1">
      <c r="A1928" s="73"/>
      <c r="B1928" s="67"/>
      <c r="C1928" s="74"/>
      <c r="D1928" s="75"/>
    </row>
    <row r="1929" ht="15.75" customHeight="1">
      <c r="A1929" s="73"/>
      <c r="B1929" s="67"/>
      <c r="C1929" s="74"/>
      <c r="D1929" s="75"/>
    </row>
    <row r="1930" ht="15.75" customHeight="1">
      <c r="A1930" s="73"/>
      <c r="B1930" s="67"/>
      <c r="C1930" s="74"/>
      <c r="D1930" s="75"/>
    </row>
    <row r="1931" ht="15.75" customHeight="1">
      <c r="A1931" s="73"/>
      <c r="B1931" s="67"/>
      <c r="C1931" s="74"/>
      <c r="D1931" s="75"/>
    </row>
    <row r="1932" ht="15.75" customHeight="1">
      <c r="A1932" s="73"/>
      <c r="B1932" s="67"/>
      <c r="C1932" s="74"/>
      <c r="D1932" s="75"/>
    </row>
    <row r="1933" ht="15.75" customHeight="1">
      <c r="A1933" s="73"/>
      <c r="B1933" s="67"/>
      <c r="C1933" s="74"/>
      <c r="D1933" s="75"/>
    </row>
    <row r="1934" ht="15.75" customHeight="1">
      <c r="A1934" s="73"/>
      <c r="B1934" s="67"/>
      <c r="C1934" s="74"/>
      <c r="D1934" s="75"/>
    </row>
    <row r="1935" ht="15.75" customHeight="1">
      <c r="A1935" s="73"/>
      <c r="B1935" s="67"/>
      <c r="C1935" s="74"/>
      <c r="D1935" s="75"/>
    </row>
    <row r="1936" ht="15.75" customHeight="1">
      <c r="A1936" s="73"/>
      <c r="B1936" s="67"/>
      <c r="C1936" s="74"/>
      <c r="D1936" s="75"/>
    </row>
    <row r="1937" ht="15.75" customHeight="1">
      <c r="A1937" s="73"/>
      <c r="B1937" s="67"/>
      <c r="C1937" s="74"/>
      <c r="D1937" s="75"/>
    </row>
    <row r="1938" ht="15.75" customHeight="1">
      <c r="A1938" s="73"/>
      <c r="B1938" s="67"/>
      <c r="C1938" s="74"/>
      <c r="D1938" s="75"/>
    </row>
    <row r="1939" ht="15.75" customHeight="1">
      <c r="A1939" s="73"/>
      <c r="B1939" s="67"/>
      <c r="C1939" s="74"/>
      <c r="D1939" s="75"/>
    </row>
    <row r="1940" ht="15.75" customHeight="1">
      <c r="A1940" s="73"/>
      <c r="B1940" s="67"/>
      <c r="C1940" s="74"/>
      <c r="D1940" s="75"/>
    </row>
    <row r="1941" ht="15.75" customHeight="1">
      <c r="A1941" s="73"/>
      <c r="B1941" s="67"/>
      <c r="C1941" s="74"/>
      <c r="D1941" s="75"/>
    </row>
    <row r="1942" ht="15.75" customHeight="1">
      <c r="A1942" s="73"/>
      <c r="B1942" s="67"/>
      <c r="C1942" s="74"/>
      <c r="D1942" s="75"/>
    </row>
    <row r="1943" ht="15.75" customHeight="1">
      <c r="A1943" s="73"/>
      <c r="B1943" s="67"/>
      <c r="C1943" s="74"/>
      <c r="D1943" s="75"/>
    </row>
    <row r="1944" ht="15.75" customHeight="1">
      <c r="A1944" s="73"/>
      <c r="B1944" s="67"/>
      <c r="C1944" s="74"/>
      <c r="D1944" s="75"/>
    </row>
    <row r="1945" ht="15.75" customHeight="1">
      <c r="A1945" s="73"/>
      <c r="B1945" s="67"/>
      <c r="C1945" s="74"/>
      <c r="D1945" s="75"/>
    </row>
    <row r="1946" ht="15.75" customHeight="1">
      <c r="A1946" s="73"/>
      <c r="B1946" s="67"/>
      <c r="C1946" s="74"/>
      <c r="D1946" s="75"/>
    </row>
    <row r="1947" ht="15.75" customHeight="1">
      <c r="A1947" s="73"/>
      <c r="B1947" s="67"/>
      <c r="C1947" s="74"/>
      <c r="D1947" s="75"/>
    </row>
    <row r="1948" ht="15.75" customHeight="1">
      <c r="A1948" s="73"/>
      <c r="B1948" s="67"/>
      <c r="C1948" s="74"/>
      <c r="D1948" s="75"/>
    </row>
    <row r="1949" ht="15.75" customHeight="1">
      <c r="A1949" s="73"/>
      <c r="B1949" s="67"/>
      <c r="C1949" s="74"/>
      <c r="D1949" s="75"/>
    </row>
    <row r="1950" ht="15.75" customHeight="1">
      <c r="A1950" s="73"/>
      <c r="B1950" s="67"/>
      <c r="C1950" s="74"/>
      <c r="D1950" s="75"/>
    </row>
    <row r="1951" ht="15.75" customHeight="1">
      <c r="A1951" s="73"/>
      <c r="B1951" s="67"/>
      <c r="C1951" s="74"/>
      <c r="D1951" s="75"/>
    </row>
    <row r="1952" ht="15.75" customHeight="1">
      <c r="A1952" s="73"/>
      <c r="B1952" s="67"/>
      <c r="C1952" s="74"/>
      <c r="D1952" s="75"/>
    </row>
    <row r="1953" ht="15.75" customHeight="1">
      <c r="A1953" s="73"/>
      <c r="B1953" s="67"/>
      <c r="C1953" s="74"/>
      <c r="D1953" s="75"/>
    </row>
    <row r="1954" ht="15.75" customHeight="1">
      <c r="A1954" s="73"/>
      <c r="B1954" s="67"/>
      <c r="C1954" s="74"/>
      <c r="D1954" s="75"/>
    </row>
    <row r="1955" ht="15.75" customHeight="1">
      <c r="A1955" s="73"/>
      <c r="B1955" s="67"/>
      <c r="C1955" s="74"/>
      <c r="D1955" s="75"/>
    </row>
    <row r="1956" ht="15.75" customHeight="1">
      <c r="A1956" s="73"/>
      <c r="B1956" s="67"/>
      <c r="C1956" s="74"/>
      <c r="D1956" s="75"/>
    </row>
    <row r="1957" ht="15.75" customHeight="1">
      <c r="A1957" s="73"/>
      <c r="B1957" s="67"/>
      <c r="C1957" s="74"/>
      <c r="D1957" s="75"/>
    </row>
    <row r="1958" ht="15.75" customHeight="1">
      <c r="A1958" s="73"/>
      <c r="B1958" s="67"/>
      <c r="C1958" s="74"/>
      <c r="D1958" s="75"/>
    </row>
    <row r="1959" ht="15.75" customHeight="1">
      <c r="A1959" s="73"/>
      <c r="B1959" s="67"/>
      <c r="C1959" s="74"/>
      <c r="D1959" s="75"/>
    </row>
    <row r="1960" ht="15.75" customHeight="1">
      <c r="A1960" s="73"/>
      <c r="B1960" s="67"/>
      <c r="C1960" s="74"/>
      <c r="D1960" s="75"/>
    </row>
    <row r="1961" ht="15.75" customHeight="1">
      <c r="A1961" s="73"/>
      <c r="B1961" s="67"/>
      <c r="C1961" s="74"/>
      <c r="D1961" s="75"/>
    </row>
    <row r="1962" ht="15.75" customHeight="1">
      <c r="A1962" s="73"/>
      <c r="B1962" s="67"/>
      <c r="C1962" s="74"/>
      <c r="D1962" s="75"/>
    </row>
    <row r="1963" ht="15.75" customHeight="1">
      <c r="A1963" s="73"/>
      <c r="B1963" s="67"/>
      <c r="C1963" s="74"/>
      <c r="D1963" s="75"/>
    </row>
    <row r="1964" ht="15.75" customHeight="1">
      <c r="A1964" s="73"/>
      <c r="B1964" s="67"/>
      <c r="C1964" s="74"/>
      <c r="D1964" s="75"/>
    </row>
    <row r="1965" ht="15.75" customHeight="1">
      <c r="A1965" s="73"/>
      <c r="B1965" s="67"/>
      <c r="C1965" s="74"/>
      <c r="D1965" s="75"/>
    </row>
    <row r="1966" ht="15.75" customHeight="1">
      <c r="A1966" s="73"/>
      <c r="B1966" s="67"/>
      <c r="C1966" s="74"/>
      <c r="D1966" s="75"/>
    </row>
    <row r="1967" ht="15.75" customHeight="1">
      <c r="A1967" s="73"/>
      <c r="B1967" s="67"/>
      <c r="C1967" s="74"/>
      <c r="D1967" s="75"/>
    </row>
    <row r="1968" ht="15.75" customHeight="1">
      <c r="A1968" s="73"/>
      <c r="B1968" s="67"/>
      <c r="C1968" s="74"/>
      <c r="D1968" s="75"/>
    </row>
    <row r="1969" ht="15.75" customHeight="1">
      <c r="A1969" s="73"/>
      <c r="B1969" s="67"/>
      <c r="C1969" s="74"/>
      <c r="D1969" s="75"/>
    </row>
    <row r="1970" ht="15.75" customHeight="1">
      <c r="A1970" s="73"/>
      <c r="B1970" s="67"/>
      <c r="C1970" s="74"/>
      <c r="D1970" s="75"/>
    </row>
    <row r="1971" ht="15.75" customHeight="1">
      <c r="A1971" s="73"/>
      <c r="B1971" s="67"/>
      <c r="C1971" s="74"/>
      <c r="D1971" s="75"/>
    </row>
    <row r="1972" ht="15.75" customHeight="1">
      <c r="A1972" s="73"/>
      <c r="B1972" s="67"/>
      <c r="C1972" s="74"/>
      <c r="D1972" s="75"/>
    </row>
    <row r="1973" ht="15.75" customHeight="1">
      <c r="A1973" s="73"/>
      <c r="B1973" s="67"/>
      <c r="C1973" s="74"/>
      <c r="D1973" s="75"/>
    </row>
    <row r="1974" ht="15.75" customHeight="1">
      <c r="A1974" s="73"/>
      <c r="B1974" s="67"/>
      <c r="C1974" s="74"/>
      <c r="D1974" s="75"/>
    </row>
    <row r="1975" ht="15.75" customHeight="1">
      <c r="A1975" s="73"/>
      <c r="B1975" s="67"/>
      <c r="C1975" s="74"/>
      <c r="D1975" s="75"/>
    </row>
    <row r="1976" ht="15.75" customHeight="1">
      <c r="A1976" s="73"/>
      <c r="B1976" s="67"/>
      <c r="C1976" s="74"/>
      <c r="D1976" s="75"/>
    </row>
    <row r="1977" ht="15.75" customHeight="1">
      <c r="A1977" s="73"/>
      <c r="B1977" s="67"/>
      <c r="C1977" s="74"/>
      <c r="D1977" s="75"/>
    </row>
    <row r="1978" ht="15.75" customHeight="1">
      <c r="A1978" s="73"/>
      <c r="B1978" s="67"/>
      <c r="C1978" s="74"/>
      <c r="D1978" s="75"/>
    </row>
    <row r="1979" ht="15.75" customHeight="1">
      <c r="A1979" s="73"/>
      <c r="B1979" s="67"/>
      <c r="C1979" s="74"/>
      <c r="D1979" s="75"/>
    </row>
    <row r="1980" ht="15.75" customHeight="1">
      <c r="A1980" s="73"/>
      <c r="B1980" s="67"/>
      <c r="C1980" s="74"/>
      <c r="D1980" s="75"/>
    </row>
    <row r="1981" ht="15.75" customHeight="1">
      <c r="A1981" s="73"/>
      <c r="B1981" s="67"/>
      <c r="C1981" s="74"/>
      <c r="D1981" s="75"/>
    </row>
    <row r="1982" ht="15.75" customHeight="1">
      <c r="A1982" s="73"/>
      <c r="B1982" s="67"/>
      <c r="C1982" s="74"/>
      <c r="D1982" s="75"/>
    </row>
    <row r="1983" ht="15.75" customHeight="1">
      <c r="A1983" s="73"/>
      <c r="B1983" s="67"/>
      <c r="C1983" s="74"/>
      <c r="D1983" s="75"/>
    </row>
    <row r="1984" ht="15.75" customHeight="1">
      <c r="A1984" s="73"/>
      <c r="B1984" s="67"/>
      <c r="C1984" s="74"/>
      <c r="D1984" s="75"/>
    </row>
    <row r="1985" ht="15.75" customHeight="1">
      <c r="A1985" s="73"/>
      <c r="B1985" s="67"/>
      <c r="C1985" s="74"/>
      <c r="D1985" s="75"/>
    </row>
    <row r="1986" ht="15.75" customHeight="1">
      <c r="A1986" s="73"/>
      <c r="B1986" s="67"/>
      <c r="C1986" s="74"/>
      <c r="D1986" s="75"/>
    </row>
    <row r="1987" ht="15.75" customHeight="1">
      <c r="A1987" s="73"/>
      <c r="B1987" s="67"/>
      <c r="C1987" s="74"/>
      <c r="D1987" s="75"/>
    </row>
    <row r="1988" ht="15.75" customHeight="1">
      <c r="A1988" s="73"/>
      <c r="B1988" s="67"/>
      <c r="C1988" s="74"/>
      <c r="D1988" s="75"/>
    </row>
    <row r="1989" ht="15.75" customHeight="1">
      <c r="A1989" s="73"/>
      <c r="B1989" s="67"/>
      <c r="C1989" s="74"/>
      <c r="D1989" s="75"/>
    </row>
    <row r="1990" ht="15.75" customHeight="1">
      <c r="A1990" s="73"/>
      <c r="B1990" s="67"/>
      <c r="C1990" s="74"/>
      <c r="D1990" s="75"/>
    </row>
    <row r="1991" ht="15.75" customHeight="1">
      <c r="A1991" s="73"/>
      <c r="B1991" s="67"/>
      <c r="C1991" s="74"/>
      <c r="D1991" s="75"/>
    </row>
    <row r="1992" ht="15.75" customHeight="1">
      <c r="A1992" s="73"/>
      <c r="B1992" s="67"/>
      <c r="C1992" s="74"/>
      <c r="D1992" s="75"/>
    </row>
    <row r="1993" ht="15.75" customHeight="1">
      <c r="A1993" s="73"/>
      <c r="B1993" s="67"/>
      <c r="C1993" s="74"/>
      <c r="D1993" s="75"/>
    </row>
    <row r="1994" ht="15.75" customHeight="1">
      <c r="A1994" s="73"/>
      <c r="B1994" s="67"/>
      <c r="C1994" s="74"/>
      <c r="D1994" s="75"/>
    </row>
    <row r="1995" ht="15.75" customHeight="1">
      <c r="A1995" s="73"/>
      <c r="B1995" s="67"/>
      <c r="C1995" s="74"/>
      <c r="D1995" s="75"/>
    </row>
    <row r="1996" ht="15.75" customHeight="1">
      <c r="A1996" s="73"/>
      <c r="B1996" s="67"/>
      <c r="C1996" s="74"/>
      <c r="D1996" s="75"/>
    </row>
    <row r="1997" ht="15.75" customHeight="1">
      <c r="A1997" s="73"/>
      <c r="B1997" s="67"/>
      <c r="C1997" s="74"/>
      <c r="D1997" s="75"/>
    </row>
    <row r="1998" ht="15.75" customHeight="1">
      <c r="A1998" s="73"/>
      <c r="B1998" s="67"/>
      <c r="C1998" s="74"/>
      <c r="D1998" s="75"/>
    </row>
    <row r="1999" ht="15.75" customHeight="1">
      <c r="A1999" s="73"/>
      <c r="B1999" s="67"/>
      <c r="C1999" s="74"/>
      <c r="D1999" s="75"/>
    </row>
    <row r="2000" ht="15.75" customHeight="1">
      <c r="A2000" s="73"/>
      <c r="B2000" s="67"/>
      <c r="C2000" s="74"/>
      <c r="D2000" s="75"/>
    </row>
    <row r="2001" ht="15.75" customHeight="1">
      <c r="A2001" s="73"/>
      <c r="B2001" s="67"/>
      <c r="C2001" s="74"/>
      <c r="D2001" s="75"/>
    </row>
    <row r="2002" ht="15.75" customHeight="1">
      <c r="A2002" s="73"/>
      <c r="B2002" s="67"/>
      <c r="C2002" s="74"/>
      <c r="D2002" s="75"/>
    </row>
    <row r="2003" ht="15.75" customHeight="1">
      <c r="A2003" s="73"/>
      <c r="B2003" s="67"/>
      <c r="C2003" s="74"/>
      <c r="D2003" s="75"/>
    </row>
    <row r="2004" ht="15.75" customHeight="1">
      <c r="A2004" s="73"/>
      <c r="B2004" s="67"/>
      <c r="C2004" s="74"/>
      <c r="D2004" s="75"/>
    </row>
    <row r="2005" ht="15.75" customHeight="1">
      <c r="A2005" s="73"/>
      <c r="B2005" s="67"/>
      <c r="C2005" s="74"/>
      <c r="D2005" s="75"/>
    </row>
    <row r="2006" ht="15.75" customHeight="1">
      <c r="A2006" s="73"/>
      <c r="B2006" s="67"/>
      <c r="C2006" s="74"/>
      <c r="D2006" s="75"/>
    </row>
    <row r="2007" ht="15.75" customHeight="1">
      <c r="A2007" s="73"/>
      <c r="B2007" s="67"/>
      <c r="C2007" s="74"/>
      <c r="D2007" s="75"/>
    </row>
    <row r="2008" ht="15.75" customHeight="1">
      <c r="A2008" s="73"/>
      <c r="B2008" s="67"/>
      <c r="C2008" s="74"/>
      <c r="D2008" s="75"/>
    </row>
    <row r="2009" ht="15.75" customHeight="1">
      <c r="A2009" s="73"/>
      <c r="B2009" s="67"/>
      <c r="C2009" s="74"/>
      <c r="D2009" s="75"/>
    </row>
    <row r="2010" ht="15.75" customHeight="1">
      <c r="A2010" s="73"/>
      <c r="B2010" s="67"/>
      <c r="C2010" s="74"/>
      <c r="D2010" s="75"/>
    </row>
    <row r="2011" ht="15.75" customHeight="1">
      <c r="A2011" s="73"/>
      <c r="B2011" s="67"/>
      <c r="C2011" s="74"/>
      <c r="D2011" s="75"/>
    </row>
    <row r="2012" ht="15.75" customHeight="1">
      <c r="A2012" s="73"/>
      <c r="B2012" s="67"/>
      <c r="C2012" s="74"/>
      <c r="D2012" s="75"/>
    </row>
    <row r="2013" ht="15.75" customHeight="1">
      <c r="A2013" s="73"/>
      <c r="B2013" s="67"/>
      <c r="C2013" s="74"/>
      <c r="D2013" s="75"/>
    </row>
    <row r="2014" ht="15.75" customHeight="1">
      <c r="A2014" s="73"/>
      <c r="B2014" s="67"/>
      <c r="C2014" s="74"/>
      <c r="D2014" s="75"/>
    </row>
    <row r="2015" ht="15.75" customHeight="1">
      <c r="A2015" s="73"/>
      <c r="B2015" s="67"/>
      <c r="C2015" s="74"/>
      <c r="D2015" s="75"/>
    </row>
    <row r="2016" ht="15.75" customHeight="1">
      <c r="A2016" s="73"/>
      <c r="B2016" s="67"/>
      <c r="C2016" s="74"/>
      <c r="D2016" s="75"/>
    </row>
    <row r="2017" ht="15.75" customHeight="1">
      <c r="A2017" s="73"/>
      <c r="B2017" s="67"/>
      <c r="C2017" s="74"/>
      <c r="D2017" s="75"/>
    </row>
    <row r="2018" ht="15.75" customHeight="1">
      <c r="A2018" s="73"/>
      <c r="B2018" s="67"/>
      <c r="C2018" s="74"/>
      <c r="D2018" s="75"/>
    </row>
    <row r="2019" ht="15.75" customHeight="1">
      <c r="A2019" s="73"/>
      <c r="B2019" s="67"/>
      <c r="C2019" s="74"/>
      <c r="D2019" s="75"/>
    </row>
    <row r="2020" ht="15.75" customHeight="1">
      <c r="A2020" s="73"/>
      <c r="B2020" s="67"/>
      <c r="C2020" s="74"/>
      <c r="D2020" s="7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6.57"/>
    <col customWidth="1" min="4" max="5" width="14.43"/>
    <col customWidth="1" min="8" max="8" width="18.71"/>
    <col customWidth="1" min="9" max="9" width="15.86"/>
  </cols>
  <sheetData>
    <row r="1">
      <c r="E1" s="76" t="s">
        <v>5414</v>
      </c>
      <c r="F1" s="77" t="s">
        <v>5768</v>
      </c>
      <c r="G1" s="76" t="s">
        <v>5417</v>
      </c>
      <c r="H1" s="78" t="s">
        <v>5769</v>
      </c>
      <c r="I1" s="78" t="s">
        <v>5770</v>
      </c>
      <c r="J1" s="78" t="s">
        <v>5771</v>
      </c>
    </row>
    <row r="2">
      <c r="E2" s="80" t="s">
        <v>5406</v>
      </c>
      <c r="F2" s="81">
        <v>1.0</v>
      </c>
      <c r="G2" s="82">
        <f>IFNA(VLOOKUP(E2,'Descargas - Preprocessing'!$H$1:$I$10,2,0),0)</f>
        <v>269</v>
      </c>
      <c r="H2" s="82">
        <f t="shared" ref="H2:H7" si="1">IFNA(VLOOKUP(E2,$B$4:$C$9,2,0),0)</f>
        <v>208</v>
      </c>
      <c r="I2" s="82">
        <f t="shared" ref="I2:I7" si="2">IFNA(VLOOKUP(E2,$B$11:$C$12,2,0),0)</f>
        <v>0</v>
      </c>
      <c r="J2" s="82">
        <f t="shared" ref="J2:J7" si="3">SUM(H2:I2)</f>
        <v>208</v>
      </c>
    </row>
    <row r="3">
      <c r="E3" s="80" t="s">
        <v>5407</v>
      </c>
      <c r="F3" s="81">
        <v>2.0</v>
      </c>
      <c r="G3" s="82">
        <f>IFNA(VLOOKUP(E3,'Descargas - Preprocessing'!$H$1:$I$10,2,0),0)</f>
        <v>250</v>
      </c>
      <c r="H3" s="82">
        <f t="shared" si="1"/>
        <v>256</v>
      </c>
      <c r="I3" s="82">
        <f t="shared" si="2"/>
        <v>0</v>
      </c>
      <c r="J3" s="82">
        <f t="shared" si="3"/>
        <v>256</v>
      </c>
    </row>
    <row r="4">
      <c r="E4" s="80" t="s">
        <v>5408</v>
      </c>
      <c r="F4" s="81">
        <v>3.0</v>
      </c>
      <c r="G4" s="82">
        <f>IFNA(VLOOKUP(E4,'Descargas - Preprocessing'!$H$1:$I$10,2,0),0)</f>
        <v>664</v>
      </c>
      <c r="H4" s="82">
        <f t="shared" si="1"/>
        <v>271</v>
      </c>
      <c r="I4" s="82">
        <f t="shared" si="2"/>
        <v>0</v>
      </c>
      <c r="J4" s="82">
        <f t="shared" si="3"/>
        <v>271</v>
      </c>
    </row>
    <row r="5">
      <c r="E5" s="80" t="s">
        <v>5409</v>
      </c>
      <c r="F5" s="81">
        <v>4.0</v>
      </c>
      <c r="G5" s="82">
        <f>IFNA(VLOOKUP(E5,'Descargas - Preprocessing'!$H$1:$I$10,2,0),0)</f>
        <v>1454</v>
      </c>
      <c r="H5" s="82">
        <f t="shared" si="1"/>
        <v>551</v>
      </c>
      <c r="I5" s="82">
        <f t="shared" si="2"/>
        <v>0</v>
      </c>
      <c r="J5" s="82">
        <f t="shared" si="3"/>
        <v>551</v>
      </c>
    </row>
    <row r="6">
      <c r="E6" s="80" t="s">
        <v>5410</v>
      </c>
      <c r="F6" s="81">
        <v>5.0</v>
      </c>
      <c r="G6" s="82">
        <f>IFNA(VLOOKUP(E6,'Descargas - Preprocessing'!$H$1:$I$10,2,0),0)</f>
        <v>768</v>
      </c>
      <c r="H6" s="82">
        <f t="shared" si="1"/>
        <v>90</v>
      </c>
      <c r="I6" s="82">
        <f t="shared" si="2"/>
        <v>222</v>
      </c>
      <c r="J6" s="82">
        <f t="shared" si="3"/>
        <v>312</v>
      </c>
    </row>
    <row r="7">
      <c r="E7" s="80" t="s">
        <v>5411</v>
      </c>
      <c r="F7" s="81">
        <v>6.0</v>
      </c>
      <c r="G7" s="82">
        <f>IFNA(VLOOKUP(E7,'Descargas - Preprocessing'!$H$1:$I$10,2,0),0)</f>
        <v>576</v>
      </c>
      <c r="H7" s="82">
        <f t="shared" si="1"/>
        <v>126</v>
      </c>
      <c r="I7" s="82">
        <f t="shared" si="2"/>
        <v>95</v>
      </c>
      <c r="J7" s="82">
        <f t="shared" si="3"/>
        <v>221</v>
      </c>
    </row>
    <row r="8"/>
    <row r="9"/>
    <row r="10"/>
    <row r="11"/>
    <row r="12"/>
    <row r="13"/>
    <row r="14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